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charts/chart11.xml" ContentType="application/vnd.openxmlformats-officedocument.drawingml.chart+xml"/>
  <Override PartName="/xl/drawings/drawing9.xml" ContentType="application/vnd.openxmlformats-officedocument.drawingml.chartshapes+xml"/>
  <Override PartName="/xl/charts/chart12.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ml.chartshapes+xml"/>
  <Override PartName="/xl/charts/chart15.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drawings/drawing21.xml" ContentType="application/vnd.openxmlformats-officedocument.drawingml.chartshapes+xml"/>
  <Override PartName="/xl/charts/chart22.xml" ContentType="application/vnd.openxmlformats-officedocument.drawingml.chart+xml"/>
  <Override PartName="/xl/drawings/drawing22.xml" ContentType="application/vnd.openxmlformats-officedocument.drawingml.chartshapes+xml"/>
  <Override PartName="/xl/charts/chart23.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5.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2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27.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2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29.xml" ContentType="application/vnd.openxmlformats-officedocument.drawing+xml"/>
  <Override PartName="/xl/charts/chart44.xml" ContentType="application/vnd.openxmlformats-officedocument.drawingml.chart+xml"/>
  <Override PartName="/xl/drawings/drawing30.xml" ContentType="application/vnd.openxmlformats-officedocument.drawingml.chartshapes+xml"/>
  <Override PartName="/xl/charts/chart45.xml" ContentType="application/vnd.openxmlformats-officedocument.drawingml.chart+xml"/>
  <Override PartName="/xl/drawings/drawing31.xml" ContentType="application/vnd.openxmlformats-officedocument.drawingml.chartshapes+xml"/>
  <Override PartName="/xl/charts/chart46.xml" ContentType="application/vnd.openxmlformats-officedocument.drawingml.chart+xml"/>
  <Override PartName="/xl/drawings/drawing32.xml" ContentType="application/vnd.openxmlformats-officedocument.drawingml.chartshapes+xml"/>
  <Override PartName="/xl/charts/chart47.xml" ContentType="application/vnd.openxmlformats-officedocument.drawingml.chart+xml"/>
  <Override PartName="/xl/drawings/drawing33.xml" ContentType="application/vnd.openxmlformats-officedocument.drawingml.chartshapes+xml"/>
  <Override PartName="/xl/charts/chart48.xml" ContentType="application/vnd.openxmlformats-officedocument.drawingml.chart+xml"/>
  <Override PartName="/xl/drawings/drawing34.xml" ContentType="application/vnd.openxmlformats-officedocument.drawingml.chartshapes+xml"/>
  <Override PartName="/xl/charts/chart49.xml" ContentType="application/vnd.openxmlformats-officedocument.drawingml.chart+xml"/>
  <Override PartName="/xl/drawings/drawing35.xml" ContentType="application/vnd.openxmlformats-officedocument.drawingml.chartshapes+xml"/>
  <Override PartName="/xl/charts/chart50.xml" ContentType="application/vnd.openxmlformats-officedocument.drawingml.chart+xml"/>
  <Override PartName="/xl/drawings/drawing36.xml" ContentType="application/vnd.openxmlformats-officedocument.drawingml.chartshapes+xml"/>
  <Override PartName="/xl/charts/chart51.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52.xml" ContentType="application/vnd.openxmlformats-officedocument.drawingml.chart+xml"/>
  <Override PartName="/xl/drawings/drawing39.xml" ContentType="application/vnd.openxmlformats-officedocument.drawingml.chartshapes+xml"/>
  <Override PartName="/xl/charts/chart53.xml" ContentType="application/vnd.openxmlformats-officedocument.drawingml.chart+xml"/>
  <Override PartName="/xl/drawings/drawing40.xml" ContentType="application/vnd.openxmlformats-officedocument.drawingml.chartshapes+xml"/>
  <Override PartName="/xl/charts/chart54.xml" ContentType="application/vnd.openxmlformats-officedocument.drawingml.chart+xml"/>
  <Override PartName="/xl/drawings/drawing41.xml" ContentType="application/vnd.openxmlformats-officedocument.drawingml.chartshapes+xml"/>
  <Override PartName="/xl/charts/chart55.xml" ContentType="application/vnd.openxmlformats-officedocument.drawingml.chart+xml"/>
  <Override PartName="/xl/drawings/drawing42.xml" ContentType="application/vnd.openxmlformats-officedocument.drawingml.chartshapes+xml"/>
  <Override PartName="/xl/charts/chart56.xml" ContentType="application/vnd.openxmlformats-officedocument.drawingml.chart+xml"/>
  <Override PartName="/xl/drawings/drawing43.xml" ContentType="application/vnd.openxmlformats-officedocument.drawingml.chartshapes+xml"/>
  <Override PartName="/xl/charts/chart57.xml" ContentType="application/vnd.openxmlformats-officedocument.drawingml.chart+xml"/>
  <Override PartName="/xl/drawings/drawing44.xml" ContentType="application/vnd.openxmlformats-officedocument.drawingml.chartshapes+xml"/>
  <Override PartName="/xl/charts/chart58.xml" ContentType="application/vnd.openxmlformats-officedocument.drawingml.chart+xml"/>
  <Override PartName="/xl/drawings/drawing45.xml" ContentType="application/vnd.openxmlformats-officedocument.drawingml.chartshapes+xml"/>
  <Override PartName="/xl/charts/chart59.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60.xml" ContentType="application/vnd.openxmlformats-officedocument.drawingml.chart+xml"/>
  <Override PartName="/xl/drawings/drawing48.xml" ContentType="application/vnd.openxmlformats-officedocument.drawingml.chartshapes+xml"/>
  <Override PartName="/xl/drawings/drawing49.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50.xml" ContentType="application/vnd.openxmlformats-officedocument.drawing+xml"/>
  <Override PartName="/xl/drawings/drawing51.xml" ContentType="application/vnd.openxmlformats-officedocument.drawing+xml"/>
  <Override PartName="/xl/charts/chart63.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64.xml" ContentType="application/vnd.openxmlformats-officedocument.drawingml.chart+xml"/>
  <Override PartName="/xl/drawings/drawing54.xml" ContentType="application/vnd.openxmlformats-officedocument.drawingml.chartshapes+xml"/>
  <Override PartName="/xl/charts/chart65.xml" ContentType="application/vnd.openxmlformats-officedocument.drawingml.chart+xml"/>
  <Override PartName="/xl/drawings/drawing55.xml" ContentType="application/vnd.openxmlformats-officedocument.drawingml.chartshapes+xml"/>
  <Override PartName="/xl/charts/chart66.xml" ContentType="application/vnd.openxmlformats-officedocument.drawingml.chart+xml"/>
  <Override PartName="/xl/drawings/drawing56.xml" ContentType="application/vnd.openxmlformats-officedocument.drawingml.chartshapes+xml"/>
  <Override PartName="/xl/charts/chart67.xml" ContentType="application/vnd.openxmlformats-officedocument.drawingml.chart+xml"/>
  <Override PartName="/xl/drawings/drawing57.xml" ContentType="application/vnd.openxmlformats-officedocument.drawingml.chartshapes+xml"/>
  <Override PartName="/xl/charts/chart68.xml" ContentType="application/vnd.openxmlformats-officedocument.drawingml.chart+xml"/>
  <Override PartName="/xl/drawings/drawing58.xml" ContentType="application/vnd.openxmlformats-officedocument.drawingml.chartshapes+xml"/>
  <Override PartName="/xl/charts/chart6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7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71.xml" ContentType="application/vnd.openxmlformats-officedocument.drawingml.chart+xml"/>
  <Override PartName="/xl/drawings/drawing63.xml" ContentType="application/vnd.openxmlformats-officedocument.drawingml.chartshapes+xml"/>
  <Override PartName="/xl/drawings/drawing64.xml" ContentType="application/vnd.openxmlformats-officedocument.drawing+xml"/>
  <Override PartName="/xl/charts/chart72.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73.xml" ContentType="application/vnd.openxmlformats-officedocument.drawingml.chart+xml"/>
  <Override PartName="/xl/drawings/drawing67.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68.xml" ContentType="application/vnd.openxmlformats-officedocument.drawing+xml"/>
  <Override PartName="/xl/charts/chart84.xml" ContentType="application/vnd.openxmlformats-officedocument.drawingml.chart+xml"/>
  <Override PartName="/xl/drawings/drawing69.xml" ContentType="application/vnd.openxmlformats-officedocument.drawingml.chartshapes+xml"/>
  <Override PartName="/xl/charts/chart85.xml" ContentType="application/vnd.openxmlformats-officedocument.drawingml.chart+xml"/>
  <Override PartName="/xl/drawings/drawing70.xml" ContentType="application/vnd.openxmlformats-officedocument.drawingml.chartshapes+xml"/>
  <Override PartName="/xl/charts/chart86.xml" ContentType="application/vnd.openxmlformats-officedocument.drawingml.chart+xml"/>
  <Override PartName="/xl/drawings/drawing71.xml" ContentType="application/vnd.openxmlformats-officedocument.drawingml.chartshapes+xml"/>
  <Override PartName="/xl/charts/chart87.xml" ContentType="application/vnd.openxmlformats-officedocument.drawingml.chart+xml"/>
  <Override PartName="/xl/drawings/drawing72.xml" ContentType="application/vnd.openxmlformats-officedocument.drawingml.chartshapes+xml"/>
  <Override PartName="/xl/charts/chart88.xml" ContentType="application/vnd.openxmlformats-officedocument.drawingml.chart+xml"/>
  <Override PartName="/xl/drawings/drawing73.xml" ContentType="application/vnd.openxmlformats-officedocument.drawingml.chartshapes+xml"/>
  <Override PartName="/xl/charts/chart89.xml" ContentType="application/vnd.openxmlformats-officedocument.drawingml.chart+xml"/>
  <Override PartName="/xl/drawings/drawing74.xml" ContentType="application/vnd.openxmlformats-officedocument.drawingml.chartshapes+xml"/>
  <Override PartName="/xl/charts/chart90.xml" ContentType="application/vnd.openxmlformats-officedocument.drawingml.chart+xml"/>
  <Override PartName="/xl/charts/chart91.xml" ContentType="application/vnd.openxmlformats-officedocument.drawingml.chart+xml"/>
  <Override PartName="/xl/drawings/drawing75.xml" ContentType="application/vnd.openxmlformats-officedocument.drawingml.chartshapes+xml"/>
  <Override PartName="/xl/drawings/drawing76.xml" ContentType="application/vnd.openxmlformats-officedocument.drawing+xml"/>
  <Override PartName="/xl/charts/chart92.xml" ContentType="application/vnd.openxmlformats-officedocument.drawingml.chart+xml"/>
  <Override PartName="/xl/drawings/drawing77.xml" ContentType="application/vnd.openxmlformats-officedocument.drawingml.chartshapes+xml"/>
  <Override PartName="/xl/charts/chart93.xml" ContentType="application/vnd.openxmlformats-officedocument.drawingml.chart+xml"/>
  <Override PartName="/xl/drawings/drawing78.xml" ContentType="application/vnd.openxmlformats-officedocument.drawingml.chartshapes+xml"/>
  <Override PartName="/xl/charts/chart94.xml" ContentType="application/vnd.openxmlformats-officedocument.drawingml.chart+xml"/>
  <Override PartName="/xl/drawings/drawing79.xml" ContentType="application/vnd.openxmlformats-officedocument.drawingml.chartshapes+xml"/>
  <Override PartName="/xl/drawings/drawing80.xml" ContentType="application/vnd.openxmlformats-officedocument.drawing+xml"/>
  <Override PartName="/xl/charts/chart95.xml" ContentType="application/vnd.openxmlformats-officedocument.drawingml.chart+xml"/>
  <Override PartName="/xl/drawings/drawing81.xml" ContentType="application/vnd.openxmlformats-officedocument.drawingml.chartshapes+xml"/>
  <Override PartName="/xl/drawings/drawing82.xml" ContentType="application/vnd.openxmlformats-officedocument.drawing+xml"/>
  <Override PartName="/xl/charts/chart96.xml" ContentType="application/vnd.openxmlformats-officedocument.drawingml.chart+xml"/>
  <Override PartName="/xl/charts/style1.xml" ContentType="application/vnd.ms-office.chartstyle+xml"/>
  <Override PartName="/xl/charts/colors1.xml" ContentType="application/vnd.ms-office.chartcolorstyle+xml"/>
  <Override PartName="/xl/charts/chart97.xml" ContentType="application/vnd.openxmlformats-officedocument.drawingml.chart+xml"/>
  <Override PartName="/xl/charts/style2.xml" ContentType="application/vnd.ms-office.chartstyle+xml"/>
  <Override PartName="/xl/charts/colors2.xml" ContentType="application/vnd.ms-office.chartcolorstyle+xml"/>
  <Override PartName="/xl/charts/chart98.xml" ContentType="application/vnd.openxmlformats-officedocument.drawingml.chart+xml"/>
  <Override PartName="/xl/charts/style3.xml" ContentType="application/vnd.ms-office.chartstyle+xml"/>
  <Override PartName="/xl/charts/colors3.xml" ContentType="application/vnd.ms-office.chartcolorstyle+xml"/>
  <Override PartName="/xl/charts/chart99.xml" ContentType="application/vnd.openxmlformats-officedocument.drawingml.chart+xml"/>
  <Override PartName="/xl/charts/style4.xml" ContentType="application/vnd.ms-office.chartstyle+xml"/>
  <Override PartName="/xl/charts/colors4.xml" ContentType="application/vnd.ms-office.chartcolorstyle+xml"/>
  <Override PartName="/xl/charts/chart10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3.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drawing84.xml" ContentType="application/vnd.openxmlformats-officedocument.drawing+xml"/>
  <Override PartName="/xl/charts/chart107.xml" ContentType="application/vnd.openxmlformats-officedocument.drawingml.chart+xml"/>
  <Override PartName="/xl/charts/style6.xml" ContentType="application/vnd.ms-office.chartstyle+xml"/>
  <Override PartName="/xl/charts/colors6.xml" ContentType="application/vnd.ms-office.chartcolorstyle+xml"/>
  <Override PartName="/xl/charts/chart108.xml" ContentType="application/vnd.openxmlformats-officedocument.drawingml.chart+xml"/>
  <Override PartName="/xl/charts/style7.xml" ContentType="application/vnd.ms-office.chartstyle+xml"/>
  <Override PartName="/xl/charts/colors7.xml" ContentType="application/vnd.ms-office.chartcolorstyle+xml"/>
  <Override PartName="/xl/charts/chart109.xml" ContentType="application/vnd.openxmlformats-officedocument.drawingml.chart+xml"/>
  <Override PartName="/xl/charts/style8.xml" ContentType="application/vnd.ms-office.chartstyle+xml"/>
  <Override PartName="/xl/charts/colors8.xml" ContentType="application/vnd.ms-office.chartcolorstyle+xml"/>
  <Override PartName="/xl/charts/chart110.xml" ContentType="application/vnd.openxmlformats-officedocument.drawingml.chart+xml"/>
  <Override PartName="/xl/charts/style9.xml" ContentType="application/vnd.ms-office.chartstyle+xml"/>
  <Override PartName="/xl/charts/colors9.xml" ContentType="application/vnd.ms-office.chartcolorstyle+xml"/>
  <Override PartName="/xl/charts/chart1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5.xml" ContentType="application/vnd.openxmlformats-officedocument.drawing+xml"/>
  <Override PartName="/xl/charts/chart112.xml" ContentType="application/vnd.openxmlformats-officedocument.drawingml.chart+xml"/>
  <Override PartName="/xl/drawings/drawing86.xml" ContentType="application/vnd.openxmlformats-officedocument.drawingml.chartshapes+xml"/>
  <Override PartName="/xl/drawings/drawing87.xml" ContentType="application/vnd.openxmlformats-officedocument.drawing+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88.xml" ContentType="application/vnd.openxmlformats-officedocument.drawing+xml"/>
  <Override PartName="/xl/charts/chart118.xml" ContentType="application/vnd.openxmlformats-officedocument.drawingml.chart+xml"/>
  <Override PartName="/xl/drawings/drawing89.xml" ContentType="application/vnd.openxmlformats-officedocument.drawingml.chartshapes+xml"/>
  <Override PartName="/xl/charts/chart119.xml" ContentType="application/vnd.openxmlformats-officedocument.drawingml.chart+xml"/>
  <Override PartName="/xl/drawings/drawing90.xml" ContentType="application/vnd.openxmlformats-officedocument.drawingml.chartshapes+xml"/>
  <Override PartName="/xl/drawings/drawing91.xml" ContentType="application/vnd.openxmlformats-officedocument.drawing+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drawings/drawing92.xml" ContentType="application/vnd.openxmlformats-officedocument.drawing+xml"/>
  <Override PartName="/xl/charts/chart125.xml" ContentType="application/vnd.openxmlformats-officedocument.drawingml.chart+xml"/>
  <Override PartName="/xl/charts/chart126.xml" ContentType="application/vnd.openxmlformats-officedocument.drawingml.chart+xml"/>
  <Override PartName="/xl/drawings/drawing93.xml" ContentType="application/vnd.openxmlformats-officedocument.drawingml.chartshapes+xml"/>
  <Override PartName="/xl/drawings/drawing94.xml" ContentType="application/vnd.openxmlformats-officedocument.drawing+xml"/>
  <Override PartName="/xl/charts/chart127.xml" ContentType="application/vnd.openxmlformats-officedocument.drawingml.chart+xml"/>
  <Override PartName="/xl/charts/chart128.xml" ContentType="application/vnd.openxmlformats-officedocument.drawingml.chart+xml"/>
  <Override PartName="/xl/drawings/drawing95.xml" ContentType="application/vnd.openxmlformats-officedocument.drawing+xml"/>
  <Override PartName="/xl/charts/chart129.xml" ContentType="application/vnd.openxmlformats-officedocument.drawingml.chart+xml"/>
  <Override PartName="/xl/drawings/drawing96.xml" ContentType="application/vnd.openxmlformats-officedocument.drawing+xml"/>
  <Override PartName="/xl/charts/chart130.xml" ContentType="application/vnd.openxmlformats-officedocument.drawingml.chart+xml"/>
  <Override PartName="/xl/drawings/drawing97.xml" ContentType="application/vnd.openxmlformats-officedocument.drawingml.chartshapes+xml"/>
  <Override PartName="/xl/drawings/drawing98.xml" ContentType="application/vnd.openxmlformats-officedocument.drawing+xml"/>
  <Override PartName="/xl/charts/chart131.xml" ContentType="application/vnd.openxmlformats-officedocument.drawingml.chart+xml"/>
  <Override PartName="/xl/drawings/drawing99.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drawings/drawing100.xml" ContentType="application/vnd.openxmlformats-officedocument.drawingml.chartshapes+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drawings/drawing101.xml" ContentType="application/vnd.openxmlformats-officedocument.drawingml.chartshapes+xml"/>
  <Override PartName="/xl/charts/chart138.xml" ContentType="application/vnd.openxmlformats-officedocument.drawingml.chart+xml"/>
  <Override PartName="/xl/drawings/drawing102.xml" ContentType="application/vnd.openxmlformats-officedocument.drawingml.chartshapes+xml"/>
  <Override PartName="/xl/drawings/drawing103.xml" ContentType="application/vnd.openxmlformats-officedocument.drawing+xml"/>
  <Override PartName="/xl/charts/chart139.xml" ContentType="application/vnd.openxmlformats-officedocument.drawingml.chart+xml"/>
  <Override PartName="/xl/drawings/drawing104.xml" ContentType="application/vnd.openxmlformats-officedocument.drawingml.chartshapes+xml"/>
  <Override PartName="/xl/drawings/drawing105.xml" ContentType="application/vnd.openxmlformats-officedocument.drawing+xml"/>
  <Override PartName="/xl/charts/chart140.xml" ContentType="application/vnd.openxmlformats-officedocument.drawingml.chart+xml"/>
  <Override PartName="/xl/charts/chart141.xml" ContentType="application/vnd.openxmlformats-officedocument.drawingml.chart+xml"/>
  <Override PartName="/xl/drawings/drawing106.xml" ContentType="application/vnd.openxmlformats-officedocument.drawing+xml"/>
  <Override PartName="/xl/drawings/drawing107.xml" ContentType="application/vnd.openxmlformats-officedocument.drawing+xml"/>
  <Override PartName="/xl/charts/chart142.xml" ContentType="application/vnd.openxmlformats-officedocument.drawingml.chart+xml"/>
  <Override PartName="/xl/drawings/drawing108.xml" ContentType="application/vnd.openxmlformats-officedocument.drawingml.chartshapes+xml"/>
  <Override PartName="/xl/drawings/drawing109.xml" ContentType="application/vnd.openxmlformats-officedocument.drawing+xml"/>
  <Override PartName="/xl/charts/chart143.xml" ContentType="application/vnd.openxmlformats-officedocument.drawingml.chart+xml"/>
  <Override PartName="/xl/drawings/drawing110.xml" ContentType="application/vnd.openxmlformats-officedocument.drawingml.chartshapes+xml"/>
  <Override PartName="/xl/drawings/drawing111.xml" ContentType="application/vnd.openxmlformats-officedocument.drawing+xml"/>
  <Override PartName="/xl/charts/chart144.xml" ContentType="application/vnd.openxmlformats-officedocument.drawingml.chart+xml"/>
  <Override PartName="/xl/drawings/drawing112.xml" ContentType="application/vnd.openxmlformats-officedocument.drawing+xml"/>
  <Override PartName="/xl/charts/chart145.xml" ContentType="application/vnd.openxmlformats-officedocument.drawingml.chart+xml"/>
  <Override PartName="/xl/drawings/drawing113.xml" ContentType="application/vnd.openxmlformats-officedocument.drawing+xml"/>
  <Override PartName="/xl/charts/chart146.xml" ContentType="application/vnd.openxmlformats-officedocument.drawingml.chart+xml"/>
  <Override PartName="/xl/drawings/drawing114.xml" ContentType="application/vnd.openxmlformats-officedocument.drawing+xml"/>
  <Override PartName="/xl/charts/chart147.xml" ContentType="application/vnd.openxmlformats-officedocument.drawingml.chart+xml"/>
  <Override PartName="/xl/drawings/drawing115.xml" ContentType="application/vnd.openxmlformats-officedocument.drawing+xml"/>
  <Override PartName="/xl/charts/chart148.xml" ContentType="application/vnd.openxmlformats-officedocument.drawingml.chart+xml"/>
  <Override PartName="/xl/drawings/drawing116.xml" ContentType="application/vnd.openxmlformats-officedocument.drawingml.chartshapes+xml"/>
  <Override PartName="/xl/drawings/drawing117.xml" ContentType="application/vnd.openxmlformats-officedocument.drawing+xml"/>
  <Override PartName="/xl/charts/chart149.xml" ContentType="application/vnd.openxmlformats-officedocument.drawingml.chart+xml"/>
  <Override PartName="/xl/drawings/drawing118.xml" ContentType="application/vnd.openxmlformats-officedocument.drawingml.chartshapes+xml"/>
  <Override PartName="/xl/drawings/drawing119.xml" ContentType="application/vnd.openxmlformats-officedocument.drawing+xml"/>
  <Override PartName="/xl/charts/chart150.xml" ContentType="application/vnd.openxmlformats-officedocument.drawingml.chart+xml"/>
  <Override PartName="/xl/drawings/drawing120.xml" ContentType="application/vnd.openxmlformats-officedocument.drawing+xml"/>
  <Override PartName="/xl/charts/chart15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vivianchen/Documents/GitHub/MidtermPredictionRegression/"/>
    </mc:Choice>
  </mc:AlternateContent>
  <xr:revisionPtr revIDLastSave="0" documentId="8_{DD43E416-0BFA-8249-97C6-65C2EE8725C9}" xr6:coauthVersionLast="47" xr6:coauthVersionMax="47" xr10:uidLastSave="{00000000-0000-0000-0000-000000000000}"/>
  <bookViews>
    <workbookView xWindow="520" yWindow="500" windowWidth="23480" windowHeight="16460" tabRatio="854" activeTab="9" xr2:uid="{00000000-000D-0000-FFFF-FFFF00000000}"/>
  </bookViews>
  <sheets>
    <sheet name="List of Tables" sheetId="233" r:id="rId1"/>
    <sheet name="_xltb_storage_" sheetId="232" state="veryHidden" r:id="rId2"/>
    <sheet name="Landing page" sheetId="222" state="hidden" r:id="rId3"/>
    <sheet name="Twitter" sheetId="239" state="hidden" r:id="rId4"/>
    <sheet name="Share Data" sheetId="110" state="hidden" r:id="rId5"/>
    <sheet name="Seat Data" sheetId="114" state="hidden" r:id="rId6"/>
    <sheet name="GE-UK Parties Visual" sheetId="186" state="hidden" r:id="rId7"/>
    <sheet name="Governments formed GE" sheetId="116" state="hidden" r:id="rId8"/>
    <sheet name="PM -time in office " sheetId="200" state="hidden" r:id="rId9"/>
    <sheet name="1 GE-UK" sheetId="37" r:id="rId10"/>
    <sheet name="1 GE-GB" sheetId="250" r:id="rId11"/>
    <sheet name="1 GE-Eng" sheetId="154" r:id="rId12"/>
    <sheet name="1 GE-Wales" sheetId="39" r:id="rId13"/>
    <sheet name="1 GE-Scot" sheetId="40" r:id="rId14"/>
    <sheet name="1 GE-NI" sheetId="251" r:id="rId15"/>
    <sheet name="GE-NI Visual" sheetId="276" state="hidden" r:id="rId16"/>
    <sheet name="GE-NI2" sheetId="48" state="hidden" r:id="rId17"/>
    <sheet name="Share 1" sheetId="42" state="hidden" r:id="rId18"/>
    <sheet name="2 Turnout" sheetId="44" r:id="rId19"/>
    <sheet name="3 Spoilt ballots " sheetId="192" r:id="rId20"/>
    <sheet name="4 Postal ballots" sheetId="50" r:id="rId21"/>
    <sheet name="5 Women MPs" sheetId="51" r:id="rId22"/>
    <sheet name="5 Women MPs Visual" sheetId="193" state="hidden" r:id="rId23"/>
    <sheet name="6 age.old" sheetId="80" state="hidden" r:id="rId24"/>
    <sheet name="6.Age.Latest " sheetId="234" r:id="rId25"/>
    <sheet name="7  median age" sheetId="158" r:id="rId26"/>
    <sheet name="8 BME" sheetId="111" r:id="rId27"/>
    <sheet name="9 New MPs" sheetId="143" r:id="rId28"/>
    <sheet name="10 education" sheetId="95" r:id="rId29"/>
    <sheet name="Education new format" sheetId="235" state="hidden" r:id="rId30"/>
    <sheet name="11 Occupations" sheetId="203" r:id="rId31"/>
    <sheet name="11 Occupations SNP" sheetId="204" r:id="rId32"/>
    <sheet name="11 Occupations Visual" sheetId="162" r:id="rId33"/>
    <sheet name="11c. Ocupation 2017" sheetId="236" r:id="rId34"/>
    <sheet name="12 by-elections summary" sheetId="78" r:id="rId35"/>
    <sheet name="12 by-elections summary Visual" sheetId="198" state="hidden" r:id="rId36"/>
    <sheet name="13 by-elections list OLD" sheetId="124" state="hidden" r:id="rId37"/>
    <sheet name="13 by-elections list Visual" sheetId="165" r:id="rId38"/>
    <sheet name="14a By elections NI " sheetId="166" r:id="rId39"/>
    <sheet name="15 MEPs" sheetId="144" r:id="rId40"/>
    <sheet name="15 MEPs Visual" sheetId="167" state="hidden" r:id="rId41"/>
    <sheet name="15b European Parliament" sheetId="168" state="hidden" r:id="rId42"/>
    <sheet name="15b European Parliament Visual" sheetId="199" r:id="rId43"/>
    <sheet name="16 NAW" sheetId="126" r:id="rId44"/>
    <sheet name="16 NAW Visual" sheetId="169" state="hidden" r:id="rId45"/>
    <sheet name="Wales data" sheetId="93" state="hidden" r:id="rId46"/>
    <sheet name="17 Scottish Parliament" sheetId="127" r:id="rId47"/>
    <sheet name="17 Scottish Parliament Visual" sheetId="170" state="hidden" r:id="rId48"/>
    <sheet name="17 SP Party charts " sheetId="214" state="hidden" r:id="rId49"/>
    <sheet name="18 NI Assembly" sheetId="215" r:id="rId50"/>
    <sheet name="18 NI Assembly Visual" sheetId="171" r:id="rId51"/>
    <sheet name="18 NI Party charts " sheetId="216" state="hidden" r:id="rId52"/>
    <sheet name="19 Stormont" sheetId="117" r:id="rId53"/>
    <sheet name="20a London 2016" sheetId="217" state="hidden" r:id="rId54"/>
    <sheet name="20b London Assembly" sheetId="128" r:id="rId55"/>
    <sheet name="20 London Assembly Visual" sheetId="172" state="hidden" r:id="rId56"/>
    <sheet name="21 London Mayor" sheetId="131" r:id="rId57"/>
    <sheet name="22-23 Women MEPs" sheetId="175" r:id="rId58"/>
    <sheet name="22-23 Women MEPs Visual" sheetId="174" state="hidden" r:id="rId59"/>
    <sheet name="24 Councillors table" sheetId="221" r:id="rId60"/>
    <sheet name="24 Councillors graph " sheetId="207" state="hidden" r:id="rId61"/>
    <sheet name="25 Locals" sheetId="129" r:id="rId62"/>
    <sheet name="25 Locals Visual" sheetId="176" state="hidden" r:id="rId63"/>
    <sheet name="26 Councilors per party " sheetId="218" r:id="rId64"/>
    <sheet name="26 Councilors per party  VISUAL" sheetId="220" state="hidden" r:id="rId65"/>
    <sheet name="27a Mayoral refs" sheetId="208" r:id="rId66"/>
    <sheet name="27 Mayoral refs Visual" sheetId="177" state="hidden" r:id="rId67"/>
    <sheet name="27c. Mayoral elections" sheetId="179" r:id="rId68"/>
    <sheet name="27b &amp; 28. Current Mayors" sheetId="209" r:id="rId69"/>
    <sheet name="Notes to List of parties 28a-c " sheetId="237" r:id="rId70"/>
    <sheet name="29a PCC seats" sheetId="228" r:id="rId71"/>
    <sheet name="PCC turnout visual" sheetId="238" state="hidden" r:id="rId72"/>
    <sheet name="29b&amp;c PCC 2012v2016 Share " sheetId="227" r:id="rId73"/>
    <sheet name="30 EU ref 2016" sheetId="229" r:id="rId74"/>
    <sheet name="30 EU ref 2016 (Visual)" sheetId="230" state="hidden" r:id="rId75"/>
    <sheet name="31 EC ref" sheetId="74" r:id="rId76"/>
    <sheet name="31 EC ref Visual" sheetId="183" state="hidden" r:id="rId77"/>
    <sheet name="32 Scotland ref" sheetId="91" r:id="rId78"/>
    <sheet name="33 Scotland 2014 ref" sheetId="211" r:id="rId79"/>
    <sheet name="34 Wales ref" sheetId="73" r:id="rId80"/>
    <sheet name="35 Wales ref 2011" sheetId="120" r:id="rId81"/>
    <sheet name="35 Wales ref 2011 Visual" sheetId="182" state="hidden" r:id="rId82"/>
    <sheet name="36 AV ref" sheetId="121" r:id="rId83"/>
    <sheet name="36 AV ref Visual" sheetId="184" state="hidden" r:id="rId84"/>
    <sheet name="1918 " sheetId="269" state="hidden" r:id="rId85"/>
    <sheet name="1922" sheetId="270" state="hidden" r:id="rId86"/>
    <sheet name="1923" sheetId="271" state="hidden" r:id="rId87"/>
    <sheet name="1924" sheetId="272" state="hidden" r:id="rId88"/>
    <sheet name="1929" sheetId="273" state="hidden" r:id="rId89"/>
    <sheet name="1931" sheetId="274" state="hidden" r:id="rId90"/>
    <sheet name="1935" sheetId="275" state="hidden" r:id="rId91"/>
    <sheet name="1945" sheetId="259" state="hidden" r:id="rId92"/>
    <sheet name="1950" sheetId="260" state="hidden" r:id="rId93"/>
    <sheet name="1951" sheetId="261" state="hidden" r:id="rId94"/>
    <sheet name="1955" sheetId="262" state="hidden" r:id="rId95"/>
    <sheet name="1959" sheetId="263" state="hidden" r:id="rId96"/>
    <sheet name="1964" sheetId="264" state="hidden" r:id="rId97"/>
    <sheet name="1966" sheetId="265" state="hidden" r:id="rId98"/>
    <sheet name="1970" sheetId="266" state="hidden" r:id="rId99"/>
    <sheet name=" 1935 Transcribed" sheetId="242" state="hidden" r:id="rId100"/>
    <sheet name="1974F" sheetId="30" state="hidden" r:id="rId101"/>
    <sheet name="1974O" sheetId="31" state="hidden" r:id="rId102"/>
    <sheet name="1979" sheetId="32" state="hidden" r:id="rId103"/>
    <sheet name="1983" sheetId="33" state="hidden" r:id="rId104"/>
    <sheet name="1987" sheetId="34" state="hidden" r:id="rId105"/>
    <sheet name="1992" sheetId="35" state="hidden" r:id="rId106"/>
    <sheet name="1997" sheetId="36" state="hidden" r:id="rId107"/>
    <sheet name="2001" sheetId="133" state="hidden" r:id="rId108"/>
    <sheet name="2005" sheetId="134" state="hidden" r:id="rId109"/>
    <sheet name="2010" sheetId="135" state="hidden" r:id="rId110"/>
    <sheet name="Liberals DOB data" sheetId="142" state="hidden" r:id="rId111"/>
  </sheets>
  <externalReferences>
    <externalReference r:id="rId112"/>
    <externalReference r:id="rId113"/>
    <externalReference r:id="rId114"/>
    <externalReference r:id="rId115"/>
    <externalReference r:id="rId116"/>
    <externalReference r:id="rId117"/>
    <externalReference r:id="rId118"/>
  </externalReferences>
  <definedNames>
    <definedName name="_xlnm._FilterDatabase" localSheetId="18" hidden="1">'2 Turnout'!$A$6</definedName>
    <definedName name="_xlnm._FilterDatabase" localSheetId="65" hidden="1">'27a Mayoral refs'!$A$8:$H$62</definedName>
    <definedName name="_xlnm._FilterDatabase" localSheetId="8" hidden="1">'PM -time in office '!$A$1:$G$32</definedName>
    <definedName name="_ftn1" localSheetId="75">'31 EC ref'!$C$23</definedName>
    <definedName name="_ftn1" localSheetId="76">'31 EC ref Visual'!#REF!</definedName>
    <definedName name="_ftnref1" localSheetId="75">'31 EC ref'!$C$20</definedName>
    <definedName name="_ftnref1" localSheetId="76">'31 EC ref Visual'!#REF!</definedName>
    <definedName name="_Toc162695414" localSheetId="50">'18 NI Assembly Visual'!$B$37</definedName>
    <definedName name="_Toc162695414" localSheetId="71">'PCC turnout visual'!$B$38</definedName>
    <definedName name="Page">'[1]page table'!$B$2:$F$19</definedName>
    <definedName name="_xlnm.Print_Area" localSheetId="99">' 1935 Transcribed'!$A$1:$G$69</definedName>
    <definedName name="_xlnm.Print_Area" localSheetId="11">'1 GE-Eng'!$A$1:$P$75</definedName>
    <definedName name="_xlnm.Print_Area" localSheetId="10">'1 GE-GB'!$A$1:$Q$75</definedName>
    <definedName name="_xlnm.Print_Area" localSheetId="14">'1 GE-NI'!$A$1:$Q$80</definedName>
    <definedName name="_xlnm.Print_Area" localSheetId="13">'1 GE-Scot'!$A$1:$Q$75</definedName>
    <definedName name="_xlnm.Print_Area" localSheetId="9">'1 GE-UK'!$A$3:$Q$77</definedName>
    <definedName name="_xlnm.Print_Area" localSheetId="12">'1 GE-Wales'!$A$1:$Q$75</definedName>
    <definedName name="_xlnm.Print_Area" localSheetId="36">'13 by-elections list OLD'!$A$3:$K$537</definedName>
    <definedName name="_xlnm.Print_Area" localSheetId="37">'13 by-elections list Visual'!$A$4:$K$596</definedName>
    <definedName name="_xlnm.Print_Area" localSheetId="38">'14a By elections NI '!$A$3:$L$169</definedName>
    <definedName name="_xlnm.Print_Area" localSheetId="91">'1945'!$A$1:$F$64</definedName>
    <definedName name="_xlnm.Print_Area" localSheetId="92">'1950'!$A$1:$F$59</definedName>
    <definedName name="_xlnm.Print_Area" localSheetId="93">'1951'!$A$1:$F$58</definedName>
    <definedName name="_xlnm.Print_Area" localSheetId="94">'1955'!$A$1:$F$58</definedName>
    <definedName name="_xlnm.Print_Area" localSheetId="95">'1959'!$A$1:$F$59</definedName>
    <definedName name="_xlnm.Print_Area" localSheetId="96">'1964'!$A$1:$F$59</definedName>
    <definedName name="_xlnm.Print_Area" localSheetId="97">'1966'!$A$1:$F$57</definedName>
    <definedName name="_xlnm.Print_Area" localSheetId="98">'1970'!$A$1:$F$52</definedName>
    <definedName name="_xlnm.Print_Area" localSheetId="100">'1974F'!$A$1:$F$55</definedName>
    <definedName name="_xlnm.Print_Area" localSheetId="101">'1974O'!$A$1:$F$54</definedName>
    <definedName name="_xlnm.Print_Area" localSheetId="102">'1979'!$A$1:$F$56</definedName>
    <definedName name="_xlnm.Print_Area" localSheetId="103">'1983'!$A$1:$F$64</definedName>
    <definedName name="_xlnm.Print_Area" localSheetId="104">'1987'!$A$1:$F$64</definedName>
    <definedName name="_xlnm.Print_Area" localSheetId="105">'1992'!$A$1:$F$52</definedName>
    <definedName name="_xlnm.Print_Area" localSheetId="106">'1997'!$A$1:$F$53</definedName>
    <definedName name="_xlnm.Print_Area" localSheetId="18">'2 Turnout'!$A$1:$H$46</definedName>
    <definedName name="_xlnm.Print_Area" localSheetId="66">'27 Mayoral refs Visual'!$B$3:$J$78</definedName>
    <definedName name="_xlnm.Print_Area" localSheetId="65">'27a Mayoral refs'!$B$3:$I$79</definedName>
    <definedName name="_xlnm.Print_Area" localSheetId="67">'27c. Mayoral elections'!$B$3:$O$847</definedName>
    <definedName name="_xlnm.Print_Area" localSheetId="15">'GE-NI Visual'!$A$3:$O$79</definedName>
    <definedName name="_xlnm.Print_Titles" localSheetId="36">'13 by-elections list OLD'!$5:$7</definedName>
    <definedName name="_xlnm.Print_Titles" localSheetId="37">'13 by-elections list Visual'!$5:$7</definedName>
    <definedName name="_xlnm.Print_Titles" localSheetId="67">'27c. Mayoral elections'!$4:$5</definedName>
    <definedName name="TABLE" localSheetId="50">'18 NI Assembly Visual'!$A$5:$K$15</definedName>
    <definedName name="TABLE" localSheetId="71">'PCC turnout visual'!$A$5:$K$15</definedName>
    <definedName name="table">[2]page!$B$1:$G$30</definedName>
    <definedName name="TABLE_2" localSheetId="50">'18 NI Assembly Visual'!$A$5:$K$15</definedName>
    <definedName name="TABLE_2" localSheetId="71">'PCC turnout visual'!$A$5:$K$15</definedName>
    <definedName name="Table_title__Times_New_Roman_10_pt.">'[1]page table'!$B$2:$F$20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8" i="128" l="1"/>
  <c r="U28" i="95"/>
  <c r="U23" i="95"/>
  <c r="U18" i="95"/>
  <c r="C65" i="235"/>
  <c r="C66" i="235"/>
  <c r="H39" i="44" l="1"/>
  <c r="AB22" i="227"/>
  <c r="AB25" i="227" s="1"/>
  <c r="AB21" i="227"/>
  <c r="AB20" i="227"/>
  <c r="U17" i="158" l="1"/>
  <c r="T17" i="158"/>
  <c r="M36" i="234"/>
  <c r="M35" i="234"/>
  <c r="H31" i="228" l="1"/>
  <c r="B32" i="228" l="1"/>
  <c r="C32" i="228"/>
  <c r="D32" i="228"/>
  <c r="E32" i="228"/>
  <c r="F32" i="228"/>
  <c r="G32" i="228"/>
  <c r="H32" i="228"/>
  <c r="B33" i="228"/>
  <c r="C33" i="228"/>
  <c r="D33" i="228"/>
  <c r="E33" i="228"/>
  <c r="F33" i="228"/>
  <c r="G33" i="228"/>
  <c r="H33" i="228"/>
  <c r="C31" i="228"/>
  <c r="D31" i="228"/>
  <c r="E31" i="228"/>
  <c r="F31" i="228"/>
  <c r="G31" i="228"/>
  <c r="B31" i="228"/>
  <c r="J25" i="228"/>
  <c r="J24" i="228"/>
  <c r="J23" i="228"/>
  <c r="I807" i="179"/>
  <c r="I808" i="179"/>
  <c r="I809" i="179"/>
  <c r="I810" i="179"/>
  <c r="F810" i="179" s="1"/>
  <c r="I806" i="179"/>
  <c r="F806" i="179" s="1"/>
  <c r="I814" i="179"/>
  <c r="I815" i="179"/>
  <c r="I816" i="179"/>
  <c r="I817" i="179"/>
  <c r="F817" i="179" s="1"/>
  <c r="I818" i="179"/>
  <c r="I813" i="179"/>
  <c r="H819" i="179"/>
  <c r="H811" i="179"/>
  <c r="F818" i="179"/>
  <c r="H804" i="179"/>
  <c r="I798" i="179" s="1"/>
  <c r="F798" i="179" s="1"/>
  <c r="I800" i="179"/>
  <c r="F800" i="179" s="1"/>
  <c r="I801" i="179"/>
  <c r="F801" i="179" s="1"/>
  <c r="I802" i="179"/>
  <c r="I797" i="179"/>
  <c r="F797" i="179" s="1"/>
  <c r="F802" i="179"/>
  <c r="I789" i="179"/>
  <c r="I790" i="179"/>
  <c r="I791" i="179"/>
  <c r="I792" i="179"/>
  <c r="F792" i="179" s="1"/>
  <c r="I793" i="179"/>
  <c r="I794" i="179"/>
  <c r="F794" i="179" s="1"/>
  <c r="I788" i="179"/>
  <c r="H795" i="179"/>
  <c r="F793" i="179"/>
  <c r="I785" i="179"/>
  <c r="I784" i="179"/>
  <c r="I783" i="179"/>
  <c r="I782" i="179"/>
  <c r="F782" i="179" s="1"/>
  <c r="I781" i="179"/>
  <c r="I780" i="179"/>
  <c r="I779" i="179"/>
  <c r="I778" i="179"/>
  <c r="F781" i="179"/>
  <c r="F785" i="179"/>
  <c r="I777" i="179"/>
  <c r="H786" i="179"/>
  <c r="F784" i="179"/>
  <c r="F783" i="179"/>
  <c r="F819" i="179"/>
  <c r="F816" i="179"/>
  <c r="F815" i="179"/>
  <c r="F814" i="179"/>
  <c r="F813" i="179"/>
  <c r="F811" i="179"/>
  <c r="F809" i="179"/>
  <c r="F808" i="179"/>
  <c r="F807" i="179"/>
  <c r="F804" i="179"/>
  <c r="F795" i="179"/>
  <c r="F786" i="179"/>
  <c r="F771" i="179"/>
  <c r="D8" i="177"/>
  <c r="C8" i="177"/>
  <c r="L8" i="177"/>
  <c r="D9" i="177"/>
  <c r="C9" i="177"/>
  <c r="D10" i="177"/>
  <c r="D11" i="177"/>
  <c r="C10" i="177"/>
  <c r="C11" i="177"/>
  <c r="I8" i="177"/>
  <c r="I9" i="177"/>
  <c r="I10" i="177"/>
  <c r="I803" i="179" l="1"/>
  <c r="F803" i="179" s="1"/>
  <c r="I799" i="179"/>
  <c r="F799" i="179" s="1"/>
  <c r="T20" i="218" l="1"/>
  <c r="T21" i="218"/>
  <c r="T22" i="218"/>
  <c r="T23" i="218"/>
  <c r="T24" i="218"/>
  <c r="T25" i="218"/>
  <c r="T26" i="218"/>
  <c r="T27" i="218"/>
  <c r="T28" i="218"/>
  <c r="T29" i="218"/>
  <c r="T30" i="218"/>
  <c r="T31" i="218"/>
  <c r="T32" i="218"/>
  <c r="T33" i="218"/>
  <c r="T34" i="218"/>
  <c r="T35" i="218"/>
  <c r="T36" i="218"/>
  <c r="T37" i="218"/>
  <c r="T38" i="218"/>
  <c r="T39" i="218"/>
  <c r="T40" i="218"/>
  <c r="T41" i="218"/>
  <c r="T42" i="218"/>
  <c r="T43" i="218"/>
  <c r="T44" i="218"/>
  <c r="T45" i="218"/>
  <c r="T46" i="218"/>
  <c r="T47" i="218"/>
  <c r="T48" i="218"/>
  <c r="T49" i="218"/>
  <c r="T50" i="218"/>
  <c r="T51" i="218"/>
  <c r="T52" i="218"/>
  <c r="T53" i="218"/>
  <c r="T54" i="218"/>
  <c r="T55" i="218"/>
  <c r="T56" i="218"/>
  <c r="Q11" i="218"/>
  <c r="Q15" i="218" s="1"/>
  <c r="Q19" i="218"/>
  <c r="Q14" i="218"/>
  <c r="Q17" i="218"/>
  <c r="R11" i="218"/>
  <c r="W70" i="221"/>
  <c r="W67" i="221"/>
  <c r="W68" i="221"/>
  <c r="W69" i="221"/>
  <c r="T67" i="221"/>
  <c r="T68" i="221"/>
  <c r="T69" i="221"/>
  <c r="T70" i="221"/>
  <c r="Q67" i="221"/>
  <c r="Q68" i="221"/>
  <c r="Q69" i="221"/>
  <c r="Q70" i="221"/>
  <c r="N67" i="221"/>
  <c r="N68" i="221"/>
  <c r="N69" i="221"/>
  <c r="N70" i="221"/>
  <c r="K67" i="221"/>
  <c r="K68" i="221"/>
  <c r="K69" i="221"/>
  <c r="K70" i="221"/>
  <c r="V70" i="221"/>
  <c r="S70" i="221"/>
  <c r="P70" i="221"/>
  <c r="M70" i="221"/>
  <c r="J70" i="221"/>
  <c r="H68" i="221"/>
  <c r="R19" i="218" l="1"/>
  <c r="T19" i="218" s="1"/>
  <c r="R14" i="218"/>
  <c r="T14" i="218" s="1"/>
  <c r="R18" i="218"/>
  <c r="T18" i="218" s="1"/>
  <c r="Q16" i="218"/>
  <c r="Q18" i="218"/>
  <c r="Z101" i="175"/>
  <c r="Q101" i="175"/>
  <c r="D108" i="131"/>
  <c r="D104" i="131"/>
  <c r="E104" i="131" s="1"/>
  <c r="E103" i="131"/>
  <c r="E102" i="131"/>
  <c r="E99" i="131"/>
  <c r="E100" i="131"/>
  <c r="E101" i="131"/>
  <c r="E98" i="131"/>
  <c r="K98" i="131"/>
  <c r="J50" i="128" l="1"/>
  <c r="K50" i="128"/>
  <c r="L50" i="128"/>
  <c r="M50" i="128"/>
  <c r="I50" i="128"/>
  <c r="J40" i="128"/>
  <c r="K40" i="128"/>
  <c r="L40" i="128"/>
  <c r="M40" i="128"/>
  <c r="N40" i="128"/>
  <c r="I40" i="128"/>
  <c r="J30" i="128"/>
  <c r="K30" i="128"/>
  <c r="L30" i="128"/>
  <c r="M30" i="128"/>
  <c r="N30" i="128"/>
  <c r="I30" i="128"/>
  <c r="J17" i="128"/>
  <c r="K17" i="128"/>
  <c r="L17" i="128"/>
  <c r="M17" i="128"/>
  <c r="N17" i="128"/>
  <c r="I17" i="128"/>
  <c r="N28" i="128"/>
  <c r="G28" i="128"/>
  <c r="M44" i="128"/>
  <c r="M45" i="128"/>
  <c r="M46" i="128"/>
  <c r="M47" i="128"/>
  <c r="M48" i="128"/>
  <c r="M49" i="128"/>
  <c r="M43" i="128"/>
  <c r="N34" i="128"/>
  <c r="N35" i="128"/>
  <c r="N36" i="128"/>
  <c r="N37" i="128"/>
  <c r="N38" i="128"/>
  <c r="N33" i="128"/>
  <c r="M34" i="128"/>
  <c r="M35" i="128"/>
  <c r="M36" i="128"/>
  <c r="M37" i="128"/>
  <c r="M38" i="128"/>
  <c r="M33" i="128"/>
  <c r="L33" i="128"/>
  <c r="M11" i="128" l="1"/>
  <c r="M12" i="128"/>
  <c r="M13" i="128"/>
  <c r="M14" i="128"/>
  <c r="M15" i="128"/>
  <c r="M16" i="128"/>
  <c r="M22" i="128"/>
  <c r="M23" i="128"/>
  <c r="M24" i="128"/>
  <c r="M25" i="128"/>
  <c r="M26" i="128"/>
  <c r="M27" i="128"/>
  <c r="M28" i="128"/>
  <c r="G40" i="128"/>
  <c r="G50" i="128"/>
  <c r="Y16" i="217"/>
  <c r="X16" i="217"/>
  <c r="AF16" i="217"/>
  <c r="S16" i="217"/>
  <c r="S13" i="217"/>
  <c r="S12" i="217"/>
  <c r="S11" i="217"/>
  <c r="S10" i="217"/>
  <c r="S9" i="217"/>
  <c r="H13" i="217"/>
  <c r="G13" i="217"/>
  <c r="E13" i="217"/>
  <c r="X19" i="127"/>
  <c r="W19" i="127"/>
  <c r="V19" i="127"/>
  <c r="U19" i="127"/>
  <c r="T19" i="127"/>
  <c r="S19" i="127"/>
  <c r="X18" i="127"/>
  <c r="W18" i="127"/>
  <c r="V18" i="127"/>
  <c r="U18" i="127"/>
  <c r="T18" i="127"/>
  <c r="S18" i="127"/>
  <c r="X17" i="127"/>
  <c r="W17" i="127"/>
  <c r="V17" i="127"/>
  <c r="U17" i="127"/>
  <c r="T17" i="127"/>
  <c r="S17" i="127"/>
  <c r="X16" i="127"/>
  <c r="W16" i="127"/>
  <c r="V16" i="127"/>
  <c r="U16" i="127"/>
  <c r="T16" i="127"/>
  <c r="S16" i="127"/>
  <c r="X15" i="127"/>
  <c r="W15" i="127"/>
  <c r="V15" i="127"/>
  <c r="U15" i="127"/>
  <c r="T15" i="127"/>
  <c r="S15" i="127"/>
  <c r="B77" i="170"/>
  <c r="G77" i="170"/>
  <c r="F77" i="170"/>
  <c r="E77" i="170"/>
  <c r="D77" i="170"/>
  <c r="J53" i="127"/>
  <c r="K53" i="127"/>
  <c r="L53" i="127"/>
  <c r="M53" i="127"/>
  <c r="N53" i="127"/>
  <c r="O53" i="127"/>
  <c r="J54" i="127"/>
  <c r="K54" i="127"/>
  <c r="L54" i="127"/>
  <c r="M54" i="127"/>
  <c r="N54" i="127"/>
  <c r="O54" i="127"/>
  <c r="J55" i="127"/>
  <c r="K55" i="127"/>
  <c r="L55" i="127"/>
  <c r="M55" i="127"/>
  <c r="N55" i="127"/>
  <c r="O55" i="127"/>
  <c r="J56" i="127"/>
  <c r="K56" i="127"/>
  <c r="L56" i="127"/>
  <c r="M56" i="127"/>
  <c r="N56" i="127"/>
  <c r="O56" i="127"/>
  <c r="J57" i="127"/>
  <c r="K57" i="127"/>
  <c r="L57" i="127"/>
  <c r="M57" i="127"/>
  <c r="N57" i="127"/>
  <c r="O57" i="127"/>
  <c r="J58" i="127"/>
  <c r="K58" i="127"/>
  <c r="L58" i="127"/>
  <c r="M58" i="127"/>
  <c r="N58" i="127"/>
  <c r="O58" i="127"/>
  <c r="J59" i="127"/>
  <c r="K59" i="127"/>
  <c r="L59" i="127"/>
  <c r="M59" i="127"/>
  <c r="N59" i="127"/>
  <c r="O59" i="127"/>
  <c r="K52" i="127"/>
  <c r="L52" i="127"/>
  <c r="M52" i="127"/>
  <c r="N52" i="127"/>
  <c r="O52" i="127"/>
  <c r="J52" i="127"/>
  <c r="O43" i="127"/>
  <c r="O33" i="127"/>
  <c r="O39" i="127"/>
  <c r="O44" i="127"/>
  <c r="O45" i="127"/>
  <c r="O46" i="127"/>
  <c r="O47" i="127"/>
  <c r="O48" i="127"/>
  <c r="O49" i="127"/>
  <c r="O34" i="127"/>
  <c r="O35" i="127"/>
  <c r="O36" i="127"/>
  <c r="O37" i="127"/>
  <c r="O38" i="127"/>
  <c r="N33" i="127"/>
  <c r="N34" i="127"/>
  <c r="N35" i="127"/>
  <c r="N36" i="127"/>
  <c r="N37" i="127"/>
  <c r="N38" i="127"/>
  <c r="O28" i="127"/>
  <c r="O29" i="127"/>
  <c r="N24" i="127"/>
  <c r="O24" i="127"/>
  <c r="N25" i="127"/>
  <c r="O25" i="127"/>
  <c r="N26" i="127"/>
  <c r="O26" i="127"/>
  <c r="N28" i="127"/>
  <c r="N29" i="127"/>
  <c r="O23" i="127"/>
  <c r="O15" i="127"/>
  <c r="O16" i="127"/>
  <c r="O17" i="127"/>
  <c r="O18" i="127"/>
  <c r="O19" i="127"/>
  <c r="O20" i="127"/>
  <c r="O14" i="127"/>
  <c r="N43" i="127"/>
  <c r="N46" i="128" l="1"/>
  <c r="N43" i="128"/>
  <c r="N49" i="128"/>
  <c r="N47" i="128"/>
  <c r="N44" i="128"/>
  <c r="N45" i="128"/>
  <c r="R16" i="217"/>
  <c r="N50" i="128" l="1"/>
  <c r="N39" i="126"/>
  <c r="N36" i="126"/>
  <c r="N37" i="126"/>
  <c r="N33" i="126"/>
  <c r="N34" i="126"/>
  <c r="N35" i="126"/>
  <c r="N32" i="126"/>
  <c r="N17" i="126"/>
  <c r="N11" i="126"/>
  <c r="N12" i="126"/>
  <c r="N13" i="126"/>
  <c r="N14" i="126"/>
  <c r="N15" i="126"/>
  <c r="N10" i="126"/>
  <c r="G53" i="126"/>
  <c r="G54" i="126"/>
  <c r="G55" i="126"/>
  <c r="G56" i="126"/>
  <c r="G57" i="126"/>
  <c r="G52" i="126"/>
  <c r="G49" i="126"/>
  <c r="N43" i="126" s="1"/>
  <c r="G27" i="126"/>
  <c r="N44" i="126" l="1"/>
  <c r="N49" i="126"/>
  <c r="N46" i="126"/>
  <c r="G59" i="126"/>
  <c r="N56" i="126" s="1"/>
  <c r="N42" i="126"/>
  <c r="N47" i="126"/>
  <c r="N45" i="126"/>
  <c r="N55" i="126" l="1"/>
  <c r="N54" i="126"/>
  <c r="N53" i="126"/>
  <c r="N52" i="126"/>
  <c r="N57" i="126"/>
  <c r="U8" i="235"/>
  <c r="N59" i="126" l="1"/>
  <c r="I578" i="165"/>
  <c r="I579" i="165"/>
  <c r="I580" i="165"/>
  <c r="I577" i="165"/>
  <c r="H28" i="50" l="1"/>
  <c r="H22" i="50"/>
  <c r="F28" i="50"/>
  <c r="F45" i="200" l="1"/>
  <c r="G45" i="200" s="1"/>
  <c r="I32" i="250" l="1"/>
  <c r="I32" i="37"/>
  <c r="I34" i="37"/>
  <c r="H41" i="111" l="1"/>
  <c r="H42" i="111"/>
  <c r="H43" i="111"/>
  <c r="J26" i="111" l="1"/>
  <c r="C66" i="251" l="1"/>
  <c r="D66" i="251"/>
  <c r="E66" i="251"/>
  <c r="C67" i="251"/>
  <c r="D67" i="251"/>
  <c r="E67" i="251"/>
  <c r="F67" i="251"/>
  <c r="C68" i="251"/>
  <c r="D68" i="251"/>
  <c r="E68" i="251"/>
  <c r="F68" i="251"/>
  <c r="G68" i="251"/>
  <c r="C70" i="251"/>
  <c r="F70" i="251"/>
  <c r="K8" i="276"/>
  <c r="L8" i="276"/>
  <c r="M8" i="276"/>
  <c r="O8" i="276"/>
  <c r="K9" i="276"/>
  <c r="L9" i="276"/>
  <c r="M9" i="276"/>
  <c r="N9" i="276"/>
  <c r="K10" i="276"/>
  <c r="L10" i="276"/>
  <c r="M10" i="276"/>
  <c r="N10" i="276"/>
  <c r="O10" i="276"/>
  <c r="K11" i="276"/>
  <c r="L11" i="276"/>
  <c r="M11" i="276"/>
  <c r="O11" i="276"/>
  <c r="K12" i="276"/>
  <c r="L12" i="276"/>
  <c r="M12" i="276"/>
  <c r="O12" i="276"/>
  <c r="K13" i="276"/>
  <c r="L13" i="276"/>
  <c r="M13" i="276"/>
  <c r="O13" i="276"/>
  <c r="K14" i="276"/>
  <c r="L14" i="276"/>
  <c r="M14" i="276"/>
  <c r="O14" i="276"/>
  <c r="K15" i="276"/>
  <c r="L15" i="276"/>
  <c r="M15" i="276"/>
  <c r="O15" i="276"/>
  <c r="K16" i="276"/>
  <c r="L16" i="276"/>
  <c r="M16" i="276"/>
  <c r="O16" i="276"/>
  <c r="K17" i="276"/>
  <c r="L17" i="276"/>
  <c r="M17" i="276"/>
  <c r="O17" i="276"/>
  <c r="K18" i="276"/>
  <c r="L18" i="276"/>
  <c r="M18" i="276"/>
  <c r="O18" i="276"/>
  <c r="K19" i="276"/>
  <c r="L19" i="276"/>
  <c r="M19" i="276"/>
  <c r="O19" i="276"/>
  <c r="K20" i="276"/>
  <c r="L20" i="276"/>
  <c r="M20" i="276"/>
  <c r="O20" i="276"/>
  <c r="J8" i="276"/>
  <c r="J9" i="276"/>
  <c r="J10" i="276"/>
  <c r="J11" i="276"/>
  <c r="J12" i="276"/>
  <c r="J13" i="276"/>
  <c r="J14" i="276"/>
  <c r="J15" i="276"/>
  <c r="J16" i="276"/>
  <c r="J17" i="276"/>
  <c r="J18" i="276"/>
  <c r="J19" i="276"/>
  <c r="J20" i="276"/>
  <c r="I8" i="276"/>
  <c r="I9" i="276"/>
  <c r="I10" i="276"/>
  <c r="I11" i="276"/>
  <c r="I12" i="276"/>
  <c r="I13" i="276"/>
  <c r="I14" i="276"/>
  <c r="I15" i="276"/>
  <c r="I16" i="276"/>
  <c r="I17" i="276"/>
  <c r="I18" i="276"/>
  <c r="I19" i="276"/>
  <c r="I20" i="276"/>
  <c r="H8" i="276"/>
  <c r="H9" i="276"/>
  <c r="H10" i="276"/>
  <c r="H11" i="276"/>
  <c r="H12" i="276"/>
  <c r="H13" i="276"/>
  <c r="H14" i="276"/>
  <c r="H15" i="276"/>
  <c r="H16" i="276"/>
  <c r="H17" i="276"/>
  <c r="H18" i="276"/>
  <c r="H19" i="276"/>
  <c r="H20" i="276"/>
  <c r="C8" i="276"/>
  <c r="D8" i="276"/>
  <c r="E8" i="276"/>
  <c r="G8" i="276"/>
  <c r="C9" i="276"/>
  <c r="D9" i="276"/>
  <c r="E9" i="276"/>
  <c r="F9" i="276"/>
  <c r="C10" i="276"/>
  <c r="D10" i="276"/>
  <c r="E10" i="276"/>
  <c r="F10" i="276"/>
  <c r="G10" i="276"/>
  <c r="C11" i="276"/>
  <c r="D11" i="276"/>
  <c r="E11" i="276"/>
  <c r="G11" i="276"/>
  <c r="C12" i="276"/>
  <c r="D12" i="276"/>
  <c r="G12" i="276"/>
  <c r="C13" i="276"/>
  <c r="D13" i="276"/>
  <c r="G13" i="276"/>
  <c r="C14" i="276"/>
  <c r="D14" i="276"/>
  <c r="E14" i="276"/>
  <c r="G14" i="276"/>
  <c r="C15" i="276"/>
  <c r="D15" i="276"/>
  <c r="E15" i="276"/>
  <c r="G15" i="276"/>
  <c r="C16" i="276"/>
  <c r="D16" i="276"/>
  <c r="E16" i="276"/>
  <c r="G16" i="276"/>
  <c r="C17" i="276"/>
  <c r="D17" i="276"/>
  <c r="E17" i="276"/>
  <c r="G17" i="276"/>
  <c r="C18" i="276"/>
  <c r="D18" i="276"/>
  <c r="E18" i="276"/>
  <c r="G18" i="276"/>
  <c r="C19" i="276"/>
  <c r="D19" i="276"/>
  <c r="E19" i="276"/>
  <c r="G19" i="276"/>
  <c r="C20" i="276"/>
  <c r="D20" i="276"/>
  <c r="E20" i="276"/>
  <c r="G20" i="276"/>
  <c r="B20" i="276"/>
  <c r="B19" i="276"/>
  <c r="B18" i="276"/>
  <c r="B17" i="276"/>
  <c r="B16" i="276"/>
  <c r="B15" i="276"/>
  <c r="B14" i="276"/>
  <c r="B13" i="276"/>
  <c r="B12" i="276"/>
  <c r="B11" i="276"/>
  <c r="B10" i="276"/>
  <c r="B9" i="276"/>
  <c r="B8" i="276"/>
  <c r="C22" i="276" l="1"/>
  <c r="J22" i="276"/>
  <c r="L22" i="276"/>
  <c r="M22" i="276"/>
  <c r="O22" i="276"/>
  <c r="T22" i="276"/>
  <c r="B22" i="276" s="1"/>
  <c r="V22" i="276"/>
  <c r="D22" i="276" s="1"/>
  <c r="W22" i="276"/>
  <c r="E22" i="276" s="1"/>
  <c r="Y22" i="276"/>
  <c r="G22" i="276" s="1"/>
  <c r="J23" i="276"/>
  <c r="K23" i="276"/>
  <c r="L23" i="276"/>
  <c r="M23" i="276"/>
  <c r="O23" i="276"/>
  <c r="T23" i="276"/>
  <c r="B23" i="276" s="1"/>
  <c r="U23" i="276"/>
  <c r="C23" i="276" s="1"/>
  <c r="V23" i="276"/>
  <c r="D23" i="276" s="1"/>
  <c r="W23" i="276"/>
  <c r="E23" i="276" s="1"/>
  <c r="Y23" i="276"/>
  <c r="C24" i="276"/>
  <c r="J24" i="276"/>
  <c r="L24" i="276"/>
  <c r="M24" i="276"/>
  <c r="O24" i="276"/>
  <c r="T24" i="276"/>
  <c r="B24" i="276" s="1"/>
  <c r="V24" i="276"/>
  <c r="D24" i="276" s="1"/>
  <c r="W24" i="276"/>
  <c r="E24" i="276" s="1"/>
  <c r="Y24" i="276"/>
  <c r="C25" i="276"/>
  <c r="J25" i="276"/>
  <c r="L25" i="276"/>
  <c r="M25" i="276"/>
  <c r="O25" i="276"/>
  <c r="T25" i="276"/>
  <c r="B25" i="276" s="1"/>
  <c r="V25" i="276"/>
  <c r="D25" i="276" s="1"/>
  <c r="W25" i="276"/>
  <c r="E25" i="276" s="1"/>
  <c r="Y25" i="276"/>
  <c r="C26" i="276"/>
  <c r="E26" i="276"/>
  <c r="J26" i="276"/>
  <c r="L26" i="276"/>
  <c r="O26" i="276"/>
  <c r="T26" i="276"/>
  <c r="B26" i="276" s="1"/>
  <c r="V26" i="276"/>
  <c r="D26" i="276" s="1"/>
  <c r="Y26" i="276"/>
  <c r="G26" i="276" s="1"/>
  <c r="E27" i="276"/>
  <c r="J27" i="276"/>
  <c r="K27" i="276"/>
  <c r="L27" i="276"/>
  <c r="O27" i="276"/>
  <c r="T27" i="276"/>
  <c r="B27" i="276" s="1"/>
  <c r="U27" i="276"/>
  <c r="C27" i="276" s="1"/>
  <c r="V27" i="276"/>
  <c r="D27" i="276" s="1"/>
  <c r="Y27" i="276"/>
  <c r="G27" i="276" s="1"/>
  <c r="E28" i="276"/>
  <c r="J28" i="276"/>
  <c r="K28" i="276"/>
  <c r="L28" i="276"/>
  <c r="O28" i="276"/>
  <c r="T28" i="276"/>
  <c r="B28" i="276" s="1"/>
  <c r="U28" i="276"/>
  <c r="C28" i="276" s="1"/>
  <c r="V28" i="276"/>
  <c r="D28" i="276" s="1"/>
  <c r="Y28" i="276"/>
  <c r="G28" i="276" s="1"/>
  <c r="E29" i="276"/>
  <c r="J29" i="276"/>
  <c r="K29" i="276"/>
  <c r="L29" i="276"/>
  <c r="O29" i="276"/>
  <c r="T29" i="276"/>
  <c r="B29" i="276" s="1"/>
  <c r="U29" i="276"/>
  <c r="C29" i="276" s="1"/>
  <c r="V29" i="276"/>
  <c r="D29" i="276" s="1"/>
  <c r="Y29" i="276"/>
  <c r="G29" i="276" s="1"/>
  <c r="D30" i="276"/>
  <c r="E30" i="276"/>
  <c r="J30" i="276"/>
  <c r="K30" i="276"/>
  <c r="N30" i="276"/>
  <c r="O30" i="276"/>
  <c r="T30" i="276"/>
  <c r="B30" i="276" s="1"/>
  <c r="U30" i="276"/>
  <c r="C30" i="276" s="1"/>
  <c r="X30" i="276"/>
  <c r="F30" i="276" s="1"/>
  <c r="Y30" i="276"/>
  <c r="G30" i="276" s="1"/>
  <c r="E31" i="276"/>
  <c r="F31" i="276"/>
  <c r="J31" i="276"/>
  <c r="K31" i="276"/>
  <c r="L31" i="276"/>
  <c r="O31" i="276"/>
  <c r="T31" i="276"/>
  <c r="B31" i="276" s="1"/>
  <c r="U31" i="276"/>
  <c r="C31" i="276" s="1"/>
  <c r="V31" i="276"/>
  <c r="D31" i="276" s="1"/>
  <c r="Y31" i="276"/>
  <c r="G31" i="276" s="1"/>
  <c r="D32" i="276"/>
  <c r="J32" i="276"/>
  <c r="K32" i="276"/>
  <c r="M32" i="276"/>
  <c r="N32" i="276"/>
  <c r="O32" i="276"/>
  <c r="T32" i="276"/>
  <c r="B32" i="276" s="1"/>
  <c r="U32" i="276"/>
  <c r="C32" i="276" s="1"/>
  <c r="W32" i="276"/>
  <c r="E32" i="276" s="1"/>
  <c r="X32" i="276"/>
  <c r="F32" i="276" s="1"/>
  <c r="Y32" i="276"/>
  <c r="G32" i="276" s="1"/>
  <c r="C33" i="276"/>
  <c r="D33" i="276"/>
  <c r="E33" i="276"/>
  <c r="J33" i="276"/>
  <c r="N33" i="276"/>
  <c r="O33" i="276"/>
  <c r="T33" i="276"/>
  <c r="B33" i="276" s="1"/>
  <c r="X33" i="276"/>
  <c r="F33" i="276" s="1"/>
  <c r="Y33" i="276"/>
  <c r="G33" i="276" s="1"/>
  <c r="D34" i="276"/>
  <c r="E34" i="276"/>
  <c r="J34" i="276"/>
  <c r="K34" i="276"/>
  <c r="N34" i="276"/>
  <c r="O34" i="276"/>
  <c r="T34" i="276"/>
  <c r="B34" i="276" s="1"/>
  <c r="U34" i="276"/>
  <c r="C34" i="276" s="1"/>
  <c r="X34" i="276"/>
  <c r="F34" i="276" s="1"/>
  <c r="Y34" i="276"/>
  <c r="G34" i="276" s="1"/>
  <c r="D35" i="276"/>
  <c r="E35" i="276"/>
  <c r="J35" i="276"/>
  <c r="K35" i="276"/>
  <c r="N35" i="276"/>
  <c r="O35" i="276"/>
  <c r="T35" i="276"/>
  <c r="B35" i="276" s="1"/>
  <c r="U35" i="276"/>
  <c r="C35" i="276" s="1"/>
  <c r="X35" i="276"/>
  <c r="F35" i="276" s="1"/>
  <c r="Y35" i="276"/>
  <c r="G35" i="276" s="1"/>
  <c r="D36" i="276"/>
  <c r="E36" i="276"/>
  <c r="J36" i="276"/>
  <c r="K36" i="276"/>
  <c r="O36" i="276"/>
  <c r="T36" i="276"/>
  <c r="B36" i="276" s="1"/>
  <c r="U36" i="276"/>
  <c r="C36" i="276" s="1"/>
  <c r="Y36" i="276"/>
  <c r="G36" i="276" s="1"/>
  <c r="B41" i="276"/>
  <c r="E41" i="276"/>
  <c r="G41" i="276"/>
  <c r="O41" i="276"/>
  <c r="G42" i="276"/>
  <c r="O42" i="276"/>
  <c r="B43" i="276"/>
  <c r="C43" i="276"/>
  <c r="D43" i="276"/>
  <c r="E43" i="276"/>
  <c r="F43" i="276"/>
  <c r="G43" i="276"/>
  <c r="B44" i="276"/>
  <c r="C44" i="276"/>
  <c r="D44" i="276"/>
  <c r="E44" i="276"/>
  <c r="G44" i="276"/>
  <c r="N44" i="276"/>
  <c r="B45" i="276"/>
  <c r="C45" i="276"/>
  <c r="D45" i="276"/>
  <c r="G45" i="276"/>
  <c r="N45" i="276"/>
  <c r="N46" i="276"/>
  <c r="N47" i="276"/>
  <c r="N48" i="276"/>
  <c r="N49" i="276"/>
  <c r="N50" i="276"/>
  <c r="N51" i="276"/>
  <c r="N52" i="276"/>
  <c r="N53" i="276"/>
  <c r="J55" i="276"/>
  <c r="L55" i="276"/>
  <c r="M55" i="276"/>
  <c r="O55" i="276"/>
  <c r="J56" i="276"/>
  <c r="K56" i="276"/>
  <c r="L56" i="276"/>
  <c r="M56" i="276"/>
  <c r="O56" i="276"/>
  <c r="J57" i="276"/>
  <c r="L57" i="276"/>
  <c r="M57" i="276"/>
  <c r="O57" i="276"/>
  <c r="J58" i="276"/>
  <c r="L58" i="276"/>
  <c r="M58" i="276"/>
  <c r="O58" i="276"/>
  <c r="J59" i="276"/>
  <c r="L59" i="276"/>
  <c r="O59" i="276"/>
  <c r="N59" i="276" s="1"/>
  <c r="J60" i="276"/>
  <c r="K60" i="276"/>
  <c r="L60" i="276"/>
  <c r="O60" i="276"/>
  <c r="J61" i="276"/>
  <c r="K61" i="276"/>
  <c r="L61" i="276"/>
  <c r="O61" i="276"/>
  <c r="B62" i="276"/>
  <c r="C62" i="276"/>
  <c r="D62" i="276"/>
  <c r="J62" i="276"/>
  <c r="K62" i="276"/>
  <c r="L62" i="276"/>
  <c r="O62" i="276"/>
  <c r="J63" i="276"/>
  <c r="K63" i="276"/>
  <c r="N63" i="276"/>
  <c r="O63" i="276"/>
  <c r="J64" i="276"/>
  <c r="K64" i="276"/>
  <c r="L64" i="276"/>
  <c r="O64" i="276"/>
  <c r="J65" i="276"/>
  <c r="K65" i="276"/>
  <c r="M65" i="276"/>
  <c r="N65" i="276"/>
  <c r="O65" i="276"/>
  <c r="J66" i="276"/>
  <c r="N66" i="276"/>
  <c r="O66" i="276"/>
  <c r="J67" i="276"/>
  <c r="K67" i="276"/>
  <c r="N67" i="276"/>
  <c r="O67" i="276"/>
  <c r="J68" i="276"/>
  <c r="K68" i="276"/>
  <c r="N68" i="276"/>
  <c r="O68" i="276"/>
  <c r="J69" i="276"/>
  <c r="K69" i="276"/>
  <c r="O69" i="276"/>
  <c r="O70" i="276"/>
  <c r="X23" i="276" l="1"/>
  <c r="F23" i="276" s="1"/>
  <c r="N24" i="276"/>
  <c r="N60" i="276"/>
  <c r="N55" i="276"/>
  <c r="N28" i="276"/>
  <c r="N25" i="276"/>
  <c r="N23" i="276"/>
  <c r="X28" i="276"/>
  <c r="F28" i="276" s="1"/>
  <c r="X26" i="276"/>
  <c r="F26" i="276" s="1"/>
  <c r="N22" i="276"/>
  <c r="X25" i="276"/>
  <c r="F25" i="276" s="1"/>
  <c r="X22" i="276"/>
  <c r="F22" i="276" s="1"/>
  <c r="N29" i="276"/>
  <c r="N27" i="276"/>
  <c r="N26" i="276"/>
  <c r="X24" i="276"/>
  <c r="F24" i="276" s="1"/>
  <c r="N62" i="276"/>
  <c r="N61" i="276"/>
  <c r="N58" i="276"/>
  <c r="N57" i="276"/>
  <c r="N56" i="276"/>
  <c r="X29" i="276"/>
  <c r="F29" i="276" s="1"/>
  <c r="X27" i="276"/>
  <c r="F27" i="276" s="1"/>
  <c r="G25" i="276"/>
  <c r="G24" i="276"/>
  <c r="G23" i="276"/>
  <c r="E70" i="251" l="1"/>
  <c r="D41" i="276" s="1"/>
  <c r="D70" i="251"/>
  <c r="C41" i="276" s="1"/>
  <c r="G30" i="116" l="1"/>
  <c r="G32" i="116"/>
  <c r="F35" i="116"/>
  <c r="H21" i="116"/>
  <c r="H20" i="116"/>
  <c r="I5" i="186"/>
  <c r="I6" i="186"/>
  <c r="I7" i="186"/>
  <c r="I8" i="186"/>
  <c r="I9" i="186"/>
  <c r="I10" i="186"/>
  <c r="I11" i="186"/>
  <c r="I12" i="186"/>
  <c r="I13" i="186"/>
  <c r="I14" i="186"/>
  <c r="I15" i="186"/>
  <c r="I16" i="186"/>
  <c r="I17" i="186"/>
  <c r="I18" i="186"/>
  <c r="I19" i="186"/>
  <c r="I20" i="186"/>
  <c r="I21" i="186"/>
  <c r="I22" i="186"/>
  <c r="I23" i="186"/>
  <c r="I24" i="186"/>
  <c r="I25" i="186"/>
  <c r="I26" i="186"/>
  <c r="I27" i="186"/>
  <c r="I28" i="186"/>
  <c r="I29" i="186"/>
  <c r="I30" i="186"/>
  <c r="I4" i="186"/>
  <c r="I3" i="186"/>
  <c r="G4" i="186"/>
  <c r="F19" i="229" l="1"/>
  <c r="E21" i="229"/>
  <c r="O26" i="111" l="1"/>
  <c r="M26" i="111"/>
  <c r="K26" i="111"/>
  <c r="L26" i="111"/>
  <c r="J25" i="111"/>
  <c r="M13" i="234"/>
  <c r="P33" i="193"/>
  <c r="O33" i="193"/>
  <c r="N33" i="193"/>
  <c r="Q33" i="193"/>
  <c r="Q32" i="193"/>
  <c r="I27" i="192"/>
  <c r="C5" i="275" l="1"/>
  <c r="C6" i="275"/>
  <c r="I6" i="275"/>
  <c r="I5" i="275" s="1"/>
  <c r="J6" i="275"/>
  <c r="K6" i="275"/>
  <c r="L6" i="275"/>
  <c r="L5" i="275" s="1"/>
  <c r="M6" i="275"/>
  <c r="M5" i="275" s="1"/>
  <c r="C7" i="275"/>
  <c r="I7" i="275"/>
  <c r="J7" i="275"/>
  <c r="K7" i="275"/>
  <c r="L7" i="275"/>
  <c r="M7" i="275"/>
  <c r="C8" i="275"/>
  <c r="C9" i="275"/>
  <c r="C10" i="275"/>
  <c r="C11" i="275"/>
  <c r="C12" i="275"/>
  <c r="C13" i="275"/>
  <c r="C14" i="275"/>
  <c r="C17" i="275"/>
  <c r="C18" i="275"/>
  <c r="I18" i="275"/>
  <c r="J18" i="275"/>
  <c r="K18" i="275"/>
  <c r="K17" i="275" s="1"/>
  <c r="L18" i="275"/>
  <c r="L17" i="275" s="1"/>
  <c r="M18" i="275"/>
  <c r="C19" i="275"/>
  <c r="I19" i="275"/>
  <c r="J19" i="275"/>
  <c r="K19" i="275"/>
  <c r="L19" i="275"/>
  <c r="M19" i="275"/>
  <c r="M17" i="275" s="1"/>
  <c r="C20" i="275"/>
  <c r="C21" i="275"/>
  <c r="C22" i="275"/>
  <c r="C23" i="275"/>
  <c r="C24" i="275"/>
  <c r="C25" i="275"/>
  <c r="C26" i="275"/>
  <c r="C27" i="275"/>
  <c r="C30" i="275"/>
  <c r="C31" i="275"/>
  <c r="I31" i="275"/>
  <c r="I30" i="275" s="1"/>
  <c r="J31" i="275"/>
  <c r="K31" i="275"/>
  <c r="L31" i="275"/>
  <c r="L30" i="275" s="1"/>
  <c r="M31" i="275"/>
  <c r="M30" i="275" s="1"/>
  <c r="C32" i="275"/>
  <c r="I32" i="275"/>
  <c r="J32" i="275"/>
  <c r="K32" i="275"/>
  <c r="L32" i="275"/>
  <c r="M32" i="275"/>
  <c r="C33" i="275"/>
  <c r="C34" i="275"/>
  <c r="C35" i="275"/>
  <c r="C36" i="275"/>
  <c r="C37" i="275"/>
  <c r="C38" i="275"/>
  <c r="C39" i="275"/>
  <c r="C40" i="275"/>
  <c r="C43" i="275"/>
  <c r="B63" i="276" s="1"/>
  <c r="K43" i="275"/>
  <c r="C44" i="275"/>
  <c r="I44" i="275"/>
  <c r="I43" i="275" s="1"/>
  <c r="J44" i="275"/>
  <c r="K44" i="275"/>
  <c r="L44" i="275"/>
  <c r="M44" i="275"/>
  <c r="M43" i="275" s="1"/>
  <c r="C45" i="275"/>
  <c r="C63" i="276" s="1"/>
  <c r="I45" i="275"/>
  <c r="J45" i="275"/>
  <c r="K45" i="275"/>
  <c r="L45" i="275"/>
  <c r="M45" i="275"/>
  <c r="C46" i="275"/>
  <c r="F63" i="276" s="1"/>
  <c r="C47" i="275"/>
  <c r="C50" i="275"/>
  <c r="C51" i="275"/>
  <c r="I51" i="275"/>
  <c r="I50" i="275" s="1"/>
  <c r="J51" i="275"/>
  <c r="K51" i="275"/>
  <c r="L51" i="275"/>
  <c r="L50" i="275" s="1"/>
  <c r="M51" i="275"/>
  <c r="M50" i="275" s="1"/>
  <c r="C52" i="275"/>
  <c r="I52" i="275"/>
  <c r="J52" i="275"/>
  <c r="K52" i="275"/>
  <c r="L52" i="275"/>
  <c r="M52" i="275"/>
  <c r="C53" i="275"/>
  <c r="C54" i="275"/>
  <c r="C55" i="275"/>
  <c r="C56" i="275"/>
  <c r="C57" i="275"/>
  <c r="C58" i="275"/>
  <c r="C59" i="275"/>
  <c r="C60" i="275"/>
  <c r="C61" i="275"/>
  <c r="C62" i="275"/>
  <c r="C63" i="275"/>
  <c r="C65" i="275"/>
  <c r="L65" i="275"/>
  <c r="C66" i="275"/>
  <c r="I66" i="275"/>
  <c r="J66" i="275"/>
  <c r="K66" i="275"/>
  <c r="K65" i="275" s="1"/>
  <c r="L66" i="275"/>
  <c r="M66" i="275"/>
  <c r="C67" i="275"/>
  <c r="I67" i="275"/>
  <c r="I65" i="275" s="1"/>
  <c r="J67" i="275"/>
  <c r="K67" i="275"/>
  <c r="L67" i="275"/>
  <c r="M67" i="275"/>
  <c r="C68" i="275"/>
  <c r="C69" i="275"/>
  <c r="C70" i="275"/>
  <c r="C71" i="275"/>
  <c r="C72" i="275"/>
  <c r="C73" i="275"/>
  <c r="C74" i="275"/>
  <c r="C75" i="275"/>
  <c r="C76" i="275"/>
  <c r="C77" i="275"/>
  <c r="C78" i="275"/>
  <c r="C79" i="275"/>
  <c r="C80" i="275"/>
  <c r="C82" i="275"/>
  <c r="C83" i="275"/>
  <c r="I83" i="275"/>
  <c r="J83" i="275"/>
  <c r="K83" i="275"/>
  <c r="K82" i="275" s="1"/>
  <c r="L83" i="275"/>
  <c r="M83" i="275"/>
  <c r="C84" i="275"/>
  <c r="I84" i="275"/>
  <c r="I82" i="275" s="1"/>
  <c r="J84" i="275"/>
  <c r="K84" i="275"/>
  <c r="L84" i="275"/>
  <c r="M84" i="275"/>
  <c r="C85" i="275"/>
  <c r="C86" i="275"/>
  <c r="C87" i="275"/>
  <c r="C88" i="275"/>
  <c r="C89" i="275"/>
  <c r="C90" i="275"/>
  <c r="C91" i="275"/>
  <c r="C92" i="275"/>
  <c r="C93" i="275"/>
  <c r="C94" i="275"/>
  <c r="C95" i="275"/>
  <c r="C96" i="275"/>
  <c r="C97" i="275"/>
  <c r="C98" i="275"/>
  <c r="C99" i="275"/>
  <c r="C100" i="275"/>
  <c r="C101" i="275"/>
  <c r="C102" i="275"/>
  <c r="C103" i="275"/>
  <c r="C104" i="275"/>
  <c r="C105" i="275"/>
  <c r="C106" i="275"/>
  <c r="C107" i="275"/>
  <c r="C108" i="275"/>
  <c r="C109" i="275"/>
  <c r="C110" i="275"/>
  <c r="C111" i="275"/>
  <c r="C112" i="275"/>
  <c r="C5" i="274"/>
  <c r="C6" i="274"/>
  <c r="I6" i="274"/>
  <c r="I5" i="274" s="1"/>
  <c r="J6" i="274"/>
  <c r="K6" i="274"/>
  <c r="K5" i="274" s="1"/>
  <c r="L6" i="274"/>
  <c r="L5" i="274" s="1"/>
  <c r="M6" i="274"/>
  <c r="M5" i="274" s="1"/>
  <c r="C7" i="274"/>
  <c r="I7" i="274"/>
  <c r="J7" i="274"/>
  <c r="K7" i="274"/>
  <c r="L7" i="274"/>
  <c r="M7" i="274"/>
  <c r="C8" i="274"/>
  <c r="C9" i="274"/>
  <c r="C10" i="274"/>
  <c r="C11" i="274"/>
  <c r="C12" i="274"/>
  <c r="C13" i="274"/>
  <c r="C14" i="274"/>
  <c r="C15" i="274"/>
  <c r="C16" i="274"/>
  <c r="C17" i="274"/>
  <c r="C18" i="274"/>
  <c r="C19" i="274"/>
  <c r="C20" i="274"/>
  <c r="I20" i="274"/>
  <c r="J20" i="274"/>
  <c r="K20" i="274"/>
  <c r="K19" i="274" s="1"/>
  <c r="L20" i="274"/>
  <c r="L19" i="274" s="1"/>
  <c r="M20" i="274"/>
  <c r="C21" i="274"/>
  <c r="I21" i="274"/>
  <c r="J21" i="274"/>
  <c r="K21" i="274"/>
  <c r="L21" i="274"/>
  <c r="M21" i="274"/>
  <c r="M19" i="274" s="1"/>
  <c r="C22" i="274"/>
  <c r="C23" i="274"/>
  <c r="C24" i="274"/>
  <c r="C25" i="274"/>
  <c r="C26" i="274"/>
  <c r="C27" i="274"/>
  <c r="C28" i="274"/>
  <c r="C29" i="274"/>
  <c r="C33" i="274"/>
  <c r="C34" i="274"/>
  <c r="I34" i="274"/>
  <c r="I33" i="274" s="1"/>
  <c r="J34" i="274"/>
  <c r="K34" i="274"/>
  <c r="L34" i="274"/>
  <c r="L33" i="274" s="1"/>
  <c r="M34" i="274"/>
  <c r="M33" i="274" s="1"/>
  <c r="C35" i="274"/>
  <c r="I35" i="274"/>
  <c r="J35" i="274"/>
  <c r="K35" i="274"/>
  <c r="L35" i="274"/>
  <c r="M35" i="274"/>
  <c r="C36" i="274"/>
  <c r="C37" i="274"/>
  <c r="C38" i="274"/>
  <c r="C39" i="274"/>
  <c r="C40" i="274"/>
  <c r="C41" i="274"/>
  <c r="C42" i="274"/>
  <c r="C43" i="274"/>
  <c r="C44" i="274"/>
  <c r="C45" i="274"/>
  <c r="C46" i="274"/>
  <c r="C47" i="274"/>
  <c r="B64" i="276" s="1"/>
  <c r="I47" i="274"/>
  <c r="I46" i="274" s="1"/>
  <c r="J47" i="274"/>
  <c r="K47" i="274"/>
  <c r="K46" i="274" s="1"/>
  <c r="L47" i="274"/>
  <c r="L46" i="274" s="1"/>
  <c r="M47" i="274"/>
  <c r="M46" i="274" s="1"/>
  <c r="C48" i="274"/>
  <c r="D64" i="276" s="1"/>
  <c r="I48" i="274"/>
  <c r="J48" i="274"/>
  <c r="K48" i="274"/>
  <c r="L48" i="274"/>
  <c r="M48" i="274"/>
  <c r="C49" i="274"/>
  <c r="C64" i="276" s="1"/>
  <c r="C50" i="274"/>
  <c r="C51" i="274"/>
  <c r="C52" i="274"/>
  <c r="C53" i="274"/>
  <c r="I53" i="274"/>
  <c r="C54" i="274"/>
  <c r="I54" i="274"/>
  <c r="J54" i="274"/>
  <c r="K54" i="274"/>
  <c r="L54" i="274"/>
  <c r="L53" i="274" s="1"/>
  <c r="M54" i="274"/>
  <c r="M53" i="274" s="1"/>
  <c r="C55" i="274"/>
  <c r="I55" i="274"/>
  <c r="J55" i="274"/>
  <c r="K55" i="274"/>
  <c r="L55" i="274"/>
  <c r="M55" i="274"/>
  <c r="C56" i="274"/>
  <c r="C57" i="274"/>
  <c r="C58" i="274"/>
  <c r="C59" i="274"/>
  <c r="C60" i="274"/>
  <c r="C61" i="274"/>
  <c r="C62" i="274"/>
  <c r="C63" i="274"/>
  <c r="C64" i="274"/>
  <c r="C65" i="274"/>
  <c r="C66" i="274"/>
  <c r="C67" i="274"/>
  <c r="C69" i="274"/>
  <c r="C70" i="274"/>
  <c r="I70" i="274"/>
  <c r="J70" i="274"/>
  <c r="K70" i="274"/>
  <c r="K69" i="274" s="1"/>
  <c r="L70" i="274"/>
  <c r="L69" i="274" s="1"/>
  <c r="M70" i="274"/>
  <c r="C71" i="274"/>
  <c r="I71" i="274"/>
  <c r="J71" i="274"/>
  <c r="K71" i="274"/>
  <c r="L71" i="274"/>
  <c r="M71" i="274"/>
  <c r="C72" i="274"/>
  <c r="C73" i="274"/>
  <c r="C74" i="274"/>
  <c r="C75" i="274"/>
  <c r="C76" i="274"/>
  <c r="C77" i="274"/>
  <c r="C78" i="274"/>
  <c r="C79" i="274"/>
  <c r="C80" i="274"/>
  <c r="C81" i="274"/>
  <c r="C82" i="274"/>
  <c r="C83" i="274"/>
  <c r="C84" i="274"/>
  <c r="C85" i="274"/>
  <c r="C86" i="274"/>
  <c r="C87" i="274"/>
  <c r="I87" i="274"/>
  <c r="J87" i="274"/>
  <c r="K87" i="274"/>
  <c r="K86" i="274" s="1"/>
  <c r="L87" i="274"/>
  <c r="M87" i="274"/>
  <c r="C88" i="274"/>
  <c r="I88" i="274"/>
  <c r="I86" i="274" s="1"/>
  <c r="J88" i="274"/>
  <c r="K88" i="274"/>
  <c r="L88" i="274"/>
  <c r="M88" i="274"/>
  <c r="M86" i="274" s="1"/>
  <c r="C89" i="274"/>
  <c r="C90" i="274"/>
  <c r="C91" i="274"/>
  <c r="C92" i="274"/>
  <c r="C93" i="274"/>
  <c r="C94" i="274"/>
  <c r="C95" i="274"/>
  <c r="C96" i="274"/>
  <c r="C97" i="274"/>
  <c r="C98" i="274"/>
  <c r="C99" i="274"/>
  <c r="C100" i="274"/>
  <c r="C101" i="274"/>
  <c r="C102" i="274"/>
  <c r="C103" i="274"/>
  <c r="C104" i="274"/>
  <c r="C105" i="274"/>
  <c r="C106" i="274"/>
  <c r="C107" i="274"/>
  <c r="C108" i="274"/>
  <c r="C109" i="274"/>
  <c r="C4" i="273"/>
  <c r="C5" i="273"/>
  <c r="I5" i="273"/>
  <c r="J5" i="273"/>
  <c r="K5" i="273"/>
  <c r="K4" i="273" s="1"/>
  <c r="L5" i="273"/>
  <c r="L4" i="273" s="1"/>
  <c r="M5" i="273"/>
  <c r="C6" i="273"/>
  <c r="I6" i="273"/>
  <c r="J6" i="273"/>
  <c r="K6" i="273"/>
  <c r="L6" i="273"/>
  <c r="M6" i="273"/>
  <c r="C7" i="273"/>
  <c r="C8" i="273"/>
  <c r="C9" i="273"/>
  <c r="C13" i="273"/>
  <c r="I13" i="273"/>
  <c r="C14" i="273"/>
  <c r="I14" i="273"/>
  <c r="J14" i="273"/>
  <c r="K14" i="273"/>
  <c r="K13" i="273" s="1"/>
  <c r="L14" i="273"/>
  <c r="M14" i="273"/>
  <c r="M13" i="273" s="1"/>
  <c r="C15" i="273"/>
  <c r="I15" i="273"/>
  <c r="J15" i="273"/>
  <c r="K15" i="273"/>
  <c r="L15" i="273"/>
  <c r="M15" i="273"/>
  <c r="C16" i="273"/>
  <c r="C17" i="273"/>
  <c r="C18" i="273"/>
  <c r="C19" i="273"/>
  <c r="C20" i="273"/>
  <c r="C21" i="273"/>
  <c r="I21" i="273"/>
  <c r="C22" i="273"/>
  <c r="I22" i="273"/>
  <c r="J22" i="273"/>
  <c r="K22" i="273"/>
  <c r="L22" i="273"/>
  <c r="M22" i="273"/>
  <c r="M21" i="273" s="1"/>
  <c r="C23" i="273"/>
  <c r="I23" i="273"/>
  <c r="J23" i="273"/>
  <c r="K23" i="273"/>
  <c r="L23" i="273"/>
  <c r="M23" i="273"/>
  <c r="C24" i="273"/>
  <c r="C25" i="273"/>
  <c r="C26" i="273"/>
  <c r="C27" i="273"/>
  <c r="C28" i="273"/>
  <c r="C29" i="273"/>
  <c r="C30" i="273"/>
  <c r="B65" i="276" s="1"/>
  <c r="C31" i="273"/>
  <c r="E65" i="276" s="1"/>
  <c r="I31" i="273"/>
  <c r="I30" i="273" s="1"/>
  <c r="J31" i="273"/>
  <c r="K31" i="273"/>
  <c r="K30" i="273" s="1"/>
  <c r="L31" i="273"/>
  <c r="M31" i="273"/>
  <c r="M30" i="273" s="1"/>
  <c r="C32" i="273"/>
  <c r="C65" i="276" s="1"/>
  <c r="I32" i="273"/>
  <c r="J32" i="273"/>
  <c r="K32" i="273"/>
  <c r="L32" i="273"/>
  <c r="M32" i="273"/>
  <c r="C33" i="273"/>
  <c r="F65" i="276" s="1"/>
  <c r="C34" i="273"/>
  <c r="C35" i="273"/>
  <c r="C36" i="273"/>
  <c r="C37" i="273"/>
  <c r="M37" i="273"/>
  <c r="C38" i="273"/>
  <c r="I38" i="273"/>
  <c r="J38" i="273"/>
  <c r="J37" i="273" s="1"/>
  <c r="K38" i="273"/>
  <c r="K37" i="273" s="1"/>
  <c r="L38" i="273"/>
  <c r="M38" i="273"/>
  <c r="C39" i="273"/>
  <c r="I39" i="273"/>
  <c r="K39" i="273"/>
  <c r="L39" i="273"/>
  <c r="M39" i="273"/>
  <c r="C40" i="273"/>
  <c r="C41" i="273"/>
  <c r="C42" i="273"/>
  <c r="C43" i="273"/>
  <c r="C44" i="273"/>
  <c r="C45" i="273"/>
  <c r="C46" i="273"/>
  <c r="C47" i="273"/>
  <c r="C48" i="273"/>
  <c r="C49" i="273"/>
  <c r="I49" i="273"/>
  <c r="I48" i="273" s="1"/>
  <c r="J49" i="273"/>
  <c r="K49" i="273"/>
  <c r="K48" i="273" s="1"/>
  <c r="L49" i="273"/>
  <c r="M49" i="273"/>
  <c r="M48" i="273" s="1"/>
  <c r="C50" i="273"/>
  <c r="I50" i="273"/>
  <c r="K50" i="273"/>
  <c r="L50" i="273"/>
  <c r="M50" i="273"/>
  <c r="C51" i="273"/>
  <c r="C52" i="273"/>
  <c r="C53" i="273"/>
  <c r="C54" i="273"/>
  <c r="C55" i="273"/>
  <c r="C56" i="273"/>
  <c r="C57" i="273"/>
  <c r="C58" i="273"/>
  <c r="C59" i="273"/>
  <c r="C60" i="273"/>
  <c r="I60" i="273"/>
  <c r="J60" i="273"/>
  <c r="K60" i="273"/>
  <c r="K59" i="273" s="1"/>
  <c r="L60" i="273"/>
  <c r="M60" i="273"/>
  <c r="C61" i="273"/>
  <c r="I61" i="273"/>
  <c r="J61" i="273"/>
  <c r="K61" i="273"/>
  <c r="L61" i="273"/>
  <c r="M61" i="273"/>
  <c r="M59" i="273" s="1"/>
  <c r="C62" i="273"/>
  <c r="C63" i="273"/>
  <c r="C64" i="273"/>
  <c r="C65" i="273"/>
  <c r="C66" i="273"/>
  <c r="C67" i="273"/>
  <c r="C68" i="273"/>
  <c r="C69" i="273"/>
  <c r="C70" i="273"/>
  <c r="C71" i="273"/>
  <c r="C72" i="273"/>
  <c r="C73" i="273"/>
  <c r="C74" i="273"/>
  <c r="C75" i="273"/>
  <c r="C76" i="273"/>
  <c r="C77" i="273"/>
  <c r="C78" i="273"/>
  <c r="C79" i="273"/>
  <c r="C80" i="273"/>
  <c r="C81" i="273"/>
  <c r="C82" i="273"/>
  <c r="C83" i="273"/>
  <c r="C84" i="273"/>
  <c r="C85" i="273"/>
  <c r="C86" i="273"/>
  <c r="C87" i="273"/>
  <c r="C88" i="273"/>
  <c r="C89" i="273"/>
  <c r="C90" i="273"/>
  <c r="C91" i="273"/>
  <c r="C92" i="273"/>
  <c r="C93" i="273"/>
  <c r="C94" i="273"/>
  <c r="C95" i="273"/>
  <c r="C96" i="273"/>
  <c r="C97" i="273"/>
  <c r="C98" i="273"/>
  <c r="C99" i="273"/>
  <c r="C100" i="273"/>
  <c r="C101" i="273"/>
  <c r="C102" i="273"/>
  <c r="C103" i="273"/>
  <c r="C104" i="273"/>
  <c r="C105" i="273"/>
  <c r="C106" i="273"/>
  <c r="C107" i="273"/>
  <c r="C108" i="273"/>
  <c r="C4" i="272"/>
  <c r="C5" i="272"/>
  <c r="I5" i="272"/>
  <c r="I4" i="272" s="1"/>
  <c r="J5" i="272"/>
  <c r="K5" i="272"/>
  <c r="K4" i="272" s="1"/>
  <c r="L5" i="272"/>
  <c r="L4" i="272" s="1"/>
  <c r="M5" i="272"/>
  <c r="M4" i="272" s="1"/>
  <c r="C6" i="272"/>
  <c r="I6" i="272"/>
  <c r="J6" i="272"/>
  <c r="K6" i="272"/>
  <c r="L6" i="272"/>
  <c r="M6" i="272"/>
  <c r="C7" i="272"/>
  <c r="C8" i="272"/>
  <c r="C9" i="272"/>
  <c r="C10" i="272"/>
  <c r="C14" i="272"/>
  <c r="C15" i="272"/>
  <c r="I15" i="272"/>
  <c r="J15" i="272"/>
  <c r="K15" i="272"/>
  <c r="K14" i="272" s="1"/>
  <c r="L15" i="272"/>
  <c r="M15" i="272"/>
  <c r="C16" i="272"/>
  <c r="I16" i="272"/>
  <c r="J16" i="272"/>
  <c r="K16" i="272"/>
  <c r="L16" i="272"/>
  <c r="M16" i="272"/>
  <c r="M14" i="272" s="1"/>
  <c r="C20" i="272"/>
  <c r="C21" i="272"/>
  <c r="I21" i="272"/>
  <c r="I20" i="272" s="1"/>
  <c r="J21" i="272"/>
  <c r="K21" i="272"/>
  <c r="K20" i="272" s="1"/>
  <c r="L21" i="272"/>
  <c r="L20" i="272" s="1"/>
  <c r="M21" i="272"/>
  <c r="C22" i="272"/>
  <c r="I22" i="272"/>
  <c r="J22" i="272"/>
  <c r="K22" i="272"/>
  <c r="L22" i="272"/>
  <c r="M22" i="272"/>
  <c r="C23" i="272"/>
  <c r="C24" i="272"/>
  <c r="C25" i="272"/>
  <c r="C27" i="272"/>
  <c r="C28" i="272"/>
  <c r="B66" i="276" s="1"/>
  <c r="C29" i="272"/>
  <c r="I29" i="272"/>
  <c r="I28" i="272" s="1"/>
  <c r="J29" i="272"/>
  <c r="K29" i="272"/>
  <c r="L29" i="272"/>
  <c r="M29" i="272"/>
  <c r="M28" i="272" s="1"/>
  <c r="C30" i="272"/>
  <c r="F66" i="276" s="1"/>
  <c r="I30" i="272"/>
  <c r="J30" i="272"/>
  <c r="K30" i="272"/>
  <c r="L30" i="272"/>
  <c r="L28" i="272" s="1"/>
  <c r="M30" i="272"/>
  <c r="C31" i="272"/>
  <c r="C34" i="272"/>
  <c r="C35" i="272"/>
  <c r="I35" i="272"/>
  <c r="J35" i="272"/>
  <c r="K35" i="272"/>
  <c r="K34" i="272" s="1"/>
  <c r="L35" i="272"/>
  <c r="M35" i="272"/>
  <c r="C36" i="272"/>
  <c r="I36" i="272"/>
  <c r="J36" i="272"/>
  <c r="K36" i="272"/>
  <c r="L36" i="272"/>
  <c r="M36" i="272"/>
  <c r="M34" i="272" s="1"/>
  <c r="C37" i="272"/>
  <c r="C38" i="272"/>
  <c r="C39" i="272"/>
  <c r="C40" i="272"/>
  <c r="C41" i="272"/>
  <c r="C42" i="272"/>
  <c r="C45" i="272"/>
  <c r="I45" i="272"/>
  <c r="C46" i="272"/>
  <c r="I46" i="272"/>
  <c r="J46" i="272"/>
  <c r="K46" i="272"/>
  <c r="K45" i="272" s="1"/>
  <c r="L46" i="272"/>
  <c r="M46" i="272"/>
  <c r="M45" i="272" s="1"/>
  <c r="C47" i="272"/>
  <c r="I47" i="272"/>
  <c r="J47" i="272"/>
  <c r="K47" i="272"/>
  <c r="L47" i="272"/>
  <c r="M47" i="272"/>
  <c r="C48" i="272"/>
  <c r="C49" i="272"/>
  <c r="C50" i="272"/>
  <c r="C51" i="272"/>
  <c r="C52" i="272"/>
  <c r="C53" i="272"/>
  <c r="C54" i="272"/>
  <c r="C55" i="272"/>
  <c r="C56" i="272"/>
  <c r="C57" i="272"/>
  <c r="I57" i="272"/>
  <c r="J57" i="272"/>
  <c r="K57" i="272"/>
  <c r="K56" i="272" s="1"/>
  <c r="L57" i="272"/>
  <c r="L56" i="272" s="1"/>
  <c r="M57" i="272"/>
  <c r="C58" i="272"/>
  <c r="I58" i="272"/>
  <c r="J58" i="272"/>
  <c r="K58" i="272"/>
  <c r="L58" i="272"/>
  <c r="M58" i="272"/>
  <c r="M56" i="272" s="1"/>
  <c r="C59" i="272"/>
  <c r="C60" i="272"/>
  <c r="C61" i="272"/>
  <c r="C62" i="272"/>
  <c r="C63" i="272"/>
  <c r="C64" i="272"/>
  <c r="C65" i="272"/>
  <c r="C66" i="272"/>
  <c r="C67" i="272"/>
  <c r="C68" i="272"/>
  <c r="C69" i="272"/>
  <c r="C70" i="272"/>
  <c r="C71" i="272"/>
  <c r="C72" i="272"/>
  <c r="C73" i="272"/>
  <c r="C74" i="272"/>
  <c r="C75" i="272"/>
  <c r="C76" i="272"/>
  <c r="C77" i="272"/>
  <c r="C78" i="272"/>
  <c r="C79" i="272"/>
  <c r="C80" i="272"/>
  <c r="C81" i="272"/>
  <c r="C82" i="272"/>
  <c r="C83" i="272"/>
  <c r="C84" i="272"/>
  <c r="C85" i="272"/>
  <c r="C86" i="272"/>
  <c r="C87" i="272"/>
  <c r="C88" i="272"/>
  <c r="C89" i="272"/>
  <c r="C90" i="272"/>
  <c r="C91" i="272"/>
  <c r="C92" i="272"/>
  <c r="C93" i="272"/>
  <c r="C94" i="272"/>
  <c r="C95" i="272"/>
  <c r="C96" i="272"/>
  <c r="C97" i="272"/>
  <c r="C98" i="272"/>
  <c r="C99" i="272"/>
  <c r="C100" i="272"/>
  <c r="C101" i="272"/>
  <c r="C102" i="272"/>
  <c r="C103" i="272"/>
  <c r="C104" i="272"/>
  <c r="C105" i="272"/>
  <c r="C106" i="272"/>
  <c r="C107" i="272"/>
  <c r="C108" i="272"/>
  <c r="C4" i="271"/>
  <c r="C5" i="271"/>
  <c r="J5" i="271"/>
  <c r="K5" i="271"/>
  <c r="L5" i="271"/>
  <c r="L4" i="271" s="1"/>
  <c r="M5" i="271"/>
  <c r="M4" i="271" s="1"/>
  <c r="N5" i="271"/>
  <c r="C6" i="271"/>
  <c r="J6" i="271"/>
  <c r="K6" i="271"/>
  <c r="L6" i="271"/>
  <c r="M6" i="271"/>
  <c r="N6" i="271"/>
  <c r="C7" i="271"/>
  <c r="C8" i="271"/>
  <c r="C12" i="271"/>
  <c r="C13" i="271"/>
  <c r="J13" i="271"/>
  <c r="K13" i="271"/>
  <c r="L13" i="271"/>
  <c r="L12" i="271" s="1"/>
  <c r="M13" i="271"/>
  <c r="M12" i="271" s="1"/>
  <c r="N13" i="271"/>
  <c r="C14" i="271"/>
  <c r="J14" i="271"/>
  <c r="K14" i="271"/>
  <c r="L14" i="271"/>
  <c r="M14" i="271"/>
  <c r="N14" i="271"/>
  <c r="C15" i="271"/>
  <c r="C16" i="271"/>
  <c r="C17" i="271"/>
  <c r="C18" i="271"/>
  <c r="C19" i="271"/>
  <c r="C20" i="271"/>
  <c r="J20" i="271"/>
  <c r="J19" i="271" s="1"/>
  <c r="K20" i="271"/>
  <c r="L20" i="271"/>
  <c r="M20" i="271"/>
  <c r="M19" i="271" s="1"/>
  <c r="N20" i="271"/>
  <c r="N19" i="271" s="1"/>
  <c r="C21" i="271"/>
  <c r="J21" i="271"/>
  <c r="K21" i="271"/>
  <c r="L21" i="271"/>
  <c r="M21" i="271"/>
  <c r="N21" i="271"/>
  <c r="C22" i="271"/>
  <c r="C23" i="271"/>
  <c r="C27" i="271"/>
  <c r="B67" i="276" s="1"/>
  <c r="C28" i="271"/>
  <c r="C67" i="276" s="1"/>
  <c r="J28" i="271"/>
  <c r="J27" i="271" s="1"/>
  <c r="K28" i="271"/>
  <c r="L28" i="271"/>
  <c r="M28" i="271"/>
  <c r="M27" i="271" s="1"/>
  <c r="N28" i="271"/>
  <c r="N27" i="271" s="1"/>
  <c r="C29" i="271"/>
  <c r="F67" i="276" s="1"/>
  <c r="J29" i="271"/>
  <c r="K29" i="271"/>
  <c r="L29" i="271"/>
  <c r="M29" i="271"/>
  <c r="N29" i="271"/>
  <c r="C33" i="271"/>
  <c r="C34" i="271"/>
  <c r="J34" i="271"/>
  <c r="K34" i="271"/>
  <c r="L34" i="271"/>
  <c r="L33" i="271" s="1"/>
  <c r="M34" i="271"/>
  <c r="M33" i="271" s="1"/>
  <c r="N34" i="271"/>
  <c r="C35" i="271"/>
  <c r="J35" i="271"/>
  <c r="J33" i="271" s="1"/>
  <c r="K35" i="271"/>
  <c r="L35" i="271"/>
  <c r="M35" i="271"/>
  <c r="N35" i="271"/>
  <c r="C36" i="271"/>
  <c r="C37" i="271"/>
  <c r="C38" i="271"/>
  <c r="C42" i="271"/>
  <c r="M42" i="271"/>
  <c r="C43" i="271"/>
  <c r="J43" i="271"/>
  <c r="K43" i="271"/>
  <c r="L43" i="271"/>
  <c r="L42" i="271" s="1"/>
  <c r="M43" i="271"/>
  <c r="N43" i="271"/>
  <c r="C44" i="271"/>
  <c r="J44" i="271"/>
  <c r="K44" i="271"/>
  <c r="L44" i="271"/>
  <c r="M44" i="271"/>
  <c r="N44" i="271"/>
  <c r="C45" i="271"/>
  <c r="C46" i="271"/>
  <c r="C47" i="271"/>
  <c r="C48" i="271"/>
  <c r="C49" i="271"/>
  <c r="C50" i="271"/>
  <c r="C51" i="271"/>
  <c r="L51" i="271"/>
  <c r="C52" i="271"/>
  <c r="J52" i="271"/>
  <c r="J51" i="271" s="1"/>
  <c r="K52" i="271"/>
  <c r="L52" i="271"/>
  <c r="M52" i="271"/>
  <c r="N52" i="271"/>
  <c r="N51" i="271" s="1"/>
  <c r="C53" i="271"/>
  <c r="J53" i="271"/>
  <c r="K53" i="271"/>
  <c r="L53" i="271"/>
  <c r="M53" i="271"/>
  <c r="N53" i="271"/>
  <c r="C54" i="271"/>
  <c r="C55" i="271"/>
  <c r="C56" i="271"/>
  <c r="C57" i="271"/>
  <c r="C58" i="271"/>
  <c r="C59" i="271"/>
  <c r="C60" i="271"/>
  <c r="C61" i="271"/>
  <c r="C62" i="271"/>
  <c r="C63" i="271"/>
  <c r="C64" i="271"/>
  <c r="C65" i="271"/>
  <c r="C66" i="271"/>
  <c r="C67" i="271"/>
  <c r="C68" i="271"/>
  <c r="C69" i="271"/>
  <c r="C70" i="271"/>
  <c r="C71" i="271"/>
  <c r="C72" i="271"/>
  <c r="C73" i="271"/>
  <c r="C74" i="271"/>
  <c r="C75" i="271"/>
  <c r="C76" i="271"/>
  <c r="C77" i="271"/>
  <c r="C78" i="271"/>
  <c r="C79" i="271"/>
  <c r="C80" i="271"/>
  <c r="C81" i="271"/>
  <c r="C82" i="271"/>
  <c r="C83" i="271"/>
  <c r="C84" i="271"/>
  <c r="C85" i="271"/>
  <c r="C86" i="271"/>
  <c r="C87" i="271"/>
  <c r="C88" i="271"/>
  <c r="C89" i="271"/>
  <c r="C90" i="271"/>
  <c r="C91" i="271"/>
  <c r="C92" i="271"/>
  <c r="C93" i="271"/>
  <c r="C94" i="271"/>
  <c r="C95" i="271"/>
  <c r="C96" i="271"/>
  <c r="C97" i="271"/>
  <c r="C98" i="271"/>
  <c r="C99" i="271"/>
  <c r="C100" i="271"/>
  <c r="C101" i="271"/>
  <c r="C102" i="271"/>
  <c r="C103" i="271"/>
  <c r="C104" i="271"/>
  <c r="C105" i="271"/>
  <c r="C106" i="271"/>
  <c r="C107" i="271"/>
  <c r="C108" i="271"/>
  <c r="C4" i="270"/>
  <c r="C5" i="270"/>
  <c r="J5" i="270"/>
  <c r="K5" i="270"/>
  <c r="L5" i="270"/>
  <c r="L4" i="270" s="1"/>
  <c r="M5" i="270"/>
  <c r="M4" i="270" s="1"/>
  <c r="N5" i="270"/>
  <c r="C6" i="270"/>
  <c r="J6" i="270"/>
  <c r="K6" i="270"/>
  <c r="L6" i="270"/>
  <c r="M6" i="270"/>
  <c r="N6" i="270"/>
  <c r="N4" i="270" s="1"/>
  <c r="C7" i="270"/>
  <c r="C8" i="270"/>
  <c r="C9" i="270"/>
  <c r="C10" i="270"/>
  <c r="C14" i="270"/>
  <c r="C15" i="270"/>
  <c r="J15" i="270"/>
  <c r="K15" i="270"/>
  <c r="L15" i="270"/>
  <c r="L14" i="270" s="1"/>
  <c r="M15" i="270"/>
  <c r="N15" i="270"/>
  <c r="N14" i="270" s="1"/>
  <c r="C16" i="270"/>
  <c r="J16" i="270"/>
  <c r="K16" i="270"/>
  <c r="L16" i="270"/>
  <c r="M16" i="270"/>
  <c r="N16" i="270"/>
  <c r="C17" i="270"/>
  <c r="C18" i="270"/>
  <c r="C19" i="270"/>
  <c r="C20" i="270"/>
  <c r="C21" i="270"/>
  <c r="C22" i="270"/>
  <c r="J22" i="270"/>
  <c r="C23" i="270"/>
  <c r="J23" i="270"/>
  <c r="K23" i="270"/>
  <c r="L23" i="270"/>
  <c r="M23" i="270"/>
  <c r="N23" i="270"/>
  <c r="N22" i="270" s="1"/>
  <c r="C24" i="270"/>
  <c r="J24" i="270"/>
  <c r="K24" i="270"/>
  <c r="L24" i="270"/>
  <c r="M24" i="270"/>
  <c r="N24" i="270"/>
  <c r="C25" i="270"/>
  <c r="C26" i="270"/>
  <c r="C27" i="270"/>
  <c r="C28" i="270"/>
  <c r="C29" i="270"/>
  <c r="C30" i="270"/>
  <c r="C31" i="270"/>
  <c r="B68" i="276" s="1"/>
  <c r="C32" i="270"/>
  <c r="C68" i="276" s="1"/>
  <c r="J32" i="270"/>
  <c r="J31" i="270" s="1"/>
  <c r="K32" i="270"/>
  <c r="L32" i="270"/>
  <c r="L31" i="270" s="1"/>
  <c r="M32" i="270"/>
  <c r="N32" i="270"/>
  <c r="N31" i="270" s="1"/>
  <c r="C33" i="270"/>
  <c r="F68" i="276" s="1"/>
  <c r="J33" i="270"/>
  <c r="K33" i="270"/>
  <c r="L33" i="270"/>
  <c r="M33" i="270"/>
  <c r="N33" i="270"/>
  <c r="C34" i="270"/>
  <c r="C35" i="270"/>
  <c r="C36" i="270"/>
  <c r="C37" i="270"/>
  <c r="C38" i="270"/>
  <c r="J38" i="270"/>
  <c r="J37" i="270" s="1"/>
  <c r="K38" i="270"/>
  <c r="L38" i="270"/>
  <c r="M38" i="270"/>
  <c r="M37" i="270" s="1"/>
  <c r="N38" i="270"/>
  <c r="N37" i="270" s="1"/>
  <c r="C39" i="270"/>
  <c r="J39" i="270"/>
  <c r="K39" i="270"/>
  <c r="L39" i="270"/>
  <c r="M39" i="270"/>
  <c r="N39" i="270"/>
  <c r="C40" i="270"/>
  <c r="C41" i="270"/>
  <c r="C42" i="270"/>
  <c r="C43" i="270"/>
  <c r="C44" i="270"/>
  <c r="C45" i="270"/>
  <c r="C46" i="270"/>
  <c r="C47" i="270"/>
  <c r="C48" i="270"/>
  <c r="J48" i="270"/>
  <c r="K48" i="270"/>
  <c r="L48" i="270"/>
  <c r="L47" i="270" s="1"/>
  <c r="M48" i="270"/>
  <c r="M47" i="270" s="1"/>
  <c r="N48" i="270"/>
  <c r="C49" i="270"/>
  <c r="J49" i="270"/>
  <c r="K49" i="270"/>
  <c r="L49" i="270"/>
  <c r="M49" i="270"/>
  <c r="N49" i="270"/>
  <c r="N47" i="270" s="1"/>
  <c r="C50" i="270"/>
  <c r="C51" i="270"/>
  <c r="C52" i="270"/>
  <c r="C53" i="270"/>
  <c r="C54" i="270"/>
  <c r="C55" i="270"/>
  <c r="C56" i="270"/>
  <c r="C57" i="270"/>
  <c r="C58" i="270"/>
  <c r="J58" i="270"/>
  <c r="K58" i="270"/>
  <c r="L58" i="270"/>
  <c r="L57" i="270" s="1"/>
  <c r="M58" i="270"/>
  <c r="N58" i="270"/>
  <c r="C59" i="270"/>
  <c r="J59" i="270"/>
  <c r="K59" i="270"/>
  <c r="L59" i="270"/>
  <c r="M59" i="270"/>
  <c r="N59" i="270"/>
  <c r="N57" i="270" s="1"/>
  <c r="C60" i="270"/>
  <c r="C61" i="270"/>
  <c r="C62" i="270"/>
  <c r="C63" i="270"/>
  <c r="C64" i="270"/>
  <c r="C65" i="270"/>
  <c r="C66" i="270"/>
  <c r="C67" i="270"/>
  <c r="C68" i="270"/>
  <c r="C69" i="270"/>
  <c r="C70" i="270"/>
  <c r="C71" i="270"/>
  <c r="C72" i="270"/>
  <c r="C73" i="270"/>
  <c r="C74" i="270"/>
  <c r="C75" i="270"/>
  <c r="C76" i="270"/>
  <c r="C77" i="270"/>
  <c r="C78" i="270"/>
  <c r="C79" i="270"/>
  <c r="C80" i="270"/>
  <c r="C81" i="270"/>
  <c r="J81" i="270"/>
  <c r="J80" i="270" s="1"/>
  <c r="K81" i="270"/>
  <c r="L81" i="270"/>
  <c r="L80" i="270" s="1"/>
  <c r="M81" i="270"/>
  <c r="M80" i="270" s="1"/>
  <c r="N81" i="270"/>
  <c r="C82" i="270"/>
  <c r="J82" i="270"/>
  <c r="K82" i="270"/>
  <c r="L82" i="270"/>
  <c r="M82" i="270"/>
  <c r="N82" i="270"/>
  <c r="N80" i="270" s="1"/>
  <c r="C83" i="270"/>
  <c r="C84" i="270"/>
  <c r="C85" i="270"/>
  <c r="C86" i="270"/>
  <c r="C87" i="270"/>
  <c r="C88" i="270"/>
  <c r="C89" i="270"/>
  <c r="C90" i="270"/>
  <c r="C91" i="270"/>
  <c r="C92" i="270"/>
  <c r="C93" i="270"/>
  <c r="C94" i="270"/>
  <c r="C95" i="270"/>
  <c r="C96" i="270"/>
  <c r="C97" i="270"/>
  <c r="C98" i="270"/>
  <c r="C99" i="270"/>
  <c r="C100" i="270"/>
  <c r="J100" i="270"/>
  <c r="J99" i="270" s="1"/>
  <c r="K100" i="270"/>
  <c r="L100" i="270"/>
  <c r="M100" i="270"/>
  <c r="M99" i="270" s="1"/>
  <c r="N100" i="270"/>
  <c r="N99" i="270" s="1"/>
  <c r="C101" i="270"/>
  <c r="J101" i="270"/>
  <c r="K101" i="270"/>
  <c r="L101" i="270"/>
  <c r="M101" i="270"/>
  <c r="N101" i="270"/>
  <c r="C102" i="270"/>
  <c r="C103" i="270"/>
  <c r="C104" i="270"/>
  <c r="C105" i="270"/>
  <c r="C106" i="270"/>
  <c r="C107" i="270"/>
  <c r="C108" i="270"/>
  <c r="C4" i="269"/>
  <c r="C5" i="269"/>
  <c r="I5" i="269"/>
  <c r="I4" i="269" s="1"/>
  <c r="K5" i="269"/>
  <c r="L5" i="269"/>
  <c r="M5" i="269"/>
  <c r="M4" i="269" s="1"/>
  <c r="N5" i="269"/>
  <c r="N4" i="269" s="1"/>
  <c r="C6" i="269"/>
  <c r="I6" i="269"/>
  <c r="K6" i="269"/>
  <c r="L6" i="269"/>
  <c r="L4" i="269" s="1"/>
  <c r="M6" i="269"/>
  <c r="N6" i="269"/>
  <c r="C7" i="269"/>
  <c r="C8" i="269"/>
  <c r="C9" i="269"/>
  <c r="C10" i="269"/>
  <c r="C11" i="269"/>
  <c r="C12" i="269"/>
  <c r="C13" i="269"/>
  <c r="C14" i="269"/>
  <c r="C15" i="269"/>
  <c r="C16" i="269"/>
  <c r="C17" i="269"/>
  <c r="C18" i="269"/>
  <c r="B20" i="269"/>
  <c r="D20" i="269"/>
  <c r="E20" i="269"/>
  <c r="F20" i="269"/>
  <c r="G20" i="269"/>
  <c r="C23" i="269"/>
  <c r="C24" i="269"/>
  <c r="I24" i="269"/>
  <c r="I23" i="269" s="1"/>
  <c r="K24" i="269"/>
  <c r="L24" i="269"/>
  <c r="L23" i="269" s="1"/>
  <c r="M24" i="269"/>
  <c r="N24" i="269"/>
  <c r="C25" i="269"/>
  <c r="I25" i="269"/>
  <c r="K25" i="269"/>
  <c r="L25" i="269"/>
  <c r="M25" i="269"/>
  <c r="N25" i="269"/>
  <c r="C26" i="269"/>
  <c r="C27" i="269"/>
  <c r="C28" i="269"/>
  <c r="C29" i="269"/>
  <c r="C30" i="269"/>
  <c r="B32" i="269"/>
  <c r="C32" i="269"/>
  <c r="D32" i="269"/>
  <c r="E32" i="269"/>
  <c r="F32" i="269"/>
  <c r="G32" i="269"/>
  <c r="C35" i="269"/>
  <c r="C36" i="269"/>
  <c r="I36" i="269"/>
  <c r="K36" i="269"/>
  <c r="L36" i="269"/>
  <c r="L35" i="269" s="1"/>
  <c r="M36" i="269"/>
  <c r="M35" i="269" s="1"/>
  <c r="N36" i="269"/>
  <c r="C37" i="269"/>
  <c r="I37" i="269"/>
  <c r="K37" i="269"/>
  <c r="L37" i="269"/>
  <c r="M37" i="269"/>
  <c r="N37" i="269"/>
  <c r="C38" i="269"/>
  <c r="C39" i="269"/>
  <c r="C40" i="269"/>
  <c r="C41" i="269"/>
  <c r="C42" i="269"/>
  <c r="C43" i="269"/>
  <c r="C44" i="269"/>
  <c r="C45" i="269"/>
  <c r="B47" i="269"/>
  <c r="D47" i="269"/>
  <c r="E47" i="269"/>
  <c r="F47" i="269"/>
  <c r="G47" i="269"/>
  <c r="C50" i="269"/>
  <c r="B69" i="276" s="1"/>
  <c r="C51" i="269"/>
  <c r="I51" i="269"/>
  <c r="K51" i="269"/>
  <c r="L51" i="269"/>
  <c r="M51" i="269"/>
  <c r="N51" i="269"/>
  <c r="C52" i="269"/>
  <c r="I52" i="269"/>
  <c r="I50" i="269" s="1"/>
  <c r="K52" i="269"/>
  <c r="L52" i="269"/>
  <c r="M52" i="269"/>
  <c r="N52" i="269"/>
  <c r="N50" i="269" s="1"/>
  <c r="C53" i="269"/>
  <c r="C55" i="269" s="1"/>
  <c r="F69" i="276" s="1"/>
  <c r="B55" i="269"/>
  <c r="X36" i="276" s="1"/>
  <c r="F36" i="276" s="1"/>
  <c r="D55" i="269"/>
  <c r="E55" i="269"/>
  <c r="N36" i="276" s="1"/>
  <c r="F55" i="269"/>
  <c r="G55" i="269"/>
  <c r="N69" i="276" s="1"/>
  <c r="C58" i="269"/>
  <c r="J59" i="269" s="1"/>
  <c r="C59" i="269"/>
  <c r="I59" i="269"/>
  <c r="I58" i="269" s="1"/>
  <c r="K59" i="269"/>
  <c r="L59" i="269"/>
  <c r="M59" i="269"/>
  <c r="N59" i="269"/>
  <c r="N58" i="269" s="1"/>
  <c r="C60" i="269"/>
  <c r="I60" i="269"/>
  <c r="K60" i="269"/>
  <c r="L60" i="269"/>
  <c r="M60" i="269"/>
  <c r="M58" i="269" s="1"/>
  <c r="N60" i="269"/>
  <c r="C61" i="269"/>
  <c r="C62" i="269"/>
  <c r="C63" i="269"/>
  <c r="C64" i="269"/>
  <c r="C65" i="269"/>
  <c r="C66" i="269"/>
  <c r="C67" i="269"/>
  <c r="C68" i="269"/>
  <c r="C69" i="269"/>
  <c r="C70" i="269"/>
  <c r="C71" i="269"/>
  <c r="C72" i="269"/>
  <c r="C73" i="269"/>
  <c r="B75" i="269"/>
  <c r="D75" i="269"/>
  <c r="E75" i="269"/>
  <c r="F75" i="269"/>
  <c r="G75" i="269"/>
  <c r="C78" i="269"/>
  <c r="C79" i="269"/>
  <c r="I79" i="269"/>
  <c r="K79" i="269"/>
  <c r="L79" i="269"/>
  <c r="L78" i="269" s="1"/>
  <c r="M79" i="269"/>
  <c r="N79" i="269"/>
  <c r="C80" i="269"/>
  <c r="I80" i="269"/>
  <c r="K80" i="269"/>
  <c r="L80" i="269"/>
  <c r="M80" i="269"/>
  <c r="N80" i="269"/>
  <c r="C81" i="269"/>
  <c r="C82" i="269"/>
  <c r="C83" i="269"/>
  <c r="C84" i="269"/>
  <c r="C85" i="269"/>
  <c r="C86" i="269"/>
  <c r="C87" i="269"/>
  <c r="C88" i="269"/>
  <c r="C89" i="269"/>
  <c r="C90" i="269"/>
  <c r="C91" i="269"/>
  <c r="C95" i="269" s="1"/>
  <c r="C92" i="269"/>
  <c r="C93" i="269"/>
  <c r="B95" i="269"/>
  <c r="D95" i="269"/>
  <c r="E95" i="269"/>
  <c r="F95" i="269"/>
  <c r="G95" i="269"/>
  <c r="C98" i="269"/>
  <c r="J99" i="269" s="1"/>
  <c r="C99" i="269"/>
  <c r="I99" i="269"/>
  <c r="I98" i="269" s="1"/>
  <c r="K99" i="269"/>
  <c r="L99" i="269"/>
  <c r="M99" i="269"/>
  <c r="N99" i="269"/>
  <c r="N98" i="269" s="1"/>
  <c r="C100" i="269"/>
  <c r="I100" i="269"/>
  <c r="K100" i="269"/>
  <c r="L100" i="269"/>
  <c r="L98" i="269" s="1"/>
  <c r="M100" i="269"/>
  <c r="N100" i="269"/>
  <c r="C101" i="269"/>
  <c r="C102" i="269"/>
  <c r="C103" i="269"/>
  <c r="C104" i="269"/>
  <c r="C105" i="269"/>
  <c r="C106" i="269"/>
  <c r="C108" i="269" s="1"/>
  <c r="B108" i="269"/>
  <c r="D108" i="269"/>
  <c r="E108" i="269"/>
  <c r="F108" i="269"/>
  <c r="G108" i="269"/>
  <c r="AA13" i="37"/>
  <c r="AA12" i="37"/>
  <c r="AA11" i="37"/>
  <c r="AA10" i="37"/>
  <c r="AA9" i="37"/>
  <c r="AA8" i="37"/>
  <c r="AA7" i="37"/>
  <c r="Q13" i="37"/>
  <c r="Q12" i="37"/>
  <c r="Q11" i="37"/>
  <c r="Q10" i="37"/>
  <c r="Q9" i="37"/>
  <c r="Q8" i="37"/>
  <c r="Q7" i="37"/>
  <c r="Q45" i="37"/>
  <c r="Q44" i="37"/>
  <c r="Q43" i="37"/>
  <c r="Q42" i="37"/>
  <c r="Q41" i="37"/>
  <c r="Q40" i="37"/>
  <c r="Q39" i="37"/>
  <c r="R66" i="37"/>
  <c r="R65" i="37"/>
  <c r="R67" i="37"/>
  <c r="C46" i="269" l="1"/>
  <c r="J37" i="269" s="1"/>
  <c r="C54" i="269"/>
  <c r="J51" i="269" s="1"/>
  <c r="M98" i="269"/>
  <c r="C75" i="269"/>
  <c r="C74" i="269"/>
  <c r="J60" i="269" s="1"/>
  <c r="L48" i="273"/>
  <c r="J79" i="269"/>
  <c r="M78" i="269"/>
  <c r="C94" i="269"/>
  <c r="J80" i="269" s="1"/>
  <c r="M50" i="269"/>
  <c r="J52" i="269"/>
  <c r="C69" i="276"/>
  <c r="C47" i="269"/>
  <c r="J36" i="269"/>
  <c r="M23" i="269"/>
  <c r="C20" i="269"/>
  <c r="J57" i="270"/>
  <c r="L37" i="270"/>
  <c r="M31" i="270"/>
  <c r="M22" i="270"/>
  <c r="M14" i="270"/>
  <c r="M51" i="271"/>
  <c r="N42" i="271"/>
  <c r="J42" i="271"/>
  <c r="L45" i="272"/>
  <c r="I34" i="272"/>
  <c r="I14" i="272"/>
  <c r="I59" i="273"/>
  <c r="I37" i="273"/>
  <c r="L30" i="273"/>
  <c r="L21" i="273"/>
  <c r="L13" i="273"/>
  <c r="K33" i="274"/>
  <c r="M82" i="275"/>
  <c r="M65" i="275"/>
  <c r="K50" i="275"/>
  <c r="G63" i="276"/>
  <c r="L43" i="275"/>
  <c r="K30" i="275"/>
  <c r="K5" i="275"/>
  <c r="J24" i="269"/>
  <c r="C11" i="272"/>
  <c r="C31" i="269"/>
  <c r="J25" i="269" s="1"/>
  <c r="G64" i="276"/>
  <c r="N78" i="269"/>
  <c r="I78" i="269"/>
  <c r="L58" i="269"/>
  <c r="L50" i="269"/>
  <c r="N35" i="269"/>
  <c r="I35" i="269"/>
  <c r="N23" i="269"/>
  <c r="J5" i="269"/>
  <c r="L99" i="270"/>
  <c r="M57" i="270"/>
  <c r="J47" i="270"/>
  <c r="L22" i="270"/>
  <c r="J14" i="270"/>
  <c r="J4" i="270"/>
  <c r="N33" i="271"/>
  <c r="L27" i="271"/>
  <c r="L19" i="271"/>
  <c r="N12" i="271"/>
  <c r="J12" i="271"/>
  <c r="N4" i="271"/>
  <c r="J4" i="271"/>
  <c r="I56" i="272"/>
  <c r="L34" i="272"/>
  <c r="K28" i="272"/>
  <c r="M20" i="272"/>
  <c r="L14" i="272"/>
  <c r="L59" i="273"/>
  <c r="L37" i="273"/>
  <c r="K21" i="273"/>
  <c r="M4" i="273"/>
  <c r="I4" i="273"/>
  <c r="L86" i="274"/>
  <c r="M69" i="274"/>
  <c r="I69" i="274"/>
  <c r="K53" i="274"/>
  <c r="I19" i="274"/>
  <c r="L82" i="275"/>
  <c r="I17" i="275"/>
  <c r="C107" i="269"/>
  <c r="J100" i="269" s="1"/>
  <c r="C19" i="269"/>
  <c r="J6" i="269" s="1"/>
  <c r="F66" i="37" l="1"/>
  <c r="F64" i="37"/>
  <c r="K21" i="192"/>
  <c r="F44" i="111"/>
  <c r="H44" i="111" s="1"/>
  <c r="J44" i="111"/>
  <c r="E5" i="114" l="1"/>
  <c r="G5" i="114"/>
  <c r="E6" i="114"/>
  <c r="G6" i="114"/>
  <c r="E7" i="114"/>
  <c r="G7" i="114"/>
  <c r="G8" i="114"/>
  <c r="G9" i="114"/>
  <c r="G10" i="114"/>
  <c r="B29" i="114"/>
  <c r="C29" i="114"/>
  <c r="D29" i="114"/>
  <c r="E29" i="114"/>
  <c r="F29" i="114"/>
  <c r="G29" i="114"/>
  <c r="B30" i="114"/>
  <c r="C30" i="114"/>
  <c r="D30" i="114"/>
  <c r="F30" i="114"/>
  <c r="G30" i="114"/>
  <c r="B31" i="114"/>
  <c r="C31" i="114"/>
  <c r="D31" i="114"/>
  <c r="E31" i="114"/>
  <c r="F31" i="114"/>
  <c r="G31" i="114"/>
  <c r="E4" i="114"/>
  <c r="G4" i="114"/>
  <c r="E5" i="110"/>
  <c r="G5" i="110"/>
  <c r="E6" i="110"/>
  <c r="G6" i="110"/>
  <c r="E7" i="110"/>
  <c r="G7" i="110"/>
  <c r="G8" i="110"/>
  <c r="G9" i="110"/>
  <c r="G10" i="110"/>
  <c r="E29" i="110"/>
  <c r="E31" i="110"/>
  <c r="E4" i="110"/>
  <c r="G4" i="110"/>
  <c r="D6" i="266"/>
  <c r="I7" i="266" s="1"/>
  <c r="D7" i="266"/>
  <c r="H7" i="266"/>
  <c r="J7" i="266"/>
  <c r="K7" i="266"/>
  <c r="C8" i="266"/>
  <c r="F8" i="266"/>
  <c r="D9" i="266"/>
  <c r="E10" i="266"/>
  <c r="J6" i="266" s="1"/>
  <c r="J5" i="266" s="1"/>
  <c r="F10" i="266"/>
  <c r="D12" i="266"/>
  <c r="K12" i="266"/>
  <c r="D13" i="266"/>
  <c r="H13" i="266"/>
  <c r="I13" i="266"/>
  <c r="J13" i="266"/>
  <c r="K13" i="266"/>
  <c r="D14" i="266"/>
  <c r="D15" i="266"/>
  <c r="D16" i="266"/>
  <c r="C17" i="266"/>
  <c r="E17" i="266"/>
  <c r="J12" i="266" s="1"/>
  <c r="J11" i="266" s="1"/>
  <c r="F17" i="266"/>
  <c r="K18" i="266"/>
  <c r="D19" i="266"/>
  <c r="D20" i="266"/>
  <c r="H20" i="266"/>
  <c r="I20" i="266"/>
  <c r="J20" i="266"/>
  <c r="K20" i="266"/>
  <c r="D21" i="266"/>
  <c r="D22" i="266"/>
  <c r="D23" i="266"/>
  <c r="C24" i="266"/>
  <c r="H19" i="266" s="1"/>
  <c r="D24" i="266"/>
  <c r="E24" i="266"/>
  <c r="J19" i="266" s="1"/>
  <c r="J18" i="266" s="1"/>
  <c r="F24" i="266"/>
  <c r="K19" i="266" s="1"/>
  <c r="D26" i="266"/>
  <c r="J26" i="266"/>
  <c r="J25" i="266" s="1"/>
  <c r="D27" i="266"/>
  <c r="H27" i="266"/>
  <c r="J27" i="266"/>
  <c r="K27" i="266"/>
  <c r="D28" i="266"/>
  <c r="D55" i="276" s="1"/>
  <c r="D29" i="266"/>
  <c r="D30" i="266"/>
  <c r="D31" i="266"/>
  <c r="D32" i="266"/>
  <c r="D33" i="266"/>
  <c r="C34" i="266"/>
  <c r="H26" i="266" s="1"/>
  <c r="H25" i="266" s="1"/>
  <c r="D34" i="266"/>
  <c r="E34" i="266"/>
  <c r="F34" i="266"/>
  <c r="K26" i="266" s="1"/>
  <c r="C36" i="266"/>
  <c r="H37" i="266" s="1"/>
  <c r="D36" i="266"/>
  <c r="I37" i="266" s="1"/>
  <c r="E36" i="266"/>
  <c r="F36" i="266"/>
  <c r="K37" i="266" s="1"/>
  <c r="C37" i="266"/>
  <c r="D37" i="266" s="1"/>
  <c r="E37" i="266"/>
  <c r="F37" i="266"/>
  <c r="E38" i="266"/>
  <c r="E46" i="266" s="1"/>
  <c r="C39" i="266"/>
  <c r="D39" i="266" s="1"/>
  <c r="E39" i="266"/>
  <c r="E47" i="266" s="1"/>
  <c r="F39" i="266"/>
  <c r="C40" i="266"/>
  <c r="D40" i="266" s="1"/>
  <c r="E40" i="266"/>
  <c r="E48" i="266" s="1"/>
  <c r="F40" i="266"/>
  <c r="F48" i="266" s="1"/>
  <c r="C41" i="266"/>
  <c r="D41" i="266" s="1"/>
  <c r="E41" i="266"/>
  <c r="E49" i="266" s="1"/>
  <c r="F41" i="266"/>
  <c r="F49" i="266" s="1"/>
  <c r="E42" i="266"/>
  <c r="F44" i="266"/>
  <c r="F46" i="266"/>
  <c r="C47" i="266"/>
  <c r="F47" i="266"/>
  <c r="D6" i="265"/>
  <c r="I7" i="265" s="1"/>
  <c r="D7" i="265"/>
  <c r="H7" i="265"/>
  <c r="J7" i="265"/>
  <c r="K7" i="265"/>
  <c r="D8" i="265"/>
  <c r="C9" i="265"/>
  <c r="F9" i="265"/>
  <c r="F12" i="265" s="1"/>
  <c r="K6" i="265" s="1"/>
  <c r="K5" i="265" s="1"/>
  <c r="C10" i="265"/>
  <c r="D10" i="265"/>
  <c r="F10" i="265"/>
  <c r="D11" i="265"/>
  <c r="E12" i="265"/>
  <c r="J6" i="265" s="1"/>
  <c r="J5" i="265" s="1"/>
  <c r="D14" i="265"/>
  <c r="D15" i="265"/>
  <c r="D16" i="265"/>
  <c r="H16" i="265"/>
  <c r="I16" i="265"/>
  <c r="J16" i="265"/>
  <c r="K16" i="265"/>
  <c r="D17" i="265"/>
  <c r="D18" i="265"/>
  <c r="C19" i="265"/>
  <c r="E19" i="265"/>
  <c r="J15" i="265" s="1"/>
  <c r="F19" i="265"/>
  <c r="K15" i="265" s="1"/>
  <c r="D21" i="265"/>
  <c r="I26" i="265" s="1"/>
  <c r="D22" i="265"/>
  <c r="D23" i="265"/>
  <c r="D24" i="265"/>
  <c r="D25" i="265"/>
  <c r="H25" i="265"/>
  <c r="H24" i="265" s="1"/>
  <c r="C26" i="265"/>
  <c r="D26" i="265"/>
  <c r="E26" i="265"/>
  <c r="J25" i="265" s="1"/>
  <c r="F26" i="265"/>
  <c r="K25" i="265" s="1"/>
  <c r="K24" i="265" s="1"/>
  <c r="H26" i="265"/>
  <c r="J26" i="265"/>
  <c r="K26" i="265"/>
  <c r="D28" i="265"/>
  <c r="D29" i="265"/>
  <c r="B56" i="276" s="1"/>
  <c r="D30" i="265"/>
  <c r="D56" i="276" s="1"/>
  <c r="D31" i="265"/>
  <c r="D32" i="265"/>
  <c r="C56" i="276" s="1"/>
  <c r="D33" i="265"/>
  <c r="D34" i="265"/>
  <c r="J34" i="265"/>
  <c r="C35" i="265"/>
  <c r="D35" i="265" s="1"/>
  <c r="E35" i="265"/>
  <c r="F35" i="265"/>
  <c r="K34" i="265" s="1"/>
  <c r="H35" i="265"/>
  <c r="J35" i="265"/>
  <c r="K35" i="265"/>
  <c r="C37" i="265"/>
  <c r="E37" i="265"/>
  <c r="F37" i="265"/>
  <c r="F47" i="265" s="1"/>
  <c r="C38" i="265"/>
  <c r="D38" i="265"/>
  <c r="E38" i="265"/>
  <c r="F38" i="265"/>
  <c r="C39" i="265"/>
  <c r="E39" i="265"/>
  <c r="E49" i="265" s="1"/>
  <c r="F39" i="265"/>
  <c r="F40" i="265" s="1"/>
  <c r="C41" i="265"/>
  <c r="E41" i="265"/>
  <c r="E51" i="265" s="1"/>
  <c r="J41" i="265"/>
  <c r="K41" i="265"/>
  <c r="C42" i="265"/>
  <c r="E42" i="265"/>
  <c r="F42" i="265"/>
  <c r="C43" i="265"/>
  <c r="E43" i="265"/>
  <c r="E53" i="265" s="1"/>
  <c r="F43" i="265"/>
  <c r="F53" i="265" s="1"/>
  <c r="C44" i="265"/>
  <c r="E44" i="265"/>
  <c r="F44" i="265"/>
  <c r="F54" i="265" s="1"/>
  <c r="E45" i="265"/>
  <c r="E47" i="265"/>
  <c r="F48" i="265"/>
  <c r="C49" i="265"/>
  <c r="C51" i="265"/>
  <c r="F51" i="265"/>
  <c r="E52" i="265"/>
  <c r="F52" i="265"/>
  <c r="J52" i="265"/>
  <c r="E54" i="265"/>
  <c r="D6" i="264"/>
  <c r="C7" i="264"/>
  <c r="H7" i="264"/>
  <c r="I7" i="264"/>
  <c r="J7" i="264"/>
  <c r="K7" i="264"/>
  <c r="D8" i="264"/>
  <c r="E9" i="264"/>
  <c r="F9" i="264"/>
  <c r="F12" i="264" s="1"/>
  <c r="K6" i="264" s="1"/>
  <c r="K5" i="264" s="1"/>
  <c r="D10" i="264"/>
  <c r="D11" i="264"/>
  <c r="D14" i="264"/>
  <c r="D15" i="264"/>
  <c r="H15" i="264"/>
  <c r="H14" i="264" s="1"/>
  <c r="D16" i="264"/>
  <c r="H16" i="264"/>
  <c r="I16" i="264"/>
  <c r="J16" i="264"/>
  <c r="K16" i="264"/>
  <c r="C17" i="264"/>
  <c r="D17" i="264"/>
  <c r="E17" i="264"/>
  <c r="E21" i="264" s="1"/>
  <c r="J15" i="264" s="1"/>
  <c r="J14" i="264" s="1"/>
  <c r="F17" i="264"/>
  <c r="F21" i="264" s="1"/>
  <c r="K15" i="264" s="1"/>
  <c r="K14" i="264" s="1"/>
  <c r="D18" i="264"/>
  <c r="D19" i="264"/>
  <c r="D20" i="264"/>
  <c r="C21" i="264"/>
  <c r="D21" i="264" s="1"/>
  <c r="D23" i="264"/>
  <c r="I26" i="264" s="1"/>
  <c r="D24" i="264"/>
  <c r="D25" i="264"/>
  <c r="C26" i="264"/>
  <c r="C30" i="264" s="1"/>
  <c r="E26" i="264"/>
  <c r="F26" i="264"/>
  <c r="H26" i="264"/>
  <c r="J26" i="264"/>
  <c r="K26" i="264"/>
  <c r="D27" i="264"/>
  <c r="D28" i="264"/>
  <c r="D29" i="264"/>
  <c r="E30" i="264"/>
  <c r="J25" i="264" s="1"/>
  <c r="J24" i="264" s="1"/>
  <c r="D32" i="264"/>
  <c r="D33" i="264"/>
  <c r="B57" i="276" s="1"/>
  <c r="H33" i="264"/>
  <c r="D34" i="264"/>
  <c r="D57" i="276" s="1"/>
  <c r="H34" i="264"/>
  <c r="I34" i="264"/>
  <c r="J34" i="264"/>
  <c r="J33" i="264" s="1"/>
  <c r="D35" i="264"/>
  <c r="E57" i="276" s="1"/>
  <c r="H35" i="264"/>
  <c r="J35" i="264"/>
  <c r="K35" i="264"/>
  <c r="D36" i="264"/>
  <c r="D37" i="264"/>
  <c r="F37" i="264"/>
  <c r="K34" i="264" s="1"/>
  <c r="C39" i="264"/>
  <c r="E39" i="264"/>
  <c r="F39" i="264"/>
  <c r="C40" i="264"/>
  <c r="D40" i="264" s="1"/>
  <c r="E40" i="264"/>
  <c r="F40" i="264"/>
  <c r="C41" i="264"/>
  <c r="D41" i="264" s="1"/>
  <c r="E41" i="264"/>
  <c r="F41" i="264"/>
  <c r="F51" i="264" s="1"/>
  <c r="F52" i="264" s="1"/>
  <c r="J41" i="264"/>
  <c r="K41" i="264"/>
  <c r="C43" i="264"/>
  <c r="D43" i="264"/>
  <c r="E43" i="264"/>
  <c r="F43" i="264"/>
  <c r="C44" i="264"/>
  <c r="E44" i="264"/>
  <c r="E54" i="264" s="1"/>
  <c r="F44" i="264"/>
  <c r="C45" i="264"/>
  <c r="E45" i="264"/>
  <c r="E55" i="264" s="1"/>
  <c r="F45" i="264"/>
  <c r="F55" i="264" s="1"/>
  <c r="C46" i="264"/>
  <c r="E46" i="264"/>
  <c r="F46" i="264"/>
  <c r="F56" i="264" s="1"/>
  <c r="E49" i="264"/>
  <c r="F49" i="264"/>
  <c r="E50" i="264"/>
  <c r="F50" i="264"/>
  <c r="C51" i="264"/>
  <c r="E51" i="264"/>
  <c r="E52" i="264" s="1"/>
  <c r="J52" i="264"/>
  <c r="K52" i="264"/>
  <c r="C53" i="264"/>
  <c r="E53" i="264"/>
  <c r="F53" i="264"/>
  <c r="C54" i="264"/>
  <c r="F54" i="264"/>
  <c r="C55" i="264"/>
  <c r="C56" i="264"/>
  <c r="E56" i="264"/>
  <c r="D6" i="263"/>
  <c r="I7" i="263" s="1"/>
  <c r="D7" i="263"/>
  <c r="H7" i="263"/>
  <c r="J7" i="263"/>
  <c r="K7" i="263"/>
  <c r="D8" i="263"/>
  <c r="C9" i="263"/>
  <c r="C12" i="263" s="1"/>
  <c r="D12" i="263" s="1"/>
  <c r="E9" i="263"/>
  <c r="F9" i="263"/>
  <c r="F12" i="263" s="1"/>
  <c r="K6" i="263" s="1"/>
  <c r="D10" i="263"/>
  <c r="D11" i="263"/>
  <c r="E12" i="263"/>
  <c r="E47" i="263" s="1"/>
  <c r="D14" i="263"/>
  <c r="I16" i="263" s="1"/>
  <c r="D15" i="263"/>
  <c r="D16" i="263"/>
  <c r="H16" i="263"/>
  <c r="J16" i="263"/>
  <c r="K16" i="263"/>
  <c r="C17" i="263"/>
  <c r="E17" i="263"/>
  <c r="E21" i="263" s="1"/>
  <c r="J15" i="263" s="1"/>
  <c r="J14" i="263" s="1"/>
  <c r="F17" i="263"/>
  <c r="F21" i="263" s="1"/>
  <c r="D18" i="263"/>
  <c r="D48" i="39" s="1"/>
  <c r="D19" i="263"/>
  <c r="D20" i="263"/>
  <c r="D23" i="263"/>
  <c r="D24" i="263"/>
  <c r="D25" i="263"/>
  <c r="C26" i="263"/>
  <c r="E26" i="263"/>
  <c r="E30" i="263" s="1"/>
  <c r="J25" i="263" s="1"/>
  <c r="J24" i="263" s="1"/>
  <c r="F26" i="263"/>
  <c r="H26" i="263"/>
  <c r="I26" i="263"/>
  <c r="J26" i="263"/>
  <c r="K26" i="263"/>
  <c r="D27" i="263"/>
  <c r="D28" i="263"/>
  <c r="D29" i="263"/>
  <c r="F30" i="263"/>
  <c r="K25" i="263" s="1"/>
  <c r="K24" i="263" s="1"/>
  <c r="D32" i="263"/>
  <c r="D33" i="263"/>
  <c r="B58" i="276" s="1"/>
  <c r="D34" i="263"/>
  <c r="D58" i="276" s="1"/>
  <c r="J34" i="263"/>
  <c r="D35" i="263"/>
  <c r="E58" i="276" s="1"/>
  <c r="H35" i="263"/>
  <c r="J35" i="263"/>
  <c r="K35" i="263"/>
  <c r="D36" i="263"/>
  <c r="C37" i="263"/>
  <c r="H34" i="263" s="1"/>
  <c r="H33" i="263" s="1"/>
  <c r="D37" i="263"/>
  <c r="E37" i="263"/>
  <c r="F37" i="263"/>
  <c r="K34" i="263" s="1"/>
  <c r="K33" i="263" s="1"/>
  <c r="C39" i="263"/>
  <c r="D39" i="263" s="1"/>
  <c r="I41" i="263" s="1"/>
  <c r="E39" i="263"/>
  <c r="F39" i="263"/>
  <c r="K41" i="263" s="1"/>
  <c r="C40" i="263"/>
  <c r="D40" i="263" s="1"/>
  <c r="E40" i="263"/>
  <c r="F40" i="263"/>
  <c r="C41" i="263"/>
  <c r="D41" i="263" s="1"/>
  <c r="E41" i="263"/>
  <c r="E51" i="263" s="1"/>
  <c r="F41" i="263"/>
  <c r="F51" i="263" s="1"/>
  <c r="H41" i="263"/>
  <c r="E42" i="263"/>
  <c r="F42" i="263"/>
  <c r="C43" i="263"/>
  <c r="D43" i="263" s="1"/>
  <c r="E43" i="263"/>
  <c r="F43" i="263"/>
  <c r="C44" i="263"/>
  <c r="D44" i="263" s="1"/>
  <c r="E44" i="263"/>
  <c r="E54" i="263" s="1"/>
  <c r="F44" i="263"/>
  <c r="F54" i="263" s="1"/>
  <c r="C45" i="263"/>
  <c r="D45" i="263" s="1"/>
  <c r="E45" i="263"/>
  <c r="E55" i="263" s="1"/>
  <c r="F45" i="263"/>
  <c r="F55" i="263" s="1"/>
  <c r="C46" i="263"/>
  <c r="D46" i="263" s="1"/>
  <c r="E46" i="263"/>
  <c r="E56" i="263" s="1"/>
  <c r="F46" i="263"/>
  <c r="F56" i="263" s="1"/>
  <c r="C49" i="263"/>
  <c r="D49" i="263" s="1"/>
  <c r="I52" i="263" s="1"/>
  <c r="C50" i="263"/>
  <c r="C51" i="263"/>
  <c r="D51" i="263" s="1"/>
  <c r="C53" i="263"/>
  <c r="D53" i="263" s="1"/>
  <c r="E53" i="263"/>
  <c r="F53" i="263"/>
  <c r="C54" i="263"/>
  <c r="D54" i="263" s="1"/>
  <c r="C55" i="263"/>
  <c r="D55" i="263" s="1"/>
  <c r="C56" i="263"/>
  <c r="D56" i="263" s="1"/>
  <c r="D6" i="262"/>
  <c r="C7" i="262"/>
  <c r="C9" i="262" s="1"/>
  <c r="H7" i="262"/>
  <c r="I7" i="262"/>
  <c r="J7" i="262"/>
  <c r="K7" i="262"/>
  <c r="D8" i="262"/>
  <c r="E9" i="262"/>
  <c r="E12" i="262" s="1"/>
  <c r="J6" i="262" s="1"/>
  <c r="F9" i="262"/>
  <c r="D10" i="262"/>
  <c r="D11" i="262"/>
  <c r="D14" i="262"/>
  <c r="J14" i="262"/>
  <c r="D15" i="262"/>
  <c r="D16" i="262"/>
  <c r="H16" i="262"/>
  <c r="I16" i="262"/>
  <c r="J16" i="262"/>
  <c r="K16" i="262"/>
  <c r="C17" i="262"/>
  <c r="C21" i="262" s="1"/>
  <c r="D17" i="262"/>
  <c r="E17" i="262"/>
  <c r="E21" i="262" s="1"/>
  <c r="J15" i="262" s="1"/>
  <c r="F17" i="262"/>
  <c r="D18" i="262"/>
  <c r="D19" i="262"/>
  <c r="D20" i="262"/>
  <c r="F21" i="262"/>
  <c r="K15" i="262" s="1"/>
  <c r="K14" i="262" s="1"/>
  <c r="D23" i="262"/>
  <c r="D24" i="262"/>
  <c r="H24" i="262"/>
  <c r="I24" i="262"/>
  <c r="J24" i="262"/>
  <c r="K24" i="262"/>
  <c r="D25" i="262"/>
  <c r="C26" i="262"/>
  <c r="E26" i="262"/>
  <c r="E30" i="262" s="1"/>
  <c r="J23" i="262" s="1"/>
  <c r="J22" i="262" s="1"/>
  <c r="F26" i="262"/>
  <c r="F30" i="262" s="1"/>
  <c r="K23" i="262" s="1"/>
  <c r="K22" i="262" s="1"/>
  <c r="D27" i="262"/>
  <c r="D28" i="262"/>
  <c r="D29" i="262"/>
  <c r="D32" i="262"/>
  <c r="H32" i="262"/>
  <c r="J32" i="262"/>
  <c r="K32" i="262"/>
  <c r="D33" i="262"/>
  <c r="B59" i="276" s="1"/>
  <c r="H33" i="262"/>
  <c r="J33" i="262"/>
  <c r="K33" i="262"/>
  <c r="D34" i="262"/>
  <c r="D35" i="262"/>
  <c r="D36" i="262"/>
  <c r="C38" i="262"/>
  <c r="H39" i="262" s="1"/>
  <c r="E38" i="262"/>
  <c r="J39" i="262" s="1"/>
  <c r="F38" i="262"/>
  <c r="K39" i="262" s="1"/>
  <c r="E39" i="262"/>
  <c r="F39" i="262"/>
  <c r="C40" i="262"/>
  <c r="D40" i="262" s="1"/>
  <c r="E40" i="262"/>
  <c r="F40" i="262"/>
  <c r="F50" i="262" s="1"/>
  <c r="C42" i="262"/>
  <c r="C52" i="262" s="1"/>
  <c r="D52" i="262" s="1"/>
  <c r="E42" i="262"/>
  <c r="F42" i="262"/>
  <c r="C43" i="262"/>
  <c r="D43" i="262" s="1"/>
  <c r="E43" i="262"/>
  <c r="F43" i="262"/>
  <c r="C44" i="262"/>
  <c r="D44" i="262"/>
  <c r="E44" i="262"/>
  <c r="E54" i="262" s="1"/>
  <c r="F44" i="262"/>
  <c r="C45" i="262"/>
  <c r="E45" i="262"/>
  <c r="E55" i="262" s="1"/>
  <c r="F45" i="262"/>
  <c r="F55" i="262" s="1"/>
  <c r="C48" i="262"/>
  <c r="H49" i="262" s="1"/>
  <c r="E48" i="262"/>
  <c r="J49" i="262" s="1"/>
  <c r="F48" i="262"/>
  <c r="E49" i="262"/>
  <c r="F49" i="262"/>
  <c r="E50" i="262"/>
  <c r="E52" i="262"/>
  <c r="F52" i="262"/>
  <c r="E53" i="262"/>
  <c r="F53" i="262"/>
  <c r="C54" i="262"/>
  <c r="F54" i="262"/>
  <c r="C55" i="262"/>
  <c r="D55" i="262" s="1"/>
  <c r="D6" i="261"/>
  <c r="I7" i="261" s="1"/>
  <c r="D7" i="261"/>
  <c r="H7" i="261"/>
  <c r="J7" i="261"/>
  <c r="K7" i="261"/>
  <c r="D8" i="261"/>
  <c r="C9" i="261"/>
  <c r="D9" i="261" s="1"/>
  <c r="E9" i="261"/>
  <c r="E41" i="261" s="1"/>
  <c r="F9" i="261"/>
  <c r="F12" i="261" s="1"/>
  <c r="K6" i="261" s="1"/>
  <c r="K5" i="261" s="1"/>
  <c r="D10" i="261"/>
  <c r="D11" i="261"/>
  <c r="C12" i="261"/>
  <c r="D12" i="261" s="1"/>
  <c r="D14" i="261"/>
  <c r="H46" i="39" s="1"/>
  <c r="D15" i="261"/>
  <c r="H15" i="261"/>
  <c r="I15" i="261"/>
  <c r="J15" i="261"/>
  <c r="K15" i="261"/>
  <c r="D16" i="261"/>
  <c r="C17" i="261"/>
  <c r="D17" i="261" s="1"/>
  <c r="F17" i="261"/>
  <c r="F21" i="261" s="1"/>
  <c r="D18" i="261"/>
  <c r="D19" i="261"/>
  <c r="D20" i="261"/>
  <c r="E21" i="261"/>
  <c r="J14" i="261" s="1"/>
  <c r="J22" i="261"/>
  <c r="D23" i="261"/>
  <c r="I24" i="261" s="1"/>
  <c r="D24" i="261"/>
  <c r="H24" i="261"/>
  <c r="J24" i="261"/>
  <c r="K24" i="261"/>
  <c r="D25" i="261"/>
  <c r="C26" i="261"/>
  <c r="D26" i="261" s="1"/>
  <c r="E26" i="261"/>
  <c r="E30" i="261" s="1"/>
  <c r="J23" i="261" s="1"/>
  <c r="F26" i="261"/>
  <c r="D27" i="261"/>
  <c r="D28" i="261"/>
  <c r="D29" i="261"/>
  <c r="H31" i="261"/>
  <c r="D32" i="261"/>
  <c r="G60" i="276" s="1"/>
  <c r="H32" i="261"/>
  <c r="J32" i="261"/>
  <c r="K32" i="261"/>
  <c r="K31" i="261" s="1"/>
  <c r="D33" i="261"/>
  <c r="B60" i="276" s="1"/>
  <c r="H33" i="261"/>
  <c r="J33" i="261"/>
  <c r="K33" i="261"/>
  <c r="D34" i="261"/>
  <c r="D60" i="276" s="1"/>
  <c r="D35" i="261"/>
  <c r="D36" i="261"/>
  <c r="C60" i="276" s="1"/>
  <c r="C38" i="261"/>
  <c r="D38" i="261" s="1"/>
  <c r="I39" i="261" s="1"/>
  <c r="E38" i="261"/>
  <c r="J39" i="261" s="1"/>
  <c r="F38" i="261"/>
  <c r="K39" i="261" s="1"/>
  <c r="C39" i="261"/>
  <c r="D39" i="261" s="1"/>
  <c r="E39" i="261"/>
  <c r="F39" i="261"/>
  <c r="F49" i="261" s="1"/>
  <c r="H39" i="261"/>
  <c r="C40" i="261"/>
  <c r="D40" i="261"/>
  <c r="E40" i="261"/>
  <c r="E50" i="261" s="1"/>
  <c r="E51" i="261" s="1"/>
  <c r="F40" i="261"/>
  <c r="C42" i="261"/>
  <c r="E42" i="261"/>
  <c r="F42" i="261"/>
  <c r="F52" i="261" s="1"/>
  <c r="C43" i="261"/>
  <c r="D43" i="261" s="1"/>
  <c r="E43" i="261"/>
  <c r="F43" i="261"/>
  <c r="F53" i="261" s="1"/>
  <c r="C44" i="261"/>
  <c r="D44" i="261" s="1"/>
  <c r="E44" i="261"/>
  <c r="F44" i="261"/>
  <c r="C45" i="261"/>
  <c r="E45" i="261"/>
  <c r="E55" i="261" s="1"/>
  <c r="F45" i="261"/>
  <c r="C48" i="261"/>
  <c r="D48" i="261" s="1"/>
  <c r="I49" i="261" s="1"/>
  <c r="E48" i="261"/>
  <c r="E49" i="261"/>
  <c r="H49" i="261"/>
  <c r="C50" i="261"/>
  <c r="F50" i="261"/>
  <c r="C52" i="261"/>
  <c r="E52" i="261"/>
  <c r="C53" i="261"/>
  <c r="D53" i="261" s="1"/>
  <c r="E53" i="261"/>
  <c r="C54" i="261"/>
  <c r="D54" i="261" s="1"/>
  <c r="E54" i="261"/>
  <c r="F54" i="261"/>
  <c r="F55" i="261"/>
  <c r="D6" i="260"/>
  <c r="I7" i="260" s="1"/>
  <c r="C7" i="260"/>
  <c r="H7" i="260"/>
  <c r="J7" i="260"/>
  <c r="K7" i="260"/>
  <c r="D8" i="260"/>
  <c r="E9" i="260"/>
  <c r="F9" i="260"/>
  <c r="F42" i="260" s="1"/>
  <c r="D10" i="260"/>
  <c r="D11" i="260"/>
  <c r="E12" i="260"/>
  <c r="J6" i="260" s="1"/>
  <c r="F12" i="260"/>
  <c r="D14" i="260"/>
  <c r="I15" i="260" s="1"/>
  <c r="D15" i="260"/>
  <c r="H15" i="260"/>
  <c r="J15" i="260"/>
  <c r="K15" i="260"/>
  <c r="D16" i="260"/>
  <c r="C17" i="260"/>
  <c r="D17" i="260" s="1"/>
  <c r="C45" i="39" s="1"/>
  <c r="E17" i="260"/>
  <c r="E21" i="260" s="1"/>
  <c r="J14" i="260" s="1"/>
  <c r="F17" i="260"/>
  <c r="D18" i="260"/>
  <c r="D19" i="260"/>
  <c r="D20" i="260"/>
  <c r="F21" i="260"/>
  <c r="K14" i="260" s="1"/>
  <c r="D23" i="260"/>
  <c r="D24" i="260"/>
  <c r="H24" i="260"/>
  <c r="I24" i="260"/>
  <c r="J24" i="260"/>
  <c r="K24" i="260"/>
  <c r="D25" i="260"/>
  <c r="C26" i="260"/>
  <c r="C30" i="260" s="1"/>
  <c r="E26" i="260"/>
  <c r="F26" i="260"/>
  <c r="F30" i="260" s="1"/>
  <c r="K23" i="260" s="1"/>
  <c r="K22" i="260" s="1"/>
  <c r="D27" i="260"/>
  <c r="D28" i="260"/>
  <c r="D29" i="260"/>
  <c r="E30" i="260"/>
  <c r="J23" i="260" s="1"/>
  <c r="D32" i="260"/>
  <c r="G61" i="276" s="1"/>
  <c r="H32" i="260"/>
  <c r="J32" i="260"/>
  <c r="J31" i="260" s="1"/>
  <c r="K32" i="260"/>
  <c r="K31" i="260" s="1"/>
  <c r="D33" i="260"/>
  <c r="B61" i="276" s="1"/>
  <c r="H33" i="260"/>
  <c r="I33" i="260"/>
  <c r="J33" i="260"/>
  <c r="K33" i="260"/>
  <c r="D34" i="260"/>
  <c r="D35" i="260"/>
  <c r="D36" i="260"/>
  <c r="C61" i="276" s="1"/>
  <c r="D37" i="260"/>
  <c r="C39" i="260"/>
  <c r="D39" i="260" s="1"/>
  <c r="I40" i="260" s="1"/>
  <c r="E39" i="260"/>
  <c r="E49" i="260" s="1"/>
  <c r="F39" i="260"/>
  <c r="E40" i="260"/>
  <c r="E50" i="260" s="1"/>
  <c r="F40" i="260"/>
  <c r="K40" i="260"/>
  <c r="C41" i="260"/>
  <c r="D41" i="260" s="1"/>
  <c r="E41" i="260"/>
  <c r="F41" i="260"/>
  <c r="C43" i="260"/>
  <c r="D43" i="260" s="1"/>
  <c r="E43" i="260"/>
  <c r="E53" i="260" s="1"/>
  <c r="F43" i="260"/>
  <c r="C44" i="260"/>
  <c r="D44" i="260"/>
  <c r="E44" i="260"/>
  <c r="E54" i="260" s="1"/>
  <c r="F44" i="260"/>
  <c r="C45" i="260"/>
  <c r="E45" i="260"/>
  <c r="E55" i="260" s="1"/>
  <c r="F45" i="260"/>
  <c r="C46" i="260"/>
  <c r="D46" i="260" s="1"/>
  <c r="E46" i="260"/>
  <c r="E56" i="260" s="1"/>
  <c r="F46" i="260"/>
  <c r="F49" i="260"/>
  <c r="F50" i="260"/>
  <c r="K50" i="260"/>
  <c r="E51" i="260"/>
  <c r="E52" i="260" s="1"/>
  <c r="F51" i="260"/>
  <c r="F52" i="260" s="1"/>
  <c r="F57" i="260" s="1"/>
  <c r="F53" i="260"/>
  <c r="C54" i="260"/>
  <c r="F54" i="260"/>
  <c r="C55" i="260"/>
  <c r="F55" i="260"/>
  <c r="C56" i="260"/>
  <c r="F56" i="260"/>
  <c r="D6" i="259"/>
  <c r="I6" i="259"/>
  <c r="C7" i="259"/>
  <c r="C41" i="259" s="1"/>
  <c r="H7" i="259"/>
  <c r="I7" i="259"/>
  <c r="J7" i="259"/>
  <c r="K7" i="259"/>
  <c r="E10" i="259"/>
  <c r="E13" i="259" s="1"/>
  <c r="F10" i="259"/>
  <c r="F13" i="259" s="1"/>
  <c r="D15" i="259"/>
  <c r="H15" i="259"/>
  <c r="H14" i="259" s="1"/>
  <c r="I15" i="259"/>
  <c r="H16" i="259"/>
  <c r="I16" i="259"/>
  <c r="J16" i="259"/>
  <c r="K16" i="259"/>
  <c r="C19" i="259"/>
  <c r="E19" i="259"/>
  <c r="F19" i="259"/>
  <c r="F23" i="259" s="1"/>
  <c r="K15" i="259" s="1"/>
  <c r="K14" i="259" s="1"/>
  <c r="C23" i="259"/>
  <c r="D25" i="259"/>
  <c r="D26" i="259"/>
  <c r="H26" i="259"/>
  <c r="I26" i="259"/>
  <c r="J26" i="259"/>
  <c r="K26" i="259"/>
  <c r="D27" i="259"/>
  <c r="C28" i="259"/>
  <c r="E28" i="259"/>
  <c r="F28" i="259"/>
  <c r="F32" i="259" s="1"/>
  <c r="K25" i="259" s="1"/>
  <c r="K24" i="259" s="1"/>
  <c r="D29" i="259"/>
  <c r="D30" i="259"/>
  <c r="D31" i="259"/>
  <c r="E32" i="259"/>
  <c r="J25" i="259" s="1"/>
  <c r="J24" i="259" s="1"/>
  <c r="D34" i="259"/>
  <c r="G62" i="276" s="1"/>
  <c r="F62" i="276" s="1"/>
  <c r="H35" i="259"/>
  <c r="J35" i="259"/>
  <c r="K35" i="259"/>
  <c r="C38" i="259"/>
  <c r="H34" i="259" s="1"/>
  <c r="H33" i="259" s="1"/>
  <c r="E38" i="259"/>
  <c r="J34" i="259" s="1"/>
  <c r="J33" i="259" s="1"/>
  <c r="F38" i="259"/>
  <c r="K34" i="259" s="1"/>
  <c r="K33" i="259" s="1"/>
  <c r="C40" i="259"/>
  <c r="E40" i="259"/>
  <c r="F40" i="259"/>
  <c r="E41" i="259"/>
  <c r="F41" i="259"/>
  <c r="J41" i="259"/>
  <c r="C42" i="259"/>
  <c r="E42" i="259"/>
  <c r="E53" i="259" s="1"/>
  <c r="F42" i="259"/>
  <c r="F53" i="259" s="1"/>
  <c r="C43" i="259"/>
  <c r="E43" i="259"/>
  <c r="F43" i="259"/>
  <c r="F54" i="259" s="1"/>
  <c r="F44" i="259"/>
  <c r="C45" i="259"/>
  <c r="E45" i="259"/>
  <c r="F45" i="259"/>
  <c r="F56" i="259" s="1"/>
  <c r="C46" i="259"/>
  <c r="E46" i="259"/>
  <c r="F46" i="259"/>
  <c r="F57" i="259" s="1"/>
  <c r="C47" i="259"/>
  <c r="E47" i="259"/>
  <c r="F47" i="259"/>
  <c r="C48" i="259"/>
  <c r="E48" i="259"/>
  <c r="E59" i="259" s="1"/>
  <c r="F48" i="259"/>
  <c r="F59" i="259" s="1"/>
  <c r="E51" i="259"/>
  <c r="J52" i="259" s="1"/>
  <c r="I51" i="259"/>
  <c r="E52" i="259"/>
  <c r="C53" i="259"/>
  <c r="C56" i="259"/>
  <c r="E56" i="259"/>
  <c r="E57" i="259"/>
  <c r="E58" i="259"/>
  <c r="F58" i="259"/>
  <c r="C69" i="259"/>
  <c r="C37" i="154"/>
  <c r="D40" i="251"/>
  <c r="Z5" i="251"/>
  <c r="G5" i="251" s="1"/>
  <c r="Q54" i="251"/>
  <c r="O54" i="251"/>
  <c r="N54" i="251"/>
  <c r="L54" i="251"/>
  <c r="Q53" i="251"/>
  <c r="O53" i="251"/>
  <c r="N53" i="251"/>
  <c r="M53" i="251"/>
  <c r="L53" i="251"/>
  <c r="Q52" i="251"/>
  <c r="O52" i="251"/>
  <c r="N52" i="251"/>
  <c r="L52" i="251"/>
  <c r="Q51" i="251"/>
  <c r="O51" i="251"/>
  <c r="N51" i="251"/>
  <c r="L51" i="251"/>
  <c r="Q50" i="251"/>
  <c r="N50" i="251"/>
  <c r="L50" i="251"/>
  <c r="Q49" i="251"/>
  <c r="N49" i="251"/>
  <c r="M49" i="251"/>
  <c r="L49" i="251"/>
  <c r="Q48" i="251"/>
  <c r="N48" i="251"/>
  <c r="M48" i="251"/>
  <c r="L48" i="251"/>
  <c r="Q47" i="251"/>
  <c r="N47" i="251"/>
  <c r="M47" i="251"/>
  <c r="L47" i="251"/>
  <c r="F12" i="251"/>
  <c r="E13" i="251"/>
  <c r="F13" i="251"/>
  <c r="F14" i="251"/>
  <c r="D15" i="251"/>
  <c r="F15" i="251"/>
  <c r="D16" i="251"/>
  <c r="D17" i="251"/>
  <c r="H18" i="251"/>
  <c r="D19" i="251"/>
  <c r="H19" i="251"/>
  <c r="E11" i="251"/>
  <c r="F11" i="251"/>
  <c r="AA19" i="251"/>
  <c r="Y19" i="251"/>
  <c r="F19" i="251" s="1"/>
  <c r="X19" i="251"/>
  <c r="E19" i="251" s="1"/>
  <c r="V19" i="251"/>
  <c r="C19" i="251" s="1"/>
  <c r="AA18" i="251"/>
  <c r="Y18" i="251"/>
  <c r="F18" i="251" s="1"/>
  <c r="X18" i="251"/>
  <c r="E18" i="251" s="1"/>
  <c r="W18" i="251"/>
  <c r="D18" i="251" s="1"/>
  <c r="V18" i="251"/>
  <c r="C18" i="251" s="1"/>
  <c r="AA17" i="251"/>
  <c r="H17" i="251" s="1"/>
  <c r="Y17" i="251"/>
  <c r="F17" i="251" s="1"/>
  <c r="X17" i="251"/>
  <c r="E17" i="251" s="1"/>
  <c r="V17" i="251"/>
  <c r="C17" i="251" s="1"/>
  <c r="AA16" i="251"/>
  <c r="H16" i="251" s="1"/>
  <c r="Y16" i="251"/>
  <c r="F16" i="251" s="1"/>
  <c r="X16" i="251"/>
  <c r="E16" i="251" s="1"/>
  <c r="V16" i="251"/>
  <c r="C16" i="251" s="1"/>
  <c r="AA15" i="251"/>
  <c r="H15" i="251" s="1"/>
  <c r="X15" i="251"/>
  <c r="E15" i="251" s="1"/>
  <c r="V15" i="251"/>
  <c r="C15" i="251" s="1"/>
  <c r="AA14" i="251"/>
  <c r="H14" i="251" s="1"/>
  <c r="X14" i="251"/>
  <c r="E14" i="251" s="1"/>
  <c r="W14" i="251"/>
  <c r="D14" i="251" s="1"/>
  <c r="V14" i="251"/>
  <c r="C14" i="251" s="1"/>
  <c r="AA13" i="251"/>
  <c r="H13" i="251" s="1"/>
  <c r="X13" i="251"/>
  <c r="W13" i="251"/>
  <c r="D13" i="251" s="1"/>
  <c r="V13" i="251"/>
  <c r="C13" i="251" s="1"/>
  <c r="AA12" i="251"/>
  <c r="H12" i="251" s="1"/>
  <c r="X12" i="251"/>
  <c r="E12" i="251" s="1"/>
  <c r="W12" i="251"/>
  <c r="D12" i="251" s="1"/>
  <c r="V12" i="251"/>
  <c r="C12" i="251" s="1"/>
  <c r="Q19" i="251"/>
  <c r="O19" i="251"/>
  <c r="N19" i="251"/>
  <c r="L19" i="251"/>
  <c r="Q18" i="251"/>
  <c r="O18" i="251"/>
  <c r="N18" i="251"/>
  <c r="M18" i="251"/>
  <c r="L18" i="251"/>
  <c r="Q17" i="251"/>
  <c r="O17" i="251"/>
  <c r="N17" i="251"/>
  <c r="L17" i="251"/>
  <c r="Q16" i="251"/>
  <c r="O16" i="251"/>
  <c r="N16" i="251"/>
  <c r="L16" i="251"/>
  <c r="Q15" i="251"/>
  <c r="N15" i="251"/>
  <c r="L15" i="251"/>
  <c r="Q14" i="251"/>
  <c r="N14" i="251"/>
  <c r="M14" i="251"/>
  <c r="L14" i="251"/>
  <c r="Q13" i="251"/>
  <c r="N13" i="251"/>
  <c r="M13" i="251"/>
  <c r="L13" i="251"/>
  <c r="Q12" i="251"/>
  <c r="N12" i="251"/>
  <c r="M12" i="251"/>
  <c r="L12" i="251"/>
  <c r="E45" i="251"/>
  <c r="H54" i="251"/>
  <c r="F54" i="251"/>
  <c r="E54" i="251"/>
  <c r="H53" i="251"/>
  <c r="F53" i="251"/>
  <c r="E53" i="251"/>
  <c r="D53" i="251"/>
  <c r="C53" i="251"/>
  <c r="H52" i="251"/>
  <c r="F52" i="251"/>
  <c r="E52" i="251"/>
  <c r="C52" i="251"/>
  <c r="H51" i="251"/>
  <c r="F51" i="251"/>
  <c r="E51" i="251"/>
  <c r="C51" i="251"/>
  <c r="H50" i="251"/>
  <c r="E50" i="251"/>
  <c r="C50" i="251"/>
  <c r="H49" i="251"/>
  <c r="E49" i="251"/>
  <c r="D49" i="251"/>
  <c r="C49" i="251"/>
  <c r="H48" i="251"/>
  <c r="D48" i="251"/>
  <c r="C48" i="251"/>
  <c r="E47" i="251"/>
  <c r="D47" i="251"/>
  <c r="C47" i="251"/>
  <c r="E5" i="251"/>
  <c r="F5" i="251"/>
  <c r="L5" i="251"/>
  <c r="M5" i="251"/>
  <c r="P5" i="251"/>
  <c r="Q5" i="251"/>
  <c r="V5" i="251"/>
  <c r="C5" i="251" s="1"/>
  <c r="W5" i="251"/>
  <c r="D5" i="251" s="1"/>
  <c r="AA5" i="251"/>
  <c r="H5" i="251" s="1"/>
  <c r="E6" i="251"/>
  <c r="F6" i="251"/>
  <c r="L6" i="251"/>
  <c r="M6" i="251"/>
  <c r="P6" i="251"/>
  <c r="Q6" i="251"/>
  <c r="V6" i="251"/>
  <c r="C6" i="251" s="1"/>
  <c r="W6" i="251"/>
  <c r="D6" i="251" s="1"/>
  <c r="Z6" i="251"/>
  <c r="G6" i="251" s="1"/>
  <c r="AA6" i="251"/>
  <c r="H6" i="251" s="1"/>
  <c r="E7" i="251"/>
  <c r="F7" i="251"/>
  <c r="L7" i="251"/>
  <c r="M7" i="251"/>
  <c r="P7" i="251"/>
  <c r="Q7" i="251"/>
  <c r="V7" i="251"/>
  <c r="C7" i="251" s="1"/>
  <c r="W7" i="251"/>
  <c r="D7" i="251" s="1"/>
  <c r="Z7" i="251"/>
  <c r="G7" i="251" s="1"/>
  <c r="AA7" i="251"/>
  <c r="H7" i="251" s="1"/>
  <c r="D8" i="251"/>
  <c r="E8" i="251"/>
  <c r="F8" i="251"/>
  <c r="L8" i="251"/>
  <c r="P8" i="251"/>
  <c r="Q8" i="251"/>
  <c r="V8" i="251"/>
  <c r="C8" i="251" s="1"/>
  <c r="Z8" i="251"/>
  <c r="G8" i="251" s="1"/>
  <c r="AA8" i="251"/>
  <c r="H8" i="251" s="1"/>
  <c r="E9" i="251"/>
  <c r="L9" i="251"/>
  <c r="M9" i="251"/>
  <c r="O9" i="251"/>
  <c r="P9" i="251"/>
  <c r="Q9" i="251"/>
  <c r="V9" i="251"/>
  <c r="C9" i="251" s="1"/>
  <c r="W9" i="251"/>
  <c r="D9" i="251" s="1"/>
  <c r="Y9" i="251"/>
  <c r="F9" i="251" s="1"/>
  <c r="Z9" i="251"/>
  <c r="G9" i="251" s="1"/>
  <c r="AA9" i="251"/>
  <c r="H9" i="251" s="1"/>
  <c r="F10" i="251"/>
  <c r="G10" i="251"/>
  <c r="L10" i="251"/>
  <c r="M10" i="251"/>
  <c r="N10" i="251"/>
  <c r="Q10" i="251"/>
  <c r="V10" i="251"/>
  <c r="C10" i="251" s="1"/>
  <c r="W10" i="251"/>
  <c r="D10" i="251" s="1"/>
  <c r="X10" i="251"/>
  <c r="E10" i="251" s="1"/>
  <c r="AA10" i="251"/>
  <c r="H10" i="251" s="1"/>
  <c r="L11" i="251"/>
  <c r="M11" i="251"/>
  <c r="P11" i="251"/>
  <c r="Q11" i="251"/>
  <c r="V11" i="251"/>
  <c r="C11" i="251" s="1"/>
  <c r="W11" i="251"/>
  <c r="D11" i="251" s="1"/>
  <c r="Z11" i="251"/>
  <c r="G11" i="251" s="1"/>
  <c r="AA11" i="251"/>
  <c r="H11" i="251" s="1"/>
  <c r="G23" i="251"/>
  <c r="F20" i="276" s="1"/>
  <c r="P23" i="251"/>
  <c r="N20" i="276" s="1"/>
  <c r="G24" i="251"/>
  <c r="F19" i="276" s="1"/>
  <c r="P24" i="251"/>
  <c r="N19" i="276" s="1"/>
  <c r="G25" i="251"/>
  <c r="F18" i="276" s="1"/>
  <c r="P25" i="251"/>
  <c r="N18" i="276" s="1"/>
  <c r="G26" i="251"/>
  <c r="F17" i="276" s="1"/>
  <c r="P26" i="251"/>
  <c r="N17" i="276" s="1"/>
  <c r="G27" i="251"/>
  <c r="F16" i="276" s="1"/>
  <c r="P27" i="251"/>
  <c r="N16" i="276" s="1"/>
  <c r="G28" i="251"/>
  <c r="F15" i="276" s="1"/>
  <c r="P28" i="251"/>
  <c r="N15" i="276" s="1"/>
  <c r="G29" i="251"/>
  <c r="F14" i="276" s="1"/>
  <c r="P29" i="251"/>
  <c r="N14" i="276" s="1"/>
  <c r="F30" i="251"/>
  <c r="P30" i="251"/>
  <c r="N13" i="276" s="1"/>
  <c r="F31" i="251"/>
  <c r="P31" i="251"/>
  <c r="N12" i="276" s="1"/>
  <c r="G32" i="251"/>
  <c r="P32" i="251"/>
  <c r="N11" i="276" s="1"/>
  <c r="H34" i="251"/>
  <c r="Q34" i="251"/>
  <c r="O9" i="276" s="1"/>
  <c r="G35" i="251"/>
  <c r="P35" i="251"/>
  <c r="N8" i="276" s="1"/>
  <c r="C40" i="251"/>
  <c r="L40" i="251"/>
  <c r="M40" i="251"/>
  <c r="P40" i="251"/>
  <c r="Q40" i="251"/>
  <c r="C41" i="251"/>
  <c r="D41" i="251"/>
  <c r="G41" i="251"/>
  <c r="L41" i="251"/>
  <c r="M41" i="251"/>
  <c r="P41" i="251"/>
  <c r="Q41" i="251"/>
  <c r="C42" i="251"/>
  <c r="D42" i="251"/>
  <c r="G42" i="251"/>
  <c r="L42" i="251"/>
  <c r="M42" i="251"/>
  <c r="P42" i="251"/>
  <c r="Q42" i="251"/>
  <c r="C43" i="251"/>
  <c r="G43" i="251"/>
  <c r="L43" i="251"/>
  <c r="P43" i="251"/>
  <c r="Q43" i="251"/>
  <c r="C44" i="251"/>
  <c r="D44" i="251"/>
  <c r="F44" i="251"/>
  <c r="G44" i="251"/>
  <c r="L44" i="251"/>
  <c r="M44" i="251"/>
  <c r="O44" i="251"/>
  <c r="P44" i="251"/>
  <c r="Q44" i="251"/>
  <c r="C45" i="251"/>
  <c r="D45" i="251"/>
  <c r="L45" i="251"/>
  <c r="M45" i="251"/>
  <c r="N45" i="251"/>
  <c r="Q45" i="251"/>
  <c r="C46" i="251"/>
  <c r="D46" i="251"/>
  <c r="G46" i="251"/>
  <c r="L46" i="251"/>
  <c r="M46" i="251"/>
  <c r="P46" i="251"/>
  <c r="Q46" i="251"/>
  <c r="P58" i="251"/>
  <c r="P59" i="251"/>
  <c r="P60" i="251"/>
  <c r="P61" i="251"/>
  <c r="P62" i="251"/>
  <c r="P63" i="251"/>
  <c r="P64" i="251"/>
  <c r="P65" i="251"/>
  <c r="P66" i="251"/>
  <c r="P67" i="251"/>
  <c r="Q69" i="251"/>
  <c r="Q70" i="251"/>
  <c r="E46" i="154"/>
  <c r="E46" i="39"/>
  <c r="F46" i="39"/>
  <c r="Z11" i="40"/>
  <c r="X11" i="40"/>
  <c r="F11" i="40" s="1"/>
  <c r="W11" i="40"/>
  <c r="E11" i="40" s="1"/>
  <c r="V11" i="40"/>
  <c r="D11" i="40" s="1"/>
  <c r="U11" i="40"/>
  <c r="C11" i="40" s="1"/>
  <c r="Z10" i="40"/>
  <c r="X10" i="40"/>
  <c r="F10" i="40" s="1"/>
  <c r="W10" i="40"/>
  <c r="E10" i="40" s="1"/>
  <c r="V10" i="40"/>
  <c r="D10" i="40" s="1"/>
  <c r="U10" i="40"/>
  <c r="C10" i="40" s="1"/>
  <c r="Z9" i="40"/>
  <c r="H9" i="40" s="1"/>
  <c r="X9" i="40"/>
  <c r="F9" i="40" s="1"/>
  <c r="W9" i="40"/>
  <c r="E9" i="40" s="1"/>
  <c r="V9" i="40"/>
  <c r="D9" i="40" s="1"/>
  <c r="U9" i="40"/>
  <c r="C9" i="40" s="1"/>
  <c r="Z8" i="40"/>
  <c r="H8" i="40" s="1"/>
  <c r="W8" i="40"/>
  <c r="E8" i="40" s="1"/>
  <c r="V8" i="40"/>
  <c r="D8" i="40" s="1"/>
  <c r="U8" i="40"/>
  <c r="C8" i="40" s="1"/>
  <c r="Z7" i="40"/>
  <c r="H7" i="40" s="1"/>
  <c r="W7" i="40"/>
  <c r="E7" i="40" s="1"/>
  <c r="V7" i="40"/>
  <c r="D7" i="40" s="1"/>
  <c r="U7" i="40"/>
  <c r="C7" i="40" s="1"/>
  <c r="Z6" i="40"/>
  <c r="H6" i="40" s="1"/>
  <c r="W6" i="40"/>
  <c r="E6" i="40" s="1"/>
  <c r="V6" i="40"/>
  <c r="D6" i="40" s="1"/>
  <c r="U6" i="40"/>
  <c r="C6" i="40" s="1"/>
  <c r="Z5" i="40"/>
  <c r="H5" i="40" s="1"/>
  <c r="W5" i="40"/>
  <c r="E5" i="40" s="1"/>
  <c r="V5" i="40"/>
  <c r="D5" i="40" s="1"/>
  <c r="U5" i="40"/>
  <c r="C5" i="40" s="1"/>
  <c r="Q11" i="40"/>
  <c r="O11" i="40"/>
  <c r="N11" i="40"/>
  <c r="M11" i="40"/>
  <c r="L11" i="40"/>
  <c r="Q10" i="40"/>
  <c r="O10" i="40"/>
  <c r="N10" i="40"/>
  <c r="M10" i="40"/>
  <c r="L10" i="40"/>
  <c r="Q9" i="40"/>
  <c r="O9" i="40"/>
  <c r="N9" i="40"/>
  <c r="M9" i="40"/>
  <c r="L9" i="40"/>
  <c r="Q8" i="40"/>
  <c r="N8" i="40"/>
  <c r="M8" i="40"/>
  <c r="L8" i="40"/>
  <c r="Q7" i="40"/>
  <c r="N7" i="40"/>
  <c r="M7" i="40"/>
  <c r="L7" i="40"/>
  <c r="Q6" i="40"/>
  <c r="N6" i="40"/>
  <c r="M6" i="40"/>
  <c r="L6" i="40"/>
  <c r="Q5" i="40"/>
  <c r="N5" i="40"/>
  <c r="M5" i="40"/>
  <c r="L5" i="40"/>
  <c r="Q43" i="40"/>
  <c r="O43" i="40"/>
  <c r="N43" i="40"/>
  <c r="M43" i="40"/>
  <c r="L43" i="40"/>
  <c r="Q42" i="40"/>
  <c r="O42" i="40"/>
  <c r="N42" i="40"/>
  <c r="M42" i="40"/>
  <c r="L42" i="40"/>
  <c r="Q41" i="40"/>
  <c r="O41" i="40"/>
  <c r="N41" i="40"/>
  <c r="M41" i="40"/>
  <c r="L41" i="40"/>
  <c r="Q40" i="40"/>
  <c r="N40" i="40"/>
  <c r="M40" i="40"/>
  <c r="L40" i="40"/>
  <c r="Q39" i="40"/>
  <c r="N39" i="40"/>
  <c r="M39" i="40"/>
  <c r="L39" i="40"/>
  <c r="Q38" i="40"/>
  <c r="N38" i="40"/>
  <c r="M38" i="40"/>
  <c r="L38" i="40"/>
  <c r="Q37" i="40"/>
  <c r="N37" i="40"/>
  <c r="M37" i="40"/>
  <c r="L37" i="40"/>
  <c r="F41" i="40"/>
  <c r="Y8" i="39"/>
  <c r="H8" i="39" s="1"/>
  <c r="T5" i="39"/>
  <c r="C5" i="39" s="1"/>
  <c r="Y11" i="39"/>
  <c r="H11" i="39" s="1"/>
  <c r="W11" i="39"/>
  <c r="F11" i="39" s="1"/>
  <c r="V11" i="39"/>
  <c r="E11" i="39" s="1"/>
  <c r="U11" i="39"/>
  <c r="D11" i="39" s="1"/>
  <c r="T11" i="39"/>
  <c r="C11" i="39" s="1"/>
  <c r="Y10" i="39"/>
  <c r="H10" i="39" s="1"/>
  <c r="W10" i="39"/>
  <c r="F10" i="39" s="1"/>
  <c r="V10" i="39"/>
  <c r="E10" i="39" s="1"/>
  <c r="U10" i="39"/>
  <c r="D10" i="39" s="1"/>
  <c r="T10" i="39"/>
  <c r="C10" i="39" s="1"/>
  <c r="Y9" i="39"/>
  <c r="H9" i="39" s="1"/>
  <c r="W9" i="39"/>
  <c r="F9" i="39" s="1"/>
  <c r="V9" i="39"/>
  <c r="E9" i="39" s="1"/>
  <c r="U9" i="39"/>
  <c r="D9" i="39" s="1"/>
  <c r="T9" i="39"/>
  <c r="C9" i="39" s="1"/>
  <c r="V8" i="39"/>
  <c r="E8" i="39" s="1"/>
  <c r="U8" i="39"/>
  <c r="D8" i="39" s="1"/>
  <c r="T8" i="39"/>
  <c r="C8" i="39" s="1"/>
  <c r="Y7" i="39"/>
  <c r="H7" i="39" s="1"/>
  <c r="V7" i="39"/>
  <c r="E7" i="39" s="1"/>
  <c r="U7" i="39"/>
  <c r="T7" i="39"/>
  <c r="C7" i="39" s="1"/>
  <c r="Y6" i="39"/>
  <c r="H6" i="39" s="1"/>
  <c r="V6" i="39"/>
  <c r="E6" i="39" s="1"/>
  <c r="U6" i="39"/>
  <c r="D6" i="39" s="1"/>
  <c r="T6" i="39"/>
  <c r="C6" i="39" s="1"/>
  <c r="Y5" i="39"/>
  <c r="H5" i="39" s="1"/>
  <c r="V5" i="39"/>
  <c r="E5" i="39" s="1"/>
  <c r="U5" i="39"/>
  <c r="D5" i="39" s="1"/>
  <c r="Q11" i="39"/>
  <c r="O11" i="39"/>
  <c r="N11" i="39"/>
  <c r="M11" i="39"/>
  <c r="L11" i="39"/>
  <c r="Q10" i="39"/>
  <c r="O10" i="39"/>
  <c r="N10" i="39"/>
  <c r="M10" i="39"/>
  <c r="L10" i="39"/>
  <c r="Q9" i="39"/>
  <c r="O9" i="39"/>
  <c r="N9" i="39"/>
  <c r="M9" i="39"/>
  <c r="L9" i="39"/>
  <c r="Q8" i="39"/>
  <c r="N8" i="39"/>
  <c r="M8" i="39"/>
  <c r="L8" i="39"/>
  <c r="Q7" i="39"/>
  <c r="N7" i="39"/>
  <c r="M7" i="39"/>
  <c r="L7" i="39"/>
  <c r="Q6" i="39"/>
  <c r="N6" i="39"/>
  <c r="M6" i="39"/>
  <c r="L6" i="39"/>
  <c r="Q5" i="39"/>
  <c r="N5" i="39"/>
  <c r="M5" i="39"/>
  <c r="L5" i="39"/>
  <c r="Q43" i="39"/>
  <c r="O43" i="39"/>
  <c r="N43" i="39"/>
  <c r="M43" i="39"/>
  <c r="L43" i="39"/>
  <c r="Q42" i="39"/>
  <c r="O42" i="39"/>
  <c r="N42" i="39"/>
  <c r="M42" i="39"/>
  <c r="L42" i="39"/>
  <c r="Q41" i="39"/>
  <c r="O41" i="39"/>
  <c r="N41" i="39"/>
  <c r="M41" i="39"/>
  <c r="L41" i="39"/>
  <c r="Q40" i="39"/>
  <c r="N40" i="39"/>
  <c r="M40" i="39"/>
  <c r="L40" i="39"/>
  <c r="Q39" i="39"/>
  <c r="N39" i="39"/>
  <c r="M39" i="39"/>
  <c r="L39" i="39"/>
  <c r="Q38" i="39"/>
  <c r="N38" i="39"/>
  <c r="M38" i="39"/>
  <c r="L38" i="39"/>
  <c r="Q37" i="39"/>
  <c r="N37" i="39"/>
  <c r="M37" i="39"/>
  <c r="L37" i="39"/>
  <c r="H51" i="39"/>
  <c r="F51" i="39"/>
  <c r="E51" i="39"/>
  <c r="D51" i="39"/>
  <c r="C51" i="39"/>
  <c r="H50" i="39"/>
  <c r="F50" i="39"/>
  <c r="E50" i="39"/>
  <c r="D50" i="39"/>
  <c r="H49" i="39"/>
  <c r="F49" i="39"/>
  <c r="E49" i="39"/>
  <c r="D49" i="39"/>
  <c r="C49" i="39"/>
  <c r="H48" i="39"/>
  <c r="F48" i="39"/>
  <c r="E48" i="39"/>
  <c r="H47" i="39"/>
  <c r="F47" i="39"/>
  <c r="E47" i="39"/>
  <c r="D47" i="39"/>
  <c r="D46" i="39"/>
  <c r="C46" i="39"/>
  <c r="H45" i="39"/>
  <c r="F45" i="39"/>
  <c r="E45" i="39"/>
  <c r="D45" i="39"/>
  <c r="H44" i="39"/>
  <c r="F44" i="39"/>
  <c r="E44" i="39"/>
  <c r="D44" i="39"/>
  <c r="C44" i="39"/>
  <c r="U11" i="154"/>
  <c r="G11" i="154" s="1"/>
  <c r="S11" i="154"/>
  <c r="E11" i="154" s="1"/>
  <c r="R11" i="154"/>
  <c r="D11" i="154" s="1"/>
  <c r="Q11" i="154"/>
  <c r="C11" i="154" s="1"/>
  <c r="U10" i="154"/>
  <c r="G10" i="154" s="1"/>
  <c r="S10" i="154"/>
  <c r="E10" i="154" s="1"/>
  <c r="R10" i="154"/>
  <c r="D10" i="154" s="1"/>
  <c r="Q10" i="154"/>
  <c r="C10" i="154" s="1"/>
  <c r="U9" i="154"/>
  <c r="G9" i="154" s="1"/>
  <c r="S9" i="154"/>
  <c r="E9" i="154" s="1"/>
  <c r="R9" i="154"/>
  <c r="D9" i="154" s="1"/>
  <c r="Q9" i="154"/>
  <c r="C9" i="154" s="1"/>
  <c r="U8" i="154"/>
  <c r="G8" i="154" s="1"/>
  <c r="S8" i="154"/>
  <c r="E8" i="154" s="1"/>
  <c r="R8" i="154"/>
  <c r="D8" i="154" s="1"/>
  <c r="Q8" i="154"/>
  <c r="C8" i="154" s="1"/>
  <c r="U7" i="154"/>
  <c r="G7" i="154" s="1"/>
  <c r="S7" i="154"/>
  <c r="E7" i="154" s="1"/>
  <c r="R7" i="154"/>
  <c r="D7" i="154" s="1"/>
  <c r="Q7" i="154"/>
  <c r="C7" i="154" s="1"/>
  <c r="U6" i="154"/>
  <c r="G6" i="154" s="1"/>
  <c r="S6" i="154"/>
  <c r="E6" i="154" s="1"/>
  <c r="R6" i="154"/>
  <c r="D6" i="154" s="1"/>
  <c r="Q6" i="154"/>
  <c r="C6" i="154" s="1"/>
  <c r="U5" i="154"/>
  <c r="S5" i="154"/>
  <c r="E5" i="154" s="1"/>
  <c r="R5" i="154"/>
  <c r="D5" i="154" s="1"/>
  <c r="Q5" i="154"/>
  <c r="C5" i="154" s="1"/>
  <c r="O11" i="154"/>
  <c r="M11" i="154"/>
  <c r="L11" i="154"/>
  <c r="K11" i="154"/>
  <c r="O10" i="154"/>
  <c r="M10" i="154"/>
  <c r="L10" i="154"/>
  <c r="K10" i="154"/>
  <c r="O9" i="154"/>
  <c r="M9" i="154"/>
  <c r="L9" i="154"/>
  <c r="K9" i="154"/>
  <c r="O8" i="154"/>
  <c r="M8" i="154"/>
  <c r="L8" i="154"/>
  <c r="K8" i="154"/>
  <c r="O7" i="154"/>
  <c r="M7" i="154"/>
  <c r="L7" i="154"/>
  <c r="K7" i="154"/>
  <c r="O6" i="154"/>
  <c r="M6" i="154"/>
  <c r="L6" i="154"/>
  <c r="K6" i="154"/>
  <c r="O5" i="154"/>
  <c r="M5" i="154"/>
  <c r="L5" i="154"/>
  <c r="K5" i="154"/>
  <c r="O43" i="154"/>
  <c r="M43" i="154"/>
  <c r="L43" i="154"/>
  <c r="K43" i="154"/>
  <c r="O42" i="154"/>
  <c r="M42" i="154"/>
  <c r="L42" i="154"/>
  <c r="K42" i="154"/>
  <c r="O41" i="154"/>
  <c r="M41" i="154"/>
  <c r="L41" i="154"/>
  <c r="K41" i="154"/>
  <c r="O40" i="154"/>
  <c r="M40" i="154"/>
  <c r="L40" i="154"/>
  <c r="K40" i="154"/>
  <c r="O39" i="154"/>
  <c r="M39" i="154"/>
  <c r="L39" i="154"/>
  <c r="K39" i="154"/>
  <c r="O38" i="154"/>
  <c r="M38" i="154"/>
  <c r="L38" i="154"/>
  <c r="K38" i="154"/>
  <c r="O37" i="154"/>
  <c r="M37" i="154"/>
  <c r="L37" i="154"/>
  <c r="K37" i="154"/>
  <c r="E51" i="154"/>
  <c r="C51" i="154"/>
  <c r="E50" i="154"/>
  <c r="D50" i="154"/>
  <c r="E49" i="154"/>
  <c r="D49" i="154"/>
  <c r="E48" i="154"/>
  <c r="D48" i="154"/>
  <c r="E47" i="154"/>
  <c r="D47" i="154"/>
  <c r="C47" i="154"/>
  <c r="G46" i="154"/>
  <c r="D46" i="154"/>
  <c r="C46" i="154"/>
  <c r="G45" i="154"/>
  <c r="E45" i="154"/>
  <c r="D45" i="154"/>
  <c r="F44" i="154"/>
  <c r="E44" i="154"/>
  <c r="D44" i="154"/>
  <c r="C44" i="154"/>
  <c r="H31" i="260" l="1"/>
  <c r="H31" i="262"/>
  <c r="J5" i="262"/>
  <c r="F49" i="263"/>
  <c r="K52" i="263" s="1"/>
  <c r="I35" i="263"/>
  <c r="G58" i="276"/>
  <c r="F58" i="276" s="1"/>
  <c r="C50" i="264"/>
  <c r="E57" i="264"/>
  <c r="D39" i="264"/>
  <c r="I41" i="264" s="1"/>
  <c r="H41" i="264"/>
  <c r="C49" i="264"/>
  <c r="C53" i="265"/>
  <c r="D43" i="265"/>
  <c r="I32" i="260"/>
  <c r="D61" i="276"/>
  <c r="C53" i="262"/>
  <c r="D53" i="262" s="1"/>
  <c r="F8" i="276"/>
  <c r="G70" i="251"/>
  <c r="F41" i="276" s="1"/>
  <c r="F11" i="276"/>
  <c r="G67" i="251"/>
  <c r="F44" i="276" s="1"/>
  <c r="G30" i="251"/>
  <c r="F13" i="276" s="1"/>
  <c r="E13" i="276"/>
  <c r="E48" i="251"/>
  <c r="G50" i="251"/>
  <c r="C53" i="260"/>
  <c r="C51" i="260"/>
  <c r="D45" i="260"/>
  <c r="F61" i="276"/>
  <c r="C21" i="260"/>
  <c r="H14" i="260" s="1"/>
  <c r="H13" i="260" s="1"/>
  <c r="J5" i="260"/>
  <c r="D52" i="261"/>
  <c r="C41" i="261"/>
  <c r="D41" i="261" s="1"/>
  <c r="I33" i="261"/>
  <c r="J31" i="261"/>
  <c r="C30" i="261"/>
  <c r="J13" i="261"/>
  <c r="D54" i="262"/>
  <c r="C50" i="262"/>
  <c r="D50" i="262" s="1"/>
  <c r="D45" i="262"/>
  <c r="D38" i="262"/>
  <c r="I39" i="262" s="1"/>
  <c r="I32" i="262"/>
  <c r="D59" i="276"/>
  <c r="I33" i="262"/>
  <c r="G59" i="276"/>
  <c r="F59" i="276" s="1"/>
  <c r="H52" i="263"/>
  <c r="J33" i="263"/>
  <c r="E12" i="264"/>
  <c r="E42" i="264"/>
  <c r="D44" i="265"/>
  <c r="C54" i="265"/>
  <c r="D37" i="265"/>
  <c r="I41" i="265" s="1"/>
  <c r="H41" i="265"/>
  <c r="C47" i="265"/>
  <c r="H47" i="251"/>
  <c r="G48" i="251"/>
  <c r="G49" i="251"/>
  <c r="P48" i="251"/>
  <c r="D38" i="259"/>
  <c r="I34" i="259" s="1"/>
  <c r="I35" i="259"/>
  <c r="I5" i="259"/>
  <c r="C49" i="260"/>
  <c r="D49" i="260" s="1"/>
  <c r="I50" i="260" s="1"/>
  <c r="J40" i="260"/>
  <c r="D26" i="260"/>
  <c r="J13" i="260"/>
  <c r="C49" i="261"/>
  <c r="D42" i="261"/>
  <c r="E12" i="261"/>
  <c r="C39" i="262"/>
  <c r="D39" i="262" s="1"/>
  <c r="D7" i="262"/>
  <c r="D17" i="263"/>
  <c r="C48" i="39" s="1"/>
  <c r="C21" i="263"/>
  <c r="D56" i="264"/>
  <c r="F42" i="264"/>
  <c r="F30" i="264"/>
  <c r="K25" i="264" s="1"/>
  <c r="E69" i="251"/>
  <c r="D69" i="251"/>
  <c r="C69" i="251"/>
  <c r="F69" i="251"/>
  <c r="G69" i="251"/>
  <c r="F42" i="276" s="1"/>
  <c r="G9" i="276"/>
  <c r="G31" i="251"/>
  <c r="E12" i="276"/>
  <c r="F66" i="251"/>
  <c r="E45" i="276" s="1"/>
  <c r="D40" i="259"/>
  <c r="I41" i="259" s="1"/>
  <c r="C51" i="259"/>
  <c r="H14" i="37" s="1"/>
  <c r="F60" i="276"/>
  <c r="C21" i="261"/>
  <c r="J31" i="262"/>
  <c r="J6" i="263"/>
  <c r="F57" i="264"/>
  <c r="C9" i="264"/>
  <c r="C12" i="264" s="1"/>
  <c r="D7" i="264"/>
  <c r="D42" i="265"/>
  <c r="C52" i="265"/>
  <c r="G56" i="276"/>
  <c r="I35" i="265"/>
  <c r="D19" i="265"/>
  <c r="I15" i="265" s="1"/>
  <c r="I14" i="265" s="1"/>
  <c r="H15" i="265"/>
  <c r="H14" i="265" s="1"/>
  <c r="C48" i="266"/>
  <c r="D54" i="264"/>
  <c r="D46" i="264"/>
  <c r="I25" i="265"/>
  <c r="I24" i="265" s="1"/>
  <c r="J14" i="265"/>
  <c r="C12" i="265"/>
  <c r="D12" i="265" s="1"/>
  <c r="K11" i="266"/>
  <c r="D51" i="264"/>
  <c r="D44" i="264"/>
  <c r="K33" i="264"/>
  <c r="D41" i="265"/>
  <c r="D39" i="265"/>
  <c r="K33" i="265"/>
  <c r="H34" i="265"/>
  <c r="H33" i="265" s="1"/>
  <c r="I34" i="265"/>
  <c r="I33" i="265" s="1"/>
  <c r="E56" i="276"/>
  <c r="J24" i="265"/>
  <c r="I6" i="265"/>
  <c r="I5" i="265" s="1"/>
  <c r="K25" i="266"/>
  <c r="I26" i="266"/>
  <c r="I25" i="266" s="1"/>
  <c r="E55" i="276"/>
  <c r="I27" i="266"/>
  <c r="G55" i="276"/>
  <c r="F55" i="276" s="1"/>
  <c r="D53" i="264"/>
  <c r="D45" i="264"/>
  <c r="I35" i="264"/>
  <c r="I33" i="264" s="1"/>
  <c r="G57" i="276"/>
  <c r="F57" i="276" s="1"/>
  <c r="D26" i="264"/>
  <c r="B55" i="276"/>
  <c r="C54" i="251"/>
  <c r="K6" i="266"/>
  <c r="E42" i="276"/>
  <c r="B42" i="276"/>
  <c r="P6" i="39"/>
  <c r="N6" i="154"/>
  <c r="N8" i="154"/>
  <c r="T5" i="154"/>
  <c r="F5" i="154" s="1"/>
  <c r="Y10" i="40"/>
  <c r="G10" i="40" s="1"/>
  <c r="P47" i="251"/>
  <c r="P49" i="251"/>
  <c r="P13" i="251"/>
  <c r="Z14" i="251"/>
  <c r="G14" i="251" s="1"/>
  <c r="C42" i="276"/>
  <c r="P37" i="40"/>
  <c r="P39" i="40"/>
  <c r="H10" i="40"/>
  <c r="Y11" i="40"/>
  <c r="G11" i="40" s="1"/>
  <c r="P10" i="40"/>
  <c r="P11" i="39"/>
  <c r="G5" i="154"/>
  <c r="N11" i="154"/>
  <c r="F51" i="261"/>
  <c r="D41" i="259"/>
  <c r="C52" i="259"/>
  <c r="E57" i="260"/>
  <c r="J49" i="260" s="1"/>
  <c r="J50" i="260"/>
  <c r="D47" i="265"/>
  <c r="I52" i="265" s="1"/>
  <c r="D51" i="265"/>
  <c r="D52" i="265"/>
  <c r="P5" i="40"/>
  <c r="P11" i="40"/>
  <c r="G52" i="251"/>
  <c r="Z15" i="251"/>
  <c r="G15" i="251" s="1"/>
  <c r="P17" i="251"/>
  <c r="D47" i="259"/>
  <c r="C58" i="259"/>
  <c r="H41" i="259"/>
  <c r="P5" i="39"/>
  <c r="P42" i="40"/>
  <c r="H11" i="40"/>
  <c r="P19" i="251"/>
  <c r="Z13" i="251"/>
  <c r="G13" i="251" s="1"/>
  <c r="Z16" i="251"/>
  <c r="G16" i="251" s="1"/>
  <c r="Z19" i="251"/>
  <c r="G19" i="251" s="1"/>
  <c r="G40" i="251"/>
  <c r="F52" i="259"/>
  <c r="I14" i="259"/>
  <c r="I31" i="260"/>
  <c r="K49" i="262"/>
  <c r="C30" i="262"/>
  <c r="D26" i="262"/>
  <c r="D50" i="263"/>
  <c r="C30" i="263"/>
  <c r="C47" i="263" s="1"/>
  <c r="D26" i="263"/>
  <c r="I6" i="263"/>
  <c r="I5" i="263" s="1"/>
  <c r="H6" i="264"/>
  <c r="H5" i="264" s="1"/>
  <c r="D12" i="264"/>
  <c r="I6" i="264" s="1"/>
  <c r="I5" i="264" s="1"/>
  <c r="C47" i="264"/>
  <c r="D47" i="264" s="1"/>
  <c r="E40" i="265"/>
  <c r="E48" i="265"/>
  <c r="J40" i="265"/>
  <c r="J39" i="265" s="1"/>
  <c r="N37" i="154"/>
  <c r="P42" i="39"/>
  <c r="P7" i="40"/>
  <c r="G53" i="251"/>
  <c r="P52" i="251"/>
  <c r="N43" i="154"/>
  <c r="T7" i="154"/>
  <c r="F7" i="154" s="1"/>
  <c r="P7" i="39"/>
  <c r="H46" i="251"/>
  <c r="P51" i="251"/>
  <c r="C10" i="259"/>
  <c r="I6" i="261"/>
  <c r="I5" i="261" s="1"/>
  <c r="D42" i="262"/>
  <c r="H15" i="262"/>
  <c r="H14" i="262" s="1"/>
  <c r="D21" i="262"/>
  <c r="D50" i="264"/>
  <c r="D43" i="259"/>
  <c r="C54" i="259"/>
  <c r="C55" i="259" s="1"/>
  <c r="E23" i="259"/>
  <c r="J15" i="259" s="1"/>
  <c r="J14" i="259" s="1"/>
  <c r="E44" i="259"/>
  <c r="C40" i="260"/>
  <c r="C9" i="260"/>
  <c r="D7" i="260"/>
  <c r="F41" i="261"/>
  <c r="F30" i="261"/>
  <c r="K23" i="261" s="1"/>
  <c r="K22" i="261" s="1"/>
  <c r="C49" i="262"/>
  <c r="H6" i="263"/>
  <c r="H5" i="263" s="1"/>
  <c r="I40" i="264"/>
  <c r="I39" i="264" s="1"/>
  <c r="H52" i="265"/>
  <c r="K36" i="266"/>
  <c r="K35" i="266" s="1"/>
  <c r="F45" i="266"/>
  <c r="K6" i="260"/>
  <c r="K5" i="260" s="1"/>
  <c r="F47" i="260"/>
  <c r="X8" i="39"/>
  <c r="G8" i="39" s="1"/>
  <c r="G51" i="251"/>
  <c r="G54" i="251"/>
  <c r="P12" i="251"/>
  <c r="P14" i="251"/>
  <c r="P16" i="251"/>
  <c r="K49" i="260"/>
  <c r="K48" i="260" s="1"/>
  <c r="H23" i="260"/>
  <c r="H22" i="260" s="1"/>
  <c r="D30" i="260"/>
  <c r="I23" i="260" s="1"/>
  <c r="I22" i="260" s="1"/>
  <c r="K13" i="260"/>
  <c r="H38" i="261"/>
  <c r="H37" i="261" s="1"/>
  <c r="D45" i="261"/>
  <c r="C55" i="261"/>
  <c r="D55" i="261" s="1"/>
  <c r="C46" i="261"/>
  <c r="D46" i="261" s="1"/>
  <c r="H6" i="261"/>
  <c r="H5" i="261" s="1"/>
  <c r="F51" i="262"/>
  <c r="F56" i="262" s="1"/>
  <c r="K48" i="262" s="1"/>
  <c r="K47" i="262" s="1"/>
  <c r="I34" i="263"/>
  <c r="I33" i="263" s="1"/>
  <c r="F47" i="263"/>
  <c r="K15" i="263"/>
  <c r="K14" i="263" s="1"/>
  <c r="C52" i="264"/>
  <c r="H40" i="264"/>
  <c r="H39" i="264" s="1"/>
  <c r="K52" i="265"/>
  <c r="N10" i="154"/>
  <c r="P43" i="39"/>
  <c r="P18" i="251"/>
  <c r="C59" i="259"/>
  <c r="D48" i="259"/>
  <c r="F44" i="250" s="1"/>
  <c r="K41" i="259"/>
  <c r="F51" i="259"/>
  <c r="C32" i="259"/>
  <c r="D28" i="259"/>
  <c r="F49" i="259"/>
  <c r="K40" i="259" s="1"/>
  <c r="K39" i="259" s="1"/>
  <c r="E47" i="260"/>
  <c r="J39" i="260" s="1"/>
  <c r="J38" i="260" s="1"/>
  <c r="K39" i="260"/>
  <c r="K38" i="260" s="1"/>
  <c r="E42" i="260"/>
  <c r="J22" i="260"/>
  <c r="F48" i="261"/>
  <c r="E46" i="262"/>
  <c r="J41" i="263"/>
  <c r="E49" i="263"/>
  <c r="K45" i="266"/>
  <c r="F50" i="266"/>
  <c r="C57" i="259"/>
  <c r="D46" i="259"/>
  <c r="P8" i="39"/>
  <c r="P8" i="40"/>
  <c r="N9" i="154"/>
  <c r="X9" i="39"/>
  <c r="G9" i="39" s="1"/>
  <c r="P43" i="40"/>
  <c r="Z12" i="251"/>
  <c r="G12" i="251" s="1"/>
  <c r="P15" i="251"/>
  <c r="P54" i="251"/>
  <c r="D45" i="259"/>
  <c r="D42" i="259"/>
  <c r="E49" i="259"/>
  <c r="J40" i="259" s="1"/>
  <c r="J39" i="259" s="1"/>
  <c r="J6" i="259"/>
  <c r="J5" i="259" s="1"/>
  <c r="D50" i="261"/>
  <c r="J49" i="261"/>
  <c r="E56" i="261"/>
  <c r="J48" i="261" s="1"/>
  <c r="J47" i="261" s="1"/>
  <c r="K14" i="261"/>
  <c r="K13" i="261" s="1"/>
  <c r="F46" i="261"/>
  <c r="K38" i="261" s="1"/>
  <c r="K37" i="261" s="1"/>
  <c r="F12" i="262"/>
  <c r="F41" i="262"/>
  <c r="C41" i="262"/>
  <c r="D41" i="262" s="1"/>
  <c r="C12" i="262"/>
  <c r="C52" i="263"/>
  <c r="J5" i="263"/>
  <c r="F47" i="264"/>
  <c r="K40" i="264" s="1"/>
  <c r="K39" i="264" s="1"/>
  <c r="K24" i="264"/>
  <c r="D17" i="266"/>
  <c r="H12" i="266"/>
  <c r="H11" i="266" s="1"/>
  <c r="I12" i="266"/>
  <c r="I11" i="266" s="1"/>
  <c r="K6" i="259"/>
  <c r="K5" i="259" s="1"/>
  <c r="H50" i="260"/>
  <c r="H40" i="260"/>
  <c r="J36" i="266"/>
  <c r="E45" i="266"/>
  <c r="H25" i="264"/>
  <c r="H24" i="264" s="1"/>
  <c r="D30" i="264"/>
  <c r="I25" i="264" s="1"/>
  <c r="I24" i="264" s="1"/>
  <c r="I15" i="264"/>
  <c r="I14" i="264" s="1"/>
  <c r="D53" i="265"/>
  <c r="C40" i="265"/>
  <c r="D40" i="265" s="1"/>
  <c r="C48" i="265"/>
  <c r="E54" i="259"/>
  <c r="E55" i="259" s="1"/>
  <c r="E60" i="259" s="1"/>
  <c r="E51" i="262"/>
  <c r="E56" i="262" s="1"/>
  <c r="J48" i="262" s="1"/>
  <c r="J47" i="262" s="1"/>
  <c r="K31" i="262"/>
  <c r="K40" i="263"/>
  <c r="K39" i="263" s="1"/>
  <c r="F50" i="263"/>
  <c r="K51" i="264"/>
  <c r="K50" i="264" s="1"/>
  <c r="D9" i="264"/>
  <c r="C49" i="154" s="1"/>
  <c r="C42" i="264"/>
  <c r="D42" i="264" s="1"/>
  <c r="D54" i="265"/>
  <c r="D49" i="265"/>
  <c r="K40" i="265"/>
  <c r="K39" i="265" s="1"/>
  <c r="D9" i="265"/>
  <c r="C50" i="154" s="1"/>
  <c r="C49" i="266"/>
  <c r="K5" i="266"/>
  <c r="D21" i="260"/>
  <c r="I14" i="260" s="1"/>
  <c r="I13" i="260" s="1"/>
  <c r="I32" i="261"/>
  <c r="I31" i="261" s="1"/>
  <c r="D48" i="262"/>
  <c r="I49" i="262" s="1"/>
  <c r="J40" i="263"/>
  <c r="J39" i="263" s="1"/>
  <c r="E50" i="263"/>
  <c r="E52" i="263" s="1"/>
  <c r="K5" i="263"/>
  <c r="D9" i="263"/>
  <c r="C48" i="154" s="1"/>
  <c r="C42" i="263"/>
  <c r="D42" i="263" s="1"/>
  <c r="J51" i="264"/>
  <c r="J50" i="264" s="1"/>
  <c r="J33" i="265"/>
  <c r="H6" i="265"/>
  <c r="H5" i="265" s="1"/>
  <c r="C45" i="265"/>
  <c r="J37" i="266"/>
  <c r="E44" i="266"/>
  <c r="H18" i="266"/>
  <c r="I19" i="266"/>
  <c r="I18" i="266" s="1"/>
  <c r="D8" i="266"/>
  <c r="C51" i="262"/>
  <c r="D51" i="262" s="1"/>
  <c r="J38" i="262"/>
  <c r="J37" i="262" s="1"/>
  <c r="I15" i="262"/>
  <c r="I14" i="262" s="1"/>
  <c r="F52" i="263"/>
  <c r="F57" i="263" s="1"/>
  <c r="K14" i="265"/>
  <c r="C10" i="266"/>
  <c r="H6" i="266" s="1"/>
  <c r="H5" i="266" s="1"/>
  <c r="C38" i="266"/>
  <c r="D19" i="250" s="1"/>
  <c r="E41" i="262"/>
  <c r="F49" i="265"/>
  <c r="F50" i="265" s="1"/>
  <c r="F55" i="265" s="1"/>
  <c r="K51" i="265" s="1"/>
  <c r="K50" i="265" s="1"/>
  <c r="C45" i="266"/>
  <c r="C44" i="266"/>
  <c r="D48" i="266" s="1"/>
  <c r="P53" i="251"/>
  <c r="P50" i="251"/>
  <c r="Z18" i="251"/>
  <c r="G18" i="251" s="1"/>
  <c r="Z17" i="251"/>
  <c r="G17" i="251" s="1"/>
  <c r="H45" i="251"/>
  <c r="G47" i="251"/>
  <c r="D42" i="276"/>
  <c r="L49" i="250"/>
  <c r="L44" i="250"/>
  <c r="L19" i="37"/>
  <c r="G49" i="39"/>
  <c r="L12" i="250"/>
  <c r="C50" i="39"/>
  <c r="G50" i="39" s="1"/>
  <c r="X7" i="39"/>
  <c r="G7" i="39" s="1"/>
  <c r="D7" i="39"/>
  <c r="C47" i="39"/>
  <c r="G47" i="39" s="1"/>
  <c r="F48" i="154"/>
  <c r="G45" i="39"/>
  <c r="F46" i="154"/>
  <c r="P6" i="40"/>
  <c r="P9" i="40"/>
  <c r="Y6" i="40"/>
  <c r="G6" i="40" s="1"/>
  <c r="Y9" i="40"/>
  <c r="G9" i="40" s="1"/>
  <c r="Y8" i="40"/>
  <c r="G8" i="40" s="1"/>
  <c r="Y5" i="40"/>
  <c r="G5" i="40" s="1"/>
  <c r="Y7" i="40"/>
  <c r="G7" i="40" s="1"/>
  <c r="P41" i="40"/>
  <c r="P38" i="40"/>
  <c r="P40" i="40"/>
  <c r="X6" i="39"/>
  <c r="G6" i="39" s="1"/>
  <c r="X11" i="39"/>
  <c r="G11" i="39" s="1"/>
  <c r="P10" i="39"/>
  <c r="P9" i="39"/>
  <c r="X5" i="39"/>
  <c r="G5" i="39" s="1"/>
  <c r="X10" i="39"/>
  <c r="G10" i="39" s="1"/>
  <c r="G48" i="39"/>
  <c r="P37" i="39"/>
  <c r="P39" i="39"/>
  <c r="P40" i="39"/>
  <c r="G44" i="39"/>
  <c r="P38" i="39"/>
  <c r="G46" i="39"/>
  <c r="G51" i="39"/>
  <c r="P41" i="39"/>
  <c r="N5" i="154"/>
  <c r="N7" i="154"/>
  <c r="T8" i="154"/>
  <c r="F8" i="154" s="1"/>
  <c r="T6" i="154"/>
  <c r="F6" i="154" s="1"/>
  <c r="T9" i="154"/>
  <c r="F9" i="154" s="1"/>
  <c r="T11" i="154"/>
  <c r="F11" i="154" s="1"/>
  <c r="T10" i="154"/>
  <c r="F10" i="154" s="1"/>
  <c r="N38" i="154"/>
  <c r="G44" i="154"/>
  <c r="N39" i="154"/>
  <c r="G48" i="154"/>
  <c r="N41" i="154"/>
  <c r="N40" i="154"/>
  <c r="N42" i="154"/>
  <c r="Y6" i="250"/>
  <c r="H6" i="250" s="1"/>
  <c r="Y11" i="250"/>
  <c r="H11" i="250" s="1"/>
  <c r="W11" i="250"/>
  <c r="F11" i="250" s="1"/>
  <c r="V11" i="250"/>
  <c r="E11" i="250" s="1"/>
  <c r="U11" i="250"/>
  <c r="D11" i="250" s="1"/>
  <c r="T11" i="250"/>
  <c r="C11" i="250" s="1"/>
  <c r="Y10" i="250"/>
  <c r="H10" i="250" s="1"/>
  <c r="W10" i="250"/>
  <c r="F10" i="250" s="1"/>
  <c r="V10" i="250"/>
  <c r="E10" i="250" s="1"/>
  <c r="U10" i="250"/>
  <c r="D10" i="250" s="1"/>
  <c r="T10" i="250"/>
  <c r="C10" i="250" s="1"/>
  <c r="Y9" i="250"/>
  <c r="H9" i="250" s="1"/>
  <c r="W9" i="250"/>
  <c r="V9" i="250"/>
  <c r="E9" i="250" s="1"/>
  <c r="U9" i="250"/>
  <c r="D9" i="250" s="1"/>
  <c r="T9" i="250"/>
  <c r="C9" i="250" s="1"/>
  <c r="Y8" i="250"/>
  <c r="H8" i="250" s="1"/>
  <c r="V8" i="250"/>
  <c r="E8" i="250" s="1"/>
  <c r="U8" i="250"/>
  <c r="D8" i="250" s="1"/>
  <c r="T8" i="250"/>
  <c r="Y7" i="250"/>
  <c r="H7" i="250" s="1"/>
  <c r="V7" i="250"/>
  <c r="E7" i="250" s="1"/>
  <c r="U7" i="250"/>
  <c r="D7" i="250" s="1"/>
  <c r="T7" i="250"/>
  <c r="V6" i="250"/>
  <c r="E6" i="250" s="1"/>
  <c r="U6" i="250"/>
  <c r="D6" i="250" s="1"/>
  <c r="T6" i="250"/>
  <c r="C6" i="250" s="1"/>
  <c r="Y5" i="250"/>
  <c r="H5" i="250" s="1"/>
  <c r="V5" i="250"/>
  <c r="E5" i="250" s="1"/>
  <c r="U5" i="250"/>
  <c r="D5" i="250" s="1"/>
  <c r="T5" i="250"/>
  <c r="Q11" i="250"/>
  <c r="O11" i="250"/>
  <c r="N11" i="250"/>
  <c r="M11" i="250"/>
  <c r="L11" i="250"/>
  <c r="Q10" i="250"/>
  <c r="O10" i="250"/>
  <c r="N10" i="250"/>
  <c r="M10" i="250"/>
  <c r="L10" i="250"/>
  <c r="Q9" i="250"/>
  <c r="O9" i="250"/>
  <c r="N9" i="250"/>
  <c r="M9" i="250"/>
  <c r="L9" i="250"/>
  <c r="Q8" i="250"/>
  <c r="N8" i="250"/>
  <c r="M8" i="250"/>
  <c r="L8" i="250"/>
  <c r="Q7" i="250"/>
  <c r="N7" i="250"/>
  <c r="M7" i="250"/>
  <c r="L7" i="250"/>
  <c r="Q6" i="250"/>
  <c r="N6" i="250"/>
  <c r="M6" i="250"/>
  <c r="L6" i="250"/>
  <c r="Q5" i="250"/>
  <c r="N5" i="250"/>
  <c r="M5" i="250"/>
  <c r="L5" i="250"/>
  <c r="O43" i="250"/>
  <c r="N43" i="250"/>
  <c r="M43" i="250"/>
  <c r="L43" i="250"/>
  <c r="O42" i="250"/>
  <c r="N42" i="250"/>
  <c r="M42" i="250"/>
  <c r="L42" i="250"/>
  <c r="O41" i="250"/>
  <c r="N41" i="250"/>
  <c r="M41" i="250"/>
  <c r="L41" i="250"/>
  <c r="N40" i="250"/>
  <c r="M40" i="250"/>
  <c r="L40" i="250"/>
  <c r="N39" i="250"/>
  <c r="M39" i="250"/>
  <c r="L39" i="250"/>
  <c r="N38" i="250"/>
  <c r="M38" i="250"/>
  <c r="L38" i="250"/>
  <c r="N37" i="250"/>
  <c r="M37" i="250"/>
  <c r="L37" i="250"/>
  <c r="F43" i="250"/>
  <c r="E43" i="250"/>
  <c r="D43" i="250"/>
  <c r="C43" i="250"/>
  <c r="Q37" i="250"/>
  <c r="Q43" i="250"/>
  <c r="Q42" i="250"/>
  <c r="Q41" i="250"/>
  <c r="Q40" i="250"/>
  <c r="Q39" i="250"/>
  <c r="Q38" i="250"/>
  <c r="E40" i="250"/>
  <c r="D40" i="250"/>
  <c r="C40" i="250"/>
  <c r="D12" i="250"/>
  <c r="E12" i="250"/>
  <c r="F12" i="250"/>
  <c r="H12" i="250"/>
  <c r="M12" i="250"/>
  <c r="N12" i="250"/>
  <c r="O12" i="250"/>
  <c r="Q12" i="250"/>
  <c r="D13" i="250"/>
  <c r="E13" i="250"/>
  <c r="F13" i="250"/>
  <c r="H13" i="250"/>
  <c r="L13" i="250"/>
  <c r="M13" i="250"/>
  <c r="N13" i="250"/>
  <c r="O13" i="250"/>
  <c r="Q13" i="250"/>
  <c r="C14" i="250"/>
  <c r="D14" i="250"/>
  <c r="E14" i="250"/>
  <c r="F14" i="250"/>
  <c r="H14" i="250"/>
  <c r="L14" i="250"/>
  <c r="M14" i="250"/>
  <c r="N14" i="250"/>
  <c r="O14" i="250"/>
  <c r="Q14" i="250"/>
  <c r="C15" i="250"/>
  <c r="D15" i="250"/>
  <c r="E15" i="250"/>
  <c r="F15" i="250"/>
  <c r="H15" i="250"/>
  <c r="L15" i="250"/>
  <c r="M15" i="250"/>
  <c r="N15" i="250"/>
  <c r="O15" i="250"/>
  <c r="Q15" i="250"/>
  <c r="D16" i="250"/>
  <c r="E16" i="250"/>
  <c r="F16" i="250"/>
  <c r="H16" i="250"/>
  <c r="L16" i="250"/>
  <c r="M16" i="250"/>
  <c r="N16" i="250"/>
  <c r="O16" i="250"/>
  <c r="Q16" i="250"/>
  <c r="C17" i="250"/>
  <c r="D17" i="250"/>
  <c r="E17" i="250"/>
  <c r="F17" i="250"/>
  <c r="H17" i="250"/>
  <c r="L17" i="250"/>
  <c r="M17" i="250"/>
  <c r="N17" i="250"/>
  <c r="O17" i="250"/>
  <c r="Q17" i="250"/>
  <c r="D18" i="250"/>
  <c r="E18" i="250"/>
  <c r="F18" i="250"/>
  <c r="H18" i="250"/>
  <c r="L18" i="250"/>
  <c r="M18" i="250"/>
  <c r="N18" i="250"/>
  <c r="O18" i="250"/>
  <c r="Q18" i="250"/>
  <c r="C19" i="250"/>
  <c r="E19" i="250"/>
  <c r="F19" i="250"/>
  <c r="H19" i="250"/>
  <c r="L19" i="250"/>
  <c r="M19" i="250"/>
  <c r="N19" i="250"/>
  <c r="O19" i="250"/>
  <c r="Q19" i="250"/>
  <c r="F30" i="250"/>
  <c r="H30" i="250" s="1"/>
  <c r="I30" i="250" s="1"/>
  <c r="G30" i="250"/>
  <c r="P30" i="250"/>
  <c r="H31" i="250"/>
  <c r="Q31" i="250"/>
  <c r="Q32" i="250"/>
  <c r="C37" i="250"/>
  <c r="D37" i="250"/>
  <c r="E37" i="250"/>
  <c r="C38" i="250"/>
  <c r="D38" i="250"/>
  <c r="E38" i="250"/>
  <c r="C39" i="250"/>
  <c r="D39" i="250"/>
  <c r="E39" i="250"/>
  <c r="C41" i="250"/>
  <c r="D41" i="250"/>
  <c r="E41" i="250"/>
  <c r="F41" i="250"/>
  <c r="C42" i="250"/>
  <c r="D42" i="250"/>
  <c r="E42" i="250"/>
  <c r="F42" i="250"/>
  <c r="D44" i="250"/>
  <c r="E44" i="250"/>
  <c r="H44" i="250"/>
  <c r="M44" i="250"/>
  <c r="N44" i="250"/>
  <c r="O44" i="250"/>
  <c r="Q44" i="250"/>
  <c r="AM44" i="250"/>
  <c r="D45" i="250"/>
  <c r="E45" i="250"/>
  <c r="F45" i="250"/>
  <c r="H45" i="250"/>
  <c r="L45" i="250"/>
  <c r="M45" i="250"/>
  <c r="N45" i="250"/>
  <c r="O45" i="250"/>
  <c r="Q45" i="250"/>
  <c r="AM45" i="250"/>
  <c r="C46" i="250"/>
  <c r="D46" i="250"/>
  <c r="E46" i="250"/>
  <c r="H46" i="250"/>
  <c r="L46" i="250"/>
  <c r="M46" i="250"/>
  <c r="N46" i="250"/>
  <c r="O46" i="250"/>
  <c r="Q46" i="250"/>
  <c r="AM46" i="250"/>
  <c r="C47" i="250"/>
  <c r="D47" i="250"/>
  <c r="E47" i="250"/>
  <c r="F47" i="250"/>
  <c r="H47" i="250"/>
  <c r="L47" i="250"/>
  <c r="M47" i="250"/>
  <c r="N47" i="250"/>
  <c r="O47" i="250"/>
  <c r="Q47" i="250"/>
  <c r="AM47" i="250"/>
  <c r="C48" i="250"/>
  <c r="D48" i="250"/>
  <c r="E48" i="250"/>
  <c r="F48" i="250"/>
  <c r="H48" i="250"/>
  <c r="L48" i="250"/>
  <c r="M48" i="250"/>
  <c r="N48" i="250"/>
  <c r="O48" i="250"/>
  <c r="Q48" i="250"/>
  <c r="AM48" i="250"/>
  <c r="C49" i="250"/>
  <c r="D49" i="250"/>
  <c r="E49" i="250"/>
  <c r="F49" i="250"/>
  <c r="H49" i="250"/>
  <c r="M49" i="250"/>
  <c r="N49" i="250"/>
  <c r="O49" i="250"/>
  <c r="Q49" i="250"/>
  <c r="AM49" i="250"/>
  <c r="C50" i="250"/>
  <c r="D50" i="250"/>
  <c r="E50" i="250"/>
  <c r="F50" i="250"/>
  <c r="H50" i="250"/>
  <c r="L50" i="250"/>
  <c r="M50" i="250"/>
  <c r="N50" i="250"/>
  <c r="O50" i="250"/>
  <c r="Q50" i="250"/>
  <c r="AM50" i="250"/>
  <c r="C51" i="250"/>
  <c r="E51" i="250"/>
  <c r="F51" i="250"/>
  <c r="L51" i="250"/>
  <c r="M51" i="250"/>
  <c r="N51" i="250"/>
  <c r="O51" i="250"/>
  <c r="Q51" i="250"/>
  <c r="AM51" i="250"/>
  <c r="AM55" i="250"/>
  <c r="AM56" i="250"/>
  <c r="AM57" i="250"/>
  <c r="AM58" i="250"/>
  <c r="AM59" i="250"/>
  <c r="AM60" i="250"/>
  <c r="AM61" i="250"/>
  <c r="Q62" i="250"/>
  <c r="Q63" i="250"/>
  <c r="C64" i="250"/>
  <c r="D64" i="250"/>
  <c r="E64" i="250"/>
  <c r="F64" i="250"/>
  <c r="G64" i="250"/>
  <c r="H64" i="250"/>
  <c r="Q64" i="250"/>
  <c r="O13" i="37"/>
  <c r="N13" i="37"/>
  <c r="M13" i="37"/>
  <c r="L13" i="37"/>
  <c r="O12" i="37"/>
  <c r="N12" i="37"/>
  <c r="M12" i="37"/>
  <c r="L12" i="37"/>
  <c r="O11" i="37"/>
  <c r="N11" i="37"/>
  <c r="M11" i="37"/>
  <c r="L11" i="37"/>
  <c r="N10" i="37"/>
  <c r="M10" i="37"/>
  <c r="L10" i="37"/>
  <c r="N9" i="37"/>
  <c r="M9" i="37"/>
  <c r="L9" i="37"/>
  <c r="N8" i="37"/>
  <c r="M8" i="37"/>
  <c r="L8" i="37"/>
  <c r="N7" i="37"/>
  <c r="M7" i="37"/>
  <c r="L7" i="37"/>
  <c r="O45" i="37"/>
  <c r="E10" i="114" s="1"/>
  <c r="N45" i="37"/>
  <c r="D10" i="114" s="1"/>
  <c r="M45" i="37"/>
  <c r="C10" i="114" s="1"/>
  <c r="L45" i="37"/>
  <c r="O44" i="37"/>
  <c r="E9" i="114" s="1"/>
  <c r="N44" i="37"/>
  <c r="D9" i="114" s="1"/>
  <c r="M44" i="37"/>
  <c r="C9" i="114" s="1"/>
  <c r="L44" i="37"/>
  <c r="B9" i="114" s="1"/>
  <c r="N43" i="37"/>
  <c r="D8" i="114" s="1"/>
  <c r="M43" i="37"/>
  <c r="C8" i="114" s="1"/>
  <c r="L43" i="37"/>
  <c r="B8" i="114" s="1"/>
  <c r="N42" i="37"/>
  <c r="D7" i="114" s="1"/>
  <c r="M42" i="37"/>
  <c r="C7" i="114" s="1"/>
  <c r="L42" i="37"/>
  <c r="B7" i="114" s="1"/>
  <c r="N41" i="37"/>
  <c r="D6" i="114" s="1"/>
  <c r="M41" i="37"/>
  <c r="C6" i="114" s="1"/>
  <c r="L41" i="37"/>
  <c r="B6" i="114" s="1"/>
  <c r="N40" i="37"/>
  <c r="D5" i="114" s="1"/>
  <c r="M40" i="37"/>
  <c r="C5" i="114" s="1"/>
  <c r="L40" i="37"/>
  <c r="B5" i="114" s="1"/>
  <c r="N39" i="37"/>
  <c r="D4" i="114" s="1"/>
  <c r="M39" i="37"/>
  <c r="C4" i="114" s="1"/>
  <c r="L39" i="37"/>
  <c r="O43" i="37"/>
  <c r="E8" i="114" s="1"/>
  <c r="F43" i="37"/>
  <c r="E8" i="110" s="1"/>
  <c r="Y11" i="37"/>
  <c r="F11" i="37" s="1"/>
  <c r="AK33" i="37"/>
  <c r="AJ33" i="37"/>
  <c r="AK32" i="37"/>
  <c r="AJ32" i="37"/>
  <c r="AK31" i="37"/>
  <c r="AK30" i="37"/>
  <c r="AK29" i="37"/>
  <c r="AK28" i="37"/>
  <c r="AK27" i="37"/>
  <c r="AK26" i="37"/>
  <c r="AK25" i="37"/>
  <c r="AK24" i="37"/>
  <c r="AK23" i="37"/>
  <c r="AK22" i="37"/>
  <c r="AK21" i="37"/>
  <c r="Q21" i="37"/>
  <c r="O21" i="37"/>
  <c r="N21" i="37"/>
  <c r="M21" i="37"/>
  <c r="AK20" i="37"/>
  <c r="Q20" i="37"/>
  <c r="O20" i="37"/>
  <c r="N20" i="37"/>
  <c r="M20" i="37"/>
  <c r="AK19" i="37"/>
  <c r="Q19" i="37"/>
  <c r="O19" i="37"/>
  <c r="N19" i="37"/>
  <c r="M19" i="37"/>
  <c r="AK18" i="37"/>
  <c r="Q18" i="37"/>
  <c r="O18" i="37"/>
  <c r="N18" i="37"/>
  <c r="M18" i="37"/>
  <c r="AK17" i="37"/>
  <c r="Q17" i="37"/>
  <c r="O17" i="37"/>
  <c r="N17" i="37"/>
  <c r="M17" i="37"/>
  <c r="L17" i="37"/>
  <c r="AK16" i="37"/>
  <c r="Q16" i="37"/>
  <c r="O16" i="37"/>
  <c r="N16" i="37"/>
  <c r="M16" i="37"/>
  <c r="L16" i="37"/>
  <c r="AK15" i="37"/>
  <c r="Q15" i="37"/>
  <c r="O15" i="37"/>
  <c r="N15" i="37"/>
  <c r="M15" i="37"/>
  <c r="L15" i="37"/>
  <c r="AK14" i="37"/>
  <c r="Q14" i="37"/>
  <c r="O14" i="37"/>
  <c r="N14" i="37"/>
  <c r="M14" i="37"/>
  <c r="L14" i="37"/>
  <c r="AK13" i="37"/>
  <c r="AK12" i="37"/>
  <c r="AK11" i="37"/>
  <c r="AK10" i="37"/>
  <c r="AK9" i="37"/>
  <c r="AK8" i="37"/>
  <c r="AK7" i="37"/>
  <c r="Y12" i="37"/>
  <c r="F12" i="37" s="1"/>
  <c r="AK64" i="37"/>
  <c r="AK63" i="37"/>
  <c r="AK62" i="37"/>
  <c r="AK61" i="37"/>
  <c r="AK60" i="37"/>
  <c r="AK59" i="37"/>
  <c r="AK58" i="37"/>
  <c r="AK57" i="37"/>
  <c r="AK56" i="37"/>
  <c r="AK55" i="37"/>
  <c r="AK54" i="37"/>
  <c r="AK53" i="37"/>
  <c r="AK52" i="37"/>
  <c r="AK51" i="37"/>
  <c r="AK50" i="37"/>
  <c r="AK49" i="37"/>
  <c r="AK48" i="37"/>
  <c r="AK47" i="37"/>
  <c r="AK46" i="37"/>
  <c r="V7" i="37"/>
  <c r="C7" i="37" s="1"/>
  <c r="Y13" i="37"/>
  <c r="F13" i="37" s="1"/>
  <c r="X13" i="37"/>
  <c r="E13" i="37" s="1"/>
  <c r="W13" i="37"/>
  <c r="D13" i="37" s="1"/>
  <c r="V13" i="37"/>
  <c r="C13" i="37" s="1"/>
  <c r="X12" i="37"/>
  <c r="E12" i="37" s="1"/>
  <c r="W12" i="37"/>
  <c r="D12" i="37" s="1"/>
  <c r="V12" i="37"/>
  <c r="C12" i="37" s="1"/>
  <c r="X11" i="37"/>
  <c r="E11" i="37" s="1"/>
  <c r="W11" i="37"/>
  <c r="D11" i="37" s="1"/>
  <c r="V11" i="37"/>
  <c r="C11" i="37" s="1"/>
  <c r="X10" i="37"/>
  <c r="E10" i="37" s="1"/>
  <c r="W10" i="37"/>
  <c r="D10" i="37" s="1"/>
  <c r="V10" i="37"/>
  <c r="C10" i="37" s="1"/>
  <c r="X9" i="37"/>
  <c r="E9" i="37" s="1"/>
  <c r="W9" i="37"/>
  <c r="D9" i="37" s="1"/>
  <c r="V9" i="37"/>
  <c r="C9" i="37" s="1"/>
  <c r="X8" i="37"/>
  <c r="E8" i="37" s="1"/>
  <c r="W8" i="37"/>
  <c r="D8" i="37" s="1"/>
  <c r="V8" i="37"/>
  <c r="C8" i="37" s="1"/>
  <c r="X7" i="37"/>
  <c r="W7" i="37"/>
  <c r="D7" i="37" s="1"/>
  <c r="B4" i="114" l="1"/>
  <c r="P39" i="37"/>
  <c r="G37" i="250"/>
  <c r="F56" i="276"/>
  <c r="H14" i="261"/>
  <c r="H13" i="261" s="1"/>
  <c r="D21" i="261"/>
  <c r="I14" i="261" s="1"/>
  <c r="I13" i="261" s="1"/>
  <c r="D55" i="260"/>
  <c r="J35" i="266"/>
  <c r="J48" i="260"/>
  <c r="D21" i="263"/>
  <c r="I15" i="263" s="1"/>
  <c r="I14" i="263" s="1"/>
  <c r="H15" i="263"/>
  <c r="H14" i="263" s="1"/>
  <c r="J6" i="261"/>
  <c r="J5" i="261" s="1"/>
  <c r="E46" i="261"/>
  <c r="J38" i="261" s="1"/>
  <c r="J37" i="261" s="1"/>
  <c r="J6" i="264"/>
  <c r="J5" i="264" s="1"/>
  <c r="E47" i="264"/>
  <c r="J40" i="264" s="1"/>
  <c r="J39" i="264" s="1"/>
  <c r="D30" i="261"/>
  <c r="I23" i="261" s="1"/>
  <c r="I22" i="261" s="1"/>
  <c r="H23" i="261"/>
  <c r="H22" i="261" s="1"/>
  <c r="D49" i="264"/>
  <c r="I52" i="264" s="1"/>
  <c r="H52" i="264"/>
  <c r="D55" i="264"/>
  <c r="G66" i="251"/>
  <c r="F45" i="276" s="1"/>
  <c r="F12" i="276"/>
  <c r="H1" i="276" s="1"/>
  <c r="I33" i="259"/>
  <c r="D51" i="260"/>
  <c r="D54" i="260"/>
  <c r="C63" i="250"/>
  <c r="I31" i="250"/>
  <c r="D49" i="266"/>
  <c r="I38" i="261"/>
  <c r="I37" i="261" s="1"/>
  <c r="D49" i="261"/>
  <c r="C51" i="261"/>
  <c r="I31" i="262"/>
  <c r="D53" i="260"/>
  <c r="D56" i="260"/>
  <c r="X8" i="250"/>
  <c r="G8" i="250" s="1"/>
  <c r="P45" i="37"/>
  <c r="F10" i="114" s="1"/>
  <c r="B10" i="114"/>
  <c r="G42" i="250"/>
  <c r="H63" i="250"/>
  <c r="G63" i="250"/>
  <c r="X6" i="250"/>
  <c r="G6" i="250" s="1"/>
  <c r="I6" i="250" s="1"/>
  <c r="C8" i="250"/>
  <c r="I8" i="250" s="1"/>
  <c r="P8" i="250"/>
  <c r="X5" i="250"/>
  <c r="G5" i="250" s="1"/>
  <c r="X7" i="250"/>
  <c r="G7" i="250" s="1"/>
  <c r="C7" i="250"/>
  <c r="I7" i="250" s="1"/>
  <c r="F63" i="250"/>
  <c r="E63" i="250"/>
  <c r="P9" i="250"/>
  <c r="D63" i="250"/>
  <c r="G39" i="250"/>
  <c r="P37" i="250"/>
  <c r="P10" i="250"/>
  <c r="G17" i="250"/>
  <c r="I17" i="250" s="1"/>
  <c r="P38" i="250"/>
  <c r="G43" i="250"/>
  <c r="P43" i="250"/>
  <c r="P7" i="37"/>
  <c r="AJ7" i="37" s="1"/>
  <c r="H40" i="263"/>
  <c r="H39" i="263" s="1"/>
  <c r="D47" i="263"/>
  <c r="I40" i="263" s="1"/>
  <c r="I39" i="263" s="1"/>
  <c r="D48" i="265"/>
  <c r="D51" i="154"/>
  <c r="C13" i="259"/>
  <c r="C44" i="259"/>
  <c r="G38" i="250"/>
  <c r="P41" i="250"/>
  <c r="C12" i="260"/>
  <c r="C42" i="260"/>
  <c r="D42" i="260" s="1"/>
  <c r="D9" i="260"/>
  <c r="E50" i="265"/>
  <c r="C57" i="263"/>
  <c r="D52" i="263"/>
  <c r="D10" i="266"/>
  <c r="F51" i="154" s="1"/>
  <c r="C42" i="266"/>
  <c r="D42" i="266" s="1"/>
  <c r="E57" i="263"/>
  <c r="J52" i="263"/>
  <c r="C50" i="260"/>
  <c r="D40" i="260"/>
  <c r="H51" i="259"/>
  <c r="D12" i="262"/>
  <c r="I6" i="262" s="1"/>
  <c r="I5" i="262" s="1"/>
  <c r="C46" i="262"/>
  <c r="H6" i="262"/>
  <c r="H5" i="262" s="1"/>
  <c r="G46" i="250"/>
  <c r="P7" i="250"/>
  <c r="P11" i="250"/>
  <c r="D44" i="266"/>
  <c r="I45" i="266" s="1"/>
  <c r="H45" i="266"/>
  <c r="D47" i="266"/>
  <c r="J45" i="266"/>
  <c r="E50" i="266"/>
  <c r="J44" i="266" s="1"/>
  <c r="C56" i="262"/>
  <c r="D56" i="262" s="1"/>
  <c r="H36" i="266"/>
  <c r="H35" i="266" s="1"/>
  <c r="K6" i="262"/>
  <c r="K5" i="262" s="1"/>
  <c r="F46" i="262"/>
  <c r="K38" i="262" s="1"/>
  <c r="K37" i="262" s="1"/>
  <c r="D49" i="262"/>
  <c r="F55" i="259"/>
  <c r="F60" i="259" s="1"/>
  <c r="K51" i="259" s="1"/>
  <c r="D51" i="259"/>
  <c r="I52" i="259" s="1"/>
  <c r="I50" i="259" s="1"/>
  <c r="H52" i="259"/>
  <c r="C60" i="259"/>
  <c r="C5" i="250"/>
  <c r="I5" i="250" s="1"/>
  <c r="C50" i="265"/>
  <c r="H25" i="263"/>
  <c r="H24" i="263" s="1"/>
  <c r="D30" i="263"/>
  <c r="I25" i="263" s="1"/>
  <c r="I24" i="263" s="1"/>
  <c r="F46" i="250"/>
  <c r="P39" i="250"/>
  <c r="P42" i="250"/>
  <c r="D45" i="266"/>
  <c r="K44" i="266"/>
  <c r="K43" i="266" s="1"/>
  <c r="H23" i="262"/>
  <c r="H22" i="262" s="1"/>
  <c r="D30" i="262"/>
  <c r="I23" i="262" s="1"/>
  <c r="I22" i="262" s="1"/>
  <c r="J51" i="259"/>
  <c r="J50" i="259" s="1"/>
  <c r="P48" i="250"/>
  <c r="D45" i="265"/>
  <c r="I40" i="265" s="1"/>
  <c r="I39" i="265" s="1"/>
  <c r="H40" i="265"/>
  <c r="H39" i="265" s="1"/>
  <c r="J51" i="263"/>
  <c r="K49" i="261"/>
  <c r="F56" i="261"/>
  <c r="K48" i="261" s="1"/>
  <c r="H25" i="259"/>
  <c r="H24" i="259" s="1"/>
  <c r="D32" i="259"/>
  <c r="I25" i="259" s="1"/>
  <c r="I24" i="259" s="1"/>
  <c r="C46" i="266"/>
  <c r="D46" i="266" s="1"/>
  <c r="D38" i="266"/>
  <c r="Z10" i="37"/>
  <c r="G10" i="37" s="1"/>
  <c r="I10" i="37" s="1"/>
  <c r="L21" i="37"/>
  <c r="P46" i="250"/>
  <c r="C16" i="250"/>
  <c r="G16" i="250" s="1"/>
  <c r="G40" i="250"/>
  <c r="P40" i="250"/>
  <c r="X10" i="250"/>
  <c r="G10" i="250" s="1"/>
  <c r="I10" i="250" s="1"/>
  <c r="X11" i="250"/>
  <c r="G11" i="250" s="1"/>
  <c r="I11" i="250" s="1"/>
  <c r="K51" i="263"/>
  <c r="K50" i="263" s="1"/>
  <c r="K52" i="259"/>
  <c r="D52" i="264"/>
  <c r="C57" i="264"/>
  <c r="F49" i="154"/>
  <c r="G49" i="154" s="1"/>
  <c r="P19" i="250"/>
  <c r="P51" i="250"/>
  <c r="P49" i="250"/>
  <c r="P18" i="250"/>
  <c r="P14" i="250"/>
  <c r="C18" i="250"/>
  <c r="G18" i="250" s="1"/>
  <c r="P15" i="250"/>
  <c r="G50" i="250"/>
  <c r="G48" i="250"/>
  <c r="G47" i="250"/>
  <c r="P44" i="250"/>
  <c r="G19" i="250"/>
  <c r="I19" i="250" s="1"/>
  <c r="P17" i="250"/>
  <c r="G15" i="250"/>
  <c r="I15" i="250" s="1"/>
  <c r="P13" i="250"/>
  <c r="C45" i="154"/>
  <c r="P47" i="250"/>
  <c r="P45" i="250"/>
  <c r="P16" i="250"/>
  <c r="P12" i="250"/>
  <c r="H51" i="250"/>
  <c r="P50" i="250"/>
  <c r="G49" i="250"/>
  <c r="G14" i="250"/>
  <c r="I14" i="250" s="1"/>
  <c r="X9" i="250"/>
  <c r="G9" i="250" s="1"/>
  <c r="P6" i="250"/>
  <c r="P5" i="250"/>
  <c r="F4" i="114"/>
  <c r="I4" i="114" s="1"/>
  <c r="G41" i="250"/>
  <c r="H62" i="250"/>
  <c r="C62" i="250"/>
  <c r="F62" i="250"/>
  <c r="D62" i="250"/>
  <c r="E62" i="250"/>
  <c r="G62" i="250"/>
  <c r="Z7" i="37"/>
  <c r="G7" i="37" s="1"/>
  <c r="E7" i="37"/>
  <c r="I7" i="37" s="1"/>
  <c r="P43" i="37"/>
  <c r="F8" i="114" s="1"/>
  <c r="Z12" i="37"/>
  <c r="G12" i="37" s="1"/>
  <c r="I12" i="37" s="1"/>
  <c r="Z13" i="37"/>
  <c r="G13" i="37" s="1"/>
  <c r="I13" i="37" s="1"/>
  <c r="Z8" i="37"/>
  <c r="G8" i="37" s="1"/>
  <c r="I8" i="37" s="1"/>
  <c r="Z11" i="37"/>
  <c r="G11" i="37" s="1"/>
  <c r="I11" i="37" s="1"/>
  <c r="Z9" i="37"/>
  <c r="G9" i="37" s="1"/>
  <c r="I9" i="37" s="1"/>
  <c r="C39" i="37"/>
  <c r="B4" i="110" l="1"/>
  <c r="K50" i="259"/>
  <c r="D51" i="261"/>
  <c r="C56" i="261"/>
  <c r="I18" i="250"/>
  <c r="I16" i="250"/>
  <c r="H50" i="259"/>
  <c r="I6" i="266"/>
  <c r="I5" i="266" s="1"/>
  <c r="G51" i="154"/>
  <c r="J43" i="266"/>
  <c r="J50" i="263"/>
  <c r="D12" i="260"/>
  <c r="I6" i="260" s="1"/>
  <c r="I5" i="260" s="1"/>
  <c r="C47" i="260"/>
  <c r="H6" i="260"/>
  <c r="H5" i="260" s="1"/>
  <c r="D57" i="264"/>
  <c r="I51" i="264" s="1"/>
  <c r="I50" i="264" s="1"/>
  <c r="H51" i="264"/>
  <c r="H50" i="264" s="1"/>
  <c r="H48" i="262"/>
  <c r="H47" i="262" s="1"/>
  <c r="D46" i="262"/>
  <c r="I38" i="262" s="1"/>
  <c r="I37" i="262" s="1"/>
  <c r="H38" i="262"/>
  <c r="H37" i="262" s="1"/>
  <c r="E55" i="265"/>
  <c r="J51" i="265" s="1"/>
  <c r="J50" i="265" s="1"/>
  <c r="L20" i="37"/>
  <c r="I48" i="262"/>
  <c r="I47" i="262" s="1"/>
  <c r="I36" i="266"/>
  <c r="I35" i="266" s="1"/>
  <c r="D51" i="250"/>
  <c r="D50" i="265"/>
  <c r="C55" i="265"/>
  <c r="D50" i="260"/>
  <c r="C52" i="260"/>
  <c r="D57" i="263"/>
  <c r="I51" i="263" s="1"/>
  <c r="I50" i="263" s="1"/>
  <c r="H51" i="263"/>
  <c r="H50" i="263" s="1"/>
  <c r="C50" i="266"/>
  <c r="D44" i="259"/>
  <c r="C44" i="250" s="1"/>
  <c r="C12" i="250"/>
  <c r="K47" i="261"/>
  <c r="C49" i="259"/>
  <c r="H6" i="259"/>
  <c r="H5" i="259" s="1"/>
  <c r="L18" i="37"/>
  <c r="F50" i="154"/>
  <c r="G50" i="154" s="1"/>
  <c r="C45" i="250"/>
  <c r="C13" i="250"/>
  <c r="F47" i="154"/>
  <c r="G47" i="154" s="1"/>
  <c r="P40" i="37"/>
  <c r="F5" i="114" s="1"/>
  <c r="I5" i="114" s="1"/>
  <c r="P41" i="37"/>
  <c r="F6" i="114" s="1"/>
  <c r="I6" i="114" s="1"/>
  <c r="P44" i="37"/>
  <c r="F9" i="114" s="1"/>
  <c r="P42" i="37"/>
  <c r="F7" i="114" s="1"/>
  <c r="I7" i="114" s="1"/>
  <c r="F43" i="40"/>
  <c r="E43" i="40"/>
  <c r="D43" i="40"/>
  <c r="C43" i="40"/>
  <c r="F42" i="40"/>
  <c r="E42" i="40"/>
  <c r="D42" i="40"/>
  <c r="C42" i="40"/>
  <c r="E41" i="40"/>
  <c r="D41" i="40"/>
  <c r="C41" i="40"/>
  <c r="E40" i="40"/>
  <c r="D40" i="40"/>
  <c r="C40" i="40"/>
  <c r="D39" i="40"/>
  <c r="E39" i="40"/>
  <c r="C39" i="40"/>
  <c r="E38" i="40"/>
  <c r="D38" i="40"/>
  <c r="C38" i="40"/>
  <c r="E37" i="40"/>
  <c r="D37" i="40"/>
  <c r="F43" i="39"/>
  <c r="E43" i="39"/>
  <c r="D43" i="39"/>
  <c r="C43" i="39"/>
  <c r="F42" i="39"/>
  <c r="E42" i="39"/>
  <c r="D42" i="39"/>
  <c r="C42" i="39"/>
  <c r="F41" i="39"/>
  <c r="E41" i="39"/>
  <c r="D41" i="39"/>
  <c r="C41" i="39"/>
  <c r="E40" i="39"/>
  <c r="D40" i="39"/>
  <c r="C40" i="39"/>
  <c r="E39" i="39"/>
  <c r="D39" i="39"/>
  <c r="C39" i="39"/>
  <c r="E38" i="39"/>
  <c r="D38" i="39"/>
  <c r="C38" i="39"/>
  <c r="E37" i="39"/>
  <c r="D37" i="39"/>
  <c r="E42" i="154"/>
  <c r="D42" i="154"/>
  <c r="C42" i="154"/>
  <c r="E41" i="154"/>
  <c r="D41" i="154"/>
  <c r="C41" i="154"/>
  <c r="E40" i="154"/>
  <c r="D40" i="154"/>
  <c r="C40" i="154"/>
  <c r="E39" i="154"/>
  <c r="D39" i="154"/>
  <c r="C39" i="154"/>
  <c r="E38" i="154"/>
  <c r="D38" i="154"/>
  <c r="C38" i="154"/>
  <c r="E37" i="154"/>
  <c r="D37" i="154"/>
  <c r="D45" i="37"/>
  <c r="C10" i="110" s="1"/>
  <c r="F44" i="37"/>
  <c r="E9" i="110" s="1"/>
  <c r="E44" i="37"/>
  <c r="D9" i="110" s="1"/>
  <c r="D44" i="37"/>
  <c r="C9" i="110" s="1"/>
  <c r="C44" i="37"/>
  <c r="E43" i="37"/>
  <c r="D8" i="110" s="1"/>
  <c r="D43" i="37"/>
  <c r="C8" i="110" s="1"/>
  <c r="C43" i="37"/>
  <c r="E42" i="37"/>
  <c r="D7" i="110" s="1"/>
  <c r="D42" i="37"/>
  <c r="C7" i="110" s="1"/>
  <c r="C42" i="37"/>
  <c r="E41" i="37"/>
  <c r="D6" i="110" s="1"/>
  <c r="D41" i="37"/>
  <c r="C6" i="110" s="1"/>
  <c r="C41" i="37"/>
  <c r="E40" i="37"/>
  <c r="D5" i="110" s="1"/>
  <c r="D40" i="37"/>
  <c r="C5" i="110" s="1"/>
  <c r="C40" i="37"/>
  <c r="E39" i="37"/>
  <c r="D4" i="110" s="1"/>
  <c r="D39" i="37"/>
  <c r="G39" i="37" s="1"/>
  <c r="C37" i="40"/>
  <c r="C37" i="39"/>
  <c r="B8" i="110" l="1"/>
  <c r="G43" i="37"/>
  <c r="G41" i="37"/>
  <c r="G12" i="250"/>
  <c r="I12" i="250" s="1"/>
  <c r="B7" i="110"/>
  <c r="G42" i="37"/>
  <c r="B5" i="110"/>
  <c r="G40" i="37"/>
  <c r="B9" i="110"/>
  <c r="G44" i="37"/>
  <c r="G13" i="250"/>
  <c r="I13" i="250" s="1"/>
  <c r="D56" i="261"/>
  <c r="I48" i="261" s="1"/>
  <c r="I47" i="261" s="1"/>
  <c r="H48" i="261"/>
  <c r="H47" i="261" s="1"/>
  <c r="F4" i="110"/>
  <c r="C4" i="110"/>
  <c r="F6" i="110"/>
  <c r="B6" i="110"/>
  <c r="F8" i="110"/>
  <c r="D49" i="259"/>
  <c r="I40" i="259" s="1"/>
  <c r="I39" i="259" s="1"/>
  <c r="H40" i="259"/>
  <c r="H39" i="259" s="1"/>
  <c r="D47" i="260"/>
  <c r="I39" i="260" s="1"/>
  <c r="I38" i="260" s="1"/>
  <c r="H39" i="260"/>
  <c r="H38" i="260" s="1"/>
  <c r="G44" i="250"/>
  <c r="D55" i="265"/>
  <c r="I51" i="265" s="1"/>
  <c r="I50" i="265" s="1"/>
  <c r="H51" i="265"/>
  <c r="H50" i="265" s="1"/>
  <c r="F7" i="110"/>
  <c r="D50" i="266"/>
  <c r="I44" i="266" s="1"/>
  <c r="I43" i="266" s="1"/>
  <c r="H44" i="266"/>
  <c r="H43" i="266" s="1"/>
  <c r="C57" i="260"/>
  <c r="D52" i="260"/>
  <c r="G51" i="250"/>
  <c r="G45" i="250"/>
  <c r="F45" i="154"/>
  <c r="G37" i="40"/>
  <c r="F42" i="154"/>
  <c r="F9" i="110"/>
  <c r="F5" i="110"/>
  <c r="G37" i="39"/>
  <c r="G38" i="39"/>
  <c r="G39" i="39"/>
  <c r="G40" i="39"/>
  <c r="G39" i="40"/>
  <c r="F41" i="154"/>
  <c r="F39" i="154"/>
  <c r="F38" i="154"/>
  <c r="F40" i="154"/>
  <c r="G41" i="39"/>
  <c r="G40" i="40"/>
  <c r="G43" i="40"/>
  <c r="G42" i="40"/>
  <c r="G41" i="40"/>
  <c r="G38" i="40"/>
  <c r="G43" i="39"/>
  <c r="G42" i="39"/>
  <c r="D43" i="154"/>
  <c r="E43" i="154"/>
  <c r="D57" i="260" l="1"/>
  <c r="I49" i="260" s="1"/>
  <c r="I48" i="260" s="1"/>
  <c r="H49" i="260"/>
  <c r="H48" i="260" s="1"/>
  <c r="C43" i="154"/>
  <c r="E45" i="37"/>
  <c r="D10" i="110" s="1"/>
  <c r="F45" i="37"/>
  <c r="E10" i="110" s="1"/>
  <c r="C45" i="37"/>
  <c r="G45" i="37" l="1"/>
  <c r="F10" i="110"/>
  <c r="B10" i="110"/>
  <c r="F43" i="154"/>
  <c r="F37" i="154"/>
  <c r="K7" i="242" l="1"/>
  <c r="L7" i="242"/>
  <c r="C11" i="242"/>
  <c r="E11" i="242"/>
  <c r="E14" i="242" s="1"/>
  <c r="F11" i="242"/>
  <c r="G11" i="242"/>
  <c r="G14" i="242" s="1"/>
  <c r="L6" i="242" s="1"/>
  <c r="L5" i="242" s="1"/>
  <c r="C14" i="242"/>
  <c r="I6" i="242" s="1"/>
  <c r="D14" i="242"/>
  <c r="J6" i="242" s="1"/>
  <c r="D16" i="242"/>
  <c r="J17" i="242" s="1"/>
  <c r="K16" i="242"/>
  <c r="K15" i="242" s="1"/>
  <c r="I17" i="242"/>
  <c r="K17" i="242"/>
  <c r="L17" i="242"/>
  <c r="C21" i="242"/>
  <c r="E21" i="242"/>
  <c r="E48" i="242" s="1"/>
  <c r="F21" i="242"/>
  <c r="G21" i="242"/>
  <c r="G25" i="242" s="1"/>
  <c r="L16" i="242" s="1"/>
  <c r="L15" i="242" s="1"/>
  <c r="C25" i="242"/>
  <c r="I16" i="242" s="1"/>
  <c r="D25" i="242"/>
  <c r="J16" i="242" s="1"/>
  <c r="E25" i="242"/>
  <c r="D27" i="242"/>
  <c r="J28" i="242" s="1"/>
  <c r="K27" i="242"/>
  <c r="K26" i="242" s="1"/>
  <c r="I28" i="242"/>
  <c r="K28" i="242"/>
  <c r="L28" i="242"/>
  <c r="C32" i="242"/>
  <c r="E32" i="242"/>
  <c r="F32" i="242"/>
  <c r="G32" i="242"/>
  <c r="C36" i="242"/>
  <c r="I27" i="242" s="1"/>
  <c r="I26" i="242" s="1"/>
  <c r="D36" i="242"/>
  <c r="J27" i="242" s="1"/>
  <c r="E36" i="242"/>
  <c r="D38" i="242"/>
  <c r="J39" i="242" s="1"/>
  <c r="I38" i="242"/>
  <c r="J38" i="242"/>
  <c r="K38" i="242"/>
  <c r="I39" i="242"/>
  <c r="K39" i="242"/>
  <c r="L39" i="242"/>
  <c r="G41" i="242"/>
  <c r="L38" i="242" s="1"/>
  <c r="E43" i="242"/>
  <c r="K44" i="242" s="1"/>
  <c r="G43" i="242"/>
  <c r="L44" i="242" s="1"/>
  <c r="C44" i="242"/>
  <c r="E44" i="242"/>
  <c r="F44" i="242"/>
  <c r="G44" i="242"/>
  <c r="G56" i="242" s="1"/>
  <c r="C45" i="242"/>
  <c r="C57" i="242" s="1"/>
  <c r="E45" i="242"/>
  <c r="F45" i="242"/>
  <c r="G45" i="242"/>
  <c r="C46" i="242"/>
  <c r="E46" i="242"/>
  <c r="F46" i="242"/>
  <c r="G46" i="242"/>
  <c r="G58" i="242" s="1"/>
  <c r="C47" i="242"/>
  <c r="C59" i="242" s="1"/>
  <c r="E47" i="242"/>
  <c r="E59" i="242" s="1"/>
  <c r="F47" i="242"/>
  <c r="G47" i="242"/>
  <c r="G59" i="242" s="1"/>
  <c r="C49" i="242"/>
  <c r="C61" i="242" s="1"/>
  <c r="E49" i="242"/>
  <c r="E61" i="242" s="1"/>
  <c r="F49" i="242"/>
  <c r="G49" i="242"/>
  <c r="G61" i="242" s="1"/>
  <c r="C50" i="242"/>
  <c r="E50" i="242"/>
  <c r="F50" i="242"/>
  <c r="G50" i="242"/>
  <c r="G62" i="242" s="1"/>
  <c r="C51" i="242"/>
  <c r="C63" i="242" s="1"/>
  <c r="E51" i="242"/>
  <c r="F51" i="242"/>
  <c r="G51" i="242"/>
  <c r="G63" i="242" s="1"/>
  <c r="C52" i="242"/>
  <c r="E52" i="242"/>
  <c r="F52" i="242"/>
  <c r="G52" i="242"/>
  <c r="G64" i="242" s="1"/>
  <c r="D53" i="242"/>
  <c r="J43" i="242" s="1"/>
  <c r="F53" i="242"/>
  <c r="E55" i="242"/>
  <c r="C56" i="242"/>
  <c r="E56" i="242"/>
  <c r="E57" i="242"/>
  <c r="G57" i="242"/>
  <c r="C58" i="242"/>
  <c r="E58" i="242"/>
  <c r="C62" i="242"/>
  <c r="E62" i="242"/>
  <c r="C64" i="242"/>
  <c r="E64" i="242"/>
  <c r="I71" i="242"/>
  <c r="J71" i="242"/>
  <c r="K71" i="242"/>
  <c r="L71" i="242"/>
  <c r="I72" i="242"/>
  <c r="J72" i="242"/>
  <c r="K72" i="242"/>
  <c r="L72" i="242"/>
  <c r="C74" i="242"/>
  <c r="C48" i="242" s="1"/>
  <c r="P13" i="37"/>
  <c r="AJ13" i="37" s="1"/>
  <c r="I15" i="242" l="1"/>
  <c r="C6" i="242"/>
  <c r="D6" i="242" s="1"/>
  <c r="J7" i="242" s="1"/>
  <c r="J26" i="242"/>
  <c r="K6" i="242"/>
  <c r="K5" i="242" s="1"/>
  <c r="E53" i="242"/>
  <c r="K43" i="242" s="1"/>
  <c r="K42" i="242" s="1"/>
  <c r="I70" i="242"/>
  <c r="E60" i="242"/>
  <c r="L37" i="242"/>
  <c r="K37" i="242"/>
  <c r="G48" i="242"/>
  <c r="F48" i="242"/>
  <c r="E63" i="242"/>
  <c r="K70" i="242"/>
  <c r="G60" i="242"/>
  <c r="I37" i="242"/>
  <c r="L70" i="242"/>
  <c r="J70" i="242"/>
  <c r="J5" i="242"/>
  <c r="C60" i="242"/>
  <c r="J15" i="242"/>
  <c r="J37" i="242"/>
  <c r="C53" i="242"/>
  <c r="I43" i="242" s="1"/>
  <c r="C43" i="242"/>
  <c r="D48" i="242" s="1"/>
  <c r="I7" i="242"/>
  <c r="I5" i="242" s="1"/>
  <c r="G55" i="242"/>
  <c r="G53" i="242"/>
  <c r="L43" i="242" s="1"/>
  <c r="L42" i="242" s="1"/>
  <c r="G36" i="242"/>
  <c r="L27" i="242" s="1"/>
  <c r="L26" i="242" s="1"/>
  <c r="K56" i="242"/>
  <c r="E65" i="242" l="1"/>
  <c r="K55" i="242" s="1"/>
  <c r="K54" i="242" s="1"/>
  <c r="C55" i="242"/>
  <c r="D43" i="242"/>
  <c r="J44" i="242" s="1"/>
  <c r="J42" i="242" s="1"/>
  <c r="I44" i="242"/>
  <c r="I42" i="242" s="1"/>
  <c r="G65" i="242"/>
  <c r="L56" i="242"/>
  <c r="C62" i="40"/>
  <c r="D62" i="40"/>
  <c r="E62" i="40"/>
  <c r="F62" i="40"/>
  <c r="G62" i="40"/>
  <c r="H62" i="40"/>
  <c r="C64" i="40"/>
  <c r="D64" i="40"/>
  <c r="E64" i="40"/>
  <c r="F64" i="40"/>
  <c r="G64" i="40"/>
  <c r="H64" i="40"/>
  <c r="L61" i="40"/>
  <c r="Q61" i="40"/>
  <c r="O61" i="40"/>
  <c r="N61" i="40"/>
  <c r="M61" i="40"/>
  <c r="Q60" i="40"/>
  <c r="O60" i="40"/>
  <c r="N60" i="40"/>
  <c r="M60" i="40"/>
  <c r="L60" i="40"/>
  <c r="Q59" i="40"/>
  <c r="O59" i="40"/>
  <c r="N59" i="40"/>
  <c r="M59" i="40"/>
  <c r="L59" i="40"/>
  <c r="Q58" i="40"/>
  <c r="O58" i="40"/>
  <c r="N58" i="40"/>
  <c r="M58" i="40"/>
  <c r="L58" i="40"/>
  <c r="Q57" i="40"/>
  <c r="O57" i="40"/>
  <c r="N57" i="40"/>
  <c r="M57" i="40"/>
  <c r="L57" i="40"/>
  <c r="Q56" i="40"/>
  <c r="O56" i="40"/>
  <c r="M56" i="40"/>
  <c r="L56" i="40"/>
  <c r="Q55" i="40"/>
  <c r="O55" i="40"/>
  <c r="M55" i="40"/>
  <c r="L55" i="40"/>
  <c r="Q54" i="40"/>
  <c r="O54" i="40"/>
  <c r="N54" i="40"/>
  <c r="M54" i="40"/>
  <c r="L54" i="40"/>
  <c r="Q53" i="40"/>
  <c r="O53" i="40"/>
  <c r="N53" i="40"/>
  <c r="M53" i="40"/>
  <c r="L53" i="40"/>
  <c r="Q52" i="40"/>
  <c r="O52" i="40"/>
  <c r="N52" i="40"/>
  <c r="M52" i="40"/>
  <c r="L52" i="40"/>
  <c r="Q51" i="40"/>
  <c r="O51" i="40"/>
  <c r="N51" i="40"/>
  <c r="M51" i="40"/>
  <c r="L51" i="40"/>
  <c r="Q50" i="40"/>
  <c r="O50" i="40"/>
  <c r="N50" i="40"/>
  <c r="M50" i="40"/>
  <c r="L50" i="40"/>
  <c r="Q49" i="40"/>
  <c r="O49" i="40"/>
  <c r="N49" i="40"/>
  <c r="M49" i="40"/>
  <c r="L49" i="40"/>
  <c r="Q48" i="40"/>
  <c r="O48" i="40"/>
  <c r="N48" i="40"/>
  <c r="M48" i="40"/>
  <c r="L48" i="40"/>
  <c r="Q47" i="40"/>
  <c r="O47" i="40"/>
  <c r="N47" i="40"/>
  <c r="M47" i="40"/>
  <c r="L47" i="40"/>
  <c r="Q46" i="40"/>
  <c r="O46" i="40"/>
  <c r="N46" i="40"/>
  <c r="M46" i="40"/>
  <c r="L46" i="40"/>
  <c r="Q45" i="40"/>
  <c r="O45" i="40"/>
  <c r="N45" i="40"/>
  <c r="M45" i="40"/>
  <c r="L45" i="40"/>
  <c r="Q44" i="40"/>
  <c r="O44" i="40"/>
  <c r="N44" i="40"/>
  <c r="M44" i="40"/>
  <c r="L44" i="40"/>
  <c r="O17" i="40"/>
  <c r="C20" i="40"/>
  <c r="D20" i="40"/>
  <c r="C62" i="39"/>
  <c r="D62" i="39"/>
  <c r="E62" i="39"/>
  <c r="F62" i="39"/>
  <c r="H62" i="39"/>
  <c r="C64" i="39"/>
  <c r="D64" i="39"/>
  <c r="E64" i="39"/>
  <c r="F64" i="39"/>
  <c r="G64" i="39"/>
  <c r="H64" i="39"/>
  <c r="D33" i="133"/>
  <c r="D27" i="133"/>
  <c r="D24" i="33"/>
  <c r="D27" i="33"/>
  <c r="D18" i="33"/>
  <c r="O12" i="39"/>
  <c r="Q14" i="39"/>
  <c r="O14" i="39"/>
  <c r="N14" i="39"/>
  <c r="M14" i="39"/>
  <c r="L14" i="39"/>
  <c r="P46" i="40" l="1"/>
  <c r="P47" i="40"/>
  <c r="P48" i="40"/>
  <c r="P51" i="40"/>
  <c r="P59" i="40"/>
  <c r="P14" i="39"/>
  <c r="D55" i="242"/>
  <c r="I56" i="242"/>
  <c r="C65" i="242"/>
  <c r="L55" i="242"/>
  <c r="L54" i="242" s="1"/>
  <c r="P53" i="40"/>
  <c r="P50" i="40"/>
  <c r="P58" i="40"/>
  <c r="P45" i="40"/>
  <c r="P44" i="40"/>
  <c r="P52" i="40"/>
  <c r="P60" i="40"/>
  <c r="P49" i="40"/>
  <c r="P57" i="40"/>
  <c r="P54" i="40"/>
  <c r="P61" i="40"/>
  <c r="C62" i="154"/>
  <c r="D62" i="154"/>
  <c r="E62" i="154"/>
  <c r="C64" i="154"/>
  <c r="D64" i="154"/>
  <c r="E64" i="154"/>
  <c r="F64" i="154"/>
  <c r="O46" i="154"/>
  <c r="N46" i="154"/>
  <c r="M46" i="154"/>
  <c r="L46" i="154"/>
  <c r="K46" i="154"/>
  <c r="O45" i="154"/>
  <c r="N45" i="154"/>
  <c r="M45" i="154"/>
  <c r="L45" i="154"/>
  <c r="K45" i="154"/>
  <c r="O13" i="154"/>
  <c r="N13" i="154"/>
  <c r="M13" i="154"/>
  <c r="L13" i="154"/>
  <c r="K13" i="154"/>
  <c r="O14" i="154"/>
  <c r="N14" i="154"/>
  <c r="M14" i="154"/>
  <c r="L14" i="154"/>
  <c r="K14" i="154"/>
  <c r="F14" i="154"/>
  <c r="F13" i="154"/>
  <c r="F12" i="154"/>
  <c r="G14" i="154"/>
  <c r="G13" i="154"/>
  <c r="E14" i="154"/>
  <c r="E13" i="154"/>
  <c r="D14" i="154"/>
  <c r="D13" i="154"/>
  <c r="C14" i="154"/>
  <c r="C13" i="154"/>
  <c r="C64" i="37"/>
  <c r="B29" i="110" s="1"/>
  <c r="D64" i="37"/>
  <c r="C29" i="110" s="1"/>
  <c r="E64" i="37"/>
  <c r="D29" i="110" s="1"/>
  <c r="C66" i="37"/>
  <c r="B31" i="110" s="1"/>
  <c r="D66" i="37"/>
  <c r="C31" i="110" s="1"/>
  <c r="E66" i="37"/>
  <c r="D31" i="110" s="1"/>
  <c r="G66" i="37"/>
  <c r="F31" i="110" s="1"/>
  <c r="J56" i="242" l="1"/>
  <c r="D65" i="242"/>
  <c r="I55" i="242"/>
  <c r="I54" i="242" s="1"/>
  <c r="Q53" i="37"/>
  <c r="G18" i="114" s="1"/>
  <c r="O53" i="37"/>
  <c r="E18" i="114" s="1"/>
  <c r="N53" i="37"/>
  <c r="D18" i="114" s="1"/>
  <c r="M53" i="37"/>
  <c r="C18" i="114" s="1"/>
  <c r="L53" i="37"/>
  <c r="B18" i="114" s="1"/>
  <c r="Q52" i="37"/>
  <c r="G17" i="114" s="1"/>
  <c r="O52" i="37"/>
  <c r="E17" i="114" s="1"/>
  <c r="N52" i="37"/>
  <c r="D17" i="114" s="1"/>
  <c r="M52" i="37"/>
  <c r="C17" i="114" s="1"/>
  <c r="L52" i="37"/>
  <c r="B17" i="114" s="1"/>
  <c r="Q51" i="37"/>
  <c r="G16" i="114" s="1"/>
  <c r="O51" i="37"/>
  <c r="E16" i="114" s="1"/>
  <c r="N51" i="37"/>
  <c r="D16" i="114" s="1"/>
  <c r="M51" i="37"/>
  <c r="C16" i="114" s="1"/>
  <c r="L51" i="37"/>
  <c r="B16" i="114" s="1"/>
  <c r="Q50" i="37"/>
  <c r="G15" i="114" s="1"/>
  <c r="O50" i="37"/>
  <c r="E15" i="114" s="1"/>
  <c r="N50" i="37"/>
  <c r="D15" i="114" s="1"/>
  <c r="M50" i="37"/>
  <c r="C15" i="114" s="1"/>
  <c r="L50" i="37"/>
  <c r="B15" i="114" s="1"/>
  <c r="Q49" i="37"/>
  <c r="G14" i="114" s="1"/>
  <c r="O49" i="37"/>
  <c r="E14" i="114" s="1"/>
  <c r="N49" i="37"/>
  <c r="D14" i="114" s="1"/>
  <c r="M49" i="37"/>
  <c r="C14" i="114" s="1"/>
  <c r="L49" i="37"/>
  <c r="B14" i="114" s="1"/>
  <c r="Q48" i="37"/>
  <c r="G13" i="114" s="1"/>
  <c r="O48" i="37"/>
  <c r="E13" i="114" s="1"/>
  <c r="N48" i="37"/>
  <c r="D13" i="114" s="1"/>
  <c r="M48" i="37"/>
  <c r="C13" i="114" s="1"/>
  <c r="L48" i="37"/>
  <c r="B13" i="114" s="1"/>
  <c r="Q47" i="37"/>
  <c r="G12" i="114" s="1"/>
  <c r="O47" i="37"/>
  <c r="E12" i="114" s="1"/>
  <c r="N47" i="37"/>
  <c r="D12" i="114" s="1"/>
  <c r="M47" i="37"/>
  <c r="C12" i="114" s="1"/>
  <c r="L47" i="37"/>
  <c r="B12" i="114" s="1"/>
  <c r="Q46" i="37"/>
  <c r="O46" i="37"/>
  <c r="E11" i="114" s="1"/>
  <c r="N46" i="37"/>
  <c r="D11" i="114" s="1"/>
  <c r="M46" i="37"/>
  <c r="C11" i="114" s="1"/>
  <c r="L46" i="37"/>
  <c r="B11" i="114" s="1"/>
  <c r="F14" i="37"/>
  <c r="H46" i="37"/>
  <c r="H53" i="37"/>
  <c r="H52" i="37"/>
  <c r="H51" i="37"/>
  <c r="H50" i="37"/>
  <c r="H49" i="37"/>
  <c r="H48" i="37"/>
  <c r="H47" i="37"/>
  <c r="F53" i="37"/>
  <c r="E18" i="110" s="1"/>
  <c r="F52" i="37"/>
  <c r="E17" i="110" s="1"/>
  <c r="F51" i="37"/>
  <c r="E16" i="110" s="1"/>
  <c r="F50" i="37"/>
  <c r="E15" i="110" s="1"/>
  <c r="F49" i="37"/>
  <c r="E14" i="110" s="1"/>
  <c r="F48" i="37"/>
  <c r="E13" i="110" s="1"/>
  <c r="F47" i="37"/>
  <c r="E12" i="110" s="1"/>
  <c r="F46" i="37"/>
  <c r="E11" i="110" s="1"/>
  <c r="E53" i="37"/>
  <c r="D18" i="110" s="1"/>
  <c r="E52" i="37"/>
  <c r="D17" i="110" s="1"/>
  <c r="E51" i="37"/>
  <c r="D16" i="110" s="1"/>
  <c r="E50" i="37"/>
  <c r="D15" i="110" s="1"/>
  <c r="E49" i="37"/>
  <c r="D14" i="110" s="1"/>
  <c r="E48" i="37"/>
  <c r="D13" i="110" s="1"/>
  <c r="E47" i="37"/>
  <c r="D12" i="110" s="1"/>
  <c r="E46" i="37"/>
  <c r="D11" i="110" s="1"/>
  <c r="D53" i="37"/>
  <c r="C18" i="110" s="1"/>
  <c r="D52" i="37"/>
  <c r="C17" i="110" s="1"/>
  <c r="D51" i="37"/>
  <c r="C16" i="110" s="1"/>
  <c r="D50" i="37"/>
  <c r="C15" i="110" s="1"/>
  <c r="D49" i="37"/>
  <c r="C14" i="110" s="1"/>
  <c r="D48" i="37"/>
  <c r="C13" i="110" s="1"/>
  <c r="D47" i="37"/>
  <c r="C12" i="110" s="1"/>
  <c r="D46" i="37"/>
  <c r="C11" i="110" s="1"/>
  <c r="C53" i="37"/>
  <c r="B18" i="110" s="1"/>
  <c r="C52" i="37"/>
  <c r="B17" i="110" s="1"/>
  <c r="C51" i="37"/>
  <c r="B16" i="110" s="1"/>
  <c r="C50" i="37"/>
  <c r="B15" i="110" s="1"/>
  <c r="C49" i="37"/>
  <c r="B14" i="110" s="1"/>
  <c r="C48" i="37"/>
  <c r="B13" i="110" s="1"/>
  <c r="C47" i="37"/>
  <c r="B12" i="110" s="1"/>
  <c r="C46" i="37"/>
  <c r="B11" i="110" s="1"/>
  <c r="D21" i="135"/>
  <c r="D22" i="135"/>
  <c r="D23" i="135"/>
  <c r="C33" i="134"/>
  <c r="D33" i="134" s="1"/>
  <c r="D32" i="134"/>
  <c r="D23" i="36"/>
  <c r="D22" i="36"/>
  <c r="D21" i="36"/>
  <c r="D20" i="36"/>
  <c r="D19" i="36"/>
  <c r="C24" i="35"/>
  <c r="D24" i="35" s="1"/>
  <c r="D23" i="35"/>
  <c r="D22" i="35"/>
  <c r="D21" i="35"/>
  <c r="D20" i="35"/>
  <c r="D25" i="34"/>
  <c r="D26" i="34"/>
  <c r="D27" i="34"/>
  <c r="D29" i="34"/>
  <c r="D24" i="34"/>
  <c r="D20" i="34"/>
  <c r="F56" i="39" s="1"/>
  <c r="D18" i="34"/>
  <c r="D17" i="34"/>
  <c r="F42" i="32"/>
  <c r="M54" i="250" s="1"/>
  <c r="F39" i="31"/>
  <c r="L53" i="250" s="1"/>
  <c r="F10" i="31"/>
  <c r="G53" i="37" l="1"/>
  <c r="F18" i="110" s="1"/>
  <c r="G18" i="110"/>
  <c r="G47" i="37"/>
  <c r="F12" i="110" s="1"/>
  <c r="G12" i="110"/>
  <c r="G51" i="37"/>
  <c r="F16" i="110" s="1"/>
  <c r="G16" i="110"/>
  <c r="G49" i="37"/>
  <c r="F14" i="110" s="1"/>
  <c r="G14" i="110"/>
  <c r="G50" i="37"/>
  <c r="F15" i="110" s="1"/>
  <c r="G15" i="110"/>
  <c r="G48" i="37"/>
  <c r="F13" i="110" s="1"/>
  <c r="G13" i="110"/>
  <c r="G52" i="37"/>
  <c r="F17" i="110" s="1"/>
  <c r="G17" i="110"/>
  <c r="G46" i="37"/>
  <c r="F11" i="110" s="1"/>
  <c r="G11" i="110"/>
  <c r="P46" i="37"/>
  <c r="F11" i="114" s="1"/>
  <c r="G11" i="114"/>
  <c r="J55" i="242"/>
  <c r="J54" i="242" s="1"/>
  <c r="P47" i="37"/>
  <c r="F12" i="114" s="1"/>
  <c r="P49" i="37"/>
  <c r="F14" i="114" s="1"/>
  <c r="P51" i="37"/>
  <c r="F16" i="114" s="1"/>
  <c r="P53" i="37"/>
  <c r="F18" i="114" s="1"/>
  <c r="P50" i="37"/>
  <c r="F15" i="114" s="1"/>
  <c r="P48" i="37"/>
  <c r="F13" i="114" s="1"/>
  <c r="P52" i="37"/>
  <c r="F17" i="114" s="1"/>
  <c r="H66" i="37"/>
  <c r="G31" i="110" s="1"/>
  <c r="C7" i="34" l="1"/>
  <c r="C14" i="32"/>
  <c r="C7" i="31"/>
  <c r="C7" i="30"/>
  <c r="H30" i="135" l="1"/>
  <c r="J21" i="135"/>
  <c r="K21" i="135"/>
  <c r="H21" i="135"/>
  <c r="H13" i="135"/>
  <c r="H7" i="135"/>
  <c r="K30" i="135"/>
  <c r="J30" i="135"/>
  <c r="K13" i="135"/>
  <c r="J13" i="135"/>
  <c r="K7" i="135"/>
  <c r="K6" i="135"/>
  <c r="J6" i="135"/>
  <c r="J28" i="134"/>
  <c r="K28" i="134"/>
  <c r="H27" i="134"/>
  <c r="H26" i="134" s="1"/>
  <c r="H28" i="134"/>
  <c r="K21" i="134"/>
  <c r="J21" i="134"/>
  <c r="H21" i="134"/>
  <c r="K13" i="134"/>
  <c r="J13" i="134"/>
  <c r="H13" i="134"/>
  <c r="K7" i="134"/>
  <c r="J7" i="134"/>
  <c r="H7" i="134"/>
  <c r="J28" i="133"/>
  <c r="K28" i="133"/>
  <c r="H28" i="133"/>
  <c r="J21" i="133"/>
  <c r="K21" i="133"/>
  <c r="H21" i="133"/>
  <c r="K15" i="133"/>
  <c r="J15" i="133"/>
  <c r="H15" i="133"/>
  <c r="K7" i="133"/>
  <c r="J7" i="133"/>
  <c r="H7" i="133"/>
  <c r="J28" i="36"/>
  <c r="K28" i="36"/>
  <c r="H28" i="36"/>
  <c r="I21" i="36"/>
  <c r="H21" i="36"/>
  <c r="K21" i="36"/>
  <c r="J21" i="36"/>
  <c r="K15" i="36"/>
  <c r="J15" i="36"/>
  <c r="H15" i="36"/>
  <c r="K7" i="36"/>
  <c r="J7" i="36"/>
  <c r="H7" i="36"/>
  <c r="J28" i="35"/>
  <c r="K28" i="35"/>
  <c r="H28" i="35"/>
  <c r="I20" i="35"/>
  <c r="J21" i="35"/>
  <c r="K21" i="35"/>
  <c r="H21" i="35"/>
  <c r="H20" i="35"/>
  <c r="J15" i="35"/>
  <c r="K15" i="35"/>
  <c r="H15" i="35"/>
  <c r="J7" i="35"/>
  <c r="K7" i="35"/>
  <c r="H7" i="35"/>
  <c r="H15" i="34"/>
  <c r="H7" i="34"/>
  <c r="K33" i="34"/>
  <c r="J33" i="34"/>
  <c r="H33" i="34"/>
  <c r="K24" i="34"/>
  <c r="J24" i="34"/>
  <c r="H24" i="34"/>
  <c r="K15" i="34"/>
  <c r="J15" i="34"/>
  <c r="K7" i="34"/>
  <c r="J7" i="34"/>
  <c r="J7" i="33"/>
  <c r="K7" i="33"/>
  <c r="J24" i="33"/>
  <c r="K24" i="33"/>
  <c r="J15" i="33"/>
  <c r="K15" i="33"/>
  <c r="J33" i="33"/>
  <c r="K33" i="33"/>
  <c r="H33" i="33"/>
  <c r="H24" i="33"/>
  <c r="H15" i="33"/>
  <c r="H7" i="33"/>
  <c r="J27" i="32"/>
  <c r="K27" i="32"/>
  <c r="H27" i="32"/>
  <c r="K20" i="32"/>
  <c r="J20" i="32"/>
  <c r="H20" i="32"/>
  <c r="K13" i="32"/>
  <c r="J13" i="32"/>
  <c r="H13" i="32"/>
  <c r="K7" i="32"/>
  <c r="J7" i="32"/>
  <c r="H7" i="32"/>
  <c r="K27" i="31"/>
  <c r="J27" i="31"/>
  <c r="H27" i="31"/>
  <c r="K20" i="31"/>
  <c r="J20" i="31"/>
  <c r="H20" i="31"/>
  <c r="K13" i="31"/>
  <c r="J13" i="31"/>
  <c r="H13" i="31"/>
  <c r="K7" i="31"/>
  <c r="J7" i="31"/>
  <c r="H7" i="31"/>
  <c r="K6" i="31"/>
  <c r="K5" i="31" s="1"/>
  <c r="J20" i="30"/>
  <c r="K20" i="30"/>
  <c r="J27" i="30"/>
  <c r="K27" i="30"/>
  <c r="H27" i="30"/>
  <c r="H20" i="30"/>
  <c r="H13" i="30"/>
  <c r="H7" i="30"/>
  <c r="K13" i="30"/>
  <c r="J13" i="30"/>
  <c r="K7" i="30"/>
  <c r="J7" i="30"/>
  <c r="K5" i="135" l="1"/>
  <c r="H19" i="35"/>
  <c r="N582" i="165" l="1"/>
  <c r="M20" i="143"/>
  <c r="I20" i="143"/>
  <c r="J20" i="143"/>
  <c r="K20" i="143"/>
  <c r="R20" i="143"/>
  <c r="I19" i="143"/>
  <c r="F20" i="143"/>
  <c r="L20" i="143" s="1"/>
  <c r="H33" i="193" l="1"/>
  <c r="I33" i="193" s="1"/>
  <c r="A33" i="193"/>
  <c r="K34" i="51"/>
  <c r="O64" i="154"/>
  <c r="O65" i="154"/>
  <c r="Q64" i="40"/>
  <c r="Q64" i="39"/>
  <c r="G64" i="154"/>
  <c r="G65" i="154"/>
  <c r="Q32" i="40" l="1"/>
  <c r="Q32" i="39"/>
  <c r="O32" i="154"/>
  <c r="Q34" i="37"/>
  <c r="Q33" i="37"/>
  <c r="F34" i="200" l="1"/>
  <c r="G34" i="200" s="1"/>
  <c r="W31" i="114"/>
  <c r="I31" i="114"/>
  <c r="C37" i="133" l="1"/>
  <c r="E16" i="37"/>
  <c r="E18" i="37"/>
  <c r="H27" i="250" l="1"/>
  <c r="H38" i="133"/>
  <c r="I768" i="179"/>
  <c r="F768" i="179" s="1"/>
  <c r="I769" i="179"/>
  <c r="F769" i="179" s="1"/>
  <c r="H771" i="179"/>
  <c r="F761" i="179"/>
  <c r="F760" i="179"/>
  <c r="H765" i="179"/>
  <c r="I764" i="179" s="1"/>
  <c r="F764" i="179" s="1"/>
  <c r="H758" i="179"/>
  <c r="I752" i="179" s="1"/>
  <c r="F752" i="179" s="1"/>
  <c r="H749" i="179"/>
  <c r="I748" i="179" s="1"/>
  <c r="F748" i="179" s="1"/>
  <c r="O744" i="179"/>
  <c r="N744" i="179"/>
  <c r="L744" i="179"/>
  <c r="K744" i="179"/>
  <c r="H744" i="179"/>
  <c r="F740" i="179"/>
  <c r="F741" i="179"/>
  <c r="F742" i="179"/>
  <c r="F743" i="179"/>
  <c r="F739" i="179"/>
  <c r="R16" i="218"/>
  <c r="T16" i="218" s="1"/>
  <c r="R17" i="218"/>
  <c r="T17" i="218" s="1"/>
  <c r="R15" i="218"/>
  <c r="T15" i="218" s="1"/>
  <c r="I770" i="179" l="1"/>
  <c r="F770" i="179" s="1"/>
  <c r="F790" i="179"/>
  <c r="F779" i="179"/>
  <c r="F777" i="179"/>
  <c r="F789" i="179"/>
  <c r="F791" i="179"/>
  <c r="F780" i="179"/>
  <c r="F778" i="179"/>
  <c r="F788" i="179"/>
  <c r="I767" i="179"/>
  <c r="F767" i="179" s="1"/>
  <c r="I753" i="179"/>
  <c r="F753" i="179" s="1"/>
  <c r="I757" i="179"/>
  <c r="F757" i="179" s="1"/>
  <c r="I755" i="179"/>
  <c r="F755" i="179" s="1"/>
  <c r="I762" i="179"/>
  <c r="F762" i="179" s="1"/>
  <c r="I747" i="179"/>
  <c r="F747" i="179" s="1"/>
  <c r="I763" i="179"/>
  <c r="F763" i="179" s="1"/>
  <c r="I751" i="179"/>
  <c r="F751" i="179" s="1"/>
  <c r="I756" i="179"/>
  <c r="F756" i="179" s="1"/>
  <c r="I746" i="179"/>
  <c r="F746" i="179" s="1"/>
  <c r="I754" i="179"/>
  <c r="F754" i="179" s="1"/>
  <c r="G23" i="174" l="1"/>
  <c r="G22" i="174"/>
  <c r="D22" i="174"/>
  <c r="E22" i="174"/>
  <c r="H35" i="175"/>
  <c r="F35" i="175"/>
  <c r="E35" i="175"/>
  <c r="M40" i="199" l="1"/>
  <c r="N40" i="199"/>
  <c r="O40" i="199"/>
  <c r="P40" i="199"/>
  <c r="Q40" i="199"/>
  <c r="R40" i="199"/>
  <c r="S40" i="199"/>
  <c r="T40" i="199"/>
  <c r="U40" i="199"/>
  <c r="V40" i="199"/>
  <c r="W40" i="199"/>
  <c r="X40" i="199"/>
  <c r="Y40" i="199"/>
  <c r="Z40" i="199"/>
  <c r="AA40" i="199"/>
  <c r="AB40" i="199"/>
  <c r="AC40" i="199"/>
  <c r="K57" i="199"/>
  <c r="M57" i="199"/>
  <c r="N57" i="199"/>
  <c r="O57" i="199"/>
  <c r="P57" i="199"/>
  <c r="Q57" i="199"/>
  <c r="R57" i="199"/>
  <c r="S57" i="199"/>
  <c r="T57" i="199"/>
  <c r="U57" i="199"/>
  <c r="V57" i="199"/>
  <c r="W57" i="199"/>
  <c r="X57" i="199"/>
  <c r="Y57" i="199"/>
  <c r="Z57" i="199"/>
  <c r="AA57" i="199"/>
  <c r="AB57" i="199"/>
  <c r="AC57" i="199"/>
  <c r="K58" i="199"/>
  <c r="M58" i="199"/>
  <c r="N58" i="199"/>
  <c r="O58" i="199"/>
  <c r="P58" i="199"/>
  <c r="Q58" i="199"/>
  <c r="R58" i="199"/>
  <c r="S58" i="199"/>
  <c r="T58" i="199"/>
  <c r="U58" i="199"/>
  <c r="V58" i="199"/>
  <c r="W58" i="199"/>
  <c r="X58" i="199"/>
  <c r="Y58" i="199"/>
  <c r="Z58" i="199"/>
  <c r="AA58" i="199"/>
  <c r="AB58" i="199"/>
  <c r="AC58" i="199"/>
  <c r="K59" i="199"/>
  <c r="M59" i="199"/>
  <c r="N59" i="199"/>
  <c r="O59" i="199"/>
  <c r="P59" i="199"/>
  <c r="Q59" i="199"/>
  <c r="R59" i="199"/>
  <c r="S59" i="199"/>
  <c r="T59" i="199"/>
  <c r="U59" i="199"/>
  <c r="V59" i="199"/>
  <c r="W59" i="199"/>
  <c r="X59" i="199"/>
  <c r="Y59" i="199"/>
  <c r="Z59" i="199"/>
  <c r="AA59" i="199"/>
  <c r="AB59" i="199"/>
  <c r="AC59" i="199"/>
  <c r="K60" i="199"/>
  <c r="M60" i="199"/>
  <c r="N60" i="199"/>
  <c r="O60" i="199"/>
  <c r="P60" i="199"/>
  <c r="Q60" i="199"/>
  <c r="R60" i="199"/>
  <c r="S60" i="199"/>
  <c r="T60" i="199"/>
  <c r="U60" i="199"/>
  <c r="V60" i="199"/>
  <c r="W60" i="199"/>
  <c r="X60" i="199"/>
  <c r="Y60" i="199"/>
  <c r="Z60" i="199"/>
  <c r="AA60" i="199"/>
  <c r="AB60" i="199"/>
  <c r="AC60" i="199"/>
  <c r="K61" i="199"/>
  <c r="M61" i="199"/>
  <c r="N61" i="199"/>
  <c r="O61" i="199"/>
  <c r="P61" i="199"/>
  <c r="Q61" i="199"/>
  <c r="R61" i="199"/>
  <c r="S61" i="199"/>
  <c r="T61" i="199"/>
  <c r="U61" i="199"/>
  <c r="V61" i="199"/>
  <c r="W61" i="199"/>
  <c r="X61" i="199"/>
  <c r="Y61" i="199"/>
  <c r="Z61" i="199"/>
  <c r="AA61" i="199"/>
  <c r="AB61" i="199"/>
  <c r="AC61" i="199"/>
  <c r="K62" i="199"/>
  <c r="M62" i="199"/>
  <c r="N62" i="199"/>
  <c r="O62" i="199"/>
  <c r="P62" i="199"/>
  <c r="Q62" i="199"/>
  <c r="R62" i="199"/>
  <c r="S62" i="199"/>
  <c r="T62" i="199"/>
  <c r="U62" i="199"/>
  <c r="V62" i="199"/>
  <c r="W62" i="199"/>
  <c r="X62" i="199"/>
  <c r="Y62" i="199"/>
  <c r="Z62" i="199"/>
  <c r="AA62" i="199"/>
  <c r="AB62" i="199"/>
  <c r="AC62" i="199"/>
  <c r="M64" i="199"/>
  <c r="N64" i="199"/>
  <c r="O64" i="199"/>
  <c r="P64" i="199"/>
  <c r="Q64" i="199"/>
  <c r="R64" i="199"/>
  <c r="S64" i="199"/>
  <c r="T64" i="199"/>
  <c r="U64" i="199"/>
  <c r="V64" i="199"/>
  <c r="W64" i="199"/>
  <c r="X64" i="199"/>
  <c r="Y64" i="199"/>
  <c r="Z64" i="199"/>
  <c r="AA64" i="199"/>
  <c r="AB64" i="199"/>
  <c r="AC64" i="199"/>
  <c r="M66" i="199"/>
  <c r="N66" i="199"/>
  <c r="O66" i="199"/>
  <c r="P66" i="199"/>
  <c r="Q66" i="199"/>
  <c r="R66" i="199"/>
  <c r="S66" i="199"/>
  <c r="T66" i="199"/>
  <c r="U66" i="199"/>
  <c r="V66" i="199"/>
  <c r="W66" i="199"/>
  <c r="X66" i="199"/>
  <c r="Y66" i="199"/>
  <c r="Z66" i="199"/>
  <c r="AA66" i="199"/>
  <c r="AB66" i="199"/>
  <c r="AC66" i="199"/>
  <c r="J48" i="168" l="1"/>
  <c r="J20" i="168"/>
  <c r="J32" i="168" s="1"/>
  <c r="J57" i="168" l="1"/>
  <c r="J56" i="168"/>
  <c r="J55" i="168"/>
  <c r="J54" i="168"/>
  <c r="J53" i="168"/>
  <c r="J52" i="168"/>
  <c r="J33" i="168"/>
  <c r="J31" i="168"/>
  <c r="J30" i="168"/>
  <c r="J29" i="168"/>
  <c r="J28" i="168"/>
  <c r="J27" i="168"/>
  <c r="J26" i="168"/>
  <c r="J25" i="168"/>
  <c r="J24" i="168"/>
  <c r="X614" i="165"/>
  <c r="Y614" i="165" s="1"/>
  <c r="Y616" i="165" s="1"/>
  <c r="R608" i="165"/>
  <c r="S608" i="165"/>
  <c r="T608" i="165"/>
  <c r="U608" i="165"/>
  <c r="V608" i="165"/>
  <c r="W608" i="165"/>
  <c r="X608" i="165"/>
  <c r="X609" i="165" s="1"/>
  <c r="Y608" i="165"/>
  <c r="Y609" i="165" s="1"/>
  <c r="Z608" i="165"/>
  <c r="Z609" i="165" s="1"/>
  <c r="AA608" i="165"/>
  <c r="AA609" i="165" s="1"/>
  <c r="AB608" i="165"/>
  <c r="AB609" i="165" s="1"/>
  <c r="AC608" i="165"/>
  <c r="AC609" i="165" s="1"/>
  <c r="AD608" i="165"/>
  <c r="AD609" i="165" s="1"/>
  <c r="Q608" i="165"/>
  <c r="AE607" i="165"/>
  <c r="R606" i="165"/>
  <c r="S606" i="165"/>
  <c r="T606" i="165"/>
  <c r="T609" i="165" s="1"/>
  <c r="U606" i="165"/>
  <c r="V606" i="165"/>
  <c r="W606" i="165"/>
  <c r="Q606" i="165"/>
  <c r="Q609" i="165" s="1"/>
  <c r="X605" i="165"/>
  <c r="U609" i="165" l="1"/>
  <c r="S609" i="165"/>
  <c r="R609" i="165"/>
  <c r="W609" i="165"/>
  <c r="V609" i="165"/>
  <c r="U41" i="238" l="1"/>
  <c r="X17" i="238"/>
  <c r="W17" i="238"/>
  <c r="V17" i="238"/>
  <c r="U17" i="238"/>
  <c r="P17" i="238"/>
  <c r="O17" i="238"/>
  <c r="N17" i="238"/>
  <c r="M17" i="238"/>
  <c r="F17" i="238"/>
  <c r="K17" i="238" s="1"/>
  <c r="D17" i="238"/>
  <c r="I17" i="238" s="1"/>
  <c r="C17" i="238"/>
  <c r="H17" i="238" s="1"/>
  <c r="K15" i="238"/>
  <c r="I15" i="238"/>
  <c r="H15" i="238"/>
  <c r="E15" i="238"/>
  <c r="E17" i="238" s="1"/>
  <c r="J17" i="238" s="1"/>
  <c r="K14" i="238"/>
  <c r="J14" i="238"/>
  <c r="I14" i="238"/>
  <c r="H14" i="238"/>
  <c r="J13" i="238"/>
  <c r="I13" i="238"/>
  <c r="H13" i="238"/>
  <c r="K12" i="238"/>
  <c r="J12" i="238"/>
  <c r="I12" i="238"/>
  <c r="H12" i="238"/>
  <c r="K11" i="238"/>
  <c r="J11" i="238"/>
  <c r="I11" i="238"/>
  <c r="H11" i="238"/>
  <c r="K10" i="238"/>
  <c r="J10" i="238"/>
  <c r="I10" i="238"/>
  <c r="H10" i="238"/>
  <c r="K9" i="238"/>
  <c r="J9" i="238"/>
  <c r="I9" i="238"/>
  <c r="H9" i="238"/>
  <c r="K8" i="238"/>
  <c r="J8" i="238"/>
  <c r="I8" i="238"/>
  <c r="H8" i="238"/>
  <c r="J15" i="238" l="1"/>
  <c r="K362" i="179"/>
  <c r="L352" i="179" s="1"/>
  <c r="O36" i="179" l="1"/>
  <c r="N36" i="179"/>
  <c r="O45" i="179"/>
  <c r="N45" i="179"/>
  <c r="N221" i="179"/>
  <c r="O249" i="179"/>
  <c r="N249" i="179"/>
  <c r="O303" i="179"/>
  <c r="N303" i="179"/>
  <c r="O325" i="179"/>
  <c r="N325" i="179"/>
  <c r="O342" i="179"/>
  <c r="N342" i="179"/>
  <c r="N372" i="179"/>
  <c r="N396" i="179"/>
  <c r="N406" i="179"/>
  <c r="O406" i="179"/>
  <c r="K432" i="179"/>
  <c r="K451" i="179"/>
  <c r="N655" i="179"/>
  <c r="K733" i="179"/>
  <c r="K727" i="179"/>
  <c r="K691" i="179"/>
  <c r="N621" i="179"/>
  <c r="O616" i="179" s="1"/>
  <c r="N669" i="179"/>
  <c r="K664" i="179"/>
  <c r="O664" i="179"/>
  <c r="N664" i="179"/>
  <c r="L664" i="179"/>
  <c r="H655" i="179"/>
  <c r="K655" i="179"/>
  <c r="O655" i="179"/>
  <c r="L655" i="179"/>
  <c r="O646" i="179"/>
  <c r="N646" i="179"/>
  <c r="K646" i="179"/>
  <c r="L646" i="179"/>
  <c r="I646" i="179"/>
  <c r="O495" i="179"/>
  <c r="N495" i="179"/>
  <c r="O485" i="179"/>
  <c r="N485" i="179"/>
  <c r="O478" i="179"/>
  <c r="N478" i="179"/>
  <c r="H639" i="179"/>
  <c r="O633" i="179"/>
  <c r="I639" i="179"/>
  <c r="I630" i="179"/>
  <c r="I608" i="179"/>
  <c r="I609" i="179"/>
  <c r="I610" i="179"/>
  <c r="I607" i="179"/>
  <c r="K611" i="179"/>
  <c r="L608" i="179" s="1"/>
  <c r="K621" i="179"/>
  <c r="L621" i="179"/>
  <c r="I621" i="179"/>
  <c r="I592" i="179"/>
  <c r="I576" i="179"/>
  <c r="I566" i="179"/>
  <c r="I557" i="179"/>
  <c r="I551" i="179"/>
  <c r="I541" i="179"/>
  <c r="I535" i="179"/>
  <c r="O519" i="179"/>
  <c r="I517" i="179"/>
  <c r="O712" i="179"/>
  <c r="O669" i="179"/>
  <c r="I611" i="179" l="1"/>
  <c r="O615" i="179"/>
  <c r="O621" i="179" s="1"/>
  <c r="F56" i="175"/>
  <c r="R55" i="175"/>
  <c r="T55" i="175" s="1"/>
  <c r="F55" i="175"/>
  <c r="T54" i="175"/>
  <c r="T53" i="175"/>
  <c r="T52" i="175"/>
  <c r="T51" i="175"/>
  <c r="T50" i="175"/>
  <c r="T49" i="175"/>
  <c r="K20" i="192"/>
  <c r="J60" i="209" l="1"/>
  <c r="J33" i="209"/>
  <c r="J32" i="209"/>
  <c r="N685" i="179"/>
  <c r="N684" i="179"/>
  <c r="L685" i="179"/>
  <c r="H621" i="179"/>
  <c r="H630" i="179"/>
  <c r="H646" i="179"/>
  <c r="H664" i="179"/>
  <c r="H673" i="179"/>
  <c r="H679" i="179"/>
  <c r="H700" i="179"/>
  <c r="I694" i="179" s="1"/>
  <c r="H691" i="179"/>
  <c r="H733" i="179"/>
  <c r="H727" i="179"/>
  <c r="I720" i="179" s="1"/>
  <c r="H709" i="179"/>
  <c r="H717" i="179"/>
  <c r="L720" i="179"/>
  <c r="F713" i="179"/>
  <c r="F714" i="179"/>
  <c r="F715" i="179"/>
  <c r="F716" i="179"/>
  <c r="N730" i="179"/>
  <c r="L730" i="179"/>
  <c r="N731" i="179"/>
  <c r="N721" i="179"/>
  <c r="N720" i="179"/>
  <c r="O731" i="179" l="1"/>
  <c r="N727" i="179"/>
  <c r="N733" i="179"/>
  <c r="O684" i="179"/>
  <c r="N691" i="179"/>
  <c r="I684" i="179"/>
  <c r="I688" i="179"/>
  <c r="I685" i="179"/>
  <c r="I689" i="179"/>
  <c r="I686" i="179"/>
  <c r="I690" i="179"/>
  <c r="I687" i="179"/>
  <c r="O685" i="179"/>
  <c r="O730" i="179"/>
  <c r="L731" i="179"/>
  <c r="L733" i="179" s="1"/>
  <c r="O721" i="179"/>
  <c r="I732" i="179"/>
  <c r="I730" i="179"/>
  <c r="F730" i="179" s="1"/>
  <c r="I731" i="179"/>
  <c r="L684" i="179"/>
  <c r="L691" i="179" s="1"/>
  <c r="L721" i="179"/>
  <c r="L727" i="179" s="1"/>
  <c r="O720" i="179"/>
  <c r="N702" i="179"/>
  <c r="N694" i="179"/>
  <c r="I708" i="179"/>
  <c r="F708" i="179" s="1"/>
  <c r="I706" i="179"/>
  <c r="F706" i="179" s="1"/>
  <c r="F694" i="179"/>
  <c r="F728" i="179"/>
  <c r="N712" i="179"/>
  <c r="F712" i="179"/>
  <c r="F701" i="179"/>
  <c r="P14" i="218"/>
  <c r="P15" i="218"/>
  <c r="P16" i="218"/>
  <c r="P17" i="218"/>
  <c r="P18" i="218"/>
  <c r="P19" i="218"/>
  <c r="P31" i="218"/>
  <c r="P34" i="218"/>
  <c r="P49" i="218"/>
  <c r="P52" i="218"/>
  <c r="C56" i="207"/>
  <c r="W56" i="207" s="1"/>
  <c r="D56" i="207"/>
  <c r="X56" i="207" s="1"/>
  <c r="E56" i="207"/>
  <c r="Y56" i="207" s="1"/>
  <c r="F56" i="207"/>
  <c r="Z56" i="207" s="1"/>
  <c r="G56" i="207"/>
  <c r="B56" i="207"/>
  <c r="V56" i="207" s="1"/>
  <c r="A56" i="207"/>
  <c r="H56" i="207"/>
  <c r="O733" i="179" l="1"/>
  <c r="O691" i="179"/>
  <c r="O727" i="179"/>
  <c r="V68" i="221"/>
  <c r="P68" i="221"/>
  <c r="J68" i="221"/>
  <c r="S68" i="221"/>
  <c r="M68" i="221"/>
  <c r="F690" i="179"/>
  <c r="F689" i="179"/>
  <c r="F686" i="179"/>
  <c r="F685" i="179"/>
  <c r="F684" i="179"/>
  <c r="F687" i="179"/>
  <c r="F688" i="179"/>
  <c r="I703" i="179"/>
  <c r="F703" i="179" s="1"/>
  <c r="F732" i="179"/>
  <c r="F731" i="179"/>
  <c r="I702" i="179"/>
  <c r="O702" i="179" s="1"/>
  <c r="I707" i="179"/>
  <c r="F707" i="179" s="1"/>
  <c r="I704" i="179"/>
  <c r="F704" i="179" s="1"/>
  <c r="I723" i="179"/>
  <c r="F723" i="179" s="1"/>
  <c r="F720" i="179"/>
  <c r="I724" i="179"/>
  <c r="F724" i="179" s="1"/>
  <c r="I721" i="179"/>
  <c r="F721" i="179" s="1"/>
  <c r="I725" i="179"/>
  <c r="F725" i="179" s="1"/>
  <c r="I722" i="179"/>
  <c r="F722" i="179" s="1"/>
  <c r="I726" i="179"/>
  <c r="F726" i="179" s="1"/>
  <c r="I705" i="179"/>
  <c r="F705" i="179" s="1"/>
  <c r="I697" i="179"/>
  <c r="F697" i="179" s="1"/>
  <c r="I696" i="179"/>
  <c r="F696" i="179" s="1"/>
  <c r="I699" i="179"/>
  <c r="F699" i="179" s="1"/>
  <c r="I698" i="179"/>
  <c r="F698" i="179" s="1"/>
  <c r="I695" i="179"/>
  <c r="F695" i="179" s="1"/>
  <c r="P55" i="218"/>
  <c r="P51" i="218"/>
  <c r="P37" i="218"/>
  <c r="P33" i="218"/>
  <c r="P32" i="218"/>
  <c r="P54" i="218"/>
  <c r="P50" i="218"/>
  <c r="P36" i="218"/>
  <c r="P53" i="218"/>
  <c r="P35" i="218"/>
  <c r="L56" i="207" l="1"/>
  <c r="P56" i="207"/>
  <c r="J56" i="207"/>
  <c r="N56" i="207"/>
  <c r="Q56" i="207"/>
  <c r="F702" i="179"/>
  <c r="F132" i="236"/>
  <c r="E132" i="236"/>
  <c r="D132" i="236"/>
  <c r="C132" i="236"/>
  <c r="F93" i="236"/>
  <c r="K93" i="236" s="1"/>
  <c r="E93" i="236"/>
  <c r="J91" i="236" s="1"/>
  <c r="D93" i="236"/>
  <c r="I87" i="236" s="1"/>
  <c r="C93" i="236"/>
  <c r="H89" i="236" s="1"/>
  <c r="F50" i="236"/>
  <c r="K50" i="236" s="1"/>
  <c r="E50" i="236"/>
  <c r="J50" i="236" s="1"/>
  <c r="D50" i="236"/>
  <c r="I50" i="236" s="1"/>
  <c r="C50" i="236"/>
  <c r="H50" i="236" s="1"/>
  <c r="I46" i="236"/>
  <c r="I40" i="236"/>
  <c r="K39" i="236"/>
  <c r="L23" i="236"/>
  <c r="J23" i="236"/>
  <c r="I23" i="236"/>
  <c r="H23" i="236"/>
  <c r="J22" i="236"/>
  <c r="I22" i="236"/>
  <c r="H22" i="236"/>
  <c r="J21" i="236"/>
  <c r="I21" i="236"/>
  <c r="H21" i="236"/>
  <c r="J20" i="236"/>
  <c r="I20" i="236"/>
  <c r="H20" i="236"/>
  <c r="J19" i="236"/>
  <c r="I19" i="236"/>
  <c r="H19" i="236"/>
  <c r="J18" i="236"/>
  <c r="I18" i="236"/>
  <c r="H18" i="236"/>
  <c r="J17" i="236"/>
  <c r="I17" i="236"/>
  <c r="H17" i="236"/>
  <c r="J16" i="236"/>
  <c r="I16" i="236"/>
  <c r="H16" i="236"/>
  <c r="J15" i="236"/>
  <c r="I15" i="236"/>
  <c r="H15" i="236"/>
  <c r="J14" i="236"/>
  <c r="I14" i="236"/>
  <c r="C14" i="236"/>
  <c r="H14" i="236" s="1"/>
  <c r="J13" i="236"/>
  <c r="I13" i="236"/>
  <c r="H13" i="236"/>
  <c r="J12" i="236"/>
  <c r="I12" i="236"/>
  <c r="H12" i="236"/>
  <c r="J11" i="236"/>
  <c r="I11" i="236"/>
  <c r="H11" i="236"/>
  <c r="J10" i="236"/>
  <c r="I10" i="236"/>
  <c r="H10" i="236"/>
  <c r="J9" i="236"/>
  <c r="I9" i="236"/>
  <c r="H9" i="236"/>
  <c r="N22" i="235"/>
  <c r="N20" i="235"/>
  <c r="N18" i="235"/>
  <c r="N19" i="235"/>
  <c r="N23" i="235"/>
  <c r="N24" i="235"/>
  <c r="N16" i="235"/>
  <c r="N15" i="235"/>
  <c r="N14" i="235"/>
  <c r="N12" i="235"/>
  <c r="N11" i="235"/>
  <c r="N10" i="235"/>
  <c r="N8" i="235"/>
  <c r="P49" i="235"/>
  <c r="K49" i="235"/>
  <c r="K52" i="235" s="1"/>
  <c r="J49" i="235"/>
  <c r="J52" i="235" s="1"/>
  <c r="I49" i="235"/>
  <c r="C43" i="235"/>
  <c r="B43" i="235"/>
  <c r="C42" i="235"/>
  <c r="B42" i="235"/>
  <c r="K22" i="235"/>
  <c r="L21" i="235"/>
  <c r="N21" i="235" s="1"/>
  <c r="K21" i="235"/>
  <c r="K20" i="235"/>
  <c r="K18" i="235"/>
  <c r="J18" i="235"/>
  <c r="I18" i="235"/>
  <c r="H18" i="235"/>
  <c r="G18" i="235"/>
  <c r="F18" i="235"/>
  <c r="E18" i="235"/>
  <c r="D18" i="235"/>
  <c r="C18" i="235"/>
  <c r="L17" i="235"/>
  <c r="N17" i="235" s="1"/>
  <c r="K17" i="235"/>
  <c r="J17" i="235"/>
  <c r="I17" i="235"/>
  <c r="H17" i="235"/>
  <c r="G17" i="235"/>
  <c r="F17" i="235"/>
  <c r="E17" i="235"/>
  <c r="D17" i="235"/>
  <c r="C17" i="235"/>
  <c r="K16" i="235"/>
  <c r="J16" i="235"/>
  <c r="I16" i="235"/>
  <c r="H16" i="235"/>
  <c r="G16" i="235"/>
  <c r="F16" i="235"/>
  <c r="E16" i="235"/>
  <c r="D16" i="235"/>
  <c r="C16" i="235"/>
  <c r="K14" i="235"/>
  <c r="J14" i="235"/>
  <c r="I14" i="235"/>
  <c r="H14" i="235"/>
  <c r="G14" i="235"/>
  <c r="F14" i="235"/>
  <c r="E14" i="235"/>
  <c r="D14" i="235"/>
  <c r="C14" i="235"/>
  <c r="L13" i="235"/>
  <c r="N13" i="235" s="1"/>
  <c r="K13" i="235"/>
  <c r="J13" i="235"/>
  <c r="I13" i="235"/>
  <c r="H13" i="235"/>
  <c r="G13" i="235"/>
  <c r="F13" i="235"/>
  <c r="E13" i="235"/>
  <c r="D13" i="235"/>
  <c r="C13" i="235"/>
  <c r="K12" i="235"/>
  <c r="J12" i="235"/>
  <c r="I12" i="235"/>
  <c r="H12" i="235"/>
  <c r="G12" i="235"/>
  <c r="F12" i="235"/>
  <c r="E12" i="235"/>
  <c r="D12" i="235"/>
  <c r="C12" i="235"/>
  <c r="U10" i="235"/>
  <c r="K10" i="235"/>
  <c r="J10" i="235"/>
  <c r="I10" i="235"/>
  <c r="H10" i="235"/>
  <c r="G10" i="235"/>
  <c r="F10" i="235"/>
  <c r="E10" i="235"/>
  <c r="D10" i="235"/>
  <c r="C10" i="235"/>
  <c r="W9" i="235"/>
  <c r="U9" i="235"/>
  <c r="L9" i="235"/>
  <c r="N9" i="235" s="1"/>
  <c r="K9" i="235"/>
  <c r="J9" i="235"/>
  <c r="I9" i="235"/>
  <c r="H9" i="235"/>
  <c r="G9" i="235"/>
  <c r="F9" i="235"/>
  <c r="E9" i="235"/>
  <c r="D9" i="235"/>
  <c r="C9" i="235"/>
  <c r="W8" i="235"/>
  <c r="S8" i="235"/>
  <c r="K8" i="235"/>
  <c r="J8" i="235"/>
  <c r="I8" i="235"/>
  <c r="H8" i="235"/>
  <c r="G8" i="235"/>
  <c r="F8" i="235"/>
  <c r="E8" i="235"/>
  <c r="D8" i="235"/>
  <c r="C8" i="235"/>
  <c r="C17" i="158"/>
  <c r="D17" i="158"/>
  <c r="E17" i="158"/>
  <c r="F17" i="158"/>
  <c r="G17" i="158"/>
  <c r="H17" i="158"/>
  <c r="I17" i="158"/>
  <c r="J17" i="158"/>
  <c r="S17" i="158"/>
  <c r="K17" i="158"/>
  <c r="L17" i="158"/>
  <c r="M17" i="158"/>
  <c r="N17" i="158"/>
  <c r="O17" i="158"/>
  <c r="P17" i="158"/>
  <c r="Q17" i="158"/>
  <c r="R17" i="158"/>
  <c r="M34" i="234"/>
  <c r="M33" i="234"/>
  <c r="M32" i="234"/>
  <c r="M31" i="234"/>
  <c r="M30" i="234"/>
  <c r="P18" i="234"/>
  <c r="T18" i="234"/>
  <c r="T17" i="234"/>
  <c r="U17" i="234" s="1"/>
  <c r="R17" i="234"/>
  <c r="S17" i="234" s="1"/>
  <c r="P17" i="234"/>
  <c r="Q17" i="234" s="1"/>
  <c r="T16" i="234"/>
  <c r="R16" i="234"/>
  <c r="P16" i="234"/>
  <c r="M16" i="234"/>
  <c r="T15" i="234"/>
  <c r="R15" i="234"/>
  <c r="P15" i="234"/>
  <c r="M15" i="234"/>
  <c r="T14" i="234"/>
  <c r="R14" i="234"/>
  <c r="P14" i="234"/>
  <c r="M14" i="234"/>
  <c r="T13" i="234"/>
  <c r="R13" i="234"/>
  <c r="P13" i="234"/>
  <c r="T12" i="234"/>
  <c r="R12" i="234"/>
  <c r="P12" i="234"/>
  <c r="M12" i="234"/>
  <c r="T11" i="234"/>
  <c r="R11" i="234"/>
  <c r="P11" i="234"/>
  <c r="M11" i="234"/>
  <c r="T10" i="234"/>
  <c r="R10" i="234"/>
  <c r="P10" i="234"/>
  <c r="M10" i="234"/>
  <c r="T9" i="234"/>
  <c r="U9" i="234" s="1"/>
  <c r="R9" i="234"/>
  <c r="S9" i="234" s="1"/>
  <c r="P9" i="234"/>
  <c r="Q9" i="234" s="1"/>
  <c r="C44" i="235" l="1"/>
  <c r="K41" i="236"/>
  <c r="K45" i="236"/>
  <c r="I38" i="236"/>
  <c r="J39" i="236"/>
  <c r="I42" i="236"/>
  <c r="J35" i="236"/>
  <c r="J42" i="236"/>
  <c r="I36" i="236"/>
  <c r="J44" i="236"/>
  <c r="K35" i="236"/>
  <c r="J38" i="236"/>
  <c r="H42" i="236"/>
  <c r="J45" i="236"/>
  <c r="H125" i="236"/>
  <c r="H36" i="236"/>
  <c r="H46" i="236"/>
  <c r="J36" i="236"/>
  <c r="H40" i="236"/>
  <c r="J43" i="236"/>
  <c r="K63" i="236"/>
  <c r="H109" i="236"/>
  <c r="H34" i="236"/>
  <c r="J37" i="236"/>
  <c r="K43" i="236"/>
  <c r="K46" i="236"/>
  <c r="K64" i="236"/>
  <c r="K115" i="236"/>
  <c r="I34" i="236"/>
  <c r="K37" i="236"/>
  <c r="J40" i="236"/>
  <c r="H44" i="236"/>
  <c r="K47" i="236"/>
  <c r="H71" i="236"/>
  <c r="K117" i="236"/>
  <c r="J34" i="236"/>
  <c r="H38" i="236"/>
  <c r="J41" i="236"/>
  <c r="I44" i="236"/>
  <c r="K48" i="236"/>
  <c r="K78" i="236"/>
  <c r="H120" i="236"/>
  <c r="I48" i="236"/>
  <c r="I63" i="236"/>
  <c r="K76" i="236"/>
  <c r="I113" i="236"/>
  <c r="H130" i="236"/>
  <c r="I64" i="236"/>
  <c r="I72" i="236"/>
  <c r="I80" i="236"/>
  <c r="I132" i="236"/>
  <c r="J72" i="236"/>
  <c r="I82" i="236"/>
  <c r="K34" i="236"/>
  <c r="K36" i="236"/>
  <c r="K38" i="236"/>
  <c r="K40" i="236"/>
  <c r="K42" i="236"/>
  <c r="K44" i="236"/>
  <c r="H47" i="236"/>
  <c r="I65" i="236"/>
  <c r="K72" i="236"/>
  <c r="K84" i="236"/>
  <c r="H107" i="236"/>
  <c r="H122" i="236"/>
  <c r="I71" i="236"/>
  <c r="H35" i="236"/>
  <c r="H37" i="236"/>
  <c r="H39" i="236"/>
  <c r="H41" i="236"/>
  <c r="H43" i="236"/>
  <c r="H45" i="236"/>
  <c r="I47" i="236"/>
  <c r="J65" i="236"/>
  <c r="H74" i="236"/>
  <c r="H88" i="236"/>
  <c r="H108" i="236"/>
  <c r="K123" i="236"/>
  <c r="I35" i="236"/>
  <c r="I37" i="236"/>
  <c r="I39" i="236"/>
  <c r="I41" i="236"/>
  <c r="I43" i="236"/>
  <c r="I45" i="236"/>
  <c r="I62" i="236"/>
  <c r="K68" i="236"/>
  <c r="I74" i="236"/>
  <c r="I88" i="236"/>
  <c r="H48" i="236"/>
  <c r="K62" i="236"/>
  <c r="K69" i="236"/>
  <c r="J76" i="236"/>
  <c r="I89" i="236"/>
  <c r="I110" i="236"/>
  <c r="I127" i="236"/>
  <c r="J46" i="236"/>
  <c r="J48" i="236"/>
  <c r="J85" i="236"/>
  <c r="J88" i="236"/>
  <c r="J102" i="236"/>
  <c r="U13" i="234"/>
  <c r="U14" i="234"/>
  <c r="U15" i="234"/>
  <c r="U16" i="234"/>
  <c r="P50" i="235"/>
  <c r="J62" i="236"/>
  <c r="I101" i="236"/>
  <c r="I102" i="236"/>
  <c r="I103" i="236"/>
  <c r="I104" i="236"/>
  <c r="J105" i="236"/>
  <c r="K107" i="236"/>
  <c r="K108" i="236"/>
  <c r="H110" i="236"/>
  <c r="I111" i="236"/>
  <c r="H113" i="236"/>
  <c r="J115" i="236"/>
  <c r="J117" i="236"/>
  <c r="I119" i="236"/>
  <c r="I121" i="236"/>
  <c r="J123" i="236"/>
  <c r="J124" i="236"/>
  <c r="H127" i="236"/>
  <c r="I128" i="236"/>
  <c r="H132" i="236"/>
  <c r="J103" i="236"/>
  <c r="J111" i="236"/>
  <c r="J64" i="236"/>
  <c r="J66" i="236"/>
  <c r="J86" i="236"/>
  <c r="K101" i="236"/>
  <c r="K102" i="236"/>
  <c r="K103" i="236"/>
  <c r="H105" i="236"/>
  <c r="I107" i="236"/>
  <c r="I108" i="236"/>
  <c r="I109" i="236"/>
  <c r="J110" i="236"/>
  <c r="K111" i="236"/>
  <c r="H115" i="236"/>
  <c r="H117" i="236"/>
  <c r="H118" i="236"/>
  <c r="I120" i="236"/>
  <c r="I122" i="236"/>
  <c r="H124" i="236"/>
  <c r="J125" i="236"/>
  <c r="J127" i="236"/>
  <c r="I130" i="236"/>
  <c r="J132" i="236"/>
  <c r="J47" i="236"/>
  <c r="J101" i="236"/>
  <c r="J104" i="236"/>
  <c r="J63" i="236"/>
  <c r="J71" i="236"/>
  <c r="J78" i="236"/>
  <c r="J84" i="236"/>
  <c r="H101" i="236"/>
  <c r="H102" i="236"/>
  <c r="H103" i="236"/>
  <c r="H104" i="236"/>
  <c r="I105" i="236"/>
  <c r="J107" i="236"/>
  <c r="J108" i="236"/>
  <c r="J109" i="236"/>
  <c r="H111" i="236"/>
  <c r="I112" i="236"/>
  <c r="I115" i="236"/>
  <c r="I117" i="236"/>
  <c r="H119" i="236"/>
  <c r="J120" i="236"/>
  <c r="I123" i="236"/>
  <c r="I124" i="236"/>
  <c r="I126" i="236"/>
  <c r="H128" i="236"/>
  <c r="J130" i="236"/>
  <c r="K132" i="236"/>
  <c r="H93" i="236"/>
  <c r="H68" i="236"/>
  <c r="H69" i="236"/>
  <c r="H70" i="236"/>
  <c r="H81" i="236"/>
  <c r="H83" i="236"/>
  <c r="H86" i="236"/>
  <c r="H91" i="236"/>
  <c r="I93" i="236"/>
  <c r="H66" i="236"/>
  <c r="I68" i="236"/>
  <c r="I69" i="236"/>
  <c r="I70" i="236"/>
  <c r="H76" i="236"/>
  <c r="H78" i="236"/>
  <c r="H79" i="236"/>
  <c r="I81" i="236"/>
  <c r="I83" i="236"/>
  <c r="H85" i="236"/>
  <c r="I91" i="236"/>
  <c r="J93" i="236"/>
  <c r="H62" i="236"/>
  <c r="H63" i="236"/>
  <c r="H64" i="236"/>
  <c r="H65" i="236"/>
  <c r="I66" i="236"/>
  <c r="J68" i="236"/>
  <c r="J69" i="236"/>
  <c r="J70" i="236"/>
  <c r="H72" i="236"/>
  <c r="I73" i="236"/>
  <c r="I76" i="236"/>
  <c r="I78" i="236"/>
  <c r="H80" i="236"/>
  <c r="J81" i="236"/>
  <c r="I84" i="236"/>
  <c r="I85" i="236"/>
  <c r="B44" i="235"/>
  <c r="K50" i="235"/>
  <c r="J50" i="235"/>
  <c r="P52" i="235"/>
  <c r="S11" i="234"/>
  <c r="Q13" i="234"/>
  <c r="S14" i="234"/>
  <c r="S16" i="234"/>
  <c r="Q10" i="234"/>
  <c r="Q11" i="234"/>
  <c r="Q12" i="234"/>
  <c r="S10" i="234"/>
  <c r="S12" i="234"/>
  <c r="S15" i="234"/>
  <c r="U10" i="234"/>
  <c r="U11" i="234"/>
  <c r="U12" i="234"/>
  <c r="S13" i="234"/>
  <c r="Q14" i="234"/>
  <c r="Q15" i="234"/>
  <c r="Q16" i="234"/>
  <c r="Q18" i="234"/>
  <c r="U18" i="234"/>
  <c r="R18" i="234"/>
  <c r="S18" i="234" s="1"/>
  <c r="F27" i="50" l="1"/>
  <c r="I21" i="192"/>
  <c r="N21" i="192"/>
  <c r="M21" i="192" s="1"/>
  <c r="H67" i="221"/>
  <c r="M67" i="221" s="1"/>
  <c r="D4" i="142"/>
  <c r="H4" i="142"/>
  <c r="L4" i="142"/>
  <c r="D5" i="142"/>
  <c r="H5" i="142"/>
  <c r="L5" i="142"/>
  <c r="D6" i="142"/>
  <c r="H6" i="142"/>
  <c r="L6" i="142"/>
  <c r="D7" i="142"/>
  <c r="H7" i="142"/>
  <c r="L7" i="142"/>
  <c r="D8" i="142"/>
  <c r="H8" i="142"/>
  <c r="L8" i="142"/>
  <c r="D9" i="142"/>
  <c r="H9" i="142"/>
  <c r="L9" i="142"/>
  <c r="D6" i="135"/>
  <c r="I7" i="135" s="1"/>
  <c r="E6" i="135"/>
  <c r="D7" i="135"/>
  <c r="C61" i="154" s="1"/>
  <c r="D8" i="135"/>
  <c r="D61" i="154" s="1"/>
  <c r="D9" i="135"/>
  <c r="E61" i="154" s="1"/>
  <c r="C10" i="135"/>
  <c r="D12" i="135"/>
  <c r="D13" i="135"/>
  <c r="C61" i="39" s="1"/>
  <c r="D14" i="135"/>
  <c r="D61" i="39" s="1"/>
  <c r="D15" i="135"/>
  <c r="E61" i="39" s="1"/>
  <c r="D16" i="135"/>
  <c r="F61" i="39" s="1"/>
  <c r="C17" i="135"/>
  <c r="E17" i="135"/>
  <c r="J12" i="135" s="1"/>
  <c r="J11" i="135" s="1"/>
  <c r="F17" i="135"/>
  <c r="D19" i="135"/>
  <c r="I21" i="135" s="1"/>
  <c r="D20" i="135"/>
  <c r="C24" i="135"/>
  <c r="E24" i="135"/>
  <c r="F24" i="135"/>
  <c r="K20" i="135" s="1"/>
  <c r="K19" i="135" s="1"/>
  <c r="D26" i="135"/>
  <c r="I30" i="135" s="1"/>
  <c r="D28" i="135"/>
  <c r="D29" i="135"/>
  <c r="D30" i="135"/>
  <c r="D31" i="135"/>
  <c r="D32" i="135"/>
  <c r="C33" i="135"/>
  <c r="E33" i="135"/>
  <c r="J29" i="135" s="1"/>
  <c r="J28" i="135" s="1"/>
  <c r="F33" i="135"/>
  <c r="K29" i="135" s="1"/>
  <c r="K28" i="135" s="1"/>
  <c r="C35" i="135"/>
  <c r="F35" i="135"/>
  <c r="C36" i="135"/>
  <c r="C29" i="250" s="1"/>
  <c r="E36" i="135"/>
  <c r="L29" i="250" s="1"/>
  <c r="F36" i="135"/>
  <c r="L61" i="250" s="1"/>
  <c r="C37" i="135"/>
  <c r="D29" i="250" s="1"/>
  <c r="E37" i="135"/>
  <c r="F37" i="135"/>
  <c r="M61" i="250" s="1"/>
  <c r="C38" i="135"/>
  <c r="E29" i="250" s="1"/>
  <c r="E38" i="135"/>
  <c r="N29" i="250" s="1"/>
  <c r="F38" i="135"/>
  <c r="N61" i="250" s="1"/>
  <c r="C39" i="135"/>
  <c r="E39" i="135"/>
  <c r="O29" i="250" s="1"/>
  <c r="F39" i="135"/>
  <c r="C40" i="135"/>
  <c r="E40" i="135"/>
  <c r="E48" i="135" s="1"/>
  <c r="F40" i="135"/>
  <c r="F48" i="135" s="1"/>
  <c r="C47" i="135"/>
  <c r="E47" i="135"/>
  <c r="O31" i="37" s="1"/>
  <c r="F47" i="135"/>
  <c r="D6" i="134"/>
  <c r="I7" i="134" s="1"/>
  <c r="D7" i="134"/>
  <c r="D8" i="134"/>
  <c r="D60" i="154" s="1"/>
  <c r="D9" i="134"/>
  <c r="E60" i="154" s="1"/>
  <c r="C10" i="134"/>
  <c r="H6" i="134" s="1"/>
  <c r="H5" i="134" s="1"/>
  <c r="E10" i="134"/>
  <c r="F10" i="134"/>
  <c r="K6" i="134" s="1"/>
  <c r="K5" i="134" s="1"/>
  <c r="D12" i="134"/>
  <c r="D13" i="134"/>
  <c r="D14" i="134"/>
  <c r="D60" i="39" s="1"/>
  <c r="D15" i="134"/>
  <c r="E60" i="39" s="1"/>
  <c r="D16" i="134"/>
  <c r="F60" i="39" s="1"/>
  <c r="C17" i="134"/>
  <c r="E17" i="134"/>
  <c r="J12" i="134" s="1"/>
  <c r="J11" i="134" s="1"/>
  <c r="F17" i="134"/>
  <c r="K12" i="134" s="1"/>
  <c r="K11" i="134" s="1"/>
  <c r="D19" i="134"/>
  <c r="I21" i="134" s="1"/>
  <c r="D20" i="134"/>
  <c r="D21" i="134"/>
  <c r="D22" i="134"/>
  <c r="D23" i="134"/>
  <c r="C24" i="134"/>
  <c r="E24" i="134"/>
  <c r="F24" i="134"/>
  <c r="K20" i="134" s="1"/>
  <c r="K19" i="134" s="1"/>
  <c r="D26" i="134"/>
  <c r="I28" i="134" s="1"/>
  <c r="D27" i="134"/>
  <c r="D28" i="134"/>
  <c r="D29" i="134"/>
  <c r="D30" i="134"/>
  <c r="D31" i="134"/>
  <c r="E33" i="134"/>
  <c r="J27" i="134" s="1"/>
  <c r="J26" i="134" s="1"/>
  <c r="F33" i="134"/>
  <c r="K27" i="134" s="1"/>
  <c r="K26" i="134" s="1"/>
  <c r="C37" i="134"/>
  <c r="E37" i="134"/>
  <c r="F37" i="134"/>
  <c r="C38" i="134"/>
  <c r="E38" i="134"/>
  <c r="F38" i="134"/>
  <c r="C39" i="134"/>
  <c r="D28" i="250" s="1"/>
  <c r="E39" i="134"/>
  <c r="M28" i="250" s="1"/>
  <c r="F39" i="134"/>
  <c r="C40" i="134"/>
  <c r="E28" i="250" s="1"/>
  <c r="E40" i="134"/>
  <c r="N28" i="250" s="1"/>
  <c r="F40" i="134"/>
  <c r="N60" i="250" s="1"/>
  <c r="C41" i="134"/>
  <c r="E41" i="134"/>
  <c r="O28" i="250" s="1"/>
  <c r="F41" i="134"/>
  <c r="C42" i="134"/>
  <c r="E42" i="134"/>
  <c r="F42" i="134"/>
  <c r="F50" i="134" s="1"/>
  <c r="C49" i="134"/>
  <c r="E49" i="134"/>
  <c r="F49" i="134"/>
  <c r="D6" i="133"/>
  <c r="I7" i="133" s="1"/>
  <c r="D7" i="133"/>
  <c r="D8" i="133"/>
  <c r="D59" i="154" s="1"/>
  <c r="D9" i="133"/>
  <c r="E59" i="154" s="1"/>
  <c r="C10" i="133"/>
  <c r="H6" i="133" s="1"/>
  <c r="H5" i="133" s="1"/>
  <c r="E10" i="133"/>
  <c r="J6" i="133" s="1"/>
  <c r="J5" i="133" s="1"/>
  <c r="F10" i="133"/>
  <c r="K6" i="133" s="1"/>
  <c r="K5" i="133" s="1"/>
  <c r="D12" i="133"/>
  <c r="D13" i="133"/>
  <c r="D14" i="133"/>
  <c r="D59" i="39" s="1"/>
  <c r="D15" i="133"/>
  <c r="E59" i="39" s="1"/>
  <c r="D16" i="133"/>
  <c r="F59" i="39" s="1"/>
  <c r="C17" i="133"/>
  <c r="E17" i="133"/>
  <c r="J14" i="133" s="1"/>
  <c r="J13" i="133" s="1"/>
  <c r="F17" i="133"/>
  <c r="K14" i="133" s="1"/>
  <c r="K13" i="133" s="1"/>
  <c r="D19" i="133"/>
  <c r="I21" i="133" s="1"/>
  <c r="D20" i="133"/>
  <c r="D21" i="133"/>
  <c r="D22" i="133"/>
  <c r="D23" i="133"/>
  <c r="C24" i="133"/>
  <c r="E24" i="133"/>
  <c r="J20" i="133" s="1"/>
  <c r="J19" i="133" s="1"/>
  <c r="F24" i="133"/>
  <c r="K20" i="133" s="1"/>
  <c r="K19" i="133" s="1"/>
  <c r="D26" i="133"/>
  <c r="I28" i="133" s="1"/>
  <c r="D28" i="133"/>
  <c r="D29" i="133"/>
  <c r="D30" i="133"/>
  <c r="D31" i="133"/>
  <c r="D32" i="133"/>
  <c r="C34" i="133"/>
  <c r="E34" i="133"/>
  <c r="J27" i="133" s="1"/>
  <c r="J26" i="133" s="1"/>
  <c r="F34" i="133"/>
  <c r="K27" i="133" s="1"/>
  <c r="K26" i="133" s="1"/>
  <c r="E37" i="133"/>
  <c r="F37" i="133"/>
  <c r="C38" i="133"/>
  <c r="E38" i="133"/>
  <c r="F38" i="133"/>
  <c r="C39" i="133"/>
  <c r="D27" i="250" s="1"/>
  <c r="E39" i="133"/>
  <c r="M27" i="250" s="1"/>
  <c r="F39" i="133"/>
  <c r="M59" i="250" s="1"/>
  <c r="C40" i="133"/>
  <c r="E27" i="250" s="1"/>
  <c r="E40" i="133"/>
  <c r="N27" i="250" s="1"/>
  <c r="F40" i="133"/>
  <c r="N59" i="250" s="1"/>
  <c r="C41" i="133"/>
  <c r="E41" i="133"/>
  <c r="O27" i="250" s="1"/>
  <c r="F41" i="133"/>
  <c r="C42" i="133"/>
  <c r="F27" i="250" s="1"/>
  <c r="E42" i="133"/>
  <c r="F42" i="133"/>
  <c r="C49" i="133"/>
  <c r="E49" i="133"/>
  <c r="F49" i="133"/>
  <c r="D6" i="36"/>
  <c r="I7" i="36" s="1"/>
  <c r="D7" i="36"/>
  <c r="D8" i="36"/>
  <c r="D58" i="154" s="1"/>
  <c r="D9" i="36"/>
  <c r="E58" i="154" s="1"/>
  <c r="C10" i="36"/>
  <c r="H6" i="36" s="1"/>
  <c r="H5" i="36" s="1"/>
  <c r="E10" i="36"/>
  <c r="J6" i="36" s="1"/>
  <c r="J5" i="36" s="1"/>
  <c r="F10" i="36"/>
  <c r="K6" i="36" s="1"/>
  <c r="K5" i="36" s="1"/>
  <c r="D12" i="36"/>
  <c r="D13" i="36"/>
  <c r="D14" i="36"/>
  <c r="D58" i="39" s="1"/>
  <c r="D15" i="36"/>
  <c r="E58" i="39" s="1"/>
  <c r="D16" i="36"/>
  <c r="F58" i="39" s="1"/>
  <c r="C17" i="36"/>
  <c r="E17" i="36"/>
  <c r="J14" i="36" s="1"/>
  <c r="J13" i="36" s="1"/>
  <c r="F17" i="36"/>
  <c r="K14" i="36" s="1"/>
  <c r="K13" i="36" s="1"/>
  <c r="C24" i="36"/>
  <c r="E24" i="36"/>
  <c r="J20" i="36" s="1"/>
  <c r="J19" i="36" s="1"/>
  <c r="F24" i="36"/>
  <c r="K20" i="36" s="1"/>
  <c r="K19" i="36" s="1"/>
  <c r="D26" i="36"/>
  <c r="I28" i="36" s="1"/>
  <c r="D27" i="36"/>
  <c r="D28" i="36"/>
  <c r="D29" i="36"/>
  <c r="D30" i="36"/>
  <c r="D31" i="36"/>
  <c r="D32" i="36"/>
  <c r="D33" i="36"/>
  <c r="D34" i="36"/>
  <c r="C35" i="36"/>
  <c r="E35" i="36"/>
  <c r="J27" i="36" s="1"/>
  <c r="J26" i="36" s="1"/>
  <c r="F35" i="36"/>
  <c r="K27" i="36" s="1"/>
  <c r="K26" i="36" s="1"/>
  <c r="C37" i="36"/>
  <c r="E37" i="36"/>
  <c r="F37" i="36"/>
  <c r="C38" i="36"/>
  <c r="E38" i="36"/>
  <c r="F38" i="36"/>
  <c r="C39" i="36"/>
  <c r="D26" i="250" s="1"/>
  <c r="E39" i="36"/>
  <c r="F39" i="36"/>
  <c r="M58" i="250" s="1"/>
  <c r="C40" i="36"/>
  <c r="E26" i="250" s="1"/>
  <c r="E40" i="36"/>
  <c r="N26" i="250" s="1"/>
  <c r="F40" i="36"/>
  <c r="N58" i="250" s="1"/>
  <c r="C41" i="36"/>
  <c r="F26" i="250" s="1"/>
  <c r="E41" i="36"/>
  <c r="F41" i="36"/>
  <c r="O58" i="250" s="1"/>
  <c r="C42" i="36"/>
  <c r="E42" i="36"/>
  <c r="F42" i="36"/>
  <c r="C49" i="36"/>
  <c r="E49" i="36"/>
  <c r="F49" i="36"/>
  <c r="D6" i="35"/>
  <c r="I7" i="35" s="1"/>
  <c r="D7" i="35"/>
  <c r="D8" i="35"/>
  <c r="D57" i="154" s="1"/>
  <c r="D9" i="35"/>
  <c r="E57" i="154" s="1"/>
  <c r="C10" i="35"/>
  <c r="H6" i="35" s="1"/>
  <c r="H5" i="35" s="1"/>
  <c r="E10" i="35"/>
  <c r="J6" i="35" s="1"/>
  <c r="J5" i="35" s="1"/>
  <c r="F10" i="35"/>
  <c r="K6" i="35" s="1"/>
  <c r="K5" i="35" s="1"/>
  <c r="D12" i="35"/>
  <c r="D13" i="35"/>
  <c r="D14" i="35"/>
  <c r="D57" i="39" s="1"/>
  <c r="D15" i="35"/>
  <c r="E57" i="39" s="1"/>
  <c r="D16" i="35"/>
  <c r="F57" i="39" s="1"/>
  <c r="C17" i="35"/>
  <c r="E17" i="35"/>
  <c r="J14" i="35" s="1"/>
  <c r="J13" i="35" s="1"/>
  <c r="F17" i="35"/>
  <c r="K14" i="35" s="1"/>
  <c r="K13" i="35" s="1"/>
  <c r="D19" i="35"/>
  <c r="I21" i="35" s="1"/>
  <c r="I19" i="35" s="1"/>
  <c r="E24" i="35"/>
  <c r="J20" i="35" s="1"/>
  <c r="J19" i="35" s="1"/>
  <c r="F24" i="35"/>
  <c r="K20" i="35" s="1"/>
  <c r="K19" i="35" s="1"/>
  <c r="D26" i="35"/>
  <c r="I28" i="35" s="1"/>
  <c r="D27" i="35"/>
  <c r="D28" i="35"/>
  <c r="D29" i="35"/>
  <c r="D30" i="35"/>
  <c r="D31" i="35"/>
  <c r="D32" i="35"/>
  <c r="D33" i="35"/>
  <c r="C34" i="35"/>
  <c r="E34" i="35"/>
  <c r="J27" i="35" s="1"/>
  <c r="J26" i="35" s="1"/>
  <c r="F34" i="35"/>
  <c r="K27" i="35" s="1"/>
  <c r="K26" i="35" s="1"/>
  <c r="C36" i="35"/>
  <c r="E36" i="35"/>
  <c r="F36" i="35"/>
  <c r="C37" i="35"/>
  <c r="C25" i="250" s="1"/>
  <c r="E37" i="35"/>
  <c r="F37" i="35"/>
  <c r="C38" i="35"/>
  <c r="D25" i="250" s="1"/>
  <c r="E38" i="35"/>
  <c r="M25" i="250" s="1"/>
  <c r="F38" i="35"/>
  <c r="M57" i="250" s="1"/>
  <c r="C39" i="35"/>
  <c r="E25" i="250" s="1"/>
  <c r="E39" i="35"/>
  <c r="N25" i="250" s="1"/>
  <c r="F39" i="35"/>
  <c r="N57" i="250" s="1"/>
  <c r="C40" i="35"/>
  <c r="F25" i="250" s="1"/>
  <c r="E40" i="35"/>
  <c r="F40" i="35"/>
  <c r="O57" i="250" s="1"/>
  <c r="C41" i="35"/>
  <c r="E41" i="35"/>
  <c r="E49" i="35" s="1"/>
  <c r="F41" i="35"/>
  <c r="C48" i="35"/>
  <c r="E48" i="35"/>
  <c r="F48" i="35"/>
  <c r="D6" i="34"/>
  <c r="I7" i="34" s="1"/>
  <c r="E12" i="34"/>
  <c r="J6" i="34" s="1"/>
  <c r="J5" i="34" s="1"/>
  <c r="F45" i="34"/>
  <c r="L56" i="250" s="1"/>
  <c r="D8" i="34"/>
  <c r="D56" i="154" s="1"/>
  <c r="D9" i="34"/>
  <c r="D10" i="34"/>
  <c r="C11" i="34"/>
  <c r="E24" i="154" s="1"/>
  <c r="E11" i="34"/>
  <c r="F11" i="34"/>
  <c r="D14" i="34"/>
  <c r="D15" i="34"/>
  <c r="D16" i="34"/>
  <c r="D56" i="39" s="1"/>
  <c r="C19" i="34"/>
  <c r="D19" i="34" s="1"/>
  <c r="E56" i="39" s="1"/>
  <c r="E19" i="34"/>
  <c r="F19" i="34"/>
  <c r="D23" i="34"/>
  <c r="I24" i="34" s="1"/>
  <c r="C28" i="34"/>
  <c r="D28" i="34" s="1"/>
  <c r="E28" i="34"/>
  <c r="F28" i="34"/>
  <c r="N56" i="40" s="1"/>
  <c r="P56" i="40" s="1"/>
  <c r="D32" i="34"/>
  <c r="I33" i="34" s="1"/>
  <c r="D33" i="34"/>
  <c r="D34" i="34"/>
  <c r="D35" i="34"/>
  <c r="D36" i="34"/>
  <c r="C37" i="34"/>
  <c r="D37" i="34" s="1"/>
  <c r="E37" i="34"/>
  <c r="E42" i="34" s="1"/>
  <c r="J32" i="34" s="1"/>
  <c r="J31" i="34" s="1"/>
  <c r="F37" i="34"/>
  <c r="F42" i="34" s="1"/>
  <c r="K32" i="34" s="1"/>
  <c r="K31" i="34" s="1"/>
  <c r="D38" i="34"/>
  <c r="D39" i="34"/>
  <c r="D40" i="34"/>
  <c r="D41" i="34"/>
  <c r="C44" i="34"/>
  <c r="E44" i="34"/>
  <c r="F44" i="34"/>
  <c r="C46" i="34"/>
  <c r="D24" i="250" s="1"/>
  <c r="E46" i="34"/>
  <c r="M24" i="250" s="1"/>
  <c r="F46" i="34"/>
  <c r="C47" i="34"/>
  <c r="C57" i="34" s="1"/>
  <c r="E47" i="34"/>
  <c r="E57" i="34" s="1"/>
  <c r="F47" i="34"/>
  <c r="F57" i="34" s="1"/>
  <c r="C48" i="34"/>
  <c r="C58" i="34" s="1"/>
  <c r="E48" i="34"/>
  <c r="E58" i="34" s="1"/>
  <c r="F48" i="34"/>
  <c r="F58" i="34" s="1"/>
  <c r="C50" i="34"/>
  <c r="E50" i="34"/>
  <c r="F50" i="34"/>
  <c r="O56" i="250" s="1"/>
  <c r="C51" i="34"/>
  <c r="E51" i="34"/>
  <c r="E61" i="34" s="1"/>
  <c r="F51" i="34"/>
  <c r="F61" i="34" s="1"/>
  <c r="C60" i="34"/>
  <c r="E60" i="34"/>
  <c r="F60" i="34"/>
  <c r="O58" i="37" s="1"/>
  <c r="E23" i="114" s="1"/>
  <c r="D6" i="33"/>
  <c r="I7" i="33" s="1"/>
  <c r="D7" i="33"/>
  <c r="D8" i="33"/>
  <c r="D55" i="154" s="1"/>
  <c r="D9" i="33"/>
  <c r="D10" i="33"/>
  <c r="C11" i="33"/>
  <c r="E11" i="33"/>
  <c r="M23" i="154" s="1"/>
  <c r="F11" i="33"/>
  <c r="C12" i="33"/>
  <c r="H6" i="33" s="1"/>
  <c r="H5" i="33" s="1"/>
  <c r="E12" i="33"/>
  <c r="F12" i="33"/>
  <c r="K6" i="33" s="1"/>
  <c r="K5" i="33" s="1"/>
  <c r="D14" i="33"/>
  <c r="D15" i="33"/>
  <c r="D16" i="33"/>
  <c r="D55" i="39" s="1"/>
  <c r="D17" i="33"/>
  <c r="C19" i="33"/>
  <c r="E19" i="33"/>
  <c r="F19" i="33"/>
  <c r="D20" i="33"/>
  <c r="F55" i="39" s="1"/>
  <c r="D23" i="33"/>
  <c r="I24" i="33" s="1"/>
  <c r="D25" i="33"/>
  <c r="D26" i="33"/>
  <c r="C28" i="33"/>
  <c r="E28" i="33"/>
  <c r="F28" i="33"/>
  <c r="N55" i="40" s="1"/>
  <c r="P55" i="40" s="1"/>
  <c r="D29" i="33"/>
  <c r="D32" i="33"/>
  <c r="I33" i="33" s="1"/>
  <c r="D33" i="33"/>
  <c r="D34" i="33"/>
  <c r="D35" i="33"/>
  <c r="D36" i="33"/>
  <c r="C37" i="33"/>
  <c r="E37" i="33"/>
  <c r="E42" i="33" s="1"/>
  <c r="J32" i="33" s="1"/>
  <c r="J31" i="33" s="1"/>
  <c r="F37" i="33"/>
  <c r="F42" i="33" s="1"/>
  <c r="K32" i="33" s="1"/>
  <c r="K31" i="33" s="1"/>
  <c r="D38" i="33"/>
  <c r="D39" i="33"/>
  <c r="D40" i="33"/>
  <c r="D41" i="33"/>
  <c r="C44" i="33"/>
  <c r="E44" i="33"/>
  <c r="F44" i="33"/>
  <c r="C45" i="33"/>
  <c r="E45" i="33"/>
  <c r="F45" i="33"/>
  <c r="C46" i="33"/>
  <c r="E46" i="33"/>
  <c r="M23" i="250" s="1"/>
  <c r="F46" i="33"/>
  <c r="M55" i="250" s="1"/>
  <c r="C47" i="33"/>
  <c r="C57" i="33" s="1"/>
  <c r="E47" i="33"/>
  <c r="E57" i="33" s="1"/>
  <c r="F47" i="33"/>
  <c r="F57" i="33" s="1"/>
  <c r="C48" i="33"/>
  <c r="C58" i="33" s="1"/>
  <c r="E48" i="33"/>
  <c r="E58" i="33" s="1"/>
  <c r="F48" i="33"/>
  <c r="F58" i="33" s="1"/>
  <c r="C50" i="33"/>
  <c r="F23" i="250" s="1"/>
  <c r="E50" i="33"/>
  <c r="F50" i="33"/>
  <c r="O55" i="250" s="1"/>
  <c r="C51" i="33"/>
  <c r="E51" i="33"/>
  <c r="E61" i="33" s="1"/>
  <c r="F51" i="33"/>
  <c r="C60" i="33"/>
  <c r="E60" i="33"/>
  <c r="F60" i="33"/>
  <c r="D6" i="32"/>
  <c r="I7" i="32" s="1"/>
  <c r="D7" i="32"/>
  <c r="D8" i="32"/>
  <c r="D54" i="154" s="1"/>
  <c r="D9" i="32"/>
  <c r="E54" i="154" s="1"/>
  <c r="C10" i="32"/>
  <c r="E10" i="32"/>
  <c r="J6" i="32" s="1"/>
  <c r="J5" i="32" s="1"/>
  <c r="F10" i="32"/>
  <c r="K6" i="32" s="1"/>
  <c r="K5" i="32" s="1"/>
  <c r="D12" i="32"/>
  <c r="D13" i="32"/>
  <c r="C54" i="39" s="1"/>
  <c r="E17" i="32"/>
  <c r="J12" i="32" s="1"/>
  <c r="J11" i="32" s="1"/>
  <c r="D15" i="32"/>
  <c r="E54" i="39" s="1"/>
  <c r="D16" i="32"/>
  <c r="F54" i="39" s="1"/>
  <c r="D19" i="32"/>
  <c r="I20" i="32" s="1"/>
  <c r="D20" i="32"/>
  <c r="D21" i="32"/>
  <c r="D22" i="32"/>
  <c r="D23" i="32"/>
  <c r="C24" i="32"/>
  <c r="E24" i="32"/>
  <c r="J19" i="32" s="1"/>
  <c r="J18" i="32" s="1"/>
  <c r="F24" i="32"/>
  <c r="K19" i="32" s="1"/>
  <c r="K18" i="32" s="1"/>
  <c r="D26" i="32"/>
  <c r="I27" i="32" s="1"/>
  <c r="D27" i="32"/>
  <c r="D28" i="32"/>
  <c r="D29" i="32"/>
  <c r="D30" i="32"/>
  <c r="D31" i="32"/>
  <c r="C32" i="32"/>
  <c r="E32" i="32"/>
  <c r="E38" i="32" s="1"/>
  <c r="J26" i="32" s="1"/>
  <c r="J25" i="32" s="1"/>
  <c r="F32" i="32"/>
  <c r="F38" i="32" s="1"/>
  <c r="K26" i="32" s="1"/>
  <c r="K25" i="32" s="1"/>
  <c r="D33" i="32"/>
  <c r="D34" i="32"/>
  <c r="D35" i="32"/>
  <c r="D36" i="32"/>
  <c r="D37" i="32"/>
  <c r="C40" i="32"/>
  <c r="E40" i="32"/>
  <c r="F40" i="32"/>
  <c r="C41" i="32"/>
  <c r="C22" i="250" s="1"/>
  <c r="E41" i="32"/>
  <c r="L22" i="250" s="1"/>
  <c r="F41" i="32"/>
  <c r="L54" i="250" s="1"/>
  <c r="C43" i="32"/>
  <c r="E22" i="250" s="1"/>
  <c r="E43" i="32"/>
  <c r="N22" i="250" s="1"/>
  <c r="F43" i="32"/>
  <c r="C44" i="32"/>
  <c r="F22" i="250" s="1"/>
  <c r="E44" i="32"/>
  <c r="F44" i="32"/>
  <c r="O54" i="250" s="1"/>
  <c r="C45" i="32"/>
  <c r="E45" i="32"/>
  <c r="F45" i="32"/>
  <c r="F53" i="32" s="1"/>
  <c r="C52" i="32"/>
  <c r="E52" i="32"/>
  <c r="F52" i="32"/>
  <c r="O56" i="37" s="1"/>
  <c r="E21" i="114" s="1"/>
  <c r="D6" i="31"/>
  <c r="I7" i="31" s="1"/>
  <c r="D8" i="31"/>
  <c r="D53" i="154" s="1"/>
  <c r="D9" i="31"/>
  <c r="E53" i="154" s="1"/>
  <c r="D12" i="31"/>
  <c r="D13" i="31"/>
  <c r="D14" i="31"/>
  <c r="D53" i="39" s="1"/>
  <c r="D15" i="31"/>
  <c r="E53" i="39" s="1"/>
  <c r="D16" i="31"/>
  <c r="F53" i="39" s="1"/>
  <c r="C17" i="31"/>
  <c r="E17" i="31"/>
  <c r="J12" i="31" s="1"/>
  <c r="J11" i="31" s="1"/>
  <c r="F17" i="31"/>
  <c r="D19" i="31"/>
  <c r="I20" i="31" s="1"/>
  <c r="D20" i="31"/>
  <c r="D21" i="31"/>
  <c r="D22" i="31"/>
  <c r="D23" i="31"/>
  <c r="C24" i="31"/>
  <c r="E24" i="31"/>
  <c r="J19" i="31" s="1"/>
  <c r="J18" i="31" s="1"/>
  <c r="F24" i="31"/>
  <c r="K19" i="31" s="1"/>
  <c r="K18" i="31" s="1"/>
  <c r="D26" i="31"/>
  <c r="I27" i="31" s="1"/>
  <c r="D27" i="31"/>
  <c r="D28" i="31"/>
  <c r="D29" i="31"/>
  <c r="C30" i="31"/>
  <c r="E30" i="31"/>
  <c r="E36" i="31" s="1"/>
  <c r="J26" i="31" s="1"/>
  <c r="J25" i="31" s="1"/>
  <c r="F30" i="31"/>
  <c r="F36" i="31" s="1"/>
  <c r="K26" i="31" s="1"/>
  <c r="K25" i="31" s="1"/>
  <c r="D31" i="31"/>
  <c r="D32" i="31"/>
  <c r="D33" i="31"/>
  <c r="D34" i="31"/>
  <c r="D35" i="31"/>
  <c r="C38" i="31"/>
  <c r="E38" i="31"/>
  <c r="F38" i="31"/>
  <c r="C40" i="31"/>
  <c r="E40" i="31"/>
  <c r="M21" i="250" s="1"/>
  <c r="F40" i="31"/>
  <c r="M53" i="250" s="1"/>
  <c r="C41" i="31"/>
  <c r="E21" i="250" s="1"/>
  <c r="E41" i="31"/>
  <c r="N21" i="250" s="1"/>
  <c r="F41" i="31"/>
  <c r="N53" i="250" s="1"/>
  <c r="C42" i="31"/>
  <c r="E42" i="31"/>
  <c r="F42" i="31"/>
  <c r="C43" i="31"/>
  <c r="F21" i="250" s="1"/>
  <c r="E43" i="31"/>
  <c r="F43" i="31"/>
  <c r="C50" i="31"/>
  <c r="E50" i="31"/>
  <c r="F50" i="31"/>
  <c r="D6" i="30"/>
  <c r="I7" i="30" s="1"/>
  <c r="D7" i="30"/>
  <c r="C52" i="154" s="1"/>
  <c r="D8" i="30"/>
  <c r="D52" i="154" s="1"/>
  <c r="D9" i="30"/>
  <c r="E52" i="154" s="1"/>
  <c r="E10" i="30"/>
  <c r="J6" i="30" s="1"/>
  <c r="J5" i="30" s="1"/>
  <c r="F10" i="30"/>
  <c r="K6" i="30" s="1"/>
  <c r="K5" i="30" s="1"/>
  <c r="D12" i="30"/>
  <c r="D13" i="30"/>
  <c r="D14" i="30"/>
  <c r="D52" i="39" s="1"/>
  <c r="D15" i="30"/>
  <c r="E52" i="39" s="1"/>
  <c r="D16" i="30"/>
  <c r="F52" i="39" s="1"/>
  <c r="C17" i="30"/>
  <c r="E17" i="30"/>
  <c r="J12" i="30" s="1"/>
  <c r="J11" i="30" s="1"/>
  <c r="F17" i="30"/>
  <c r="K12" i="30" s="1"/>
  <c r="K11" i="30" s="1"/>
  <c r="D19" i="30"/>
  <c r="I20" i="30" s="1"/>
  <c r="D20" i="30"/>
  <c r="D21" i="30"/>
  <c r="D22" i="30"/>
  <c r="D23" i="30"/>
  <c r="C24" i="30"/>
  <c r="E24" i="30"/>
  <c r="J19" i="30" s="1"/>
  <c r="J18" i="30" s="1"/>
  <c r="F24" i="30"/>
  <c r="K19" i="30" s="1"/>
  <c r="K18" i="30" s="1"/>
  <c r="D26" i="30"/>
  <c r="I27" i="30" s="1"/>
  <c r="D27" i="30"/>
  <c r="D28" i="30"/>
  <c r="D29" i="30"/>
  <c r="C30" i="30"/>
  <c r="E30" i="30"/>
  <c r="E37" i="30" s="1"/>
  <c r="J26" i="30" s="1"/>
  <c r="J25" i="30" s="1"/>
  <c r="F30" i="30"/>
  <c r="F37" i="30" s="1"/>
  <c r="K26" i="30" s="1"/>
  <c r="K25" i="30" s="1"/>
  <c r="D31" i="30"/>
  <c r="D32" i="30"/>
  <c r="D33" i="30"/>
  <c r="D34" i="30"/>
  <c r="D35" i="30"/>
  <c r="D36" i="30"/>
  <c r="C39" i="30"/>
  <c r="E39" i="30"/>
  <c r="F39" i="30"/>
  <c r="E40" i="30"/>
  <c r="F40" i="30"/>
  <c r="C41" i="30"/>
  <c r="D20" i="250" s="1"/>
  <c r="E41" i="30"/>
  <c r="F41" i="30"/>
  <c r="M52" i="250" s="1"/>
  <c r="C42" i="30"/>
  <c r="E20" i="250" s="1"/>
  <c r="E42" i="30"/>
  <c r="N20" i="250" s="1"/>
  <c r="F42" i="30"/>
  <c r="N52" i="250" s="1"/>
  <c r="C43" i="30"/>
  <c r="E43" i="30"/>
  <c r="F43" i="30"/>
  <c r="O52" i="250" s="1"/>
  <c r="C44" i="30"/>
  <c r="C52" i="30" s="1"/>
  <c r="E44" i="30"/>
  <c r="F44" i="30"/>
  <c r="F52" i="30" s="1"/>
  <c r="C51" i="30"/>
  <c r="E51" i="30"/>
  <c r="F51" i="30"/>
  <c r="O54" i="37" s="1"/>
  <c r="E19" i="114" s="1"/>
  <c r="L19" i="154"/>
  <c r="L15" i="40"/>
  <c r="L46" i="39"/>
  <c r="C14" i="40"/>
  <c r="E15" i="37"/>
  <c r="K12" i="154"/>
  <c r="L12" i="39"/>
  <c r="L12" i="40"/>
  <c r="L10" i="121"/>
  <c r="T10" i="121"/>
  <c r="V10" i="121"/>
  <c r="K12" i="121"/>
  <c r="T12" i="121"/>
  <c r="K13" i="121"/>
  <c r="T13" i="121"/>
  <c r="K14" i="121"/>
  <c r="T14" i="121"/>
  <c r="K15" i="121"/>
  <c r="T15" i="121"/>
  <c r="K16" i="121"/>
  <c r="T16" i="121"/>
  <c r="K17" i="121"/>
  <c r="T17" i="121"/>
  <c r="K18" i="121"/>
  <c r="T18" i="121"/>
  <c r="K19" i="121"/>
  <c r="T19" i="121"/>
  <c r="K20" i="121"/>
  <c r="T20" i="121"/>
  <c r="K22" i="121"/>
  <c r="T22" i="121"/>
  <c r="K23" i="121"/>
  <c r="T23" i="121"/>
  <c r="K24" i="121"/>
  <c r="T24" i="121"/>
  <c r="W24" i="121" s="1"/>
  <c r="K26" i="121"/>
  <c r="T26" i="121"/>
  <c r="O26" i="121" s="1"/>
  <c r="I8" i="120"/>
  <c r="I9" i="120"/>
  <c r="I10" i="120"/>
  <c r="L10" i="120" s="1"/>
  <c r="I11" i="120"/>
  <c r="L11" i="120" s="1"/>
  <c r="I12" i="120"/>
  <c r="I13" i="120"/>
  <c r="G13" i="120" s="1"/>
  <c r="I14" i="120"/>
  <c r="I15" i="120"/>
  <c r="L15" i="120" s="1"/>
  <c r="I16" i="120"/>
  <c r="L16" i="120" s="1"/>
  <c r="I17" i="120"/>
  <c r="I18" i="120"/>
  <c r="L18" i="120" s="1"/>
  <c r="I19" i="120"/>
  <c r="I20" i="120"/>
  <c r="G20" i="120" s="1"/>
  <c r="I21" i="120"/>
  <c r="D21" i="120" s="1"/>
  <c r="I22" i="120"/>
  <c r="I23" i="120"/>
  <c r="D23" i="120" s="1"/>
  <c r="I24" i="120"/>
  <c r="I25" i="120"/>
  <c r="I26" i="120"/>
  <c r="I27" i="120"/>
  <c r="I28" i="120"/>
  <c r="D28" i="120" s="1"/>
  <c r="I29" i="120"/>
  <c r="D29" i="120" s="1"/>
  <c r="C31" i="120"/>
  <c r="F31" i="120"/>
  <c r="I9" i="73"/>
  <c r="I10" i="73"/>
  <c r="I11" i="73"/>
  <c r="I12" i="73"/>
  <c r="I13" i="73"/>
  <c r="I14" i="73"/>
  <c r="I16" i="73"/>
  <c r="R9" i="91"/>
  <c r="D9" i="91" s="1"/>
  <c r="I9" i="91" s="1"/>
  <c r="R10" i="91"/>
  <c r="G10" i="91" s="1"/>
  <c r="R11" i="91"/>
  <c r="R12" i="91"/>
  <c r="G12" i="91" s="1"/>
  <c r="R13" i="91"/>
  <c r="R14" i="91"/>
  <c r="D14" i="91" s="1"/>
  <c r="I14" i="91" s="1"/>
  <c r="R15" i="91"/>
  <c r="R16" i="91"/>
  <c r="G16" i="91" s="1"/>
  <c r="R17" i="91"/>
  <c r="D17" i="91" s="1"/>
  <c r="I17" i="91" s="1"/>
  <c r="R18" i="91"/>
  <c r="R19" i="91"/>
  <c r="R20" i="91"/>
  <c r="G20" i="91" s="1"/>
  <c r="P22" i="91"/>
  <c r="Q22" i="91"/>
  <c r="R22" i="91" s="1"/>
  <c r="D22" i="91" s="1"/>
  <c r="I22" i="91" s="1"/>
  <c r="S22" i="91"/>
  <c r="D8" i="74"/>
  <c r="G8" i="74"/>
  <c r="L8" i="74"/>
  <c r="D9" i="74"/>
  <c r="G9" i="74"/>
  <c r="L9" i="74"/>
  <c r="D10" i="74"/>
  <c r="G10" i="74"/>
  <c r="L10" i="74"/>
  <c r="D11" i="74"/>
  <c r="G11" i="74"/>
  <c r="L11" i="74"/>
  <c r="D13" i="74"/>
  <c r="G13" i="74"/>
  <c r="L13" i="74"/>
  <c r="C20" i="230"/>
  <c r="C19" i="230" s="1"/>
  <c r="D20" i="230"/>
  <c r="D19" i="230" s="1"/>
  <c r="E20" i="230"/>
  <c r="E19" i="230" s="1"/>
  <c r="M20" i="230"/>
  <c r="M19" i="230" s="1"/>
  <c r="B27" i="230"/>
  <c r="C27" i="230"/>
  <c r="D27" i="230" s="1"/>
  <c r="F27" i="230"/>
  <c r="G27" i="230"/>
  <c r="H27" i="230"/>
  <c r="B28" i="230"/>
  <c r="C28" i="230"/>
  <c r="D28" i="230" s="1"/>
  <c r="G28" i="230"/>
  <c r="H28" i="230"/>
  <c r="B29" i="230"/>
  <c r="C29" i="230"/>
  <c r="D29" i="230" s="1"/>
  <c r="G29" i="230"/>
  <c r="H29" i="230"/>
  <c r="B30" i="230"/>
  <c r="C30" i="230"/>
  <c r="D30" i="230" s="1"/>
  <c r="G30" i="230"/>
  <c r="H30" i="230"/>
  <c r="B31" i="230"/>
  <c r="C31" i="230"/>
  <c r="D31" i="230" s="1"/>
  <c r="G31" i="230"/>
  <c r="H31" i="230"/>
  <c r="B32" i="230"/>
  <c r="C32" i="230"/>
  <c r="D32" i="230" s="1"/>
  <c r="G32" i="230"/>
  <c r="H32" i="230"/>
  <c r="B33" i="230"/>
  <c r="C33" i="230"/>
  <c r="D33" i="230" s="1"/>
  <c r="G33" i="230"/>
  <c r="H33" i="230"/>
  <c r="B34" i="230"/>
  <c r="C34" i="230"/>
  <c r="D34" i="230" s="1"/>
  <c r="G34" i="230"/>
  <c r="H34" i="230"/>
  <c r="B35" i="230"/>
  <c r="C35" i="230"/>
  <c r="D35" i="230" s="1"/>
  <c r="G35" i="230"/>
  <c r="H35" i="230"/>
  <c r="B36" i="230"/>
  <c r="C36" i="230"/>
  <c r="D36" i="230" s="1"/>
  <c r="G36" i="230"/>
  <c r="H36" i="230"/>
  <c r="B37" i="230"/>
  <c r="C37" i="230"/>
  <c r="G37" i="230"/>
  <c r="H37" i="230"/>
  <c r="B38" i="230"/>
  <c r="C38" i="230"/>
  <c r="E38" i="230" s="1"/>
  <c r="G38" i="230"/>
  <c r="H38" i="230"/>
  <c r="C8" i="229"/>
  <c r="F8" i="229"/>
  <c r="I8" i="229"/>
  <c r="C9" i="229"/>
  <c r="H9" i="229" s="1"/>
  <c r="J9" i="229" s="1"/>
  <c r="F9" i="229"/>
  <c r="I9" i="229"/>
  <c r="H10" i="229"/>
  <c r="J10" i="229" s="1"/>
  <c r="C10" i="229"/>
  <c r="F10" i="229"/>
  <c r="I10" i="229"/>
  <c r="C11" i="229"/>
  <c r="F11" i="229"/>
  <c r="I11" i="229"/>
  <c r="C12" i="229"/>
  <c r="F12" i="229"/>
  <c r="I12" i="229"/>
  <c r="C13" i="229"/>
  <c r="H13" i="229" s="1"/>
  <c r="J13" i="229" s="1"/>
  <c r="F13" i="229"/>
  <c r="I13" i="229"/>
  <c r="C14" i="229"/>
  <c r="H14" i="229" s="1"/>
  <c r="J14" i="229" s="1"/>
  <c r="F14" i="229"/>
  <c r="I14" i="229"/>
  <c r="C15" i="229"/>
  <c r="F15" i="229"/>
  <c r="I15" i="229"/>
  <c r="C16" i="229"/>
  <c r="F16" i="229"/>
  <c r="H16" i="229" s="1"/>
  <c r="J16" i="229" s="1"/>
  <c r="I16" i="229"/>
  <c r="C17" i="229"/>
  <c r="H17" i="229" s="1"/>
  <c r="J17" i="229" s="1"/>
  <c r="F17" i="229"/>
  <c r="I17" i="229"/>
  <c r="C18" i="229"/>
  <c r="H18" i="229" s="1"/>
  <c r="J18" i="229" s="1"/>
  <c r="F18" i="229"/>
  <c r="I18" i="229"/>
  <c r="C19" i="229"/>
  <c r="H19" i="229" s="1"/>
  <c r="J19" i="229" s="1"/>
  <c r="I19" i="229"/>
  <c r="B21" i="229"/>
  <c r="G21" i="229"/>
  <c r="B25" i="229"/>
  <c r="B24" i="229" s="1"/>
  <c r="E25" i="229"/>
  <c r="E24" i="229" s="1"/>
  <c r="G25" i="229"/>
  <c r="G24" i="229" s="1"/>
  <c r="K25" i="229"/>
  <c r="K24" i="229" s="1"/>
  <c r="A32" i="229"/>
  <c r="A33" i="229"/>
  <c r="A34" i="229"/>
  <c r="A35" i="229"/>
  <c r="A36" i="229"/>
  <c r="A37" i="229"/>
  <c r="A38" i="229"/>
  <c r="A39" i="229"/>
  <c r="A40" i="229"/>
  <c r="A41" i="229"/>
  <c r="A42" i="229"/>
  <c r="A43" i="229"/>
  <c r="J7" i="228"/>
  <c r="J8" i="228"/>
  <c r="J9" i="228"/>
  <c r="J15" i="228"/>
  <c r="J16" i="228"/>
  <c r="J17" i="228"/>
  <c r="I31" i="228"/>
  <c r="I32" i="228"/>
  <c r="I33" i="228"/>
  <c r="J7" i="209"/>
  <c r="J8" i="209"/>
  <c r="J9" i="209"/>
  <c r="J10" i="209"/>
  <c r="J11" i="209"/>
  <c r="J12" i="209"/>
  <c r="J13" i="209"/>
  <c r="J14" i="209"/>
  <c r="J15" i="209"/>
  <c r="J16" i="209"/>
  <c r="J17" i="209"/>
  <c r="J18" i="209"/>
  <c r="J19" i="209"/>
  <c r="J20" i="209"/>
  <c r="J21" i="209"/>
  <c r="J22" i="209"/>
  <c r="I133" i="179"/>
  <c r="I134" i="179"/>
  <c r="I135" i="179"/>
  <c r="I136" i="179"/>
  <c r="I137" i="179"/>
  <c r="I138" i="179"/>
  <c r="I139" i="179"/>
  <c r="I143" i="179"/>
  <c r="I144" i="179"/>
  <c r="I145" i="179"/>
  <c r="I146" i="179"/>
  <c r="I147" i="179"/>
  <c r="I148" i="179"/>
  <c r="I149" i="179"/>
  <c r="I153" i="179"/>
  <c r="I154" i="179"/>
  <c r="I155" i="179"/>
  <c r="I156" i="179"/>
  <c r="I157" i="179"/>
  <c r="I158" i="179"/>
  <c r="I159" i="179"/>
  <c r="K190" i="179"/>
  <c r="L175" i="179" s="1"/>
  <c r="N190" i="179"/>
  <c r="O190" i="179" s="1"/>
  <c r="H219" i="179"/>
  <c r="I213" i="179" s="1"/>
  <c r="K219" i="179"/>
  <c r="L213" i="179" s="1"/>
  <c r="N219" i="179"/>
  <c r="O213" i="179" s="1"/>
  <c r="H226" i="179"/>
  <c r="I221" i="179" s="1"/>
  <c r="O221" i="179" s="1"/>
  <c r="K236" i="179"/>
  <c r="N236" i="179"/>
  <c r="K246" i="179"/>
  <c r="N246" i="179"/>
  <c r="H299" i="179"/>
  <c r="I296" i="179" s="1"/>
  <c r="K299" i="179"/>
  <c r="L299" i="179" s="1"/>
  <c r="N299" i="179"/>
  <c r="O293" i="179" s="1"/>
  <c r="H348" i="179"/>
  <c r="N352" i="179"/>
  <c r="N353" i="179"/>
  <c r="H362" i="179"/>
  <c r="I353" i="179" s="1"/>
  <c r="L353" i="179"/>
  <c r="L362" i="179" s="1"/>
  <c r="N364" i="179"/>
  <c r="N365" i="179"/>
  <c r="H370" i="179"/>
  <c r="I366" i="179" s="1"/>
  <c r="K370" i="179"/>
  <c r="L364" i="179" s="1"/>
  <c r="H384" i="179"/>
  <c r="I374" i="179" s="1"/>
  <c r="N388" i="179"/>
  <c r="N389" i="179"/>
  <c r="H394" i="179"/>
  <c r="I392" i="179" s="1"/>
  <c r="K394" i="179"/>
  <c r="H401" i="179"/>
  <c r="I396" i="179" s="1"/>
  <c r="O396" i="179" s="1"/>
  <c r="H419" i="179"/>
  <c r="N421" i="179"/>
  <c r="N422" i="179"/>
  <c r="H432" i="179"/>
  <c r="L421" i="179"/>
  <c r="N435" i="179"/>
  <c r="N436" i="179"/>
  <c r="H451" i="179"/>
  <c r="I436" i="179" s="1"/>
  <c r="L436" i="179"/>
  <c r="N457" i="179"/>
  <c r="N458" i="179"/>
  <c r="H468" i="179"/>
  <c r="K468" i="179"/>
  <c r="L457" i="179" s="1"/>
  <c r="H475" i="179"/>
  <c r="H484" i="179"/>
  <c r="H493" i="179"/>
  <c r="H504" i="179"/>
  <c r="H517" i="179"/>
  <c r="K517" i="179"/>
  <c r="N517" i="179"/>
  <c r="H524" i="179"/>
  <c r="K524" i="179"/>
  <c r="N524" i="179"/>
  <c r="O524" i="179"/>
  <c r="N529" i="179"/>
  <c r="N530" i="179"/>
  <c r="H535" i="179"/>
  <c r="K535" i="179"/>
  <c r="L529" i="179" s="1"/>
  <c r="N537" i="179"/>
  <c r="N538" i="179"/>
  <c r="H541" i="179"/>
  <c r="K541" i="179"/>
  <c r="H551" i="179"/>
  <c r="N553" i="179"/>
  <c r="N554" i="179"/>
  <c r="H557" i="179"/>
  <c r="K557" i="179"/>
  <c r="L553" i="179" s="1"/>
  <c r="N559" i="179"/>
  <c r="N560" i="179"/>
  <c r="H566" i="179"/>
  <c r="K566" i="179"/>
  <c r="N568" i="179"/>
  <c r="N569" i="179"/>
  <c r="H576" i="179"/>
  <c r="K576" i="179"/>
  <c r="N579" i="179"/>
  <c r="N580" i="179"/>
  <c r="K592" i="179"/>
  <c r="N597" i="179"/>
  <c r="O597" i="179"/>
  <c r="N607" i="179"/>
  <c r="O607" i="179"/>
  <c r="N608" i="179"/>
  <c r="O608" i="179"/>
  <c r="L607" i="179"/>
  <c r="F615" i="179"/>
  <c r="F616" i="179"/>
  <c r="F617" i="179"/>
  <c r="F618" i="179"/>
  <c r="F619" i="179"/>
  <c r="F620" i="179"/>
  <c r="F622" i="179"/>
  <c r="F623" i="179"/>
  <c r="F624" i="179"/>
  <c r="N624" i="179"/>
  <c r="O624" i="179"/>
  <c r="F625" i="179"/>
  <c r="F626" i="179"/>
  <c r="F627" i="179"/>
  <c r="F628" i="179"/>
  <c r="F629" i="179"/>
  <c r="F633" i="179"/>
  <c r="N633" i="179"/>
  <c r="F634" i="179"/>
  <c r="F635" i="179"/>
  <c r="F636" i="179"/>
  <c r="F637" i="179"/>
  <c r="F638" i="179"/>
  <c r="F642" i="179"/>
  <c r="F643" i="179"/>
  <c r="F644" i="179"/>
  <c r="F645" i="179"/>
  <c r="F647" i="179"/>
  <c r="F649" i="179"/>
  <c r="F650" i="179"/>
  <c r="F651" i="179"/>
  <c r="F652" i="179"/>
  <c r="F653" i="179"/>
  <c r="F654" i="179"/>
  <c r="F658" i="179"/>
  <c r="F659" i="179"/>
  <c r="F660" i="179"/>
  <c r="F661" i="179"/>
  <c r="F662" i="179"/>
  <c r="F663" i="179"/>
  <c r="F669" i="179"/>
  <c r="F670" i="179"/>
  <c r="F671" i="179"/>
  <c r="F672" i="179"/>
  <c r="F675" i="179"/>
  <c r="N675" i="179"/>
  <c r="O675" i="179"/>
  <c r="F676" i="179"/>
  <c r="F677" i="179"/>
  <c r="F678" i="179"/>
  <c r="I11" i="177"/>
  <c r="I12" i="177"/>
  <c r="D12" i="177" s="1"/>
  <c r="I13" i="177"/>
  <c r="C13" i="177" s="1"/>
  <c r="I14" i="177"/>
  <c r="I15" i="177"/>
  <c r="C15" i="177" s="1"/>
  <c r="I16" i="177"/>
  <c r="D16" i="177" s="1"/>
  <c r="I17" i="177"/>
  <c r="I18" i="177"/>
  <c r="I19" i="177"/>
  <c r="C19" i="177" s="1"/>
  <c r="I20" i="177"/>
  <c r="D20" i="177" s="1"/>
  <c r="I21" i="177"/>
  <c r="C21" i="177" s="1"/>
  <c r="I22" i="177"/>
  <c r="I23" i="177"/>
  <c r="D23" i="177" s="1"/>
  <c r="I24" i="177"/>
  <c r="D24" i="177" s="1"/>
  <c r="I25" i="177"/>
  <c r="I26" i="177"/>
  <c r="I27" i="177"/>
  <c r="C27" i="177" s="1"/>
  <c r="I28" i="177"/>
  <c r="D28" i="177" s="1"/>
  <c r="I29" i="177"/>
  <c r="C29" i="177" s="1"/>
  <c r="I30" i="177"/>
  <c r="I31" i="177"/>
  <c r="D31" i="177" s="1"/>
  <c r="I32" i="177"/>
  <c r="D32" i="177" s="1"/>
  <c r="I33" i="177"/>
  <c r="D33" i="177" s="1"/>
  <c r="I34" i="177"/>
  <c r="I35" i="177"/>
  <c r="C35" i="177" s="1"/>
  <c r="I36" i="177"/>
  <c r="D36" i="177" s="1"/>
  <c r="I37" i="177"/>
  <c r="I38" i="177"/>
  <c r="I39" i="177"/>
  <c r="D39" i="177" s="1"/>
  <c r="I40" i="177"/>
  <c r="C40" i="177" s="1"/>
  <c r="I41" i="177"/>
  <c r="C41" i="177" s="1"/>
  <c r="I42" i="177"/>
  <c r="I43" i="177"/>
  <c r="D43" i="177" s="1"/>
  <c r="I44" i="177"/>
  <c r="D44" i="177" s="1"/>
  <c r="I45" i="177"/>
  <c r="I46" i="177"/>
  <c r="I47" i="177"/>
  <c r="C47" i="177" s="1"/>
  <c r="I48" i="177"/>
  <c r="D48" i="177" s="1"/>
  <c r="I49" i="177"/>
  <c r="I50" i="177"/>
  <c r="I51" i="177"/>
  <c r="C51" i="177" s="1"/>
  <c r="I52" i="177"/>
  <c r="D52" i="177" s="1"/>
  <c r="I53" i="177"/>
  <c r="D53" i="177" s="1"/>
  <c r="I54" i="177"/>
  <c r="I55" i="177"/>
  <c r="D55" i="177" s="1"/>
  <c r="I56" i="177"/>
  <c r="C56" i="177" s="1"/>
  <c r="I57" i="177"/>
  <c r="I58" i="177"/>
  <c r="I59" i="177"/>
  <c r="D59" i="177" s="1"/>
  <c r="I60" i="177"/>
  <c r="D60" i="177" s="1"/>
  <c r="I61" i="177"/>
  <c r="I62" i="177"/>
  <c r="I63" i="177"/>
  <c r="D63" i="177" s="1"/>
  <c r="I64" i="177"/>
  <c r="D64" i="177" s="1"/>
  <c r="I65" i="177"/>
  <c r="I66" i="177"/>
  <c r="I67" i="177"/>
  <c r="C67" i="177" s="1"/>
  <c r="I68" i="177"/>
  <c r="D68" i="177" s="1"/>
  <c r="B86" i="177"/>
  <c r="F86" i="177"/>
  <c r="B87" i="208"/>
  <c r="C13" i="220"/>
  <c r="D13" i="220"/>
  <c r="E13" i="220"/>
  <c r="F13" i="220"/>
  <c r="G13" i="220"/>
  <c r="H13" i="220"/>
  <c r="I13" i="220"/>
  <c r="J13" i="220"/>
  <c r="K13" i="220"/>
  <c r="L13" i="220"/>
  <c r="M13" i="220"/>
  <c r="N13" i="220"/>
  <c r="O13" i="220"/>
  <c r="N17" i="220"/>
  <c r="N18" i="220"/>
  <c r="N19" i="220"/>
  <c r="N20" i="220"/>
  <c r="N21" i="220"/>
  <c r="N22" i="220"/>
  <c r="O23" i="220"/>
  <c r="N27" i="220"/>
  <c r="N28" i="220"/>
  <c r="N29" i="220"/>
  <c r="N30" i="220"/>
  <c r="N31" i="220"/>
  <c r="N32" i="220"/>
  <c r="C33" i="220"/>
  <c r="D33" i="220"/>
  <c r="E33" i="220"/>
  <c r="F33" i="220"/>
  <c r="G33" i="220"/>
  <c r="H33" i="220"/>
  <c r="I33" i="220"/>
  <c r="J33" i="220"/>
  <c r="K33" i="220"/>
  <c r="L33" i="220"/>
  <c r="M33" i="220"/>
  <c r="O33" i="220"/>
  <c r="C11" i="218"/>
  <c r="D11" i="218"/>
  <c r="D14" i="218" s="1"/>
  <c r="E11" i="218"/>
  <c r="E15" i="218" s="1"/>
  <c r="F11" i="218"/>
  <c r="F14" i="218" s="1"/>
  <c r="G11" i="218"/>
  <c r="G19" i="218" s="1"/>
  <c r="H11" i="218"/>
  <c r="H16" i="218" s="1"/>
  <c r="I11" i="218"/>
  <c r="I14" i="218" s="1"/>
  <c r="J11" i="218"/>
  <c r="J17" i="218" s="1"/>
  <c r="K11" i="218"/>
  <c r="L11" i="218"/>
  <c r="M11" i="218"/>
  <c r="M19" i="218" s="1"/>
  <c r="N11" i="218"/>
  <c r="N15" i="218" s="1"/>
  <c r="O11" i="218"/>
  <c r="O14" i="218" s="1"/>
  <c r="N28" i="218"/>
  <c r="N37" i="218" s="1"/>
  <c r="O28" i="218"/>
  <c r="O35" i="218" s="1"/>
  <c r="C31" i="218"/>
  <c r="D31" i="218"/>
  <c r="E31" i="218"/>
  <c r="F31" i="218"/>
  <c r="G31" i="218"/>
  <c r="H31" i="218"/>
  <c r="I31" i="218"/>
  <c r="J31" i="218"/>
  <c r="K31" i="218"/>
  <c r="L31" i="218"/>
  <c r="M31" i="218"/>
  <c r="C32" i="218"/>
  <c r="D32" i="218"/>
  <c r="E32" i="218"/>
  <c r="F32" i="218"/>
  <c r="G32" i="218"/>
  <c r="H32" i="218"/>
  <c r="I32" i="218"/>
  <c r="J32" i="218"/>
  <c r="K32" i="218"/>
  <c r="L32" i="218"/>
  <c r="M32" i="218"/>
  <c r="C33" i="218"/>
  <c r="D33" i="218"/>
  <c r="E33" i="218"/>
  <c r="F33" i="218"/>
  <c r="G33" i="218"/>
  <c r="H33" i="218"/>
  <c r="I33" i="218"/>
  <c r="J33" i="218"/>
  <c r="K33" i="218"/>
  <c r="L33" i="218"/>
  <c r="M33" i="218"/>
  <c r="C34" i="218"/>
  <c r="D34" i="218"/>
  <c r="E34" i="218"/>
  <c r="F34" i="218"/>
  <c r="G34" i="218"/>
  <c r="H34" i="218"/>
  <c r="I34" i="218"/>
  <c r="J34" i="218"/>
  <c r="K34" i="218"/>
  <c r="L34" i="218"/>
  <c r="M34" i="218"/>
  <c r="C35" i="218"/>
  <c r="D35" i="218"/>
  <c r="E35" i="218"/>
  <c r="F35" i="218"/>
  <c r="G35" i="218"/>
  <c r="H35" i="218"/>
  <c r="I35" i="218"/>
  <c r="J35" i="218"/>
  <c r="K35" i="218"/>
  <c r="L35" i="218"/>
  <c r="M35" i="218"/>
  <c r="C36" i="218"/>
  <c r="D36" i="218"/>
  <c r="E36" i="218"/>
  <c r="F36" i="218"/>
  <c r="G36" i="218"/>
  <c r="H36" i="218"/>
  <c r="I36" i="218"/>
  <c r="J36" i="218"/>
  <c r="K36" i="218"/>
  <c r="L36" i="218"/>
  <c r="M36" i="218"/>
  <c r="C37" i="218"/>
  <c r="D37" i="218"/>
  <c r="E37" i="218"/>
  <c r="F37" i="218"/>
  <c r="G37" i="218"/>
  <c r="H37" i="218"/>
  <c r="I37" i="218"/>
  <c r="J37" i="218"/>
  <c r="K37" i="218"/>
  <c r="L37" i="218"/>
  <c r="M37" i="218"/>
  <c r="C46" i="218"/>
  <c r="C55" i="218" s="1"/>
  <c r="D46" i="218"/>
  <c r="D50" i="218" s="1"/>
  <c r="E46" i="218"/>
  <c r="E53" i="218" s="1"/>
  <c r="F46" i="218"/>
  <c r="F55" i="218" s="1"/>
  <c r="G46" i="218"/>
  <c r="G55" i="218" s="1"/>
  <c r="H46" i="218"/>
  <c r="H52" i="218" s="1"/>
  <c r="I46" i="218"/>
  <c r="I55" i="218" s="1"/>
  <c r="J46" i="218"/>
  <c r="J55" i="218" s="1"/>
  <c r="K46" i="218"/>
  <c r="L46" i="218"/>
  <c r="L50" i="218" s="1"/>
  <c r="M46" i="218"/>
  <c r="M53" i="218" s="1"/>
  <c r="N46" i="218"/>
  <c r="N55" i="218" s="1"/>
  <c r="O46" i="218"/>
  <c r="O53" i="218" s="1"/>
  <c r="T57" i="218"/>
  <c r="E9" i="176"/>
  <c r="E13" i="176"/>
  <c r="E14" i="176"/>
  <c r="E16" i="176"/>
  <c r="E17" i="176"/>
  <c r="E18" i="176"/>
  <c r="E19" i="176"/>
  <c r="E20" i="176"/>
  <c r="E21" i="176"/>
  <c r="E22" i="176"/>
  <c r="E23" i="176"/>
  <c r="E24" i="176"/>
  <c r="E25" i="176"/>
  <c r="E26" i="176"/>
  <c r="E27" i="176"/>
  <c r="E28" i="176"/>
  <c r="E29" i="176"/>
  <c r="E30" i="176"/>
  <c r="E31" i="176"/>
  <c r="E32" i="176"/>
  <c r="E33" i="176"/>
  <c r="E34" i="176"/>
  <c r="E35" i="176"/>
  <c r="E36" i="176"/>
  <c r="E37" i="176"/>
  <c r="E38" i="176"/>
  <c r="E39" i="176"/>
  <c r="E40" i="176"/>
  <c r="E41" i="176"/>
  <c r="E42" i="176"/>
  <c r="E43" i="176"/>
  <c r="E44" i="176"/>
  <c r="E45" i="176"/>
  <c r="E46" i="176"/>
  <c r="E9" i="129"/>
  <c r="E10" i="129"/>
  <c r="E11" i="129"/>
  <c r="E12" i="129"/>
  <c r="E13" i="129"/>
  <c r="E14" i="129"/>
  <c r="E15" i="129"/>
  <c r="E16" i="129"/>
  <c r="E17" i="129"/>
  <c r="E18" i="129"/>
  <c r="E19" i="129"/>
  <c r="E20" i="129"/>
  <c r="E21" i="129"/>
  <c r="E22" i="129"/>
  <c r="E23" i="129"/>
  <c r="E24" i="129"/>
  <c r="E25" i="129"/>
  <c r="E26" i="129"/>
  <c r="E27" i="129"/>
  <c r="E28" i="129"/>
  <c r="E29" i="129"/>
  <c r="E30" i="129"/>
  <c r="E31" i="129"/>
  <c r="E32" i="129"/>
  <c r="E33" i="129"/>
  <c r="E34" i="129"/>
  <c r="E35" i="129"/>
  <c r="E36" i="129"/>
  <c r="E37" i="129"/>
  <c r="E38" i="129"/>
  <c r="E39" i="129"/>
  <c r="E41" i="129"/>
  <c r="E42" i="129"/>
  <c r="E43" i="129"/>
  <c r="E44" i="129"/>
  <c r="E45" i="129"/>
  <c r="E46" i="129"/>
  <c r="J9" i="207"/>
  <c r="J11" i="207"/>
  <c r="L11" i="207"/>
  <c r="N11" i="207"/>
  <c r="P11" i="207"/>
  <c r="Q11" i="207"/>
  <c r="J12" i="207"/>
  <c r="L12" i="207"/>
  <c r="N12" i="207"/>
  <c r="P12" i="207"/>
  <c r="Q12" i="207"/>
  <c r="J13" i="207"/>
  <c r="L13" i="207"/>
  <c r="N13" i="207"/>
  <c r="P13" i="207"/>
  <c r="Q13" i="207"/>
  <c r="J14" i="207"/>
  <c r="L14" i="207"/>
  <c r="N14" i="207"/>
  <c r="P14" i="207"/>
  <c r="Q14" i="207"/>
  <c r="J15" i="207"/>
  <c r="L15" i="207"/>
  <c r="N15" i="207"/>
  <c r="P15" i="207"/>
  <c r="Q15" i="207"/>
  <c r="J16" i="207"/>
  <c r="L16" i="207"/>
  <c r="N16" i="207"/>
  <c r="P16" i="207"/>
  <c r="Q16" i="207"/>
  <c r="J17" i="207"/>
  <c r="L17" i="207"/>
  <c r="N17" i="207"/>
  <c r="P17" i="207"/>
  <c r="Q17" i="207"/>
  <c r="J18" i="207"/>
  <c r="L18" i="207"/>
  <c r="N18" i="207"/>
  <c r="P18" i="207"/>
  <c r="Q18" i="207"/>
  <c r="J19" i="207"/>
  <c r="L19" i="207"/>
  <c r="N19" i="207"/>
  <c r="P19" i="207"/>
  <c r="Q19" i="207"/>
  <c r="J20" i="207"/>
  <c r="L20" i="207"/>
  <c r="N20" i="207"/>
  <c r="P20" i="207"/>
  <c r="Q20" i="207"/>
  <c r="J21" i="207"/>
  <c r="L21" i="207"/>
  <c r="N21" i="207"/>
  <c r="P21" i="207"/>
  <c r="Q21" i="207"/>
  <c r="J22" i="207"/>
  <c r="L22" i="207"/>
  <c r="N22" i="207"/>
  <c r="P22" i="207"/>
  <c r="Q22" i="207"/>
  <c r="J23" i="207"/>
  <c r="L23" i="207"/>
  <c r="N23" i="207"/>
  <c r="P23" i="207"/>
  <c r="Q23" i="207"/>
  <c r="J24" i="207"/>
  <c r="L24" i="207"/>
  <c r="N24" i="207"/>
  <c r="P24" i="207"/>
  <c r="Q24" i="207"/>
  <c r="J25" i="207"/>
  <c r="L25" i="207"/>
  <c r="N25" i="207"/>
  <c r="P25" i="207"/>
  <c r="Q25" i="207"/>
  <c r="J26" i="207"/>
  <c r="L26" i="207"/>
  <c r="N26" i="207"/>
  <c r="P26" i="207"/>
  <c r="Q26" i="207"/>
  <c r="J27" i="207"/>
  <c r="L27" i="207"/>
  <c r="N27" i="207"/>
  <c r="P27" i="207"/>
  <c r="Q27" i="207"/>
  <c r="J28" i="207"/>
  <c r="L28" i="207"/>
  <c r="N28" i="207"/>
  <c r="P28" i="207"/>
  <c r="Q28" i="207"/>
  <c r="J29" i="207"/>
  <c r="L29" i="207"/>
  <c r="N29" i="207"/>
  <c r="P29" i="207"/>
  <c r="Q29" i="207"/>
  <c r="J30" i="207"/>
  <c r="L30" i="207"/>
  <c r="N30" i="207"/>
  <c r="P30" i="207"/>
  <c r="Q30" i="207"/>
  <c r="J31" i="207"/>
  <c r="L31" i="207"/>
  <c r="N31" i="207"/>
  <c r="P31" i="207"/>
  <c r="Q31" i="207"/>
  <c r="J32" i="207"/>
  <c r="L32" i="207"/>
  <c r="N32" i="207"/>
  <c r="P32" i="207"/>
  <c r="Q32" i="207"/>
  <c r="J33" i="207"/>
  <c r="L33" i="207"/>
  <c r="N33" i="207"/>
  <c r="P33" i="207"/>
  <c r="Q33" i="207"/>
  <c r="J34" i="207"/>
  <c r="L34" i="207"/>
  <c r="N34" i="207"/>
  <c r="P34" i="207"/>
  <c r="Q34" i="207"/>
  <c r="J35" i="207"/>
  <c r="L35" i="207"/>
  <c r="N35" i="207"/>
  <c r="P35" i="207"/>
  <c r="Q35" i="207"/>
  <c r="J36" i="207"/>
  <c r="L36" i="207"/>
  <c r="N36" i="207"/>
  <c r="P36" i="207"/>
  <c r="Q36" i="207"/>
  <c r="J37" i="207"/>
  <c r="L37" i="207"/>
  <c r="N37" i="207"/>
  <c r="P37" i="207"/>
  <c r="Q37" i="207"/>
  <c r="J38" i="207"/>
  <c r="L38" i="207"/>
  <c r="N38" i="207"/>
  <c r="P38" i="207"/>
  <c r="Q38" i="207"/>
  <c r="J39" i="207"/>
  <c r="L39" i="207"/>
  <c r="N39" i="207"/>
  <c r="P39" i="207"/>
  <c r="Q39" i="207"/>
  <c r="J40" i="207"/>
  <c r="L40" i="207"/>
  <c r="N40" i="207"/>
  <c r="P40" i="207"/>
  <c r="Q40" i="207"/>
  <c r="J41" i="207"/>
  <c r="L41" i="207"/>
  <c r="N41" i="207"/>
  <c r="P41" i="207"/>
  <c r="Q41" i="207"/>
  <c r="J42" i="207"/>
  <c r="L42" i="207"/>
  <c r="N42" i="207"/>
  <c r="P42" i="207"/>
  <c r="Q42" i="207"/>
  <c r="J43" i="207"/>
  <c r="L43" i="207"/>
  <c r="N43" i="207"/>
  <c r="P43" i="207"/>
  <c r="Q43" i="207"/>
  <c r="J44" i="207"/>
  <c r="L44" i="207"/>
  <c r="N44" i="207"/>
  <c r="P44" i="207"/>
  <c r="Q44" i="207"/>
  <c r="J45" i="207"/>
  <c r="L45" i="207"/>
  <c r="N45" i="207"/>
  <c r="P45" i="207"/>
  <c r="Q45" i="207"/>
  <c r="J46" i="207"/>
  <c r="L46" i="207"/>
  <c r="N46" i="207"/>
  <c r="P46" i="207"/>
  <c r="Q46" i="207"/>
  <c r="J47" i="207"/>
  <c r="L47" i="207"/>
  <c r="N47" i="207"/>
  <c r="P47" i="207"/>
  <c r="Q47" i="207"/>
  <c r="J48" i="207"/>
  <c r="L48" i="207"/>
  <c r="N48" i="207"/>
  <c r="P48" i="207"/>
  <c r="Q48" i="207"/>
  <c r="J49" i="207"/>
  <c r="L49" i="207"/>
  <c r="N49" i="207"/>
  <c r="P49" i="207"/>
  <c r="Q49" i="207"/>
  <c r="J50" i="207"/>
  <c r="L50" i="207"/>
  <c r="N50" i="207"/>
  <c r="P50" i="207"/>
  <c r="Q50" i="207"/>
  <c r="H51" i="207"/>
  <c r="L51" i="207" s="1"/>
  <c r="J54" i="207"/>
  <c r="L54" i="207"/>
  <c r="N54" i="207"/>
  <c r="P54" i="207"/>
  <c r="Q54" i="207"/>
  <c r="H55" i="207"/>
  <c r="N55" i="207" s="1"/>
  <c r="K12" i="221"/>
  <c r="N12" i="221"/>
  <c r="Q12" i="221"/>
  <c r="T12" i="221"/>
  <c r="W12" i="221"/>
  <c r="K13" i="221"/>
  <c r="N13" i="221"/>
  <c r="Q13" i="221"/>
  <c r="T13" i="221"/>
  <c r="W13" i="221"/>
  <c r="K14" i="221"/>
  <c r="N14" i="221"/>
  <c r="Q14" i="221"/>
  <c r="T14" i="221"/>
  <c r="W14" i="221"/>
  <c r="K15" i="221"/>
  <c r="N15" i="221"/>
  <c r="Q15" i="221"/>
  <c r="T15" i="221"/>
  <c r="W15" i="221"/>
  <c r="K17" i="221"/>
  <c r="N17" i="221"/>
  <c r="Q17" i="221"/>
  <c r="T17" i="221"/>
  <c r="W17" i="221"/>
  <c r="K18" i="221"/>
  <c r="N18" i="221"/>
  <c r="Q18" i="221"/>
  <c r="T18" i="221"/>
  <c r="W18" i="221"/>
  <c r="K19" i="221"/>
  <c r="N19" i="221"/>
  <c r="Q19" i="221"/>
  <c r="T19" i="221"/>
  <c r="W19" i="221"/>
  <c r="K20" i="221"/>
  <c r="N20" i="221"/>
  <c r="Q20" i="221"/>
  <c r="T20" i="221"/>
  <c r="W20" i="221"/>
  <c r="K22" i="221"/>
  <c r="N22" i="221"/>
  <c r="Q22" i="221"/>
  <c r="T22" i="221"/>
  <c r="W22" i="221"/>
  <c r="K23" i="221"/>
  <c r="N23" i="221"/>
  <c r="Q23" i="221"/>
  <c r="T23" i="221"/>
  <c r="W23" i="221"/>
  <c r="K24" i="221"/>
  <c r="N24" i="221"/>
  <c r="Q24" i="221"/>
  <c r="T24" i="221"/>
  <c r="W24" i="221"/>
  <c r="K25" i="221"/>
  <c r="N25" i="221"/>
  <c r="Q25" i="221"/>
  <c r="T25" i="221"/>
  <c r="W25" i="221"/>
  <c r="K27" i="221"/>
  <c r="N27" i="221"/>
  <c r="Q27" i="221"/>
  <c r="T27" i="221"/>
  <c r="W27" i="221"/>
  <c r="K28" i="221"/>
  <c r="N28" i="221"/>
  <c r="Q28" i="221"/>
  <c r="T28" i="221"/>
  <c r="W28" i="221"/>
  <c r="K29" i="221"/>
  <c r="N29" i="221"/>
  <c r="Q29" i="221"/>
  <c r="T29" i="221"/>
  <c r="W29" i="221"/>
  <c r="K30" i="221"/>
  <c r="N30" i="221"/>
  <c r="Q30" i="221"/>
  <c r="T30" i="221"/>
  <c r="W30" i="221"/>
  <c r="K32" i="221"/>
  <c r="N32" i="221"/>
  <c r="Q32" i="221"/>
  <c r="T32" i="221"/>
  <c r="W32" i="221"/>
  <c r="K33" i="221"/>
  <c r="N33" i="221"/>
  <c r="Q33" i="221"/>
  <c r="T33" i="221"/>
  <c r="W33" i="221"/>
  <c r="K34" i="221"/>
  <c r="N34" i="221"/>
  <c r="Q34" i="221"/>
  <c r="T34" i="221"/>
  <c r="W34" i="221"/>
  <c r="K35" i="221"/>
  <c r="N35" i="221"/>
  <c r="Q35" i="221"/>
  <c r="T35" i="221"/>
  <c r="W35" i="221"/>
  <c r="K37" i="221"/>
  <c r="N37" i="221"/>
  <c r="Q37" i="221"/>
  <c r="T37" i="221"/>
  <c r="W37" i="221"/>
  <c r="K38" i="221"/>
  <c r="N38" i="221"/>
  <c r="Q38" i="221"/>
  <c r="T38" i="221"/>
  <c r="W38" i="221"/>
  <c r="K39" i="221"/>
  <c r="N39" i="221"/>
  <c r="Q39" i="221"/>
  <c r="T39" i="221"/>
  <c r="W39" i="221"/>
  <c r="K40" i="221"/>
  <c r="N40" i="221"/>
  <c r="Q40" i="221"/>
  <c r="T40" i="221"/>
  <c r="W40" i="221"/>
  <c r="K42" i="221"/>
  <c r="N42" i="221"/>
  <c r="Q42" i="221"/>
  <c r="T42" i="221"/>
  <c r="W42" i="221"/>
  <c r="K43" i="221"/>
  <c r="N43" i="221"/>
  <c r="Q43" i="221"/>
  <c r="T43" i="221"/>
  <c r="W43" i="221"/>
  <c r="K44" i="221"/>
  <c r="N44" i="221"/>
  <c r="Q44" i="221"/>
  <c r="T44" i="221"/>
  <c r="W44" i="221"/>
  <c r="K45" i="221"/>
  <c r="N45" i="221"/>
  <c r="Q45" i="221"/>
  <c r="T45" i="221"/>
  <c r="W45" i="221"/>
  <c r="K47" i="221"/>
  <c r="N47" i="221"/>
  <c r="Q47" i="221"/>
  <c r="T47" i="221"/>
  <c r="W47" i="221"/>
  <c r="K48" i="221"/>
  <c r="N48" i="221"/>
  <c r="Q48" i="221"/>
  <c r="T48" i="221"/>
  <c r="W48" i="221"/>
  <c r="K49" i="221"/>
  <c r="N49" i="221"/>
  <c r="Q49" i="221"/>
  <c r="T49" i="221"/>
  <c r="W49" i="221"/>
  <c r="K50" i="221"/>
  <c r="N50" i="221"/>
  <c r="Q50" i="221"/>
  <c r="T50" i="221"/>
  <c r="W50" i="221"/>
  <c r="K52" i="221"/>
  <c r="N52" i="221"/>
  <c r="Q52" i="221"/>
  <c r="T52" i="221"/>
  <c r="W52" i="221"/>
  <c r="K53" i="221"/>
  <c r="N53" i="221"/>
  <c r="Q53" i="221"/>
  <c r="T53" i="221"/>
  <c r="W53" i="221"/>
  <c r="K54" i="221"/>
  <c r="N54" i="221"/>
  <c r="Q54" i="221"/>
  <c r="T54" i="221"/>
  <c r="W54" i="221"/>
  <c r="K55" i="221"/>
  <c r="N55" i="221"/>
  <c r="Q55" i="221"/>
  <c r="T55" i="221"/>
  <c r="W55" i="221"/>
  <c r="K57" i="221"/>
  <c r="N57" i="221"/>
  <c r="Q57" i="221"/>
  <c r="T57" i="221"/>
  <c r="W57" i="221"/>
  <c r="K58" i="221"/>
  <c r="N58" i="221"/>
  <c r="Q58" i="221"/>
  <c r="T58" i="221"/>
  <c r="W58" i="221"/>
  <c r="K59" i="221"/>
  <c r="N59" i="221"/>
  <c r="Q59" i="221"/>
  <c r="T59" i="221"/>
  <c r="W59" i="221"/>
  <c r="K60" i="221"/>
  <c r="N60" i="221"/>
  <c r="Q60" i="221"/>
  <c r="T60" i="221"/>
  <c r="W60" i="221"/>
  <c r="H62" i="221"/>
  <c r="N62" i="221" s="1"/>
  <c r="K65" i="221"/>
  <c r="N65" i="221"/>
  <c r="Q65" i="221"/>
  <c r="T65" i="221"/>
  <c r="W65" i="221"/>
  <c r="E11" i="174"/>
  <c r="E23" i="174" s="1"/>
  <c r="E12" i="174"/>
  <c r="Q12" i="174"/>
  <c r="S12" i="174" s="1"/>
  <c r="G24" i="174" s="1"/>
  <c r="S13" i="174"/>
  <c r="G25" i="174" s="1"/>
  <c r="S14" i="174"/>
  <c r="G26" i="174" s="1"/>
  <c r="S15" i="174"/>
  <c r="G27" i="174" s="1"/>
  <c r="S16" i="174"/>
  <c r="G28" i="174" s="1"/>
  <c r="S17" i="174"/>
  <c r="G29" i="174" s="1"/>
  <c r="S18" i="174"/>
  <c r="G30" i="174" s="1"/>
  <c r="B23" i="174"/>
  <c r="C23" i="174"/>
  <c r="B24" i="174"/>
  <c r="C24" i="174"/>
  <c r="B25" i="174"/>
  <c r="C25" i="174"/>
  <c r="E25" i="174"/>
  <c r="B26" i="174"/>
  <c r="C26" i="174"/>
  <c r="D26" i="174"/>
  <c r="E26" i="174"/>
  <c r="B27" i="174"/>
  <c r="C27" i="174"/>
  <c r="D27" i="174"/>
  <c r="E27" i="174"/>
  <c r="B28" i="174"/>
  <c r="C28" i="174"/>
  <c r="D28" i="174"/>
  <c r="E28" i="174"/>
  <c r="B29" i="174"/>
  <c r="C29" i="174"/>
  <c r="D29" i="174"/>
  <c r="E29" i="174"/>
  <c r="B30" i="174"/>
  <c r="C30" i="174"/>
  <c r="D30" i="174"/>
  <c r="E30" i="174"/>
  <c r="F30" i="174"/>
  <c r="N55" i="174"/>
  <c r="R55" i="174"/>
  <c r="V55" i="174"/>
  <c r="N60" i="174"/>
  <c r="R60" i="174"/>
  <c r="V60" i="174"/>
  <c r="Z60" i="174"/>
  <c r="M85" i="174"/>
  <c r="Q85" i="174"/>
  <c r="U85" i="174"/>
  <c r="L101" i="174"/>
  <c r="Q101" i="174"/>
  <c r="U101" i="174"/>
  <c r="Y101" i="174"/>
  <c r="L102" i="174"/>
  <c r="Q102" i="174"/>
  <c r="U102" i="174"/>
  <c r="Y102" i="174"/>
  <c r="L103" i="174"/>
  <c r="Q103" i="174"/>
  <c r="U103" i="174"/>
  <c r="Y103" i="174"/>
  <c r="L104" i="174"/>
  <c r="Q104" i="174"/>
  <c r="U104" i="174"/>
  <c r="Y104" i="174"/>
  <c r="T16" i="175"/>
  <c r="T17" i="175"/>
  <c r="T18" i="175"/>
  <c r="T19" i="175"/>
  <c r="T20" i="175"/>
  <c r="T21" i="175"/>
  <c r="F22" i="175"/>
  <c r="R22" i="175"/>
  <c r="T22" i="175" s="1"/>
  <c r="F23" i="175"/>
  <c r="N91" i="175"/>
  <c r="R91" i="175"/>
  <c r="V91" i="175"/>
  <c r="N96" i="175"/>
  <c r="R96" i="175"/>
  <c r="V96" i="175"/>
  <c r="Z96" i="175"/>
  <c r="V97" i="175"/>
  <c r="M115" i="175"/>
  <c r="R115" i="175"/>
  <c r="V115" i="175"/>
  <c r="Z115" i="175"/>
  <c r="M116" i="175"/>
  <c r="R116" i="175"/>
  <c r="V116" i="175"/>
  <c r="Z116" i="175"/>
  <c r="M117" i="175"/>
  <c r="R117" i="175"/>
  <c r="V117" i="175"/>
  <c r="Z117" i="175"/>
  <c r="M118" i="175"/>
  <c r="R118" i="175"/>
  <c r="V118" i="175"/>
  <c r="Z118" i="175"/>
  <c r="D23" i="131"/>
  <c r="G23" i="131"/>
  <c r="H15" i="131" s="1"/>
  <c r="J23" i="131"/>
  <c r="K11" i="131" s="1"/>
  <c r="D40" i="131"/>
  <c r="G40" i="131"/>
  <c r="H31" i="131" s="1"/>
  <c r="J40" i="131"/>
  <c r="K30" i="131" s="1"/>
  <c r="D57" i="131"/>
  <c r="G57" i="131"/>
  <c r="J57" i="131"/>
  <c r="E69" i="131"/>
  <c r="E70" i="131"/>
  <c r="E71" i="131"/>
  <c r="E72" i="131"/>
  <c r="E73" i="131"/>
  <c r="E74" i="131"/>
  <c r="E75" i="131"/>
  <c r="G77" i="131"/>
  <c r="H71" i="131" s="1"/>
  <c r="J77" i="131"/>
  <c r="D79" i="131"/>
  <c r="G92" i="131"/>
  <c r="J92" i="131"/>
  <c r="Q9" i="217"/>
  <c r="Q10" i="217"/>
  <c r="Q11" i="217"/>
  <c r="Q12" i="217"/>
  <c r="B13" i="217"/>
  <c r="C13" i="217"/>
  <c r="D13" i="217"/>
  <c r="F13" i="217"/>
  <c r="Q13" i="217"/>
  <c r="M16" i="217"/>
  <c r="N16" i="217"/>
  <c r="O16" i="217"/>
  <c r="P16" i="217"/>
  <c r="T16" i="217"/>
  <c r="U16" i="217"/>
  <c r="V16" i="217"/>
  <c r="W16" i="217"/>
  <c r="AA16" i="217"/>
  <c r="AB16" i="217"/>
  <c r="AC16" i="217"/>
  <c r="AD16" i="217"/>
  <c r="AE16" i="217"/>
  <c r="B13" i="172"/>
  <c r="C13" i="172"/>
  <c r="D13" i="172"/>
  <c r="E13" i="172"/>
  <c r="F13" i="172"/>
  <c r="J28" i="172"/>
  <c r="K28" i="172"/>
  <c r="L28" i="172"/>
  <c r="M28" i="172"/>
  <c r="O28" i="172"/>
  <c r="P28" i="172"/>
  <c r="Q28" i="172"/>
  <c r="R28" i="172"/>
  <c r="T28" i="172"/>
  <c r="U28" i="172"/>
  <c r="V28" i="172"/>
  <c r="W28" i="172"/>
  <c r="B17" i="128"/>
  <c r="I13" i="128" s="1"/>
  <c r="C17" i="128"/>
  <c r="J14" i="128" s="1"/>
  <c r="D17" i="128"/>
  <c r="E17" i="128"/>
  <c r="F17" i="128"/>
  <c r="F28" i="128"/>
  <c r="F30" i="128" s="1"/>
  <c r="B30" i="128"/>
  <c r="C30" i="128"/>
  <c r="D30" i="128"/>
  <c r="K23" i="128" s="1"/>
  <c r="E30" i="128"/>
  <c r="L26" i="128" s="1"/>
  <c r="B40" i="128"/>
  <c r="C40" i="128"/>
  <c r="D40" i="128"/>
  <c r="E40" i="128"/>
  <c r="L36" i="128" s="1"/>
  <c r="F40" i="128"/>
  <c r="B50" i="128"/>
  <c r="C50" i="128"/>
  <c r="J45" i="128" s="1"/>
  <c r="D50" i="128"/>
  <c r="E50" i="128"/>
  <c r="F50" i="128"/>
  <c r="B84" i="128"/>
  <c r="C84" i="128"/>
  <c r="D84" i="128"/>
  <c r="E84" i="128"/>
  <c r="C99" i="128"/>
  <c r="D99" i="128"/>
  <c r="E99" i="128"/>
  <c r="H99" i="128"/>
  <c r="J99" i="128"/>
  <c r="K99" i="128"/>
  <c r="L99" i="128"/>
  <c r="L10" i="117"/>
  <c r="AH10" i="117" s="1"/>
  <c r="AD10" i="117"/>
  <c r="L11" i="117"/>
  <c r="AH11" i="117" s="1"/>
  <c r="AD11" i="117"/>
  <c r="L12" i="117"/>
  <c r="AH12" i="117" s="1"/>
  <c r="AD12" i="117"/>
  <c r="L13" i="117"/>
  <c r="AH13" i="117" s="1"/>
  <c r="AD13" i="117"/>
  <c r="L14" i="117"/>
  <c r="AH14" i="117" s="1"/>
  <c r="AD14" i="117"/>
  <c r="L15" i="117"/>
  <c r="AH15" i="117" s="1"/>
  <c r="AD15" i="117"/>
  <c r="L16" i="117"/>
  <c r="AH16" i="117" s="1"/>
  <c r="AD16" i="117"/>
  <c r="L17" i="117"/>
  <c r="AH17" i="117" s="1"/>
  <c r="AD17" i="117"/>
  <c r="L18" i="117"/>
  <c r="AH18" i="117" s="1"/>
  <c r="AD18" i="117"/>
  <c r="L19" i="117"/>
  <c r="AH19" i="117" s="1"/>
  <c r="AD19" i="117"/>
  <c r="L20" i="117"/>
  <c r="AH20" i="117" s="1"/>
  <c r="AD20" i="117"/>
  <c r="AD21" i="117"/>
  <c r="AH21" i="117"/>
  <c r="G6" i="216"/>
  <c r="H6" i="216"/>
  <c r="I6" i="216"/>
  <c r="J6" i="216"/>
  <c r="K6" i="216"/>
  <c r="G10" i="216"/>
  <c r="H10" i="216"/>
  <c r="I10" i="216"/>
  <c r="J10" i="216"/>
  <c r="K10" i="216"/>
  <c r="G15" i="216"/>
  <c r="H15" i="216"/>
  <c r="I15" i="216"/>
  <c r="J15" i="216"/>
  <c r="K15" i="216"/>
  <c r="G19" i="216"/>
  <c r="H19" i="216"/>
  <c r="I19" i="216"/>
  <c r="J19" i="216"/>
  <c r="K19" i="216"/>
  <c r="G24" i="216"/>
  <c r="H24" i="216"/>
  <c r="I24" i="216"/>
  <c r="J24" i="216"/>
  <c r="K24" i="216"/>
  <c r="G28" i="216"/>
  <c r="H28" i="216"/>
  <c r="I28" i="216"/>
  <c r="J28" i="216"/>
  <c r="K28" i="216"/>
  <c r="G33" i="216"/>
  <c r="H33" i="216"/>
  <c r="I33" i="216"/>
  <c r="J33" i="216"/>
  <c r="K33" i="216"/>
  <c r="G37" i="216"/>
  <c r="H37" i="216"/>
  <c r="I37" i="216"/>
  <c r="J37" i="216"/>
  <c r="K37" i="216"/>
  <c r="G42" i="216"/>
  <c r="H42" i="216"/>
  <c r="I42" i="216"/>
  <c r="J42" i="216"/>
  <c r="K42" i="216"/>
  <c r="G46" i="216"/>
  <c r="H46" i="216"/>
  <c r="I46" i="216"/>
  <c r="J46" i="216"/>
  <c r="K46" i="216"/>
  <c r="F7" i="215"/>
  <c r="F36" i="215"/>
  <c r="F42" i="215" s="1"/>
  <c r="Y7" i="215"/>
  <c r="F8" i="215"/>
  <c r="Y8" i="215"/>
  <c r="F9" i="215"/>
  <c r="L9" i="215" s="1"/>
  <c r="Y9" i="215"/>
  <c r="F10" i="215"/>
  <c r="Y10" i="215"/>
  <c r="F11" i="215"/>
  <c r="Y11" i="215"/>
  <c r="F13" i="215"/>
  <c r="Y13" i="215"/>
  <c r="F14" i="215"/>
  <c r="J14" i="215"/>
  <c r="K14" i="215"/>
  <c r="Y14" i="215"/>
  <c r="F15" i="215"/>
  <c r="L15" i="215" s="1"/>
  <c r="K15" i="215"/>
  <c r="Y15" i="215"/>
  <c r="F16" i="215"/>
  <c r="F20" i="215"/>
  <c r="F17" i="215"/>
  <c r="K16" i="215"/>
  <c r="Y16" i="215"/>
  <c r="B17" i="215"/>
  <c r="B18" i="215" s="1"/>
  <c r="H18" i="215" s="1"/>
  <c r="I17" i="215"/>
  <c r="J17" i="215"/>
  <c r="K17" i="215"/>
  <c r="Y17" i="215"/>
  <c r="C18" i="215"/>
  <c r="I18" i="215" s="1"/>
  <c r="D18" i="215"/>
  <c r="J18" i="215" s="1"/>
  <c r="E18" i="215"/>
  <c r="K18" i="215" s="1"/>
  <c r="Y18" i="215"/>
  <c r="M20" i="215"/>
  <c r="T18" i="215" s="1"/>
  <c r="N20" i="215"/>
  <c r="U8" i="215" s="1"/>
  <c r="O20" i="215"/>
  <c r="V18" i="215" s="1"/>
  <c r="P20" i="215"/>
  <c r="W14" i="215" s="1"/>
  <c r="Q20" i="215"/>
  <c r="X11" i="215" s="1"/>
  <c r="Y20" i="215"/>
  <c r="F23" i="215"/>
  <c r="Q23" i="215"/>
  <c r="Q36" i="215"/>
  <c r="X36" i="215" s="1"/>
  <c r="F24" i="215"/>
  <c r="Q24" i="215"/>
  <c r="F25" i="215"/>
  <c r="L25" i="215" s="1"/>
  <c r="Q25" i="215"/>
  <c r="Q26" i="215"/>
  <c r="Q27" i="215"/>
  <c r="Q30" i="215"/>
  <c r="Q31" i="215"/>
  <c r="Q33" i="215"/>
  <c r="F26" i="215"/>
  <c r="F27" i="215"/>
  <c r="L27" i="215" s="1"/>
  <c r="F29" i="215"/>
  <c r="F30" i="215"/>
  <c r="J30" i="215"/>
  <c r="K30" i="215"/>
  <c r="F31" i="215"/>
  <c r="K31" i="215"/>
  <c r="F32" i="215"/>
  <c r="K32" i="215"/>
  <c r="B33" i="215"/>
  <c r="B34" i="215" s="1"/>
  <c r="H34" i="215" s="1"/>
  <c r="F33" i="215"/>
  <c r="I33" i="215"/>
  <c r="J33" i="215"/>
  <c r="K33" i="215"/>
  <c r="C34" i="215"/>
  <c r="I34" i="215" s="1"/>
  <c r="D34" i="215"/>
  <c r="J34" i="215" s="1"/>
  <c r="E34" i="215"/>
  <c r="K34" i="215" s="1"/>
  <c r="M36" i="215"/>
  <c r="T26" i="215" s="1"/>
  <c r="N36" i="215"/>
  <c r="U23" i="215" s="1"/>
  <c r="O36" i="215"/>
  <c r="V24" i="215" s="1"/>
  <c r="P36" i="215"/>
  <c r="W31" i="215" s="1"/>
  <c r="R36" i="215"/>
  <c r="Y24" i="215" s="1"/>
  <c r="R40" i="215"/>
  <c r="H8" i="171"/>
  <c r="I8" i="171"/>
  <c r="J8" i="171"/>
  <c r="K8" i="171"/>
  <c r="H9" i="171"/>
  <c r="I9" i="171"/>
  <c r="J9" i="171"/>
  <c r="K9" i="171"/>
  <c r="H10" i="171"/>
  <c r="I10" i="171"/>
  <c r="J10" i="171"/>
  <c r="K10" i="171"/>
  <c r="H11" i="171"/>
  <c r="I11" i="171"/>
  <c r="J11" i="171"/>
  <c r="K11" i="171"/>
  <c r="H12" i="171"/>
  <c r="I12" i="171"/>
  <c r="J12" i="171"/>
  <c r="K12" i="171"/>
  <c r="H13" i="171"/>
  <c r="I13" i="171"/>
  <c r="J13" i="171"/>
  <c r="H14" i="171"/>
  <c r="I14" i="171"/>
  <c r="J14" i="171"/>
  <c r="K14" i="171"/>
  <c r="E15" i="171"/>
  <c r="H15" i="171"/>
  <c r="I15" i="171"/>
  <c r="K15" i="171"/>
  <c r="C17" i="171"/>
  <c r="H17" i="171" s="1"/>
  <c r="D17" i="171"/>
  <c r="I17" i="171" s="1"/>
  <c r="F17" i="171"/>
  <c r="K17" i="171" s="1"/>
  <c r="M17" i="171"/>
  <c r="N17" i="171"/>
  <c r="O17" i="171"/>
  <c r="P17" i="171"/>
  <c r="U17" i="171"/>
  <c r="V17" i="171"/>
  <c r="W17" i="171"/>
  <c r="X17" i="171"/>
  <c r="U40" i="171"/>
  <c r="D8" i="214"/>
  <c r="D12" i="214" s="1"/>
  <c r="E8" i="214"/>
  <c r="E12" i="214" s="1"/>
  <c r="F8" i="214"/>
  <c r="F12" i="214" s="1"/>
  <c r="G9" i="214"/>
  <c r="H9" i="214"/>
  <c r="G10" i="214"/>
  <c r="H10" i="214"/>
  <c r="D13" i="214"/>
  <c r="E13" i="214"/>
  <c r="F13" i="214"/>
  <c r="G13" i="214"/>
  <c r="H13" i="214"/>
  <c r="D14" i="214"/>
  <c r="G14" i="214"/>
  <c r="H14" i="214"/>
  <c r="D15" i="214"/>
  <c r="G15" i="214"/>
  <c r="H15" i="214"/>
  <c r="D19" i="214"/>
  <c r="D23" i="214" s="1"/>
  <c r="E19" i="214"/>
  <c r="E23" i="214" s="1"/>
  <c r="F19" i="214"/>
  <c r="F23" i="214" s="1"/>
  <c r="G19" i="214"/>
  <c r="G23" i="214" s="1"/>
  <c r="H19" i="214"/>
  <c r="H23" i="214" s="1"/>
  <c r="G20" i="214"/>
  <c r="H20" i="214"/>
  <c r="G21" i="214"/>
  <c r="H21" i="214"/>
  <c r="D24" i="214"/>
  <c r="E24" i="214"/>
  <c r="F24" i="214"/>
  <c r="G24" i="214"/>
  <c r="H24" i="214"/>
  <c r="D25" i="214"/>
  <c r="G25" i="214"/>
  <c r="H25" i="214"/>
  <c r="D26" i="214"/>
  <c r="G26" i="214"/>
  <c r="H26" i="214"/>
  <c r="D30" i="214"/>
  <c r="D34" i="214" s="1"/>
  <c r="E30" i="214"/>
  <c r="E34" i="214" s="1"/>
  <c r="F30" i="214"/>
  <c r="F34" i="214" s="1"/>
  <c r="G31" i="214"/>
  <c r="H31" i="214"/>
  <c r="G32" i="214"/>
  <c r="H32" i="214"/>
  <c r="D35" i="214"/>
  <c r="E35" i="214"/>
  <c r="F35" i="214"/>
  <c r="G35" i="214"/>
  <c r="H35" i="214"/>
  <c r="D36" i="214"/>
  <c r="E36" i="214"/>
  <c r="G36" i="214"/>
  <c r="H36" i="214"/>
  <c r="D37" i="214"/>
  <c r="E37" i="214"/>
  <c r="G37" i="214"/>
  <c r="H37" i="214"/>
  <c r="D41" i="214"/>
  <c r="D45" i="214" s="1"/>
  <c r="E41" i="214"/>
  <c r="E45" i="214" s="1"/>
  <c r="F41" i="214"/>
  <c r="F45" i="214" s="1"/>
  <c r="G42" i="214"/>
  <c r="H42" i="214"/>
  <c r="G43" i="214"/>
  <c r="H43" i="214"/>
  <c r="D46" i="214"/>
  <c r="E46" i="214"/>
  <c r="F46" i="214"/>
  <c r="G46" i="214"/>
  <c r="H46" i="214"/>
  <c r="D47" i="214"/>
  <c r="G47" i="214"/>
  <c r="H47" i="214"/>
  <c r="D48" i="214"/>
  <c r="G48" i="214"/>
  <c r="H48" i="214"/>
  <c r="D53" i="214"/>
  <c r="D57" i="214" s="1"/>
  <c r="E53" i="214"/>
  <c r="E57" i="214" s="1"/>
  <c r="F53" i="214"/>
  <c r="F57" i="214" s="1"/>
  <c r="G54" i="214"/>
  <c r="H54" i="214"/>
  <c r="G55" i="214"/>
  <c r="H55" i="214"/>
  <c r="D58" i="214"/>
  <c r="E58" i="214"/>
  <c r="F58" i="214"/>
  <c r="G58" i="214"/>
  <c r="H58" i="214"/>
  <c r="D59" i="214"/>
  <c r="E59" i="214"/>
  <c r="F59" i="214"/>
  <c r="G59" i="214"/>
  <c r="H59" i="214"/>
  <c r="D60" i="214"/>
  <c r="E60" i="214"/>
  <c r="F60" i="214"/>
  <c r="G60" i="214"/>
  <c r="H60" i="214"/>
  <c r="D64" i="214"/>
  <c r="D68" i="214" s="1"/>
  <c r="E64" i="214"/>
  <c r="E68" i="214" s="1"/>
  <c r="F64" i="214"/>
  <c r="F68" i="214" s="1"/>
  <c r="G65" i="214"/>
  <c r="H65" i="214"/>
  <c r="G66" i="214"/>
  <c r="H66" i="214"/>
  <c r="D69" i="214"/>
  <c r="E69" i="214"/>
  <c r="F69" i="214"/>
  <c r="G69" i="214"/>
  <c r="H69" i="214"/>
  <c r="D70" i="214"/>
  <c r="E70" i="214"/>
  <c r="F70" i="214"/>
  <c r="G70" i="214"/>
  <c r="H70" i="214"/>
  <c r="D71" i="214"/>
  <c r="E71" i="214"/>
  <c r="F71" i="214"/>
  <c r="G71" i="214"/>
  <c r="H71" i="214"/>
  <c r="G14" i="170"/>
  <c r="H14" i="170"/>
  <c r="I14" i="170"/>
  <c r="J14" i="170"/>
  <c r="G15" i="170"/>
  <c r="H15" i="170"/>
  <c r="I15" i="170"/>
  <c r="J15" i="170"/>
  <c r="G16" i="170"/>
  <c r="H16" i="170"/>
  <c r="I16" i="170"/>
  <c r="J16" i="170"/>
  <c r="G17" i="170"/>
  <c r="H17" i="170"/>
  <c r="I17" i="170"/>
  <c r="J17" i="170"/>
  <c r="G18" i="170"/>
  <c r="H18" i="170"/>
  <c r="I18" i="170"/>
  <c r="J18" i="170"/>
  <c r="C22" i="170"/>
  <c r="D22" i="170"/>
  <c r="E22" i="170"/>
  <c r="F22" i="170"/>
  <c r="G26" i="170"/>
  <c r="H26" i="170"/>
  <c r="I26" i="170"/>
  <c r="J26" i="170"/>
  <c r="G27" i="170"/>
  <c r="H27" i="170"/>
  <c r="I27" i="170"/>
  <c r="J27" i="170"/>
  <c r="G28" i="170"/>
  <c r="H28" i="170"/>
  <c r="I28" i="170"/>
  <c r="J28" i="170"/>
  <c r="G29" i="170"/>
  <c r="H29" i="170"/>
  <c r="I29" i="170"/>
  <c r="J29" i="170"/>
  <c r="G31" i="170"/>
  <c r="H31" i="170"/>
  <c r="I31" i="170"/>
  <c r="J31" i="170"/>
  <c r="G32" i="170"/>
  <c r="H32" i="170"/>
  <c r="I32" i="170"/>
  <c r="H33" i="170"/>
  <c r="I33" i="170"/>
  <c r="G34" i="170"/>
  <c r="H34" i="170"/>
  <c r="I34" i="170"/>
  <c r="H35" i="170"/>
  <c r="I35" i="170"/>
  <c r="G36" i="170"/>
  <c r="H36" i="170"/>
  <c r="I36" i="170"/>
  <c r="J36" i="170"/>
  <c r="G38" i="170"/>
  <c r="H38" i="170"/>
  <c r="I38" i="170"/>
  <c r="J38" i="170"/>
  <c r="L38" i="170"/>
  <c r="M38" i="170"/>
  <c r="N38" i="170"/>
  <c r="O38" i="170"/>
  <c r="C42" i="170"/>
  <c r="D42" i="170"/>
  <c r="E42" i="170"/>
  <c r="F42" i="170"/>
  <c r="C46" i="170"/>
  <c r="D46" i="170"/>
  <c r="E46" i="170"/>
  <c r="M46" i="170"/>
  <c r="N46" i="170"/>
  <c r="O46" i="170"/>
  <c r="C47" i="170"/>
  <c r="D47" i="170"/>
  <c r="E47" i="170"/>
  <c r="M47" i="170"/>
  <c r="N47" i="170"/>
  <c r="O47" i="170"/>
  <c r="C48" i="170"/>
  <c r="D48" i="170"/>
  <c r="E48" i="170"/>
  <c r="M48" i="170"/>
  <c r="N48" i="170"/>
  <c r="O48" i="170"/>
  <c r="C49" i="170"/>
  <c r="D49" i="170"/>
  <c r="E49" i="170"/>
  <c r="M49" i="170"/>
  <c r="N49" i="170"/>
  <c r="O49" i="170"/>
  <c r="C50" i="170"/>
  <c r="D50" i="170"/>
  <c r="O50" i="170"/>
  <c r="F52" i="170"/>
  <c r="G46" i="170" s="1"/>
  <c r="L52" i="170"/>
  <c r="C77" i="170"/>
  <c r="J14" i="127"/>
  <c r="K14" i="127"/>
  <c r="L14" i="127"/>
  <c r="J15" i="127"/>
  <c r="K15" i="127"/>
  <c r="L15" i="127"/>
  <c r="J16" i="127"/>
  <c r="K16" i="127"/>
  <c r="L16" i="127"/>
  <c r="J17" i="127"/>
  <c r="K17" i="127"/>
  <c r="L17" i="127"/>
  <c r="L18" i="127"/>
  <c r="F19" i="127"/>
  <c r="J19" i="127"/>
  <c r="K19" i="127"/>
  <c r="L19" i="127"/>
  <c r="G20" i="127"/>
  <c r="C29" i="127"/>
  <c r="D29" i="127"/>
  <c r="K25" i="127" s="1"/>
  <c r="E29" i="127"/>
  <c r="L25" i="127" s="1"/>
  <c r="F29" i="127"/>
  <c r="M28" i="127" s="1"/>
  <c r="G29" i="127"/>
  <c r="N23" i="127" s="1"/>
  <c r="G38" i="127"/>
  <c r="C39" i="127"/>
  <c r="D39" i="127"/>
  <c r="K36" i="127" s="1"/>
  <c r="E39" i="127"/>
  <c r="F39" i="127"/>
  <c r="M35" i="127" s="1"/>
  <c r="E40" i="127"/>
  <c r="C48" i="127"/>
  <c r="C57" i="127" s="1"/>
  <c r="D49" i="127"/>
  <c r="K46" i="127" s="1"/>
  <c r="E49" i="127"/>
  <c r="L44" i="127" s="1"/>
  <c r="F49" i="127"/>
  <c r="M48" i="127" s="1"/>
  <c r="G49" i="127"/>
  <c r="C52" i="127"/>
  <c r="D52" i="127"/>
  <c r="E52" i="127"/>
  <c r="F52" i="127"/>
  <c r="G52" i="127"/>
  <c r="C53" i="127"/>
  <c r="D53" i="127"/>
  <c r="E53" i="127"/>
  <c r="F53" i="127"/>
  <c r="G53" i="127"/>
  <c r="C54" i="127"/>
  <c r="D54" i="127"/>
  <c r="E54" i="127"/>
  <c r="F54" i="127"/>
  <c r="G54" i="127"/>
  <c r="C55" i="127"/>
  <c r="D55" i="127"/>
  <c r="E55" i="127"/>
  <c r="F55" i="127"/>
  <c r="G55" i="127"/>
  <c r="C56" i="127"/>
  <c r="D56" i="127"/>
  <c r="E56" i="127"/>
  <c r="F56" i="127"/>
  <c r="G56" i="127"/>
  <c r="D57" i="127"/>
  <c r="E57" i="127"/>
  <c r="F57" i="127"/>
  <c r="C62" i="127"/>
  <c r="D62" i="127"/>
  <c r="E62" i="127"/>
  <c r="C91" i="127"/>
  <c r="D91" i="127"/>
  <c r="E91" i="127"/>
  <c r="F91" i="127"/>
  <c r="B16" i="93"/>
  <c r="G10" i="93" s="1"/>
  <c r="C16" i="93"/>
  <c r="H10" i="93" s="1"/>
  <c r="D16" i="93"/>
  <c r="I12" i="93" s="1"/>
  <c r="E16" i="93"/>
  <c r="L16" i="93"/>
  <c r="M16" i="93"/>
  <c r="N16" i="93"/>
  <c r="B26" i="93"/>
  <c r="C26" i="93"/>
  <c r="D26" i="93"/>
  <c r="I24" i="93" s="1"/>
  <c r="E26" i="93"/>
  <c r="E36" i="93" s="1"/>
  <c r="L26" i="93"/>
  <c r="M26" i="93"/>
  <c r="N26" i="93"/>
  <c r="O26" i="93"/>
  <c r="C30" i="93"/>
  <c r="D30" i="93"/>
  <c r="E30" i="93"/>
  <c r="M30" i="93"/>
  <c r="O30" i="93"/>
  <c r="C31" i="93"/>
  <c r="D31" i="93"/>
  <c r="E31" i="93"/>
  <c r="M31" i="93"/>
  <c r="O31" i="93"/>
  <c r="C32" i="93"/>
  <c r="D32" i="93"/>
  <c r="E32" i="93"/>
  <c r="M32" i="93"/>
  <c r="O32" i="93"/>
  <c r="C33" i="93"/>
  <c r="D33" i="93"/>
  <c r="E33" i="93"/>
  <c r="M33" i="93"/>
  <c r="O33" i="93"/>
  <c r="C34" i="93"/>
  <c r="D34" i="93"/>
  <c r="E34" i="93"/>
  <c r="L36" i="93"/>
  <c r="N36" i="93"/>
  <c r="J11" i="169"/>
  <c r="K11" i="169"/>
  <c r="J12" i="169"/>
  <c r="K12" i="169"/>
  <c r="J13" i="169"/>
  <c r="K13" i="169"/>
  <c r="J15" i="169"/>
  <c r="K15" i="169"/>
  <c r="J16" i="169"/>
  <c r="K16" i="169"/>
  <c r="B15" i="126"/>
  <c r="B17" i="126" s="1"/>
  <c r="I12" i="126" s="1"/>
  <c r="C15" i="126"/>
  <c r="D15" i="126"/>
  <c r="E15" i="126"/>
  <c r="E17" i="126" s="1"/>
  <c r="L11" i="126" s="1"/>
  <c r="F15" i="126"/>
  <c r="F17" i="126" s="1"/>
  <c r="B27" i="126"/>
  <c r="C27" i="126"/>
  <c r="F27" i="126"/>
  <c r="C37" i="126"/>
  <c r="D37" i="126"/>
  <c r="E37" i="126"/>
  <c r="B39" i="126"/>
  <c r="I33" i="126" s="1"/>
  <c r="F39" i="126"/>
  <c r="B49" i="126"/>
  <c r="I45" i="126" s="1"/>
  <c r="C49" i="126"/>
  <c r="D49" i="126"/>
  <c r="E49" i="126"/>
  <c r="L44" i="126" s="1"/>
  <c r="F49" i="126"/>
  <c r="B52" i="126"/>
  <c r="C52" i="126"/>
  <c r="D52" i="126"/>
  <c r="E52" i="126"/>
  <c r="F52" i="126"/>
  <c r="B53" i="126"/>
  <c r="C53" i="126"/>
  <c r="D53" i="126"/>
  <c r="E53" i="126"/>
  <c r="F53" i="126"/>
  <c r="B54" i="126"/>
  <c r="C54" i="126"/>
  <c r="D54" i="126"/>
  <c r="E54" i="126"/>
  <c r="F54" i="126"/>
  <c r="B55" i="126"/>
  <c r="C55" i="126"/>
  <c r="D55" i="126"/>
  <c r="E55" i="126"/>
  <c r="F55" i="126"/>
  <c r="B56" i="126"/>
  <c r="C56" i="126"/>
  <c r="D56" i="126"/>
  <c r="E56" i="126"/>
  <c r="F56" i="126"/>
  <c r="B57" i="126"/>
  <c r="C57" i="126"/>
  <c r="D57" i="126"/>
  <c r="E57" i="126"/>
  <c r="F57" i="126"/>
  <c r="C69" i="126"/>
  <c r="D69" i="126"/>
  <c r="E69" i="126"/>
  <c r="Q69" i="126"/>
  <c r="S69" i="126"/>
  <c r="C70" i="126"/>
  <c r="D70" i="126"/>
  <c r="E70" i="126"/>
  <c r="Q70" i="126"/>
  <c r="S70" i="126"/>
  <c r="C71" i="126"/>
  <c r="D71" i="126"/>
  <c r="E71" i="126"/>
  <c r="Q71" i="126"/>
  <c r="S71" i="126"/>
  <c r="C72" i="126"/>
  <c r="D72" i="126"/>
  <c r="E72" i="126"/>
  <c r="Q72" i="126"/>
  <c r="S72" i="126"/>
  <c r="P75" i="126"/>
  <c r="R75" i="126"/>
  <c r="G122" i="126"/>
  <c r="G29" i="199"/>
  <c r="G30" i="199"/>
  <c r="D57" i="199"/>
  <c r="E57" i="199"/>
  <c r="F57" i="199"/>
  <c r="G57" i="199"/>
  <c r="H57" i="199"/>
  <c r="I57" i="199"/>
  <c r="J57" i="199"/>
  <c r="C58" i="199"/>
  <c r="D58" i="199"/>
  <c r="E58" i="199"/>
  <c r="F58" i="199"/>
  <c r="G58" i="199"/>
  <c r="H58" i="199"/>
  <c r="I58" i="199"/>
  <c r="J58" i="199"/>
  <c r="C59" i="199"/>
  <c r="D59" i="199"/>
  <c r="E59" i="199"/>
  <c r="F59" i="199"/>
  <c r="G59" i="199"/>
  <c r="H59" i="199"/>
  <c r="I59" i="199"/>
  <c r="J59" i="199"/>
  <c r="C60" i="199"/>
  <c r="D60" i="199"/>
  <c r="E60" i="199"/>
  <c r="F60" i="199"/>
  <c r="G60" i="199"/>
  <c r="H60" i="199"/>
  <c r="I60" i="199"/>
  <c r="J60" i="199"/>
  <c r="C61" i="199"/>
  <c r="D61" i="199"/>
  <c r="E61" i="199"/>
  <c r="F61" i="199"/>
  <c r="G61" i="199"/>
  <c r="H61" i="199"/>
  <c r="I61" i="199"/>
  <c r="J61" i="199"/>
  <c r="C62" i="199"/>
  <c r="D62" i="199"/>
  <c r="E62" i="199"/>
  <c r="F62" i="199"/>
  <c r="G62" i="199"/>
  <c r="H62" i="199"/>
  <c r="I62" i="199"/>
  <c r="J62" i="199"/>
  <c r="B24" i="168"/>
  <c r="C24" i="168"/>
  <c r="D24" i="168"/>
  <c r="E24" i="168"/>
  <c r="F24" i="168"/>
  <c r="G24" i="168"/>
  <c r="H24" i="168"/>
  <c r="I24" i="168"/>
  <c r="B25" i="168"/>
  <c r="C25" i="168"/>
  <c r="D25" i="168"/>
  <c r="E25" i="168"/>
  <c r="F25" i="168"/>
  <c r="G25" i="168"/>
  <c r="H25" i="168"/>
  <c r="I25" i="168"/>
  <c r="B26" i="168"/>
  <c r="C26" i="168"/>
  <c r="D26" i="168"/>
  <c r="E26" i="168"/>
  <c r="F26" i="168"/>
  <c r="G26" i="168"/>
  <c r="H26" i="168"/>
  <c r="I26" i="168"/>
  <c r="E27" i="168"/>
  <c r="F27" i="168"/>
  <c r="G27" i="168"/>
  <c r="H27" i="168"/>
  <c r="I27" i="168"/>
  <c r="B28" i="168"/>
  <c r="C28" i="168"/>
  <c r="D28" i="168"/>
  <c r="E28" i="168"/>
  <c r="F28" i="168"/>
  <c r="G28" i="168"/>
  <c r="H28" i="168"/>
  <c r="I28" i="168"/>
  <c r="B29" i="168"/>
  <c r="C29" i="168"/>
  <c r="D29" i="168"/>
  <c r="E29" i="168"/>
  <c r="F29" i="168"/>
  <c r="G29" i="168"/>
  <c r="H29" i="168"/>
  <c r="I29" i="168"/>
  <c r="B30" i="168"/>
  <c r="C30" i="168"/>
  <c r="D30" i="168"/>
  <c r="E30" i="168"/>
  <c r="F30" i="168"/>
  <c r="G30" i="168"/>
  <c r="H30" i="168"/>
  <c r="I30" i="168"/>
  <c r="F31" i="168"/>
  <c r="G31" i="168"/>
  <c r="H31" i="168"/>
  <c r="I31" i="168"/>
  <c r="B33" i="168"/>
  <c r="C33" i="168"/>
  <c r="D33" i="168"/>
  <c r="E33" i="168"/>
  <c r="F33" i="168"/>
  <c r="G33" i="168"/>
  <c r="H33" i="168"/>
  <c r="I33" i="168"/>
  <c r="B35" i="168"/>
  <c r="C35" i="168"/>
  <c r="D35" i="168"/>
  <c r="E35" i="168"/>
  <c r="F35" i="168"/>
  <c r="G35" i="168"/>
  <c r="H35" i="168"/>
  <c r="I35" i="168"/>
  <c r="B52" i="168"/>
  <c r="C52" i="168"/>
  <c r="D52" i="168"/>
  <c r="E52" i="168"/>
  <c r="F52" i="168"/>
  <c r="G52" i="168"/>
  <c r="H52" i="168"/>
  <c r="I52" i="168"/>
  <c r="B53" i="168"/>
  <c r="C53" i="168"/>
  <c r="D53" i="168"/>
  <c r="E53" i="168"/>
  <c r="F53" i="168"/>
  <c r="G53" i="168"/>
  <c r="H53" i="168"/>
  <c r="I53" i="168"/>
  <c r="B54" i="168"/>
  <c r="C54" i="168"/>
  <c r="D54" i="168"/>
  <c r="E54" i="168"/>
  <c r="F54" i="168"/>
  <c r="G54" i="168"/>
  <c r="H54" i="168"/>
  <c r="I54" i="168"/>
  <c r="B55" i="168"/>
  <c r="C55" i="168"/>
  <c r="D55" i="168"/>
  <c r="E55" i="168"/>
  <c r="F55" i="168"/>
  <c r="G55" i="168"/>
  <c r="H55" i="168"/>
  <c r="I55" i="168"/>
  <c r="B56" i="168"/>
  <c r="C56" i="168"/>
  <c r="D56" i="168"/>
  <c r="E56" i="168"/>
  <c r="F56" i="168"/>
  <c r="G56" i="168"/>
  <c r="H56" i="168"/>
  <c r="I56" i="168"/>
  <c r="B57" i="168"/>
  <c r="C57" i="168"/>
  <c r="D57" i="168"/>
  <c r="E57" i="168"/>
  <c r="F57" i="168"/>
  <c r="G57" i="168"/>
  <c r="H57" i="168"/>
  <c r="I57" i="168"/>
  <c r="B59" i="168"/>
  <c r="C59" i="168"/>
  <c r="D59" i="168"/>
  <c r="E59" i="168"/>
  <c r="F59" i="168"/>
  <c r="G59" i="168"/>
  <c r="H59" i="168"/>
  <c r="I59" i="168"/>
  <c r="B61" i="168"/>
  <c r="C61" i="168"/>
  <c r="D61" i="168"/>
  <c r="E61" i="168"/>
  <c r="F61" i="168"/>
  <c r="G61" i="168"/>
  <c r="H61" i="168"/>
  <c r="I61" i="168"/>
  <c r="I46" i="165"/>
  <c r="I331" i="165"/>
  <c r="R592" i="165"/>
  <c r="S592" i="165"/>
  <c r="T592" i="165"/>
  <c r="U592" i="165"/>
  <c r="V592" i="165"/>
  <c r="W592" i="165"/>
  <c r="W594" i="165"/>
  <c r="X594" i="165" s="1"/>
  <c r="I44" i="124"/>
  <c r="O8" i="78" s="1"/>
  <c r="I311" i="124"/>
  <c r="E524" i="124"/>
  <c r="J72" i="198" s="1"/>
  <c r="F524" i="124"/>
  <c r="K72" i="198" s="1"/>
  <c r="G524" i="124"/>
  <c r="L72" i="198" s="1"/>
  <c r="H524" i="124"/>
  <c r="M72" i="198" s="1"/>
  <c r="I524" i="124"/>
  <c r="N72" i="198" s="1"/>
  <c r="J524" i="124"/>
  <c r="K524" i="124"/>
  <c r="P72" i="198" s="1"/>
  <c r="C7" i="198"/>
  <c r="D7" i="198"/>
  <c r="E7" i="198"/>
  <c r="F7" i="198"/>
  <c r="I7" i="198"/>
  <c r="C8" i="198"/>
  <c r="D8" i="198"/>
  <c r="E8" i="198"/>
  <c r="F8" i="198"/>
  <c r="G8" i="198"/>
  <c r="I8" i="198"/>
  <c r="C9" i="198"/>
  <c r="D9" i="198"/>
  <c r="E9" i="198"/>
  <c r="F9" i="198"/>
  <c r="G9" i="198"/>
  <c r="I9" i="198"/>
  <c r="C10" i="198"/>
  <c r="D10" i="198"/>
  <c r="E10" i="198"/>
  <c r="F10" i="198"/>
  <c r="G10" i="198"/>
  <c r="I10" i="198"/>
  <c r="C11" i="198"/>
  <c r="D11" i="198"/>
  <c r="E11" i="198"/>
  <c r="F11" i="198"/>
  <c r="G11" i="198"/>
  <c r="I11" i="198"/>
  <c r="C12" i="198"/>
  <c r="D12" i="198"/>
  <c r="E12" i="198"/>
  <c r="F12" i="198"/>
  <c r="G12" i="198"/>
  <c r="I12" i="198"/>
  <c r="C13" i="198"/>
  <c r="D13" i="198"/>
  <c r="E13" i="198"/>
  <c r="F13" i="198"/>
  <c r="G13" i="198"/>
  <c r="I13" i="198"/>
  <c r="C14" i="198"/>
  <c r="D14" i="198"/>
  <c r="E14" i="198"/>
  <c r="F14" i="198"/>
  <c r="I14" i="198"/>
  <c r="C15" i="198"/>
  <c r="D15" i="198"/>
  <c r="E15" i="198"/>
  <c r="G15" i="198"/>
  <c r="I15" i="198"/>
  <c r="C16" i="198"/>
  <c r="D16" i="198"/>
  <c r="E16" i="198"/>
  <c r="F16" i="198"/>
  <c r="G16" i="198"/>
  <c r="I16" i="198"/>
  <c r="C17" i="198"/>
  <c r="D17" i="198"/>
  <c r="E17" i="198"/>
  <c r="F17" i="198"/>
  <c r="G17" i="198"/>
  <c r="I17" i="198"/>
  <c r="C18" i="198"/>
  <c r="D18" i="198"/>
  <c r="E18" i="198"/>
  <c r="F18" i="198"/>
  <c r="G18" i="198"/>
  <c r="I18" i="198"/>
  <c r="C19" i="198"/>
  <c r="D19" i="198"/>
  <c r="E19" i="198"/>
  <c r="F19" i="198"/>
  <c r="G19" i="198"/>
  <c r="I19" i="198"/>
  <c r="C20" i="198"/>
  <c r="D20" i="198"/>
  <c r="E20" i="198"/>
  <c r="F20" i="198"/>
  <c r="G20" i="198"/>
  <c r="I20" i="198"/>
  <c r="C21" i="198"/>
  <c r="D21" i="198"/>
  <c r="E21" i="198"/>
  <c r="F21" i="198"/>
  <c r="G21" i="198"/>
  <c r="I21" i="198"/>
  <c r="C22" i="198"/>
  <c r="D22" i="198"/>
  <c r="E22" i="198"/>
  <c r="F22" i="198"/>
  <c r="G22" i="198"/>
  <c r="I22" i="198"/>
  <c r="F25" i="198"/>
  <c r="D68" i="198"/>
  <c r="M68" i="198"/>
  <c r="J73" i="198"/>
  <c r="K73" i="198"/>
  <c r="L73" i="198"/>
  <c r="M73" i="198"/>
  <c r="N73" i="198"/>
  <c r="P73" i="198"/>
  <c r="J74" i="198"/>
  <c r="K74" i="198"/>
  <c r="L74" i="198"/>
  <c r="M74" i="198"/>
  <c r="N74" i="198"/>
  <c r="P74" i="198"/>
  <c r="J75" i="198"/>
  <c r="K75" i="198"/>
  <c r="L75" i="198"/>
  <c r="M75" i="198"/>
  <c r="N75" i="198"/>
  <c r="P75" i="198"/>
  <c r="J76" i="198"/>
  <c r="K76" i="198"/>
  <c r="L76" i="198"/>
  <c r="M76" i="198"/>
  <c r="N76" i="198"/>
  <c r="P76" i="198"/>
  <c r="J77" i="198"/>
  <c r="K77" i="198"/>
  <c r="L77" i="198"/>
  <c r="M77" i="198"/>
  <c r="N77" i="198"/>
  <c r="P77" i="198"/>
  <c r="J78" i="198"/>
  <c r="K78" i="198"/>
  <c r="L78" i="198"/>
  <c r="N78" i="198"/>
  <c r="P78" i="198"/>
  <c r="J79" i="198"/>
  <c r="K79" i="198"/>
  <c r="L79" i="198"/>
  <c r="M79" i="198"/>
  <c r="N79" i="198"/>
  <c r="P79" i="198"/>
  <c r="J80" i="198"/>
  <c r="K80" i="198"/>
  <c r="L80" i="198"/>
  <c r="M80" i="198"/>
  <c r="N80" i="198"/>
  <c r="P80" i="198"/>
  <c r="J81" i="198"/>
  <c r="K81" i="198"/>
  <c r="L81" i="198"/>
  <c r="M81" i="198"/>
  <c r="P81" i="198"/>
  <c r="J82" i="198"/>
  <c r="K82" i="198"/>
  <c r="L82" i="198"/>
  <c r="M82" i="198"/>
  <c r="N82" i="198"/>
  <c r="P82" i="198"/>
  <c r="J83" i="198"/>
  <c r="K83" i="198"/>
  <c r="L83" i="198"/>
  <c r="M83" i="198"/>
  <c r="N83" i="198"/>
  <c r="P83" i="198"/>
  <c r="J84" i="198"/>
  <c r="K84" i="198"/>
  <c r="L84" i="198"/>
  <c r="M84" i="198"/>
  <c r="N84" i="198"/>
  <c r="P84" i="198"/>
  <c r="J85" i="198"/>
  <c r="K85" i="198"/>
  <c r="L85" i="198"/>
  <c r="M85" i="198"/>
  <c r="N85" i="198"/>
  <c r="P85" i="198"/>
  <c r="J86" i="198"/>
  <c r="K86" i="198"/>
  <c r="L86" i="198"/>
  <c r="M86" i="198"/>
  <c r="N86" i="198"/>
  <c r="P86" i="198"/>
  <c r="C138" i="198"/>
  <c r="E138" i="198"/>
  <c r="E68" i="198" s="1"/>
  <c r="F138" i="198"/>
  <c r="F68" i="198" s="1"/>
  <c r="G138" i="198"/>
  <c r="G68" i="198" s="1"/>
  <c r="H138" i="198"/>
  <c r="K8" i="78"/>
  <c r="L8" i="78"/>
  <c r="M8" i="78"/>
  <c r="N8" i="78"/>
  <c r="Q8" i="78"/>
  <c r="K9" i="78"/>
  <c r="L9" i="78"/>
  <c r="M9" i="78"/>
  <c r="N9" i="78"/>
  <c r="O9" i="78"/>
  <c r="Q9" i="78"/>
  <c r="K10" i="78"/>
  <c r="L10" i="78"/>
  <c r="M10" i="78"/>
  <c r="N10" i="78"/>
  <c r="O10" i="78"/>
  <c r="Q10" i="78"/>
  <c r="K11" i="78"/>
  <c r="L11" i="78"/>
  <c r="M11" i="78"/>
  <c r="N11" i="78"/>
  <c r="O11" i="78"/>
  <c r="Q11" i="78"/>
  <c r="K12" i="78"/>
  <c r="L12" i="78"/>
  <c r="M12" i="78"/>
  <c r="N12" i="78"/>
  <c r="O12" i="78"/>
  <c r="Q12" i="78"/>
  <c r="K13" i="78"/>
  <c r="L13" i="78"/>
  <c r="M13" i="78"/>
  <c r="N13" i="78"/>
  <c r="O13" i="78"/>
  <c r="Q13" i="78"/>
  <c r="K14" i="78"/>
  <c r="L14" i="78"/>
  <c r="M14" i="78"/>
  <c r="N14" i="78"/>
  <c r="O14" i="78"/>
  <c r="Q14" i="78"/>
  <c r="K15" i="78"/>
  <c r="L15" i="78"/>
  <c r="M15" i="78"/>
  <c r="N15" i="78"/>
  <c r="Q15" i="78"/>
  <c r="K16" i="78"/>
  <c r="L16" i="78"/>
  <c r="M16" i="78"/>
  <c r="O16" i="78"/>
  <c r="Q16" i="78"/>
  <c r="K17" i="78"/>
  <c r="L17" i="78"/>
  <c r="M17" i="78"/>
  <c r="N17" i="78"/>
  <c r="O17" i="78"/>
  <c r="Q17" i="78"/>
  <c r="K18" i="78"/>
  <c r="L18" i="78"/>
  <c r="M18" i="78"/>
  <c r="N18" i="78"/>
  <c r="O18" i="78"/>
  <c r="Q18" i="78"/>
  <c r="K19" i="78"/>
  <c r="L19" i="78"/>
  <c r="M19" i="78"/>
  <c r="N19" i="78"/>
  <c r="O19" i="78"/>
  <c r="Q19" i="78"/>
  <c r="K20" i="78"/>
  <c r="L20" i="78"/>
  <c r="M20" i="78"/>
  <c r="N20" i="78"/>
  <c r="O20" i="78"/>
  <c r="Q20" i="78"/>
  <c r="K21" i="78"/>
  <c r="L21" i="78"/>
  <c r="M21" i="78"/>
  <c r="N21" i="78"/>
  <c r="O21" i="78"/>
  <c r="Q21" i="78"/>
  <c r="K22" i="78"/>
  <c r="L22" i="78"/>
  <c r="M22" i="78"/>
  <c r="N22" i="78"/>
  <c r="O22" i="78"/>
  <c r="Q22" i="78"/>
  <c r="K23" i="78"/>
  <c r="L23" i="78"/>
  <c r="M23" i="78"/>
  <c r="N23" i="78"/>
  <c r="O23" i="78"/>
  <c r="Q23" i="78"/>
  <c r="K26" i="78"/>
  <c r="C25" i="198" s="1"/>
  <c r="L26" i="78"/>
  <c r="D25" i="198" s="1"/>
  <c r="M26" i="78"/>
  <c r="E25" i="198" s="1"/>
  <c r="O26" i="78"/>
  <c r="P26" i="78"/>
  <c r="Q26" i="78"/>
  <c r="P68" i="198" s="1"/>
  <c r="I25" i="198" s="1"/>
  <c r="Y3" i="204"/>
  <c r="Z3" i="204" s="1"/>
  <c r="B9" i="204"/>
  <c r="AR9" i="203"/>
  <c r="AS9" i="203"/>
  <c r="AT9" i="203"/>
  <c r="AU9" i="203"/>
  <c r="AR10" i="203"/>
  <c r="AS10" i="203"/>
  <c r="AT10" i="203"/>
  <c r="AU10" i="203"/>
  <c r="AR11" i="203"/>
  <c r="AS11" i="203"/>
  <c r="AT11" i="203"/>
  <c r="AU11" i="203"/>
  <c r="AJ12" i="203"/>
  <c r="AS12" i="203"/>
  <c r="AT12" i="203"/>
  <c r="AU12" i="203"/>
  <c r="AR13" i="203"/>
  <c r="AS13" i="203"/>
  <c r="AT13" i="203"/>
  <c r="AU13" i="203"/>
  <c r="W14" i="203"/>
  <c r="X14" i="203"/>
  <c r="Y14" i="203"/>
  <c r="Z14" i="203"/>
  <c r="AA14" i="203"/>
  <c r="AB14" i="203"/>
  <c r="AB27" i="203" s="1"/>
  <c r="AC14" i="203"/>
  <c r="AC27" i="203" s="1"/>
  <c r="I26" i="203" s="1"/>
  <c r="AD14" i="203"/>
  <c r="AD27" i="203" s="1"/>
  <c r="AE14" i="203"/>
  <c r="AE27" i="203" s="1"/>
  <c r="AF14" i="203"/>
  <c r="AF27" i="203" s="1"/>
  <c r="AG14" i="203"/>
  <c r="AH14" i="203"/>
  <c r="AI14" i="203"/>
  <c r="AI27" i="203" s="1"/>
  <c r="O20" i="203" s="1"/>
  <c r="AM14" i="203"/>
  <c r="AS14" i="203"/>
  <c r="AT14" i="203"/>
  <c r="AG16" i="203"/>
  <c r="AG119" i="203" s="1"/>
  <c r="AR16" i="203"/>
  <c r="AS16" i="203"/>
  <c r="AT16" i="203"/>
  <c r="AU16" i="203"/>
  <c r="AM17" i="203"/>
  <c r="AR17" i="203"/>
  <c r="AS17" i="203"/>
  <c r="AT17" i="203"/>
  <c r="AR19" i="203"/>
  <c r="AS19" i="203"/>
  <c r="AT19" i="203"/>
  <c r="AU19" i="203"/>
  <c r="AR20" i="203"/>
  <c r="AS20" i="203"/>
  <c r="AT20" i="203"/>
  <c r="AU20" i="203"/>
  <c r="AR21" i="203"/>
  <c r="AS21" i="203"/>
  <c r="AT21" i="203"/>
  <c r="AU21" i="203"/>
  <c r="AR23" i="203"/>
  <c r="AS23" i="203"/>
  <c r="AR24" i="203"/>
  <c r="AS24" i="203"/>
  <c r="AT24" i="203"/>
  <c r="AU24" i="203"/>
  <c r="AR25" i="203"/>
  <c r="AS25" i="203"/>
  <c r="AT25" i="203"/>
  <c r="AU25" i="203"/>
  <c r="AR26" i="203"/>
  <c r="AS26" i="203"/>
  <c r="AT26" i="203"/>
  <c r="AK27" i="203"/>
  <c r="Q24" i="203" s="1"/>
  <c r="AL27" i="203"/>
  <c r="AG38" i="203"/>
  <c r="AG115" i="203" s="1"/>
  <c r="AH38" i="203"/>
  <c r="AI38" i="203"/>
  <c r="AI115" i="203" s="1"/>
  <c r="AJ38" i="203"/>
  <c r="W40" i="203"/>
  <c r="W53" i="203" s="1"/>
  <c r="C50" i="203" s="1"/>
  <c r="X40" i="203"/>
  <c r="X53" i="203" s="1"/>
  <c r="D39" i="203" s="1"/>
  <c r="Y40" i="203"/>
  <c r="Y53" i="203" s="1"/>
  <c r="Z40" i="203"/>
  <c r="Z53" i="203" s="1"/>
  <c r="F47" i="203" s="1"/>
  <c r="AA40" i="203"/>
  <c r="AB40" i="203"/>
  <c r="AC40" i="203"/>
  <c r="AD40" i="203"/>
  <c r="AD53" i="203" s="1"/>
  <c r="J42" i="203" s="1"/>
  <c r="AE40" i="203"/>
  <c r="AF40" i="203"/>
  <c r="AM40" i="203"/>
  <c r="AM43" i="203"/>
  <c r="AK53" i="203"/>
  <c r="AL53" i="203"/>
  <c r="R37" i="203" s="1"/>
  <c r="AF66" i="203"/>
  <c r="AF79" i="203" s="1"/>
  <c r="AG66" i="203"/>
  <c r="AG79" i="203" s="1"/>
  <c r="M66" i="203" s="1"/>
  <c r="AH66" i="203"/>
  <c r="AI66" i="203"/>
  <c r="AI79" i="203" s="1"/>
  <c r="O65" i="203" s="1"/>
  <c r="AJ66" i="203"/>
  <c r="W79" i="203"/>
  <c r="X79" i="203"/>
  <c r="Y79" i="203"/>
  <c r="E62" i="203" s="1"/>
  <c r="Z79" i="203"/>
  <c r="F64" i="203" s="1"/>
  <c r="AA79" i="203"/>
  <c r="G65" i="203" s="1"/>
  <c r="AB79" i="203"/>
  <c r="H75" i="203" s="1"/>
  <c r="AC79" i="203"/>
  <c r="I75" i="203" s="1"/>
  <c r="AD79" i="203"/>
  <c r="J62" i="203" s="1"/>
  <c r="AE79" i="203"/>
  <c r="K66" i="203" s="1"/>
  <c r="AK79" i="203"/>
  <c r="Q72" i="203" s="1"/>
  <c r="AL79" i="203"/>
  <c r="R71" i="203" s="1"/>
  <c r="AM79" i="203"/>
  <c r="S73" i="203" s="1"/>
  <c r="W92" i="203"/>
  <c r="W104" i="203"/>
  <c r="W112" i="203"/>
  <c r="X112" i="203"/>
  <c r="Y112" i="203"/>
  <c r="Z112" i="203"/>
  <c r="AA112" i="203"/>
  <c r="AB112" i="203"/>
  <c r="AC112" i="203"/>
  <c r="AD112" i="203"/>
  <c r="AE112" i="203"/>
  <c r="AF112" i="203"/>
  <c r="AG112" i="203"/>
  <c r="AH112" i="203"/>
  <c r="AI112" i="203"/>
  <c r="AJ112" i="203"/>
  <c r="AK112" i="203"/>
  <c r="AL112" i="203"/>
  <c r="AM112" i="203"/>
  <c r="W113" i="203"/>
  <c r="X113" i="203"/>
  <c r="Y113" i="203"/>
  <c r="Z113" i="203"/>
  <c r="AA113" i="203"/>
  <c r="AB113" i="203"/>
  <c r="AC113" i="203"/>
  <c r="AD113" i="203"/>
  <c r="AE113" i="203"/>
  <c r="AF113" i="203"/>
  <c r="AG113" i="203"/>
  <c r="AH113" i="203"/>
  <c r="AI113" i="203"/>
  <c r="AJ113" i="203"/>
  <c r="AK113" i="203"/>
  <c r="AL113" i="203"/>
  <c r="AM113" i="203"/>
  <c r="W114" i="203"/>
  <c r="X114" i="203"/>
  <c r="Y114" i="203"/>
  <c r="Z114" i="203"/>
  <c r="AA114" i="203"/>
  <c r="AB114" i="203"/>
  <c r="AC114" i="203"/>
  <c r="AD114" i="203"/>
  <c r="AE114" i="203"/>
  <c r="AF114" i="203"/>
  <c r="AG114" i="203"/>
  <c r="AH114" i="203"/>
  <c r="AI114" i="203"/>
  <c r="AJ114" i="203"/>
  <c r="AK114" i="203"/>
  <c r="AL114" i="203"/>
  <c r="AM114" i="203"/>
  <c r="W115" i="203"/>
  <c r="X115" i="203"/>
  <c r="Y115" i="203"/>
  <c r="Z115" i="203"/>
  <c r="AA115" i="203"/>
  <c r="AB115" i="203"/>
  <c r="AC115" i="203"/>
  <c r="AD115" i="203"/>
  <c r="AE115" i="203"/>
  <c r="AF115" i="203"/>
  <c r="AK115" i="203"/>
  <c r="AL115" i="203"/>
  <c r="AM115" i="203"/>
  <c r="W116" i="203"/>
  <c r="X116" i="203"/>
  <c r="Y116" i="203"/>
  <c r="Z116" i="203"/>
  <c r="AA116" i="203"/>
  <c r="AB116" i="203"/>
  <c r="AC116" i="203"/>
  <c r="AD116" i="203"/>
  <c r="AE116" i="203"/>
  <c r="AF116" i="203"/>
  <c r="AG116" i="203"/>
  <c r="AH116" i="203"/>
  <c r="AI116" i="203"/>
  <c r="AJ116" i="203"/>
  <c r="AK116" i="203"/>
  <c r="AL116" i="203"/>
  <c r="AM116" i="203"/>
  <c r="AK117" i="203"/>
  <c r="AL117" i="203"/>
  <c r="W119" i="203"/>
  <c r="X119" i="203"/>
  <c r="Y119" i="203"/>
  <c r="Z119" i="203"/>
  <c r="AA119" i="203"/>
  <c r="AB119" i="203"/>
  <c r="AC119" i="203"/>
  <c r="AD119" i="203"/>
  <c r="AE119" i="203"/>
  <c r="AF119" i="203"/>
  <c r="AH119" i="203"/>
  <c r="AI119" i="203"/>
  <c r="AJ119" i="203"/>
  <c r="AK119" i="203"/>
  <c r="AL119" i="203"/>
  <c r="AM119" i="203"/>
  <c r="W120" i="203"/>
  <c r="X120" i="203"/>
  <c r="Y120" i="203"/>
  <c r="Z120" i="203"/>
  <c r="AA120" i="203"/>
  <c r="AB120" i="203"/>
  <c r="AC120" i="203"/>
  <c r="AD120" i="203"/>
  <c r="AE120" i="203"/>
  <c r="AF120" i="203"/>
  <c r="AG120" i="203"/>
  <c r="AH120" i="203"/>
  <c r="AI120" i="203"/>
  <c r="AJ120" i="203"/>
  <c r="AK120" i="203"/>
  <c r="AL120" i="203"/>
  <c r="W122" i="203"/>
  <c r="X122" i="203"/>
  <c r="Y122" i="203"/>
  <c r="Z122" i="203"/>
  <c r="AA122" i="203"/>
  <c r="AB122" i="203"/>
  <c r="AC122" i="203"/>
  <c r="AD122" i="203"/>
  <c r="AE122" i="203"/>
  <c r="AF122" i="203"/>
  <c r="AG122" i="203"/>
  <c r="AH122" i="203"/>
  <c r="AI122" i="203"/>
  <c r="AJ122" i="203"/>
  <c r="AK122" i="203"/>
  <c r="AL122" i="203"/>
  <c r="AM122" i="203"/>
  <c r="W123" i="203"/>
  <c r="X123" i="203"/>
  <c r="Y123" i="203"/>
  <c r="Z123" i="203"/>
  <c r="AA123" i="203"/>
  <c r="AB123" i="203"/>
  <c r="AC123" i="203"/>
  <c r="AD123" i="203"/>
  <c r="AE123" i="203"/>
  <c r="AF123" i="203"/>
  <c r="AG123" i="203"/>
  <c r="AH123" i="203"/>
  <c r="AI123" i="203"/>
  <c r="AJ123" i="203"/>
  <c r="AK123" i="203"/>
  <c r="AL123" i="203"/>
  <c r="AM123" i="203"/>
  <c r="W124" i="203"/>
  <c r="X124" i="203"/>
  <c r="Y124" i="203"/>
  <c r="Z124" i="203"/>
  <c r="AA124" i="203"/>
  <c r="AB124" i="203"/>
  <c r="AC124" i="203"/>
  <c r="AD124" i="203"/>
  <c r="AE124" i="203"/>
  <c r="AF124" i="203"/>
  <c r="AG124" i="203"/>
  <c r="AH124" i="203"/>
  <c r="AI124" i="203"/>
  <c r="AJ124" i="203"/>
  <c r="AK124" i="203"/>
  <c r="AL124" i="203"/>
  <c r="AM124" i="203"/>
  <c r="W126" i="203"/>
  <c r="X126" i="203"/>
  <c r="Y126" i="203"/>
  <c r="Z126" i="203"/>
  <c r="AA126" i="203"/>
  <c r="AB126" i="203"/>
  <c r="AC126" i="203"/>
  <c r="AD126" i="203"/>
  <c r="AE126" i="203"/>
  <c r="AF126" i="203"/>
  <c r="AG126" i="203"/>
  <c r="AH126" i="203"/>
  <c r="AI126" i="203"/>
  <c r="AJ126" i="203"/>
  <c r="AK126" i="203"/>
  <c r="W127" i="203"/>
  <c r="X127" i="203"/>
  <c r="Y127" i="203"/>
  <c r="Z127" i="203"/>
  <c r="AA127" i="203"/>
  <c r="AB127" i="203"/>
  <c r="AC127" i="203"/>
  <c r="AD127" i="203"/>
  <c r="AE127" i="203"/>
  <c r="AF127" i="203"/>
  <c r="AG127" i="203"/>
  <c r="AH127" i="203"/>
  <c r="AI127" i="203"/>
  <c r="AJ127" i="203"/>
  <c r="AK127" i="203"/>
  <c r="AL127" i="203"/>
  <c r="AM127" i="203"/>
  <c r="W129" i="203"/>
  <c r="X129" i="203"/>
  <c r="Y129" i="203"/>
  <c r="Z129" i="203"/>
  <c r="AA129" i="203"/>
  <c r="AB129" i="203"/>
  <c r="AC129" i="203"/>
  <c r="AD129" i="203"/>
  <c r="AE129" i="203"/>
  <c r="AF129" i="203"/>
  <c r="AG129" i="203"/>
  <c r="AH129" i="203"/>
  <c r="AI129" i="203"/>
  <c r="AJ129" i="203"/>
  <c r="AK129" i="203"/>
  <c r="AL129" i="203"/>
  <c r="AJ139" i="203"/>
  <c r="AG140" i="203"/>
  <c r="AH140" i="203"/>
  <c r="AI140" i="203"/>
  <c r="AJ140" i="203"/>
  <c r="W151" i="203"/>
  <c r="X151" i="203"/>
  <c r="Y151" i="203"/>
  <c r="Z151" i="203"/>
  <c r="AA151" i="203"/>
  <c r="AB151" i="203"/>
  <c r="AC151" i="203"/>
  <c r="AD151" i="203"/>
  <c r="AE151" i="203"/>
  <c r="AF151" i="203"/>
  <c r="AG151" i="203"/>
  <c r="AH151" i="203"/>
  <c r="AI151" i="203"/>
  <c r="AJ151" i="203"/>
  <c r="W152" i="203"/>
  <c r="X152" i="203"/>
  <c r="Y152" i="203"/>
  <c r="Z152" i="203"/>
  <c r="AA152" i="203"/>
  <c r="AB152" i="203"/>
  <c r="AC152" i="203"/>
  <c r="AD152" i="203"/>
  <c r="AE152" i="203"/>
  <c r="AF152" i="203"/>
  <c r="AG152" i="203"/>
  <c r="AH152" i="203"/>
  <c r="AI152" i="203"/>
  <c r="AJ152" i="203"/>
  <c r="W153" i="203"/>
  <c r="X153" i="203"/>
  <c r="Y153" i="203"/>
  <c r="Z153" i="203"/>
  <c r="AA153" i="203"/>
  <c r="AC153" i="203"/>
  <c r="AD153" i="203"/>
  <c r="AF153" i="203"/>
  <c r="AG153" i="203"/>
  <c r="AH153" i="203"/>
  <c r="AI153" i="203"/>
  <c r="AJ153" i="203"/>
  <c r="W155" i="203"/>
  <c r="X155" i="203"/>
  <c r="Y155" i="203"/>
  <c r="Z155" i="203"/>
  <c r="AA155" i="203"/>
  <c r="AB155" i="203"/>
  <c r="AC155" i="203"/>
  <c r="AD155" i="203"/>
  <c r="AE155" i="203"/>
  <c r="AF155" i="203"/>
  <c r="AG155" i="203"/>
  <c r="AH155" i="203"/>
  <c r="AI155" i="203"/>
  <c r="AJ155" i="203"/>
  <c r="AK155" i="203"/>
  <c r="AL155" i="203"/>
  <c r="W156" i="203"/>
  <c r="X156" i="203"/>
  <c r="Y156" i="203"/>
  <c r="Z156" i="203"/>
  <c r="AA156" i="203"/>
  <c r="AB156" i="203"/>
  <c r="AC156" i="203"/>
  <c r="AD156" i="203"/>
  <c r="AE156" i="203"/>
  <c r="AF156" i="203"/>
  <c r="AG156" i="203"/>
  <c r="AH156" i="203"/>
  <c r="AI156" i="203"/>
  <c r="AJ156" i="203"/>
  <c r="AK156" i="203"/>
  <c r="AL156" i="203"/>
  <c r="W157" i="203"/>
  <c r="X157" i="203"/>
  <c r="Y157" i="203"/>
  <c r="Z157" i="203"/>
  <c r="AA157" i="203"/>
  <c r="AB157" i="203"/>
  <c r="AC157" i="203"/>
  <c r="AD157" i="203"/>
  <c r="AE157" i="203"/>
  <c r="AF157" i="203"/>
  <c r="AG157" i="203"/>
  <c r="AH157" i="203"/>
  <c r="AI157" i="203"/>
  <c r="AJ157" i="203"/>
  <c r="AK157" i="203"/>
  <c r="AL157" i="203"/>
  <c r="AG167" i="203"/>
  <c r="C12" i="95"/>
  <c r="D12" i="95"/>
  <c r="E12" i="95"/>
  <c r="F12" i="95"/>
  <c r="G12" i="95"/>
  <c r="H12" i="95"/>
  <c r="I12" i="95"/>
  <c r="J12" i="95"/>
  <c r="K12" i="95"/>
  <c r="L12" i="95"/>
  <c r="M12" i="95"/>
  <c r="N12" i="95"/>
  <c r="O12" i="95"/>
  <c r="P12" i="95"/>
  <c r="Q12" i="95"/>
  <c r="R12" i="95"/>
  <c r="S12" i="95"/>
  <c r="C13" i="95"/>
  <c r="D13" i="95"/>
  <c r="E13" i="95"/>
  <c r="F13" i="95"/>
  <c r="G13" i="95"/>
  <c r="H13" i="95"/>
  <c r="I13" i="95"/>
  <c r="J13" i="95"/>
  <c r="K13" i="95"/>
  <c r="L13" i="95"/>
  <c r="M13" i="95"/>
  <c r="N13" i="95"/>
  <c r="O13" i="95"/>
  <c r="P13" i="95"/>
  <c r="Q13" i="95"/>
  <c r="R13" i="95"/>
  <c r="S13" i="95"/>
  <c r="C14" i="95"/>
  <c r="D14" i="95"/>
  <c r="E14" i="95"/>
  <c r="F14" i="95"/>
  <c r="G14" i="95"/>
  <c r="H14" i="95"/>
  <c r="I14" i="95"/>
  <c r="J14" i="95"/>
  <c r="K14" i="95"/>
  <c r="L14" i="95"/>
  <c r="M14" i="95"/>
  <c r="N14" i="95"/>
  <c r="O14" i="95"/>
  <c r="P14" i="95"/>
  <c r="Q14" i="95"/>
  <c r="R14" i="95"/>
  <c r="S14" i="95"/>
  <c r="C17" i="95"/>
  <c r="D17" i="95"/>
  <c r="E17" i="95"/>
  <c r="F17" i="95"/>
  <c r="G17" i="95"/>
  <c r="H17" i="95"/>
  <c r="I17" i="95"/>
  <c r="J17" i="95"/>
  <c r="K17" i="95"/>
  <c r="L17" i="95"/>
  <c r="M17" i="95"/>
  <c r="N17" i="95"/>
  <c r="O17" i="95"/>
  <c r="P17" i="95"/>
  <c r="Q17" i="95"/>
  <c r="R17" i="95"/>
  <c r="S17" i="95"/>
  <c r="C18" i="95"/>
  <c r="D18" i="95"/>
  <c r="E18" i="95"/>
  <c r="F18" i="95"/>
  <c r="G18" i="95"/>
  <c r="H18" i="95"/>
  <c r="I18" i="95"/>
  <c r="J18" i="95"/>
  <c r="K18" i="95"/>
  <c r="L18" i="95"/>
  <c r="M18" i="95"/>
  <c r="N18" i="95"/>
  <c r="O18" i="95"/>
  <c r="P18" i="95"/>
  <c r="Q18" i="95"/>
  <c r="R18" i="95"/>
  <c r="S18" i="95"/>
  <c r="C19" i="95"/>
  <c r="D19" i="95"/>
  <c r="E19" i="95"/>
  <c r="F19" i="95"/>
  <c r="G19" i="95"/>
  <c r="H19" i="95"/>
  <c r="I19" i="95"/>
  <c r="J19" i="95"/>
  <c r="K19" i="95"/>
  <c r="L19" i="95"/>
  <c r="M19" i="95"/>
  <c r="N19" i="95"/>
  <c r="O19" i="95"/>
  <c r="P19" i="95"/>
  <c r="Q19" i="95"/>
  <c r="R19" i="95"/>
  <c r="S19" i="95"/>
  <c r="C22" i="95"/>
  <c r="D22" i="95"/>
  <c r="E22" i="95"/>
  <c r="F22" i="95"/>
  <c r="G22" i="95"/>
  <c r="H22" i="95"/>
  <c r="I22" i="95"/>
  <c r="J22" i="95"/>
  <c r="K22" i="95"/>
  <c r="L22" i="95"/>
  <c r="M22" i="95"/>
  <c r="N22" i="95"/>
  <c r="O22" i="95"/>
  <c r="P22" i="95"/>
  <c r="Q22" i="95"/>
  <c r="C23" i="95"/>
  <c r="D23" i="95"/>
  <c r="E23" i="95"/>
  <c r="F23" i="95"/>
  <c r="G23" i="95"/>
  <c r="H23" i="95"/>
  <c r="I23" i="95"/>
  <c r="J23" i="95"/>
  <c r="K23" i="95"/>
  <c r="L23" i="95"/>
  <c r="M23" i="95"/>
  <c r="N23" i="95"/>
  <c r="O23" i="95"/>
  <c r="P23" i="95"/>
  <c r="Q23" i="95"/>
  <c r="C24" i="95"/>
  <c r="D24" i="95"/>
  <c r="E24" i="95"/>
  <c r="F24" i="95"/>
  <c r="G24" i="95"/>
  <c r="H24" i="95"/>
  <c r="I24" i="95"/>
  <c r="J24" i="95"/>
  <c r="K24" i="95"/>
  <c r="L24" i="95"/>
  <c r="M24" i="95"/>
  <c r="N24" i="95"/>
  <c r="O24" i="95"/>
  <c r="P24" i="95"/>
  <c r="Q24" i="95"/>
  <c r="Y33" i="95"/>
  <c r="Y34" i="95" s="1"/>
  <c r="Z33" i="95"/>
  <c r="Z34" i="95" s="1"/>
  <c r="AA33" i="95"/>
  <c r="AA34" i="95" s="1"/>
  <c r="AB33" i="95"/>
  <c r="AB34" i="95" s="1"/>
  <c r="AC33" i="95"/>
  <c r="AC34" i="95" s="1"/>
  <c r="AD33" i="95"/>
  <c r="AD34" i="95" s="1"/>
  <c r="AE33" i="95"/>
  <c r="AE34" i="95" s="1"/>
  <c r="AF33" i="95"/>
  <c r="AF34" i="95" s="1"/>
  <c r="AG33" i="95"/>
  <c r="AG34" i="95" s="1"/>
  <c r="AH33" i="95"/>
  <c r="AH34" i="95" s="1"/>
  <c r="AI33" i="95"/>
  <c r="AI34" i="95" s="1"/>
  <c r="AJ33" i="95"/>
  <c r="AJ34" i="95" s="1"/>
  <c r="AK33" i="95"/>
  <c r="AK34" i="95" s="1"/>
  <c r="AL33" i="95"/>
  <c r="AL34" i="95" s="1"/>
  <c r="AM33" i="95"/>
  <c r="AM34" i="95" s="1"/>
  <c r="AN33" i="95"/>
  <c r="AN34" i="95" s="1"/>
  <c r="AO33" i="95"/>
  <c r="H37" i="95"/>
  <c r="Y37" i="95"/>
  <c r="Z37" i="95"/>
  <c r="AA37" i="95"/>
  <c r="AB37" i="95"/>
  <c r="AC37" i="95"/>
  <c r="AD37" i="95"/>
  <c r="AE37" i="95"/>
  <c r="AF37" i="95"/>
  <c r="AG37" i="95"/>
  <c r="AH37" i="95"/>
  <c r="AI37" i="95"/>
  <c r="AJ37" i="95"/>
  <c r="AK37" i="95"/>
  <c r="AL37" i="95"/>
  <c r="AM37" i="95"/>
  <c r="AN37" i="95"/>
  <c r="H38" i="95"/>
  <c r="Y38" i="95"/>
  <c r="Z38" i="95"/>
  <c r="AA38" i="95"/>
  <c r="AB38" i="95"/>
  <c r="AC38" i="95"/>
  <c r="AD38" i="95"/>
  <c r="AE38" i="95"/>
  <c r="AF38" i="95"/>
  <c r="AG38" i="95"/>
  <c r="AH38" i="95"/>
  <c r="AI38" i="95"/>
  <c r="AJ38" i="95"/>
  <c r="AK38" i="95"/>
  <c r="AL38" i="95"/>
  <c r="AM38" i="95"/>
  <c r="AN38" i="95"/>
  <c r="H39" i="95"/>
  <c r="Y39" i="95"/>
  <c r="Z39" i="95"/>
  <c r="AA39" i="95"/>
  <c r="AB39" i="95"/>
  <c r="AC39" i="95"/>
  <c r="AD39" i="95"/>
  <c r="AE39" i="95"/>
  <c r="AF39" i="95"/>
  <c r="AG39" i="95"/>
  <c r="AH39" i="95"/>
  <c r="AI39" i="95"/>
  <c r="AJ39" i="95"/>
  <c r="AK39" i="95"/>
  <c r="AL39" i="95"/>
  <c r="AM39" i="95"/>
  <c r="AN39" i="95"/>
  <c r="H40" i="95"/>
  <c r="H41" i="95"/>
  <c r="H42" i="95"/>
  <c r="H43" i="95"/>
  <c r="H44" i="95"/>
  <c r="H45" i="95"/>
  <c r="H46" i="95"/>
  <c r="H47" i="95"/>
  <c r="H48" i="95"/>
  <c r="H49" i="95"/>
  <c r="H50" i="95"/>
  <c r="H51" i="95"/>
  <c r="H52" i="95"/>
  <c r="Z8" i="143"/>
  <c r="Z29" i="143" s="1"/>
  <c r="AA8" i="143"/>
  <c r="AA29" i="143" s="1"/>
  <c r="AB8" i="143"/>
  <c r="AB29" i="143" s="1"/>
  <c r="AC8" i="143"/>
  <c r="AC29" i="143" s="1"/>
  <c r="AD8" i="143"/>
  <c r="AD29" i="143" s="1"/>
  <c r="AE8" i="143"/>
  <c r="AE29" i="143" s="1"/>
  <c r="AF8" i="143"/>
  <c r="AF29" i="143" s="1"/>
  <c r="AG8" i="143"/>
  <c r="AG29" i="143" s="1"/>
  <c r="Z9" i="143"/>
  <c r="AA9" i="143"/>
  <c r="AB9" i="143"/>
  <c r="AC9" i="143"/>
  <c r="AD9" i="143"/>
  <c r="AE9" i="143"/>
  <c r="AF9" i="143"/>
  <c r="AG9" i="143"/>
  <c r="I10" i="143"/>
  <c r="J10" i="143"/>
  <c r="K10" i="143"/>
  <c r="L10" i="143"/>
  <c r="M10" i="143"/>
  <c r="Z10" i="143"/>
  <c r="Z30" i="143" s="1"/>
  <c r="AA10" i="143"/>
  <c r="AA30" i="143" s="1"/>
  <c r="AB10" i="143"/>
  <c r="AB30" i="143" s="1"/>
  <c r="AC10" i="143"/>
  <c r="AC30" i="143" s="1"/>
  <c r="AD10" i="143"/>
  <c r="AD30" i="143" s="1"/>
  <c r="AE10" i="143"/>
  <c r="AE30" i="143" s="1"/>
  <c r="AF10" i="143"/>
  <c r="AF30" i="143" s="1"/>
  <c r="AG10" i="143"/>
  <c r="AG30" i="143" s="1"/>
  <c r="I11" i="143"/>
  <c r="J11" i="143"/>
  <c r="K11" i="143"/>
  <c r="L11" i="143"/>
  <c r="M11" i="143"/>
  <c r="Z11" i="143"/>
  <c r="AA11" i="143"/>
  <c r="AB11" i="143"/>
  <c r="AC11" i="143"/>
  <c r="AD11" i="143"/>
  <c r="AE11" i="143"/>
  <c r="AF11" i="143"/>
  <c r="AG11" i="143"/>
  <c r="I12" i="143"/>
  <c r="J12" i="143"/>
  <c r="K12" i="143"/>
  <c r="L12" i="143"/>
  <c r="M12" i="143"/>
  <c r="Z12" i="143"/>
  <c r="AB12" i="143"/>
  <c r="AC12" i="143"/>
  <c r="AD12" i="143"/>
  <c r="AE12" i="143"/>
  <c r="AF12" i="143"/>
  <c r="AG12" i="143"/>
  <c r="I13" i="143"/>
  <c r="J13" i="143"/>
  <c r="K13" i="143"/>
  <c r="L13" i="143"/>
  <c r="M13" i="143"/>
  <c r="Z13" i="143"/>
  <c r="AB13" i="143"/>
  <c r="AC13" i="143"/>
  <c r="AD13" i="143"/>
  <c r="AE13" i="143"/>
  <c r="AF13" i="143"/>
  <c r="AG13" i="143"/>
  <c r="I14" i="143"/>
  <c r="J14" i="143"/>
  <c r="K14" i="143"/>
  <c r="L14" i="143"/>
  <c r="M14" i="143"/>
  <c r="Z14" i="143"/>
  <c r="AB14" i="143"/>
  <c r="AC14" i="143"/>
  <c r="AD14" i="143"/>
  <c r="AE14" i="143"/>
  <c r="AF14" i="143"/>
  <c r="AG14" i="143"/>
  <c r="I15" i="143"/>
  <c r="J15" i="143"/>
  <c r="K15" i="143"/>
  <c r="L15" i="143"/>
  <c r="M15" i="143"/>
  <c r="Z15" i="143"/>
  <c r="AB15" i="143"/>
  <c r="AC15" i="143"/>
  <c r="AD15" i="143"/>
  <c r="AE15" i="143"/>
  <c r="AF15" i="143"/>
  <c r="AG15" i="143"/>
  <c r="I16" i="143"/>
  <c r="J16" i="143"/>
  <c r="K16" i="143"/>
  <c r="L16" i="143"/>
  <c r="M16" i="143"/>
  <c r="Z16" i="143"/>
  <c r="AB16" i="143"/>
  <c r="AC16" i="143"/>
  <c r="AD16" i="143"/>
  <c r="AE16" i="143"/>
  <c r="AF16" i="143"/>
  <c r="AG16" i="143"/>
  <c r="I17" i="143"/>
  <c r="J17" i="143"/>
  <c r="K17" i="143"/>
  <c r="L17" i="143"/>
  <c r="M17" i="143"/>
  <c r="Z17" i="143"/>
  <c r="AB17" i="143"/>
  <c r="AC17" i="143"/>
  <c r="AD17" i="143"/>
  <c r="AE17" i="143"/>
  <c r="AF17" i="143"/>
  <c r="AG17" i="143"/>
  <c r="V18" i="143"/>
  <c r="W18" i="143"/>
  <c r="AC18" i="143"/>
  <c r="AE18" i="143"/>
  <c r="AF18" i="143"/>
  <c r="AG18" i="143"/>
  <c r="AH18" i="143"/>
  <c r="AI18" i="143"/>
  <c r="AJ18" i="143"/>
  <c r="G19" i="143"/>
  <c r="M19" i="143" s="1"/>
  <c r="J19" i="143"/>
  <c r="K19" i="143"/>
  <c r="L19" i="143"/>
  <c r="Z21" i="143"/>
  <c r="AD18" i="143" s="1"/>
  <c r="AB21" i="143"/>
  <c r="AC21" i="143"/>
  <c r="AD21" i="143"/>
  <c r="AE21" i="143"/>
  <c r="AF21" i="143"/>
  <c r="AG21" i="143"/>
  <c r="Z22" i="143"/>
  <c r="AB22" i="143"/>
  <c r="AC22" i="143"/>
  <c r="AD22" i="143"/>
  <c r="AE22" i="143"/>
  <c r="AF22" i="143"/>
  <c r="AG22" i="143"/>
  <c r="Z23" i="143"/>
  <c r="AB23" i="143"/>
  <c r="AC23" i="143"/>
  <c r="AD23" i="143"/>
  <c r="AE23" i="143"/>
  <c r="AF23" i="143"/>
  <c r="AG23" i="143"/>
  <c r="Z24" i="143"/>
  <c r="AB24" i="143"/>
  <c r="AC24" i="143"/>
  <c r="AD24" i="143"/>
  <c r="AE24" i="143"/>
  <c r="AF24" i="143"/>
  <c r="AG24" i="143"/>
  <c r="Z25" i="143"/>
  <c r="Z33" i="143" s="1"/>
  <c r="AB25" i="143"/>
  <c r="AB33" i="143" s="1"/>
  <c r="AC25" i="143"/>
  <c r="AC33" i="143" s="1"/>
  <c r="AD25" i="143"/>
  <c r="AD33" i="143" s="1"/>
  <c r="AE25" i="143"/>
  <c r="AE33" i="143" s="1"/>
  <c r="AF25" i="143"/>
  <c r="AF33" i="143" s="1"/>
  <c r="AG25" i="143"/>
  <c r="AG33" i="143" s="1"/>
  <c r="D10" i="111"/>
  <c r="F10" i="111"/>
  <c r="F40" i="111" s="1"/>
  <c r="M18" i="111" s="1"/>
  <c r="H11" i="111"/>
  <c r="H12" i="111"/>
  <c r="H13" i="111"/>
  <c r="D14" i="111"/>
  <c r="F14" i="111"/>
  <c r="C15" i="111"/>
  <c r="D15" i="111"/>
  <c r="J19" i="111"/>
  <c r="K19" i="111"/>
  <c r="L19" i="111"/>
  <c r="M19" i="111"/>
  <c r="J20" i="111"/>
  <c r="K20" i="111"/>
  <c r="L20" i="111"/>
  <c r="M20" i="111"/>
  <c r="J21" i="111"/>
  <c r="K21" i="111"/>
  <c r="L21" i="111"/>
  <c r="M21" i="111"/>
  <c r="J22" i="111"/>
  <c r="K22" i="111"/>
  <c r="L22" i="111"/>
  <c r="J39" i="111"/>
  <c r="C40" i="111"/>
  <c r="E40" i="111"/>
  <c r="L18" i="111" s="1"/>
  <c r="O19" i="111"/>
  <c r="J41" i="111"/>
  <c r="O20" i="111"/>
  <c r="J42" i="111"/>
  <c r="O21" i="111"/>
  <c r="J43" i="111"/>
  <c r="O22" i="111"/>
  <c r="O24" i="111"/>
  <c r="H25" i="111"/>
  <c r="O25" i="111" s="1"/>
  <c r="K25" i="111"/>
  <c r="L25" i="111"/>
  <c r="J34" i="111"/>
  <c r="K34" i="111"/>
  <c r="J35" i="111"/>
  <c r="J36" i="111"/>
  <c r="J37" i="111"/>
  <c r="T8" i="80"/>
  <c r="I9" i="80"/>
  <c r="T9" i="80"/>
  <c r="I10" i="80"/>
  <c r="T10" i="80"/>
  <c r="I11" i="80"/>
  <c r="O11" i="80"/>
  <c r="T11" i="80" s="1"/>
  <c r="I12" i="80"/>
  <c r="T12" i="80"/>
  <c r="I13" i="80"/>
  <c r="T13" i="80"/>
  <c r="I14" i="80"/>
  <c r="T14" i="80"/>
  <c r="I15" i="80"/>
  <c r="T15" i="80"/>
  <c r="I16" i="80"/>
  <c r="T16" i="80"/>
  <c r="I17" i="80"/>
  <c r="T17" i="80"/>
  <c r="I18" i="80"/>
  <c r="T18" i="80"/>
  <c r="I19" i="80"/>
  <c r="T19" i="80"/>
  <c r="I20" i="80"/>
  <c r="T20" i="80"/>
  <c r="T21" i="80"/>
  <c r="C22" i="80"/>
  <c r="D22" i="80"/>
  <c r="E22" i="80"/>
  <c r="F22" i="80"/>
  <c r="H22" i="80"/>
  <c r="N22" i="80"/>
  <c r="P22" i="80"/>
  <c r="Q22" i="80"/>
  <c r="R22" i="80"/>
  <c r="S22" i="80"/>
  <c r="H6" i="193"/>
  <c r="W6" i="193"/>
  <c r="H7" i="193"/>
  <c r="W7" i="193"/>
  <c r="H8" i="193"/>
  <c r="W8" i="193"/>
  <c r="H9" i="193"/>
  <c r="W9" i="193"/>
  <c r="H10" i="193"/>
  <c r="W10" i="193"/>
  <c r="H11" i="193"/>
  <c r="W11" i="193"/>
  <c r="H12" i="193"/>
  <c r="W12" i="193"/>
  <c r="H13" i="193"/>
  <c r="W13" i="193"/>
  <c r="H14" i="193"/>
  <c r="W14" i="193"/>
  <c r="H15" i="193"/>
  <c r="W15" i="193"/>
  <c r="H16" i="193"/>
  <c r="W16" i="193"/>
  <c r="H17" i="193"/>
  <c r="W17" i="193"/>
  <c r="H18" i="193"/>
  <c r="W18" i="193"/>
  <c r="H19" i="193"/>
  <c r="W19" i="193"/>
  <c r="H20" i="193"/>
  <c r="W20" i="193"/>
  <c r="H21" i="193"/>
  <c r="W21" i="193"/>
  <c r="H22" i="193"/>
  <c r="W22" i="193"/>
  <c r="H23" i="193"/>
  <c r="W23" i="193"/>
  <c r="H24" i="193"/>
  <c r="W24" i="193"/>
  <c r="H25" i="193"/>
  <c r="W25" i="193"/>
  <c r="H26" i="193"/>
  <c r="W26" i="193"/>
  <c r="H27" i="193"/>
  <c r="W27" i="193"/>
  <c r="H28" i="193"/>
  <c r="W28" i="193"/>
  <c r="H29" i="193"/>
  <c r="W29" i="193"/>
  <c r="H30" i="193"/>
  <c r="N30" i="193"/>
  <c r="O30" i="193"/>
  <c r="P30" i="193"/>
  <c r="W30" i="193"/>
  <c r="Q35" i="193" s="1"/>
  <c r="F31" i="193"/>
  <c r="I31" i="193"/>
  <c r="N31" i="193"/>
  <c r="O31" i="193"/>
  <c r="P31" i="193"/>
  <c r="H32" i="193"/>
  <c r="I32" i="193" s="1"/>
  <c r="N32" i="193"/>
  <c r="O32" i="193"/>
  <c r="P32" i="193"/>
  <c r="Z32" i="193"/>
  <c r="N34" i="193"/>
  <c r="O34" i="193"/>
  <c r="P34" i="193"/>
  <c r="O35" i="193"/>
  <c r="P35" i="193"/>
  <c r="J7" i="51"/>
  <c r="J8" i="51"/>
  <c r="J9" i="51"/>
  <c r="J10" i="51"/>
  <c r="J11" i="51"/>
  <c r="J12" i="51"/>
  <c r="J13" i="51"/>
  <c r="J14" i="51"/>
  <c r="J15" i="51"/>
  <c r="J16" i="51"/>
  <c r="J17" i="51"/>
  <c r="J18" i="51"/>
  <c r="J19" i="51"/>
  <c r="J20" i="51"/>
  <c r="J21" i="51"/>
  <c r="J22" i="51"/>
  <c r="J23" i="51"/>
  <c r="J24" i="51"/>
  <c r="J25" i="51"/>
  <c r="J26" i="51"/>
  <c r="J27" i="51"/>
  <c r="J28" i="51"/>
  <c r="J29" i="51"/>
  <c r="J30" i="51"/>
  <c r="J31" i="51"/>
  <c r="H32" i="51"/>
  <c r="K32" i="51"/>
  <c r="J33" i="51"/>
  <c r="K33" i="51" s="1"/>
  <c r="F8" i="50"/>
  <c r="F9" i="50"/>
  <c r="F10" i="50"/>
  <c r="F11" i="50"/>
  <c r="F12" i="50"/>
  <c r="F13" i="50"/>
  <c r="F14" i="50"/>
  <c r="F15" i="50"/>
  <c r="F16" i="50"/>
  <c r="F17" i="50"/>
  <c r="F18" i="50"/>
  <c r="F19" i="50"/>
  <c r="F20" i="50"/>
  <c r="F21" i="50"/>
  <c r="F22" i="50"/>
  <c r="E23" i="50"/>
  <c r="F23" i="50" s="1"/>
  <c r="F24" i="50"/>
  <c r="F25" i="50"/>
  <c r="T9" i="44"/>
  <c r="U9" i="44"/>
  <c r="V9" i="44"/>
  <c r="W9" i="44"/>
  <c r="Y9" i="44"/>
  <c r="T10" i="44"/>
  <c r="U10" i="44"/>
  <c r="V10" i="44"/>
  <c r="W10" i="44"/>
  <c r="Y10" i="44"/>
  <c r="T11" i="44"/>
  <c r="U11" i="44"/>
  <c r="V11" i="44"/>
  <c r="W11" i="44"/>
  <c r="Y11" i="44"/>
  <c r="T12" i="44"/>
  <c r="U12" i="44"/>
  <c r="V12" i="44"/>
  <c r="W12" i="44"/>
  <c r="Y12" i="44"/>
  <c r="T13" i="44"/>
  <c r="U13" i="44"/>
  <c r="V13" i="44"/>
  <c r="W13" i="44"/>
  <c r="Y13" i="44"/>
  <c r="T14" i="44"/>
  <c r="U14" i="44"/>
  <c r="V14" i="44"/>
  <c r="W14" i="44"/>
  <c r="Y14" i="44"/>
  <c r="T15" i="44"/>
  <c r="U15" i="44"/>
  <c r="V15" i="44"/>
  <c r="W15" i="44"/>
  <c r="Y15" i="44"/>
  <c r="T16" i="44"/>
  <c r="U16" i="44"/>
  <c r="V16" i="44"/>
  <c r="W16" i="44"/>
  <c r="Y16" i="44"/>
  <c r="T17" i="44"/>
  <c r="U17" i="44"/>
  <c r="V17" i="44"/>
  <c r="W17" i="44"/>
  <c r="Y17" i="44"/>
  <c r="T18" i="44"/>
  <c r="U18" i="44"/>
  <c r="V18" i="44"/>
  <c r="W18" i="44"/>
  <c r="Y18" i="44"/>
  <c r="T19" i="44"/>
  <c r="U19" i="44"/>
  <c r="V19" i="44"/>
  <c r="W19" i="44"/>
  <c r="Y19" i="44"/>
  <c r="T20" i="44"/>
  <c r="U20" i="44"/>
  <c r="V20" i="44"/>
  <c r="W20" i="44"/>
  <c r="Y20" i="44"/>
  <c r="T21" i="44"/>
  <c r="U21" i="44"/>
  <c r="V21" i="44"/>
  <c r="W21" i="44"/>
  <c r="Y21" i="44"/>
  <c r="T22" i="44"/>
  <c r="U22" i="44"/>
  <c r="V22" i="44"/>
  <c r="W22" i="44"/>
  <c r="Y22" i="44"/>
  <c r="T23" i="44"/>
  <c r="U23" i="44"/>
  <c r="V23" i="44"/>
  <c r="W23" i="44"/>
  <c r="Y23" i="44"/>
  <c r="T24" i="44"/>
  <c r="U24" i="44"/>
  <c r="V24" i="44"/>
  <c r="W24" i="44"/>
  <c r="Y24" i="44"/>
  <c r="T25" i="44"/>
  <c r="U25" i="44"/>
  <c r="V25" i="44"/>
  <c r="W25" i="44"/>
  <c r="Y25" i="44"/>
  <c r="T26" i="44"/>
  <c r="U26" i="44"/>
  <c r="V26" i="44"/>
  <c r="W26" i="44"/>
  <c r="Y26" i="44"/>
  <c r="T27" i="44"/>
  <c r="U27" i="44"/>
  <c r="V27" i="44"/>
  <c r="W27" i="44"/>
  <c r="Y27" i="44"/>
  <c r="T28" i="44"/>
  <c r="U28" i="44"/>
  <c r="V28" i="44"/>
  <c r="W28" i="44"/>
  <c r="Y28" i="44"/>
  <c r="T29" i="44"/>
  <c r="U29" i="44"/>
  <c r="V29" i="44"/>
  <c r="W29" i="44"/>
  <c r="Y29" i="44"/>
  <c r="T30" i="44"/>
  <c r="U30" i="44"/>
  <c r="V30" i="44"/>
  <c r="W30" i="44"/>
  <c r="Y30" i="44"/>
  <c r="T31" i="44"/>
  <c r="U31" i="44"/>
  <c r="V31" i="44"/>
  <c r="W31" i="44"/>
  <c r="Y31" i="44"/>
  <c r="T32" i="44"/>
  <c r="U32" i="44"/>
  <c r="V32" i="44"/>
  <c r="W32" i="44"/>
  <c r="Y32" i="44"/>
  <c r="T33" i="44"/>
  <c r="U33" i="44"/>
  <c r="V33" i="44"/>
  <c r="W33" i="44"/>
  <c r="Y33" i="44"/>
  <c r="T34" i="44"/>
  <c r="U34" i="44"/>
  <c r="V34" i="44"/>
  <c r="W34" i="44"/>
  <c r="Y34" i="44"/>
  <c r="C8" i="48"/>
  <c r="J8" i="48"/>
  <c r="K8" i="48"/>
  <c r="O8" i="48"/>
  <c r="P8" i="48"/>
  <c r="Q8" i="48"/>
  <c r="R8" i="48"/>
  <c r="S8" i="48"/>
  <c r="T8" i="48"/>
  <c r="W8" i="48"/>
  <c r="C9" i="48"/>
  <c r="J9" i="48"/>
  <c r="K9" i="48"/>
  <c r="O9" i="48"/>
  <c r="P9" i="48"/>
  <c r="Q9" i="48"/>
  <c r="R9" i="48"/>
  <c r="S9" i="48"/>
  <c r="T9" i="48"/>
  <c r="W9" i="48"/>
  <c r="Q10" i="48"/>
  <c r="R10" i="48"/>
  <c r="S10" i="48"/>
  <c r="C11" i="48"/>
  <c r="N11" i="48" s="1"/>
  <c r="J11" i="48"/>
  <c r="K11" i="48"/>
  <c r="O11" i="48"/>
  <c r="P11" i="48"/>
  <c r="Q11" i="48"/>
  <c r="R11" i="48"/>
  <c r="S11" i="48"/>
  <c r="T11" i="48"/>
  <c r="W11" i="48"/>
  <c r="C12" i="48"/>
  <c r="N12" i="48" s="1"/>
  <c r="J12" i="48"/>
  <c r="K12" i="48"/>
  <c r="O12" i="48"/>
  <c r="P12" i="48"/>
  <c r="Q12" i="48"/>
  <c r="R12" i="48"/>
  <c r="S12" i="48"/>
  <c r="T12" i="48"/>
  <c r="W12" i="48"/>
  <c r="J13" i="48"/>
  <c r="K13" i="48"/>
  <c r="Q13" i="48"/>
  <c r="R13" i="48"/>
  <c r="S13" i="48"/>
  <c r="T13" i="48"/>
  <c r="W13" i="48"/>
  <c r="D14" i="48"/>
  <c r="O14" i="48" s="1"/>
  <c r="E14" i="48"/>
  <c r="P14" i="48" s="1"/>
  <c r="F14" i="48"/>
  <c r="Q14" i="48" s="1"/>
  <c r="G14" i="48"/>
  <c r="R14" i="48" s="1"/>
  <c r="H14" i="48"/>
  <c r="S14" i="48" s="1"/>
  <c r="I14" i="48"/>
  <c r="T14" i="48" s="1"/>
  <c r="K14" i="48"/>
  <c r="W14" i="48"/>
  <c r="J15" i="48"/>
  <c r="U15" i="48" s="1"/>
  <c r="K15" i="48"/>
  <c r="N15" i="48"/>
  <c r="O15" i="48"/>
  <c r="P15" i="48"/>
  <c r="Q15" i="48"/>
  <c r="R15" i="48"/>
  <c r="S15" i="48"/>
  <c r="T15" i="48"/>
  <c r="W15" i="48"/>
  <c r="C24" i="48"/>
  <c r="D24" i="48"/>
  <c r="E24" i="48"/>
  <c r="F24" i="48"/>
  <c r="G24" i="48"/>
  <c r="H24" i="48"/>
  <c r="I24" i="48"/>
  <c r="J24" i="48"/>
  <c r="N24" i="48"/>
  <c r="O24" i="48"/>
  <c r="P24" i="48"/>
  <c r="T24" i="48"/>
  <c r="U25" i="48"/>
  <c r="V25" i="48"/>
  <c r="D12" i="40"/>
  <c r="E12" i="40"/>
  <c r="F12" i="40"/>
  <c r="H12" i="40"/>
  <c r="H44" i="40" s="1"/>
  <c r="M12" i="40"/>
  <c r="N12" i="40"/>
  <c r="O12" i="40"/>
  <c r="Q12" i="40"/>
  <c r="D13" i="40"/>
  <c r="E13" i="40"/>
  <c r="F13" i="40"/>
  <c r="H13" i="40"/>
  <c r="H45" i="40" s="1"/>
  <c r="M13" i="40"/>
  <c r="N13" i="40"/>
  <c r="O13" i="40"/>
  <c r="Q13" i="40"/>
  <c r="D14" i="40"/>
  <c r="E14" i="40"/>
  <c r="F14" i="40"/>
  <c r="H14" i="40"/>
  <c r="H46" i="40" s="1"/>
  <c r="M14" i="40"/>
  <c r="N14" i="40"/>
  <c r="O14" i="40"/>
  <c r="Q14" i="40"/>
  <c r="D15" i="40"/>
  <c r="E15" i="40"/>
  <c r="F15" i="40"/>
  <c r="H15" i="40"/>
  <c r="H47" i="40" s="1"/>
  <c r="M15" i="40"/>
  <c r="N15" i="40"/>
  <c r="O15" i="40"/>
  <c r="Q15" i="40"/>
  <c r="D16" i="40"/>
  <c r="E16" i="40"/>
  <c r="F16" i="40"/>
  <c r="H16" i="40"/>
  <c r="H48" i="40" s="1"/>
  <c r="M16" i="40"/>
  <c r="N16" i="40"/>
  <c r="O16" i="40"/>
  <c r="Q16" i="40"/>
  <c r="D17" i="40"/>
  <c r="E17" i="40"/>
  <c r="F17" i="40"/>
  <c r="H17" i="40"/>
  <c r="H49" i="40" s="1"/>
  <c r="M17" i="40"/>
  <c r="N17" i="40"/>
  <c r="Q17" i="40"/>
  <c r="C18" i="40"/>
  <c r="D18" i="40"/>
  <c r="E18" i="40"/>
  <c r="F18" i="40"/>
  <c r="H18" i="40"/>
  <c r="H50" i="40" s="1"/>
  <c r="L18" i="40"/>
  <c r="M18" i="40"/>
  <c r="N18" i="40"/>
  <c r="O18" i="40"/>
  <c r="Q18" i="40"/>
  <c r="C19" i="40"/>
  <c r="D19" i="40"/>
  <c r="E19" i="40"/>
  <c r="F19" i="40"/>
  <c r="H19" i="40"/>
  <c r="H51" i="40" s="1"/>
  <c r="L19" i="40"/>
  <c r="M19" i="40"/>
  <c r="N19" i="40"/>
  <c r="O19" i="40"/>
  <c r="Q19" i="40"/>
  <c r="E20" i="40"/>
  <c r="F20" i="40"/>
  <c r="H20" i="40"/>
  <c r="L20" i="40"/>
  <c r="M20" i="40"/>
  <c r="N20" i="40"/>
  <c r="O20" i="40"/>
  <c r="Q20" i="40"/>
  <c r="C21" i="40"/>
  <c r="D21" i="40"/>
  <c r="E21" i="40"/>
  <c r="F21" i="40"/>
  <c r="H21" i="40"/>
  <c r="L21" i="40"/>
  <c r="M21" i="40"/>
  <c r="N21" i="40"/>
  <c r="O21" i="40"/>
  <c r="Q21" i="40"/>
  <c r="C22" i="40"/>
  <c r="D22" i="40"/>
  <c r="E22" i="40"/>
  <c r="F22" i="40"/>
  <c r="H22" i="40"/>
  <c r="L22" i="40"/>
  <c r="M22" i="40"/>
  <c r="N22" i="40"/>
  <c r="O22" i="40"/>
  <c r="Q22" i="40"/>
  <c r="C23" i="40"/>
  <c r="D23" i="40"/>
  <c r="D55" i="40" s="1"/>
  <c r="F23" i="40"/>
  <c r="F55" i="40" s="1"/>
  <c r="H23" i="40"/>
  <c r="L23" i="40"/>
  <c r="M23" i="40"/>
  <c r="O23" i="40"/>
  <c r="Q23" i="40"/>
  <c r="C24" i="40"/>
  <c r="D24" i="40"/>
  <c r="D56" i="40" s="1"/>
  <c r="F24" i="40"/>
  <c r="F56" i="40" s="1"/>
  <c r="H24" i="40"/>
  <c r="L24" i="40"/>
  <c r="M24" i="40"/>
  <c r="O24" i="40"/>
  <c r="Q24" i="40"/>
  <c r="C25" i="40"/>
  <c r="D25" i="40"/>
  <c r="E25" i="40"/>
  <c r="F25" i="40"/>
  <c r="H25" i="40"/>
  <c r="L25" i="40"/>
  <c r="M25" i="40"/>
  <c r="N25" i="40"/>
  <c r="O25" i="40"/>
  <c r="Q25" i="40"/>
  <c r="C26" i="40"/>
  <c r="D26" i="40"/>
  <c r="E26" i="40"/>
  <c r="F26" i="40"/>
  <c r="H26" i="40"/>
  <c r="L26" i="40"/>
  <c r="M26" i="40"/>
  <c r="N26" i="40"/>
  <c r="O26" i="40"/>
  <c r="Q26" i="40"/>
  <c r="C27" i="40"/>
  <c r="D27" i="40"/>
  <c r="E27" i="40"/>
  <c r="F27" i="40"/>
  <c r="H27" i="40"/>
  <c r="L27" i="40"/>
  <c r="M27" i="40"/>
  <c r="N27" i="40"/>
  <c r="O27" i="40"/>
  <c r="Q27" i="40"/>
  <c r="C28" i="40"/>
  <c r="D28" i="40"/>
  <c r="E28" i="40"/>
  <c r="F28" i="40"/>
  <c r="H28" i="40"/>
  <c r="L28" i="40"/>
  <c r="M28" i="40"/>
  <c r="N28" i="40"/>
  <c r="O28" i="40"/>
  <c r="Q28" i="40"/>
  <c r="C29" i="40"/>
  <c r="D29" i="40"/>
  <c r="E29" i="40"/>
  <c r="F29" i="40"/>
  <c r="H29" i="40"/>
  <c r="L29" i="40"/>
  <c r="M29" i="40"/>
  <c r="N29" i="40"/>
  <c r="O29" i="40"/>
  <c r="Q29" i="40"/>
  <c r="H31" i="40"/>
  <c r="Q31" i="40"/>
  <c r="Q63" i="40"/>
  <c r="D12" i="39"/>
  <c r="E12" i="39"/>
  <c r="F12" i="39"/>
  <c r="H12" i="39"/>
  <c r="M12" i="39"/>
  <c r="N12" i="39"/>
  <c r="Q12" i="39"/>
  <c r="D13" i="39"/>
  <c r="E13" i="39"/>
  <c r="F13" i="39"/>
  <c r="H13" i="39"/>
  <c r="M13" i="39"/>
  <c r="N13" i="39"/>
  <c r="O13" i="39"/>
  <c r="Q13" i="39"/>
  <c r="D14" i="39"/>
  <c r="E14" i="39"/>
  <c r="F14" i="39"/>
  <c r="H14" i="39"/>
  <c r="D15" i="39"/>
  <c r="E15" i="39"/>
  <c r="F15" i="39"/>
  <c r="H15" i="39"/>
  <c r="M15" i="39"/>
  <c r="N15" i="39"/>
  <c r="O15" i="39"/>
  <c r="Q15" i="39"/>
  <c r="D16" i="39"/>
  <c r="E16" i="39"/>
  <c r="F16" i="39"/>
  <c r="H16" i="39"/>
  <c r="M16" i="39"/>
  <c r="N16" i="39"/>
  <c r="O16" i="39"/>
  <c r="Q16" i="39"/>
  <c r="D17" i="39"/>
  <c r="E17" i="39"/>
  <c r="F17" i="39"/>
  <c r="H17" i="39"/>
  <c r="M17" i="39"/>
  <c r="N17" i="39"/>
  <c r="O17" i="39"/>
  <c r="Q17" i="39"/>
  <c r="C18" i="39"/>
  <c r="D18" i="39"/>
  <c r="E18" i="39"/>
  <c r="F18" i="39"/>
  <c r="H18" i="39"/>
  <c r="L18" i="39"/>
  <c r="M18" i="39"/>
  <c r="N18" i="39"/>
  <c r="O18" i="39"/>
  <c r="Q18" i="39"/>
  <c r="C19" i="39"/>
  <c r="D19" i="39"/>
  <c r="E19" i="39"/>
  <c r="F19" i="39"/>
  <c r="H19" i="39"/>
  <c r="L19" i="39"/>
  <c r="M19" i="39"/>
  <c r="N19" i="39"/>
  <c r="O19" i="39"/>
  <c r="Q19" i="39"/>
  <c r="C20" i="39"/>
  <c r="D20" i="39"/>
  <c r="E20" i="39"/>
  <c r="F20" i="39"/>
  <c r="H20" i="39"/>
  <c r="L20" i="39"/>
  <c r="M20" i="39"/>
  <c r="N20" i="39"/>
  <c r="O20" i="39"/>
  <c r="Q20" i="39"/>
  <c r="C21" i="39"/>
  <c r="D21" i="39"/>
  <c r="E21" i="39"/>
  <c r="F21" i="39"/>
  <c r="H21" i="39"/>
  <c r="L21" i="39"/>
  <c r="M21" i="39"/>
  <c r="N21" i="39"/>
  <c r="O21" i="39"/>
  <c r="Q21" i="39"/>
  <c r="C22" i="39"/>
  <c r="E22" i="39"/>
  <c r="F22" i="39"/>
  <c r="H22" i="39"/>
  <c r="L22" i="39"/>
  <c r="N22" i="39"/>
  <c r="O22" i="39"/>
  <c r="Q22" i="39"/>
  <c r="C23" i="39"/>
  <c r="D23" i="39"/>
  <c r="F23" i="39"/>
  <c r="H23" i="39"/>
  <c r="L23" i="39"/>
  <c r="M23" i="39"/>
  <c r="O23" i="39"/>
  <c r="Q23" i="39"/>
  <c r="C24" i="39"/>
  <c r="D24" i="39"/>
  <c r="F24" i="39"/>
  <c r="H24" i="39"/>
  <c r="L24" i="39"/>
  <c r="M24" i="39"/>
  <c r="O24" i="39"/>
  <c r="Q24" i="39"/>
  <c r="C25" i="39"/>
  <c r="D25" i="39"/>
  <c r="E25" i="39"/>
  <c r="F25" i="39"/>
  <c r="H25" i="39"/>
  <c r="L25" i="39"/>
  <c r="M25" i="39"/>
  <c r="N25" i="39"/>
  <c r="O25" i="39"/>
  <c r="Q25" i="39"/>
  <c r="C26" i="39"/>
  <c r="D26" i="39"/>
  <c r="E26" i="39"/>
  <c r="F26" i="39"/>
  <c r="H26" i="39"/>
  <c r="L26" i="39"/>
  <c r="M26" i="39"/>
  <c r="N26" i="39"/>
  <c r="O26" i="39"/>
  <c r="Q26" i="39"/>
  <c r="C27" i="39"/>
  <c r="D27" i="39"/>
  <c r="E27" i="39"/>
  <c r="F27" i="39"/>
  <c r="H27" i="39"/>
  <c r="L27" i="39"/>
  <c r="M27" i="39"/>
  <c r="N27" i="39"/>
  <c r="O27" i="39"/>
  <c r="Q27" i="39"/>
  <c r="C28" i="39"/>
  <c r="D28" i="39"/>
  <c r="E28" i="39"/>
  <c r="F28" i="39"/>
  <c r="H28" i="39"/>
  <c r="L28" i="39"/>
  <c r="M28" i="39"/>
  <c r="N28" i="39"/>
  <c r="O28" i="39"/>
  <c r="Q28" i="39"/>
  <c r="C29" i="39"/>
  <c r="D29" i="39"/>
  <c r="E29" i="39"/>
  <c r="F29" i="39"/>
  <c r="H29" i="39"/>
  <c r="L29" i="39"/>
  <c r="M29" i="39"/>
  <c r="N29" i="39"/>
  <c r="O29" i="39"/>
  <c r="Q29" i="39"/>
  <c r="G30" i="39"/>
  <c r="G62" i="39" s="1"/>
  <c r="P30" i="39"/>
  <c r="H31" i="39"/>
  <c r="P31" i="39"/>
  <c r="Q31" i="39" s="1"/>
  <c r="M44" i="39"/>
  <c r="N44" i="39"/>
  <c r="Q44" i="39"/>
  <c r="M45" i="39"/>
  <c r="N45" i="39"/>
  <c r="Q45" i="39"/>
  <c r="M46" i="39"/>
  <c r="N46" i="39"/>
  <c r="Q46" i="39"/>
  <c r="M47" i="39"/>
  <c r="N47" i="39"/>
  <c r="Q47" i="39"/>
  <c r="M48" i="39"/>
  <c r="N48" i="39"/>
  <c r="Q48" i="39"/>
  <c r="M49" i="39"/>
  <c r="N49" i="39"/>
  <c r="Q49" i="39"/>
  <c r="L50" i="39"/>
  <c r="M50" i="39"/>
  <c r="N50" i="39"/>
  <c r="Q50" i="39"/>
  <c r="L51" i="39"/>
  <c r="M51" i="39"/>
  <c r="N51" i="39"/>
  <c r="Q51" i="39"/>
  <c r="L52" i="39"/>
  <c r="M52" i="39"/>
  <c r="N52" i="39"/>
  <c r="O52" i="39"/>
  <c r="Q52" i="39"/>
  <c r="L53" i="39"/>
  <c r="M53" i="39"/>
  <c r="N53" i="39"/>
  <c r="O53" i="39"/>
  <c r="Q53" i="39"/>
  <c r="L54" i="39"/>
  <c r="N54" i="39"/>
  <c r="O54" i="39"/>
  <c r="Q54" i="39"/>
  <c r="L55" i="39"/>
  <c r="M55" i="39"/>
  <c r="O55" i="39"/>
  <c r="Q55" i="39"/>
  <c r="L56" i="39"/>
  <c r="M56" i="39"/>
  <c r="O56" i="39"/>
  <c r="Q56" i="39"/>
  <c r="L57" i="39"/>
  <c r="M57" i="39"/>
  <c r="N57" i="39"/>
  <c r="O57" i="39"/>
  <c r="Q57" i="39"/>
  <c r="M58" i="39"/>
  <c r="N58" i="39"/>
  <c r="O58" i="39"/>
  <c r="Q58" i="39"/>
  <c r="L59" i="39"/>
  <c r="M59" i="39"/>
  <c r="N59" i="39"/>
  <c r="O59" i="39"/>
  <c r="Q59" i="39"/>
  <c r="L60" i="39"/>
  <c r="M60" i="39"/>
  <c r="N60" i="39"/>
  <c r="O60" i="39"/>
  <c r="Q60" i="39"/>
  <c r="L61" i="39"/>
  <c r="M61" i="39"/>
  <c r="N61" i="39"/>
  <c r="O61" i="39"/>
  <c r="Q61" i="39"/>
  <c r="Q63" i="39"/>
  <c r="D12" i="154"/>
  <c r="E12" i="154"/>
  <c r="L12" i="154"/>
  <c r="M12" i="154"/>
  <c r="D15" i="154"/>
  <c r="E15" i="154"/>
  <c r="L15" i="154"/>
  <c r="M15" i="154"/>
  <c r="D16" i="154"/>
  <c r="E16" i="154"/>
  <c r="L16" i="154"/>
  <c r="M16" i="154"/>
  <c r="D17" i="154"/>
  <c r="E17" i="154"/>
  <c r="L17" i="154"/>
  <c r="M17" i="154"/>
  <c r="E18" i="154"/>
  <c r="M18" i="154"/>
  <c r="C19" i="154"/>
  <c r="E19" i="154"/>
  <c r="K19" i="154"/>
  <c r="M19" i="154"/>
  <c r="D20" i="154"/>
  <c r="E20" i="154"/>
  <c r="K20" i="154"/>
  <c r="L20" i="154"/>
  <c r="M20" i="154"/>
  <c r="D21" i="154"/>
  <c r="E21" i="154"/>
  <c r="L21" i="154"/>
  <c r="M21" i="154"/>
  <c r="C22" i="154"/>
  <c r="D22" i="154"/>
  <c r="E22" i="154"/>
  <c r="K22" i="154"/>
  <c r="L22" i="154"/>
  <c r="M22" i="154"/>
  <c r="C23" i="154"/>
  <c r="D23" i="154"/>
  <c r="K23" i="154"/>
  <c r="L23" i="154"/>
  <c r="D24" i="154"/>
  <c r="L24" i="154"/>
  <c r="C25" i="154"/>
  <c r="D25" i="154"/>
  <c r="E25" i="154"/>
  <c r="K25" i="154"/>
  <c r="L25" i="154"/>
  <c r="M25" i="154"/>
  <c r="C26" i="154"/>
  <c r="D26" i="154"/>
  <c r="E26" i="154"/>
  <c r="K26" i="154"/>
  <c r="L26" i="154"/>
  <c r="M26" i="154"/>
  <c r="C27" i="154"/>
  <c r="D27" i="154"/>
  <c r="E27" i="154"/>
  <c r="K27" i="154"/>
  <c r="L27" i="154"/>
  <c r="M27" i="154"/>
  <c r="C28" i="154"/>
  <c r="D28" i="154"/>
  <c r="E28" i="154"/>
  <c r="K28" i="154"/>
  <c r="L28" i="154"/>
  <c r="M28" i="154"/>
  <c r="C29" i="154"/>
  <c r="D29" i="154"/>
  <c r="E29" i="154"/>
  <c r="K29" i="154"/>
  <c r="L29" i="154"/>
  <c r="M29" i="154"/>
  <c r="N29" i="154"/>
  <c r="F30" i="154"/>
  <c r="F62" i="154" s="1"/>
  <c r="N30" i="154"/>
  <c r="G31" i="154"/>
  <c r="O31" i="154"/>
  <c r="L44" i="154"/>
  <c r="M44" i="154"/>
  <c r="L47" i="154"/>
  <c r="M47" i="154"/>
  <c r="L48" i="154"/>
  <c r="M48" i="154"/>
  <c r="L49" i="154"/>
  <c r="M49" i="154"/>
  <c r="M50" i="154"/>
  <c r="K51" i="154"/>
  <c r="M51" i="154"/>
  <c r="K52" i="154"/>
  <c r="L52" i="154"/>
  <c r="M52" i="154"/>
  <c r="L53" i="154"/>
  <c r="M53" i="154"/>
  <c r="K54" i="154"/>
  <c r="L54" i="154"/>
  <c r="M54" i="154"/>
  <c r="N54" i="154"/>
  <c r="K55" i="154"/>
  <c r="L55" i="154"/>
  <c r="L56" i="154"/>
  <c r="K57" i="154"/>
  <c r="L57" i="154"/>
  <c r="M57" i="154"/>
  <c r="K58" i="154"/>
  <c r="L58" i="154"/>
  <c r="M58" i="154"/>
  <c r="N58" i="154"/>
  <c r="K59" i="154"/>
  <c r="L59" i="154"/>
  <c r="M59" i="154"/>
  <c r="K60" i="154"/>
  <c r="L60" i="154"/>
  <c r="M60" i="154"/>
  <c r="K61" i="154"/>
  <c r="L61" i="154"/>
  <c r="M61" i="154"/>
  <c r="N61" i="154"/>
  <c r="O63" i="154"/>
  <c r="P8" i="37"/>
  <c r="AJ8" i="37" s="1"/>
  <c r="P9" i="37"/>
  <c r="AJ9" i="37" s="1"/>
  <c r="P10" i="37"/>
  <c r="AJ10" i="37" s="1"/>
  <c r="P11" i="37"/>
  <c r="AJ11" i="37" s="1"/>
  <c r="P12" i="37"/>
  <c r="AJ12" i="37" s="1"/>
  <c r="H33" i="37"/>
  <c r="R52" i="37"/>
  <c r="R64" i="37"/>
  <c r="AJ64" i="37"/>
  <c r="O65" i="37"/>
  <c r="F2" i="200"/>
  <c r="G2" i="200" s="1"/>
  <c r="F3" i="200"/>
  <c r="G3" i="200" s="1"/>
  <c r="F4" i="200"/>
  <c r="G4" i="200" s="1"/>
  <c r="F5" i="200"/>
  <c r="G5" i="200" s="1"/>
  <c r="F6" i="200"/>
  <c r="G6" i="200" s="1"/>
  <c r="F7" i="200"/>
  <c r="G7" i="200" s="1"/>
  <c r="F8" i="200"/>
  <c r="G8" i="200" s="1"/>
  <c r="F9" i="200"/>
  <c r="G9" i="200" s="1"/>
  <c r="F10" i="200"/>
  <c r="G10" i="200" s="1"/>
  <c r="F12" i="200"/>
  <c r="G12" i="200" s="1"/>
  <c r="F13" i="200"/>
  <c r="G13" i="200" s="1"/>
  <c r="F15" i="200"/>
  <c r="G15" i="200" s="1"/>
  <c r="F16" i="200"/>
  <c r="G16" i="200" s="1"/>
  <c r="F17" i="200"/>
  <c r="G17" i="200" s="1"/>
  <c r="F19" i="200"/>
  <c r="G19" i="200" s="1"/>
  <c r="F20" i="200"/>
  <c r="G20" i="200" s="1"/>
  <c r="F21" i="200"/>
  <c r="G21" i="200" s="1"/>
  <c r="F22" i="200"/>
  <c r="G22" i="200" s="1"/>
  <c r="F23" i="200"/>
  <c r="G23" i="200" s="1"/>
  <c r="F24" i="200"/>
  <c r="G24" i="200" s="1"/>
  <c r="F26" i="200"/>
  <c r="G26" i="200" s="1"/>
  <c r="F27" i="200"/>
  <c r="G27" i="200" s="1"/>
  <c r="F28" i="200"/>
  <c r="G28" i="200" s="1"/>
  <c r="F29" i="200"/>
  <c r="G29" i="200" s="1"/>
  <c r="F30" i="200"/>
  <c r="G30" i="200" s="1"/>
  <c r="F31" i="200"/>
  <c r="G31" i="200" s="1"/>
  <c r="F32" i="200"/>
  <c r="G32" i="200" s="1"/>
  <c r="F33" i="200"/>
  <c r="G33" i="200" s="1"/>
  <c r="F48" i="200"/>
  <c r="G48" i="200" s="1"/>
  <c r="F52" i="200"/>
  <c r="G52" i="200" s="1"/>
  <c r="L52" i="200"/>
  <c r="R36" i="186"/>
  <c r="I8" i="114"/>
  <c r="I9" i="114"/>
  <c r="I10" i="114"/>
  <c r="V28" i="114"/>
  <c r="X28" i="114" s="1"/>
  <c r="V29" i="114"/>
  <c r="X29" i="114" s="1"/>
  <c r="V30" i="114"/>
  <c r="X30" i="114" s="1"/>
  <c r="D67" i="177"/>
  <c r="L23" i="126"/>
  <c r="G21" i="93"/>
  <c r="T8" i="215"/>
  <c r="M40" i="215"/>
  <c r="I34" i="128"/>
  <c r="E45" i="34"/>
  <c r="L24" i="250" s="1"/>
  <c r="D13" i="120"/>
  <c r="C42" i="35"/>
  <c r="G23" i="93"/>
  <c r="G22" i="93"/>
  <c r="D7" i="31"/>
  <c r="C53" i="154" s="1"/>
  <c r="N55" i="154"/>
  <c r="E21" i="34"/>
  <c r="J14" i="34" s="1"/>
  <c r="J13" i="34" s="1"/>
  <c r="F28" i="154"/>
  <c r="G14" i="120"/>
  <c r="L26" i="120"/>
  <c r="E43" i="133"/>
  <c r="F54" i="218"/>
  <c r="X8" i="215"/>
  <c r="E16" i="131"/>
  <c r="L22" i="126"/>
  <c r="K33" i="128"/>
  <c r="K24" i="126"/>
  <c r="N24" i="39"/>
  <c r="X31" i="215"/>
  <c r="O24" i="121"/>
  <c r="J21" i="126"/>
  <c r="L16" i="40"/>
  <c r="D41" i="177"/>
  <c r="K50" i="154"/>
  <c r="C51" i="32"/>
  <c r="F48" i="32"/>
  <c r="E21" i="33"/>
  <c r="J14" i="33" s="1"/>
  <c r="J13" i="33" s="1"/>
  <c r="N23" i="39"/>
  <c r="C21" i="154"/>
  <c r="F48" i="133"/>
  <c r="N61" i="37" s="1"/>
  <c r="D26" i="114" s="1"/>
  <c r="K44" i="154"/>
  <c r="N33" i="218"/>
  <c r="N35" i="218"/>
  <c r="I44" i="126"/>
  <c r="J14" i="218"/>
  <c r="L48" i="39"/>
  <c r="C50" i="30"/>
  <c r="E22" i="37" s="1"/>
  <c r="E24" i="39"/>
  <c r="E45" i="133"/>
  <c r="I46" i="126"/>
  <c r="D53" i="128"/>
  <c r="K48" i="154"/>
  <c r="D12" i="33"/>
  <c r="F55" i="154" s="1"/>
  <c r="F23" i="154"/>
  <c r="D10" i="35"/>
  <c r="F57" i="154" s="1"/>
  <c r="F25" i="154"/>
  <c r="D10" i="36"/>
  <c r="F58" i="154" s="1"/>
  <c r="C13" i="39"/>
  <c r="E39" i="31"/>
  <c r="L21" i="250" s="1"/>
  <c r="J52" i="218"/>
  <c r="I17" i="218"/>
  <c r="F46" i="35"/>
  <c r="M59" i="37" s="1"/>
  <c r="C24" i="114" s="1"/>
  <c r="E45" i="35"/>
  <c r="E46" i="135"/>
  <c r="N31" i="37" s="1"/>
  <c r="N57" i="154"/>
  <c r="AA21" i="143"/>
  <c r="X16" i="215"/>
  <c r="H17" i="218"/>
  <c r="C53" i="32"/>
  <c r="F24" i="37" s="1"/>
  <c r="C48" i="32"/>
  <c r="F47" i="35"/>
  <c r="N59" i="37" s="1"/>
  <c r="D24" i="114" s="1"/>
  <c r="D10" i="133"/>
  <c r="F59" i="154" s="1"/>
  <c r="F27" i="154"/>
  <c r="E48" i="134"/>
  <c r="N30" i="37" s="1"/>
  <c r="F45" i="134"/>
  <c r="N44" i="154"/>
  <c r="E42" i="32"/>
  <c r="M22" i="250" s="1"/>
  <c r="G10" i="120"/>
  <c r="D35" i="177"/>
  <c r="G61" i="203"/>
  <c r="K24" i="154"/>
  <c r="F47" i="30"/>
  <c r="K53" i="154"/>
  <c r="D45" i="32"/>
  <c r="F50" i="218"/>
  <c r="Q30" i="193"/>
  <c r="I42" i="126"/>
  <c r="I43" i="126"/>
  <c r="G24" i="93"/>
  <c r="G20" i="93"/>
  <c r="C15" i="40"/>
  <c r="C47" i="40" s="1"/>
  <c r="F50" i="36"/>
  <c r="F46" i="133"/>
  <c r="R24" i="121"/>
  <c r="T11" i="215"/>
  <c r="I21" i="126"/>
  <c r="L24" i="126"/>
  <c r="F26" i="154"/>
  <c r="C14" i="39"/>
  <c r="E56" i="34"/>
  <c r="M26" i="37" s="1"/>
  <c r="B32" i="229"/>
  <c r="E32" i="229" s="1"/>
  <c r="M22" i="39"/>
  <c r="D44" i="34"/>
  <c r="N12" i="154"/>
  <c r="C30" i="34"/>
  <c r="N56" i="39"/>
  <c r="C48" i="36"/>
  <c r="E28" i="37" s="1"/>
  <c r="F46" i="135"/>
  <c r="N63" i="37" s="1"/>
  <c r="D28" i="114" s="1"/>
  <c r="L17" i="39"/>
  <c r="P51" i="207"/>
  <c r="J49" i="218"/>
  <c r="F51" i="218"/>
  <c r="I444" i="179"/>
  <c r="C42" i="34"/>
  <c r="D38" i="135"/>
  <c r="E61" i="250" s="1"/>
  <c r="F52" i="218"/>
  <c r="L45" i="128"/>
  <c r="I35" i="128"/>
  <c r="O22" i="121"/>
  <c r="W22" i="121"/>
  <c r="C45" i="134"/>
  <c r="H46" i="134" s="1"/>
  <c r="K24" i="128"/>
  <c r="C47" i="134"/>
  <c r="D39" i="134"/>
  <c r="D60" i="250" s="1"/>
  <c r="E23" i="40"/>
  <c r="E55" i="40" s="1"/>
  <c r="D37" i="230"/>
  <c r="E37" i="230"/>
  <c r="J43" i="126"/>
  <c r="C59" i="177"/>
  <c r="L293" i="179"/>
  <c r="L47" i="39"/>
  <c r="C48" i="134"/>
  <c r="E30" i="37" s="1"/>
  <c r="I24" i="128"/>
  <c r="I26" i="128"/>
  <c r="L44" i="39"/>
  <c r="N8" i="48"/>
  <c r="O17" i="203"/>
  <c r="K46" i="131"/>
  <c r="K49" i="154"/>
  <c r="C46" i="135"/>
  <c r="E31" i="37" s="1"/>
  <c r="S65" i="203"/>
  <c r="C50" i="36"/>
  <c r="D35" i="135"/>
  <c r="C43" i="133"/>
  <c r="K27" i="128"/>
  <c r="E13" i="131"/>
  <c r="O33" i="218"/>
  <c r="G17" i="120"/>
  <c r="D39" i="30"/>
  <c r="C47" i="30"/>
  <c r="H48" i="30" s="1"/>
  <c r="N53" i="154"/>
  <c r="E43" i="36"/>
  <c r="C46" i="134"/>
  <c r="AJ49" i="37"/>
  <c r="J34" i="128"/>
  <c r="I49" i="126"/>
  <c r="I47" i="126"/>
  <c r="L53" i="218"/>
  <c r="H49" i="218"/>
  <c r="D54" i="218"/>
  <c r="C23" i="177"/>
  <c r="D21" i="177"/>
  <c r="X17" i="215"/>
  <c r="X14" i="215"/>
  <c r="X9" i="215"/>
  <c r="X18" i="215"/>
  <c r="U20" i="215"/>
  <c r="J49" i="128"/>
  <c r="I11" i="128"/>
  <c r="I12" i="128"/>
  <c r="D47" i="177"/>
  <c r="D45" i="177"/>
  <c r="C45" i="177"/>
  <c r="D18" i="91"/>
  <c r="I18" i="91" s="1"/>
  <c r="G18" i="91"/>
  <c r="D10" i="91"/>
  <c r="I10" i="91" s="1"/>
  <c r="L9" i="120"/>
  <c r="G9" i="120"/>
  <c r="C48" i="133"/>
  <c r="E29" i="37" s="1"/>
  <c r="N36" i="218"/>
  <c r="N23" i="220"/>
  <c r="C61" i="177"/>
  <c r="D61" i="177"/>
  <c r="C37" i="177"/>
  <c r="D37" i="177"/>
  <c r="D13" i="91"/>
  <c r="I13" i="91" s="1"/>
  <c r="G13" i="91"/>
  <c r="AJ14" i="203"/>
  <c r="AJ27" i="203" s="1"/>
  <c r="L21" i="126"/>
  <c r="L43" i="128"/>
  <c r="I27" i="128"/>
  <c r="K14" i="128"/>
  <c r="H19" i="131"/>
  <c r="C55" i="177"/>
  <c r="C53" i="177"/>
  <c r="D15" i="177"/>
  <c r="D13" i="177"/>
  <c r="I397" i="179"/>
  <c r="D20" i="91"/>
  <c r="I20" i="91" s="1"/>
  <c r="D12" i="91"/>
  <c r="I12" i="91" s="1"/>
  <c r="D9" i="120"/>
  <c r="Q62" i="203"/>
  <c r="S66" i="203"/>
  <c r="M24" i="126"/>
  <c r="Q51" i="207"/>
  <c r="C31" i="177"/>
  <c r="D29" i="177"/>
  <c r="D19" i="91"/>
  <c r="I19" i="91" s="1"/>
  <c r="G19" i="91"/>
  <c r="D15" i="91"/>
  <c r="I15" i="91" s="1"/>
  <c r="G15" i="91"/>
  <c r="D11" i="91"/>
  <c r="I11" i="91" s="1"/>
  <c r="G11" i="91"/>
  <c r="L29" i="120"/>
  <c r="G29" i="120"/>
  <c r="L21" i="120"/>
  <c r="G21" i="120"/>
  <c r="D51" i="34"/>
  <c r="C61" i="34"/>
  <c r="L25" i="120"/>
  <c r="L13" i="120"/>
  <c r="R22" i="121"/>
  <c r="D48" i="34"/>
  <c r="C50" i="133"/>
  <c r="F29" i="37" s="1"/>
  <c r="C46" i="133"/>
  <c r="K25" i="128"/>
  <c r="E15" i="131"/>
  <c r="C47" i="133"/>
  <c r="D42" i="30"/>
  <c r="E52" i="250" s="1"/>
  <c r="E50" i="32"/>
  <c r="M24" i="37" s="1"/>
  <c r="H18" i="37"/>
  <c r="F47" i="31"/>
  <c r="L55" i="37" s="1"/>
  <c r="B20" i="114" s="1"/>
  <c r="F28" i="37"/>
  <c r="X25" i="215"/>
  <c r="X26" i="215" l="1"/>
  <c r="X29" i="215"/>
  <c r="L11" i="215"/>
  <c r="L23" i="215"/>
  <c r="C68" i="177"/>
  <c r="I19" i="218"/>
  <c r="M17" i="218"/>
  <c r="E18" i="131"/>
  <c r="E11" i="131"/>
  <c r="E53" i="131"/>
  <c r="K47" i="131"/>
  <c r="K99" i="131"/>
  <c r="H50" i="131"/>
  <c r="N17" i="127"/>
  <c r="N14" i="127"/>
  <c r="L47" i="126"/>
  <c r="M33" i="126"/>
  <c r="M35" i="126"/>
  <c r="M37" i="126"/>
  <c r="M34" i="126"/>
  <c r="M36" i="126"/>
  <c r="M17" i="126"/>
  <c r="M10" i="126"/>
  <c r="M43" i="126"/>
  <c r="M47" i="126"/>
  <c r="M44" i="126"/>
  <c r="M46" i="126"/>
  <c r="M45" i="126"/>
  <c r="N23" i="126"/>
  <c r="N25" i="126"/>
  <c r="N20" i="126"/>
  <c r="N24" i="126"/>
  <c r="N21" i="126"/>
  <c r="N22" i="126"/>
  <c r="N27" i="126"/>
  <c r="I36" i="135"/>
  <c r="H61" i="250"/>
  <c r="E47" i="30"/>
  <c r="Q20" i="250"/>
  <c r="J40" i="30"/>
  <c r="F51" i="31"/>
  <c r="O53" i="250"/>
  <c r="Q53" i="250"/>
  <c r="K40" i="31"/>
  <c r="D24" i="32"/>
  <c r="I19" i="32" s="1"/>
  <c r="I18" i="32" s="1"/>
  <c r="H19" i="32"/>
  <c r="H18" i="32" s="1"/>
  <c r="C54" i="154"/>
  <c r="F55" i="33"/>
  <c r="L55" i="250"/>
  <c r="E54" i="33"/>
  <c r="Q23" i="250"/>
  <c r="J45" i="33"/>
  <c r="C21" i="33"/>
  <c r="H14" i="33" s="1"/>
  <c r="H13" i="33" s="1"/>
  <c r="D19" i="33"/>
  <c r="E55" i="39" s="1"/>
  <c r="H55" i="39"/>
  <c r="I15" i="33"/>
  <c r="D50" i="34"/>
  <c r="F56" i="250" s="1"/>
  <c r="F24" i="250"/>
  <c r="C54" i="34"/>
  <c r="H24" i="250"/>
  <c r="H45" i="34"/>
  <c r="L25" i="250"/>
  <c r="H25" i="250"/>
  <c r="H38" i="35"/>
  <c r="C57" i="154"/>
  <c r="G57" i="154" s="1"/>
  <c r="I6" i="35"/>
  <c r="I5" i="35" s="1"/>
  <c r="Q58" i="250"/>
  <c r="P58" i="250" s="1"/>
  <c r="K38" i="36"/>
  <c r="D17" i="36"/>
  <c r="I14" i="36" s="1"/>
  <c r="I13" i="36" s="1"/>
  <c r="H14" i="36"/>
  <c r="H13" i="36" s="1"/>
  <c r="C58" i="39"/>
  <c r="L59" i="250"/>
  <c r="Q27" i="250"/>
  <c r="P27" i="250" s="1"/>
  <c r="J38" i="133"/>
  <c r="D24" i="133"/>
  <c r="I20" i="133" s="1"/>
  <c r="I19" i="133" s="1"/>
  <c r="H20" i="133"/>
  <c r="H19" i="133" s="1"/>
  <c r="D17" i="133"/>
  <c r="I14" i="133" s="1"/>
  <c r="I13" i="133" s="1"/>
  <c r="H14" i="133"/>
  <c r="H13" i="133" s="1"/>
  <c r="C59" i="39"/>
  <c r="L60" i="250"/>
  <c r="Q28" i="250"/>
  <c r="P28" i="250" s="1"/>
  <c r="J38" i="134"/>
  <c r="I27" i="134"/>
  <c r="I26" i="134" s="1"/>
  <c r="D24" i="134"/>
  <c r="I20" i="134" s="1"/>
  <c r="I19" i="134" s="1"/>
  <c r="H20" i="134"/>
  <c r="H19" i="134" s="1"/>
  <c r="D17" i="134"/>
  <c r="I12" i="134" s="1"/>
  <c r="I11" i="134" s="1"/>
  <c r="H12" i="134"/>
  <c r="H11" i="134" s="1"/>
  <c r="C60" i="39"/>
  <c r="H36" i="135"/>
  <c r="H29" i="250"/>
  <c r="H12" i="229"/>
  <c r="J12" i="229" s="1"/>
  <c r="O20" i="250"/>
  <c r="L52" i="250"/>
  <c r="K39" i="30"/>
  <c r="H20" i="250"/>
  <c r="H40" i="30"/>
  <c r="D24" i="30"/>
  <c r="I19" i="30" s="1"/>
  <c r="I18" i="30" s="1"/>
  <c r="H19" i="30"/>
  <c r="H18" i="30" s="1"/>
  <c r="D17" i="30"/>
  <c r="H12" i="30"/>
  <c r="H11" i="30" s="1"/>
  <c r="C52" i="39"/>
  <c r="I12" i="30"/>
  <c r="O55" i="37"/>
  <c r="E51" i="31"/>
  <c r="O23" i="37" s="1"/>
  <c r="O21" i="250"/>
  <c r="E46" i="31"/>
  <c r="Q21" i="250"/>
  <c r="P21" i="250" s="1"/>
  <c r="J40" i="31"/>
  <c r="D24" i="31"/>
  <c r="H19" i="31"/>
  <c r="H18" i="31" s="1"/>
  <c r="I19" i="31"/>
  <c r="I18" i="31" s="1"/>
  <c r="D17" i="31"/>
  <c r="H12" i="31"/>
  <c r="H11" i="31" s="1"/>
  <c r="C53" i="39"/>
  <c r="I12" i="31"/>
  <c r="I11" i="31" s="1"/>
  <c r="O22" i="250"/>
  <c r="Q54" i="250"/>
  <c r="K41" i="32"/>
  <c r="D10" i="32"/>
  <c r="F54" i="154" s="1"/>
  <c r="H6" i="32"/>
  <c r="H5" i="32" s="1"/>
  <c r="O23" i="250"/>
  <c r="L23" i="250"/>
  <c r="H23" i="250"/>
  <c r="H45" i="33"/>
  <c r="C30" i="33"/>
  <c r="D28" i="33"/>
  <c r="O26" i="37"/>
  <c r="C56" i="39"/>
  <c r="O27" i="37"/>
  <c r="D17" i="35"/>
  <c r="I14" i="35" s="1"/>
  <c r="H14" i="35"/>
  <c r="H13" i="35" s="1"/>
  <c r="C57" i="39"/>
  <c r="O26" i="250"/>
  <c r="L58" i="250"/>
  <c r="K37" i="36"/>
  <c r="K36" i="36" s="1"/>
  <c r="E45" i="36"/>
  <c r="Q26" i="250"/>
  <c r="J38" i="36"/>
  <c r="D35" i="36"/>
  <c r="I27" i="36" s="1"/>
  <c r="I26" i="36" s="1"/>
  <c r="H27" i="36"/>
  <c r="H26" i="36" s="1"/>
  <c r="D24" i="36"/>
  <c r="I20" i="36" s="1"/>
  <c r="I19" i="36" s="1"/>
  <c r="H20" i="36"/>
  <c r="H19" i="36" s="1"/>
  <c r="H58" i="39"/>
  <c r="I15" i="36"/>
  <c r="L27" i="250"/>
  <c r="J37" i="133"/>
  <c r="J36" i="133" s="1"/>
  <c r="H59" i="39"/>
  <c r="I15" i="133"/>
  <c r="O62" i="37"/>
  <c r="E27" i="114" s="1"/>
  <c r="F28" i="250"/>
  <c r="F47" i="134"/>
  <c r="M62" i="37" s="1"/>
  <c r="C27" i="114" s="1"/>
  <c r="M60" i="250"/>
  <c r="L28" i="250"/>
  <c r="J37" i="134"/>
  <c r="J36" i="134" s="1"/>
  <c r="H28" i="250"/>
  <c r="H38" i="134"/>
  <c r="H60" i="39"/>
  <c r="I13" i="134"/>
  <c r="O63" i="37"/>
  <c r="E28" i="114" s="1"/>
  <c r="F29" i="250"/>
  <c r="L27" i="37"/>
  <c r="I21" i="93"/>
  <c r="N52" i="218"/>
  <c r="I14" i="128"/>
  <c r="I16" i="128"/>
  <c r="J47" i="128"/>
  <c r="D56" i="128"/>
  <c r="J50" i="218"/>
  <c r="F53" i="218"/>
  <c r="N51" i="218"/>
  <c r="J48" i="128"/>
  <c r="G7" i="198"/>
  <c r="Q55" i="207"/>
  <c r="Q54" i="37"/>
  <c r="K48" i="30"/>
  <c r="D16" i="218"/>
  <c r="Q62" i="37"/>
  <c r="K46" i="134"/>
  <c r="J51" i="218"/>
  <c r="Q29" i="37"/>
  <c r="J46" i="133"/>
  <c r="D51" i="177"/>
  <c r="J18" i="111"/>
  <c r="H40" i="111"/>
  <c r="X32" i="215"/>
  <c r="E45" i="30"/>
  <c r="J39" i="30" s="1"/>
  <c r="J38" i="30" s="1"/>
  <c r="N49" i="218"/>
  <c r="C39" i="177"/>
  <c r="C63" i="177"/>
  <c r="T23" i="215"/>
  <c r="B53" i="128"/>
  <c r="J46" i="128"/>
  <c r="X13" i="215"/>
  <c r="O73" i="203"/>
  <c r="W117" i="203"/>
  <c r="K28" i="128"/>
  <c r="C43" i="177"/>
  <c r="D27" i="177"/>
  <c r="E73" i="126"/>
  <c r="P55" i="207"/>
  <c r="N53" i="218"/>
  <c r="D42" i="34"/>
  <c r="H32" i="34"/>
  <c r="H31" i="34" s="1"/>
  <c r="F49" i="218"/>
  <c r="N33" i="220"/>
  <c r="D47" i="34"/>
  <c r="J43" i="128"/>
  <c r="X10" i="215"/>
  <c r="D19" i="218"/>
  <c r="X15" i="215"/>
  <c r="L365" i="179"/>
  <c r="D52" i="32"/>
  <c r="H49" i="32"/>
  <c r="J54" i="218"/>
  <c r="Q56" i="37"/>
  <c r="K49" i="32"/>
  <c r="J68" i="203"/>
  <c r="C56" i="40"/>
  <c r="C55" i="40"/>
  <c r="C21" i="229"/>
  <c r="F21" i="229"/>
  <c r="D43" i="30"/>
  <c r="F20" i="250"/>
  <c r="L20" i="250"/>
  <c r="H52" i="39"/>
  <c r="G52" i="39" s="1"/>
  <c r="I13" i="30"/>
  <c r="C46" i="31"/>
  <c r="H48" i="31" s="1"/>
  <c r="H21" i="250"/>
  <c r="H40" i="31"/>
  <c r="H53" i="39"/>
  <c r="G53" i="39" s="1"/>
  <c r="I13" i="31"/>
  <c r="Q22" i="250"/>
  <c r="P22" i="250" s="1"/>
  <c r="J41" i="32"/>
  <c r="H54" i="39"/>
  <c r="I13" i="32"/>
  <c r="O57" i="37"/>
  <c r="E22" i="114" s="1"/>
  <c r="C55" i="33"/>
  <c r="C23" i="250"/>
  <c r="N23" i="154"/>
  <c r="J6" i="33"/>
  <c r="J5" i="33" s="1"/>
  <c r="C55" i="154"/>
  <c r="I6" i="33"/>
  <c r="I5" i="33" s="1"/>
  <c r="Q56" i="250"/>
  <c r="P56" i="250" s="1"/>
  <c r="K45" i="34"/>
  <c r="H56" i="39"/>
  <c r="G56" i="39" s="1"/>
  <c r="I15" i="34"/>
  <c r="Q57" i="250"/>
  <c r="P57" i="250" s="1"/>
  <c r="K38" i="35"/>
  <c r="I27" i="35"/>
  <c r="I26" i="35" s="1"/>
  <c r="H57" i="39"/>
  <c r="I15" i="35"/>
  <c r="O60" i="37"/>
  <c r="E25" i="114" s="1"/>
  <c r="L26" i="250"/>
  <c r="J37" i="36"/>
  <c r="J36" i="36" s="1"/>
  <c r="H26" i="250"/>
  <c r="H38" i="36"/>
  <c r="C27" i="250"/>
  <c r="H37" i="133"/>
  <c r="H36" i="133" s="1"/>
  <c r="G59" i="154"/>
  <c r="C28" i="250"/>
  <c r="E45" i="135"/>
  <c r="M31" i="37" s="1"/>
  <c r="M29" i="250"/>
  <c r="I13" i="135"/>
  <c r="H61" i="39"/>
  <c r="G61" i="39" s="1"/>
  <c r="H52" i="250"/>
  <c r="I40" i="30"/>
  <c r="D30" i="34"/>
  <c r="I23" i="34" s="1"/>
  <c r="I22" i="34" s="1"/>
  <c r="H23" i="34"/>
  <c r="H22" i="34" s="1"/>
  <c r="L61" i="37"/>
  <c r="B26" i="114" s="1"/>
  <c r="F18" i="200"/>
  <c r="G18" i="200" s="1"/>
  <c r="D61" i="34"/>
  <c r="I15" i="128"/>
  <c r="J44" i="128"/>
  <c r="L14" i="126"/>
  <c r="L55" i="207"/>
  <c r="K29" i="131"/>
  <c r="J53" i="218"/>
  <c r="H56" i="250"/>
  <c r="I45" i="34"/>
  <c r="U28" i="215"/>
  <c r="K38" i="128"/>
  <c r="N50" i="218"/>
  <c r="N54" i="218"/>
  <c r="D19" i="177"/>
  <c r="J55" i="207"/>
  <c r="E30" i="114"/>
  <c r="I30" i="114" s="1"/>
  <c r="I33" i="37"/>
  <c r="F65" i="37"/>
  <c r="E30" i="110" s="1"/>
  <c r="X24" i="215"/>
  <c r="E49" i="30"/>
  <c r="M22" i="37" s="1"/>
  <c r="M20" i="250"/>
  <c r="Q52" i="250"/>
  <c r="P52" i="250" s="1"/>
  <c r="K40" i="30"/>
  <c r="C48" i="31"/>
  <c r="D21" i="250"/>
  <c r="F44" i="31"/>
  <c r="K12" i="31"/>
  <c r="K11" i="31" s="1"/>
  <c r="F51" i="32"/>
  <c r="N56" i="37" s="1"/>
  <c r="D21" i="114" s="1"/>
  <c r="N54" i="250"/>
  <c r="H22" i="250"/>
  <c r="H41" i="32"/>
  <c r="O25" i="37"/>
  <c r="C56" i="33"/>
  <c r="D25" i="37" s="1"/>
  <c r="D23" i="250"/>
  <c r="Q55" i="250"/>
  <c r="P55" i="250" s="1"/>
  <c r="K45" i="33"/>
  <c r="C55" i="39"/>
  <c r="O24" i="250"/>
  <c r="F56" i="34"/>
  <c r="M58" i="37" s="1"/>
  <c r="C23" i="114" s="1"/>
  <c r="M56" i="250"/>
  <c r="Q24" i="250"/>
  <c r="J45" i="34"/>
  <c r="I32" i="34"/>
  <c r="I31" i="34" s="1"/>
  <c r="O25" i="250"/>
  <c r="L57" i="250"/>
  <c r="E44" i="35"/>
  <c r="Q25" i="250"/>
  <c r="P25" i="250" s="1"/>
  <c r="J38" i="35"/>
  <c r="D34" i="35"/>
  <c r="H27" i="35"/>
  <c r="H26" i="35" s="1"/>
  <c r="E47" i="36"/>
  <c r="M28" i="37" s="1"/>
  <c r="M26" i="250"/>
  <c r="C26" i="250"/>
  <c r="C58" i="154"/>
  <c r="G58" i="154" s="1"/>
  <c r="I6" i="36"/>
  <c r="I5" i="36" s="1"/>
  <c r="O59" i="250"/>
  <c r="P59" i="250" s="1"/>
  <c r="Q59" i="250"/>
  <c r="K38" i="133"/>
  <c r="D34" i="133"/>
  <c r="I27" i="133" s="1"/>
  <c r="I26" i="133" s="1"/>
  <c r="H27" i="133"/>
  <c r="H26" i="133" s="1"/>
  <c r="C59" i="154"/>
  <c r="I6" i="133"/>
  <c r="I5" i="133" s="1"/>
  <c r="O60" i="250"/>
  <c r="Q60" i="250"/>
  <c r="P60" i="250" s="1"/>
  <c r="K38" i="134"/>
  <c r="E43" i="134"/>
  <c r="J20" i="134"/>
  <c r="J19" i="134" s="1"/>
  <c r="N28" i="154"/>
  <c r="O28" i="154" s="1"/>
  <c r="J6" i="134"/>
  <c r="J5" i="134" s="1"/>
  <c r="C60" i="154"/>
  <c r="O61" i="250"/>
  <c r="K36" i="135"/>
  <c r="Q61" i="250"/>
  <c r="P61" i="250" s="1"/>
  <c r="H11" i="229"/>
  <c r="J11" i="229" s="1"/>
  <c r="H15" i="229"/>
  <c r="J15" i="229" s="1"/>
  <c r="H8" i="229"/>
  <c r="J8" i="229" s="1"/>
  <c r="C61" i="40"/>
  <c r="E60" i="40"/>
  <c r="C57" i="40"/>
  <c r="E54" i="40"/>
  <c r="C50" i="40"/>
  <c r="E58" i="40"/>
  <c r="E52" i="40"/>
  <c r="E51" i="40"/>
  <c r="G63" i="40"/>
  <c r="H63" i="40"/>
  <c r="E63" i="40"/>
  <c r="F63" i="40"/>
  <c r="C63" i="40"/>
  <c r="D63" i="40"/>
  <c r="C58" i="40"/>
  <c r="C51" i="40"/>
  <c r="E50" i="40"/>
  <c r="E49" i="40"/>
  <c r="E48" i="40"/>
  <c r="E47" i="40"/>
  <c r="E46" i="40"/>
  <c r="E45" i="40"/>
  <c r="E44" i="40"/>
  <c r="H63" i="39"/>
  <c r="C63" i="39"/>
  <c r="D63" i="39"/>
  <c r="G63" i="39"/>
  <c r="E63" i="39"/>
  <c r="F63" i="39"/>
  <c r="AN50" i="37"/>
  <c r="C63" i="154"/>
  <c r="D63" i="154"/>
  <c r="E63" i="154"/>
  <c r="F63" i="154"/>
  <c r="D50" i="40"/>
  <c r="D49" i="40"/>
  <c r="D48" i="40"/>
  <c r="D47" i="40"/>
  <c r="D46" i="40"/>
  <c r="D45" i="40"/>
  <c r="D44" i="40"/>
  <c r="D60" i="40"/>
  <c r="F59" i="40"/>
  <c r="D54" i="40"/>
  <c r="F53" i="40"/>
  <c r="H59" i="40"/>
  <c r="C60" i="40"/>
  <c r="E59" i="40"/>
  <c r="H58" i="40"/>
  <c r="C54" i="40"/>
  <c r="E53" i="40"/>
  <c r="H52" i="40"/>
  <c r="C52" i="40"/>
  <c r="D52" i="40"/>
  <c r="H53" i="40"/>
  <c r="D59" i="40"/>
  <c r="F58" i="40"/>
  <c r="D53" i="40"/>
  <c r="F52" i="40"/>
  <c r="F51" i="40"/>
  <c r="H61" i="40"/>
  <c r="C59" i="40"/>
  <c r="H57" i="40"/>
  <c r="C53" i="40"/>
  <c r="F61" i="40"/>
  <c r="D58" i="40"/>
  <c r="F57" i="40"/>
  <c r="H56" i="40"/>
  <c r="H55" i="40"/>
  <c r="D51" i="40"/>
  <c r="F50" i="40"/>
  <c r="F49" i="40"/>
  <c r="F48" i="40"/>
  <c r="F47" i="40"/>
  <c r="F46" i="40"/>
  <c r="F45" i="40"/>
  <c r="F44" i="40"/>
  <c r="C46" i="40"/>
  <c r="E61" i="40"/>
  <c r="H60" i="40"/>
  <c r="E57" i="40"/>
  <c r="H54" i="40"/>
  <c r="D61" i="40"/>
  <c r="F60" i="40"/>
  <c r="D57" i="40"/>
  <c r="F54" i="40"/>
  <c r="G19" i="40"/>
  <c r="G51" i="40" s="1"/>
  <c r="G18" i="40"/>
  <c r="G50" i="40" s="1"/>
  <c r="G15" i="40"/>
  <c r="G47" i="40" s="1"/>
  <c r="G14" i="40"/>
  <c r="G46" i="40" s="1"/>
  <c r="E65" i="37"/>
  <c r="D30" i="110" s="1"/>
  <c r="C65" i="37"/>
  <c r="B30" i="110" s="1"/>
  <c r="D65" i="37"/>
  <c r="C30" i="110" s="1"/>
  <c r="D17" i="135"/>
  <c r="I12" i="135" s="1"/>
  <c r="I11" i="135" s="1"/>
  <c r="H12" i="135"/>
  <c r="H11" i="135" s="1"/>
  <c r="D33" i="135"/>
  <c r="I29" i="135" s="1"/>
  <c r="I28" i="135" s="1"/>
  <c r="H29" i="135"/>
  <c r="H28" i="135" s="1"/>
  <c r="E41" i="135"/>
  <c r="J35" i="135" s="1"/>
  <c r="J20" i="135"/>
  <c r="J19" i="135" s="1"/>
  <c r="E35" i="135"/>
  <c r="J7" i="135"/>
  <c r="J5" i="135" s="1"/>
  <c r="D24" i="135"/>
  <c r="I20" i="135" s="1"/>
  <c r="I19" i="135" s="1"/>
  <c r="H20" i="135"/>
  <c r="H19" i="135" s="1"/>
  <c r="C44" i="135"/>
  <c r="P61" i="39"/>
  <c r="K12" i="135"/>
  <c r="K11" i="135" s="1"/>
  <c r="D10" i="135"/>
  <c r="H6" i="135"/>
  <c r="H5" i="135" s="1"/>
  <c r="H37" i="35"/>
  <c r="H36" i="35" s="1"/>
  <c r="C46" i="35"/>
  <c r="K39" i="31"/>
  <c r="K38" i="31" s="1"/>
  <c r="E49" i="32"/>
  <c r="L24" i="37" s="1"/>
  <c r="E47" i="31"/>
  <c r="L23" i="37" s="1"/>
  <c r="E24" i="37"/>
  <c r="E21" i="37"/>
  <c r="E14" i="37"/>
  <c r="AF31" i="143"/>
  <c r="P21" i="40"/>
  <c r="C12" i="154"/>
  <c r="D38" i="230"/>
  <c r="Q17" i="203"/>
  <c r="G9" i="91"/>
  <c r="D59" i="131"/>
  <c r="D48" i="31"/>
  <c r="D55" i="37" s="1"/>
  <c r="C20" i="110" s="1"/>
  <c r="L23" i="120"/>
  <c r="W26" i="121"/>
  <c r="C20" i="177"/>
  <c r="C28" i="177"/>
  <c r="W10" i="121"/>
  <c r="D57" i="34"/>
  <c r="M14" i="126"/>
  <c r="C36" i="177"/>
  <c r="G15" i="120"/>
  <c r="C44" i="177"/>
  <c r="E46" i="131"/>
  <c r="C12" i="177"/>
  <c r="E36" i="230"/>
  <c r="G52" i="218"/>
  <c r="J33" i="93"/>
  <c r="G17" i="91"/>
  <c r="E52" i="30"/>
  <c r="O22" i="37" s="1"/>
  <c r="I15" i="218"/>
  <c r="F48" i="31"/>
  <c r="M55" i="37" s="1"/>
  <c r="C20" i="114" s="1"/>
  <c r="D50" i="31"/>
  <c r="C60" i="177"/>
  <c r="C52" i="177"/>
  <c r="I16" i="218"/>
  <c r="E49" i="131"/>
  <c r="O52" i="218"/>
  <c r="I18" i="218"/>
  <c r="C24" i="177"/>
  <c r="L45" i="126"/>
  <c r="E69" i="203"/>
  <c r="I29" i="114"/>
  <c r="L46" i="126"/>
  <c r="E17" i="218"/>
  <c r="M16" i="218"/>
  <c r="D42" i="36"/>
  <c r="G22" i="91"/>
  <c r="L42" i="126"/>
  <c r="G14" i="91"/>
  <c r="L28" i="127"/>
  <c r="D40" i="177"/>
  <c r="D46" i="34"/>
  <c r="D56" i="250" s="1"/>
  <c r="L43" i="126"/>
  <c r="M18" i="218"/>
  <c r="L28" i="120"/>
  <c r="I15" i="126"/>
  <c r="C32" i="177"/>
  <c r="C16" i="177"/>
  <c r="R43" i="203"/>
  <c r="D40" i="32"/>
  <c r="E18" i="218"/>
  <c r="F61" i="33"/>
  <c r="I10" i="126"/>
  <c r="L23" i="127"/>
  <c r="R36" i="203"/>
  <c r="E19" i="218"/>
  <c r="C64" i="177"/>
  <c r="E14" i="218"/>
  <c r="E16" i="218"/>
  <c r="G28" i="120"/>
  <c r="AI40" i="203"/>
  <c r="B41" i="229"/>
  <c r="E41" i="229" s="1"/>
  <c r="C53" i="218"/>
  <c r="C48" i="177"/>
  <c r="D56" i="177"/>
  <c r="C52" i="218"/>
  <c r="C49" i="218"/>
  <c r="L49" i="126"/>
  <c r="C56" i="34"/>
  <c r="D26" i="37" s="1"/>
  <c r="F22" i="37"/>
  <c r="O22" i="80"/>
  <c r="C51" i="218"/>
  <c r="C50" i="218"/>
  <c r="C15" i="39"/>
  <c r="H41" i="214"/>
  <c r="H45" i="214" s="1"/>
  <c r="N557" i="179"/>
  <c r="H8" i="214"/>
  <c r="H12" i="214" s="1"/>
  <c r="L32" i="215"/>
  <c r="L26" i="215"/>
  <c r="R53" i="37"/>
  <c r="P27" i="39"/>
  <c r="H30" i="214"/>
  <c r="H34" i="214" s="1"/>
  <c r="H64" i="214"/>
  <c r="H68" i="214" s="1"/>
  <c r="F24" i="229"/>
  <c r="B35" i="229"/>
  <c r="E35" i="229" s="1"/>
  <c r="I449" i="179"/>
  <c r="I398" i="179"/>
  <c r="I440" i="179"/>
  <c r="I448" i="179"/>
  <c r="I445" i="179"/>
  <c r="I446" i="179"/>
  <c r="N394" i="179"/>
  <c r="O388" i="179" s="1"/>
  <c r="N611" i="179"/>
  <c r="L506" i="179"/>
  <c r="L507" i="179"/>
  <c r="N576" i="179"/>
  <c r="N451" i="179"/>
  <c r="O435" i="179" s="1"/>
  <c r="L370" i="179"/>
  <c r="L559" i="179"/>
  <c r="L560" i="179"/>
  <c r="N592" i="179"/>
  <c r="O580" i="179" s="1"/>
  <c r="L520" i="179"/>
  <c r="L519" i="179"/>
  <c r="O611" i="179"/>
  <c r="L579" i="179"/>
  <c r="L580" i="179"/>
  <c r="O507" i="179"/>
  <c r="O506" i="179"/>
  <c r="I389" i="179"/>
  <c r="O175" i="179"/>
  <c r="L611" i="179"/>
  <c r="N535" i="179"/>
  <c r="I391" i="179"/>
  <c r="O176" i="179"/>
  <c r="N34" i="218"/>
  <c r="N32" i="218"/>
  <c r="D49" i="218"/>
  <c r="L49" i="218"/>
  <c r="O32" i="218"/>
  <c r="N14" i="218"/>
  <c r="N31" i="218"/>
  <c r="H53" i="218"/>
  <c r="L54" i="218"/>
  <c r="O31" i="218"/>
  <c r="C54" i="218"/>
  <c r="H51" i="218"/>
  <c r="M15" i="218"/>
  <c r="M14" i="218"/>
  <c r="E19" i="131"/>
  <c r="H74" i="131"/>
  <c r="H72" i="131"/>
  <c r="D25" i="131"/>
  <c r="E17" i="131"/>
  <c r="H73" i="131"/>
  <c r="E21" i="131"/>
  <c r="H70" i="131"/>
  <c r="H46" i="131"/>
  <c r="H75" i="131"/>
  <c r="H69" i="131"/>
  <c r="E51" i="131"/>
  <c r="E48" i="131"/>
  <c r="E12" i="131"/>
  <c r="E20" i="131"/>
  <c r="E14" i="131"/>
  <c r="H53" i="131"/>
  <c r="H49" i="131"/>
  <c r="H52" i="131"/>
  <c r="J68" i="198"/>
  <c r="V36" i="215"/>
  <c r="V27" i="215"/>
  <c r="X30" i="215"/>
  <c r="X23" i="215"/>
  <c r="L17" i="215"/>
  <c r="U11" i="215"/>
  <c r="U33" i="215"/>
  <c r="U18" i="215"/>
  <c r="V11" i="215"/>
  <c r="N40" i="215"/>
  <c r="W8" i="215"/>
  <c r="L16" i="215"/>
  <c r="V12" i="215"/>
  <c r="V17" i="215"/>
  <c r="V23" i="215"/>
  <c r="U7" i="215"/>
  <c r="U29" i="215"/>
  <c r="U26" i="215"/>
  <c r="W9" i="215"/>
  <c r="W16" i="215"/>
  <c r="U36" i="215"/>
  <c r="L31" i="215"/>
  <c r="W20" i="215"/>
  <c r="U27" i="215"/>
  <c r="U24" i="215"/>
  <c r="W13" i="215"/>
  <c r="V13" i="215"/>
  <c r="V14" i="215"/>
  <c r="L36" i="215"/>
  <c r="L33" i="215"/>
  <c r="L30" i="215"/>
  <c r="L24" i="215"/>
  <c r="L7" i="215"/>
  <c r="L10" i="215"/>
  <c r="Y30" i="215"/>
  <c r="U12" i="215"/>
  <c r="U13" i="215"/>
  <c r="U25" i="215"/>
  <c r="O40" i="215"/>
  <c r="V10" i="215"/>
  <c r="V7" i="215"/>
  <c r="U17" i="215"/>
  <c r="U34" i="215"/>
  <c r="L29" i="215"/>
  <c r="L13" i="215"/>
  <c r="D10" i="120"/>
  <c r="B38" i="229"/>
  <c r="E38" i="229" s="1"/>
  <c r="B37" i="229"/>
  <c r="E37" i="229" s="1"/>
  <c r="S67" i="221"/>
  <c r="J67" i="221"/>
  <c r="M47" i="127"/>
  <c r="M46" i="127"/>
  <c r="M26" i="127"/>
  <c r="N15" i="127"/>
  <c r="M49" i="127"/>
  <c r="M43" i="127"/>
  <c r="L45" i="127"/>
  <c r="K68" i="198"/>
  <c r="J40" i="111"/>
  <c r="L554" i="179"/>
  <c r="L557" i="179" s="1"/>
  <c r="I441" i="179"/>
  <c r="I437" i="179"/>
  <c r="N370" i="179"/>
  <c r="O365" i="179" s="1"/>
  <c r="N362" i="179"/>
  <c r="O352" i="179" s="1"/>
  <c r="L292" i="179"/>
  <c r="I442" i="179"/>
  <c r="I443" i="179"/>
  <c r="L530" i="179"/>
  <c r="L535" i="179" s="1"/>
  <c r="I390" i="179"/>
  <c r="I376" i="179"/>
  <c r="I224" i="179"/>
  <c r="O559" i="179"/>
  <c r="I388" i="179"/>
  <c r="L176" i="179"/>
  <c r="I294" i="179"/>
  <c r="I367" i="179"/>
  <c r="I292" i="179"/>
  <c r="I375" i="179"/>
  <c r="I297" i="179"/>
  <c r="I295" i="179"/>
  <c r="O553" i="179"/>
  <c r="L435" i="179"/>
  <c r="L451" i="179" s="1"/>
  <c r="L190" i="179"/>
  <c r="I365" i="179"/>
  <c r="I399" i="179"/>
  <c r="I447" i="179"/>
  <c r="I293" i="179"/>
  <c r="I299" i="179"/>
  <c r="N468" i="179"/>
  <c r="O457" i="179" s="1"/>
  <c r="I364" i="179"/>
  <c r="W25" i="215"/>
  <c r="K12" i="131"/>
  <c r="J15" i="218"/>
  <c r="O292" i="179"/>
  <c r="I78" i="203"/>
  <c r="I66" i="203"/>
  <c r="O68" i="203"/>
  <c r="O71" i="203"/>
  <c r="E50" i="203"/>
  <c r="E39" i="203"/>
  <c r="N52" i="170"/>
  <c r="D26" i="120"/>
  <c r="G26" i="120"/>
  <c r="D14" i="120"/>
  <c r="L14" i="120"/>
  <c r="C12" i="40"/>
  <c r="C44" i="40" s="1"/>
  <c r="F44" i="135"/>
  <c r="L63" i="37" s="1"/>
  <c r="B28" i="114" s="1"/>
  <c r="C43" i="135"/>
  <c r="N9" i="48"/>
  <c r="C14" i="48"/>
  <c r="N14" i="48" s="1"/>
  <c r="L28" i="128"/>
  <c r="F14" i="200"/>
  <c r="G14" i="200" s="1"/>
  <c r="J32" i="93"/>
  <c r="N51" i="207"/>
  <c r="E55" i="131"/>
  <c r="D53" i="218"/>
  <c r="D51" i="218"/>
  <c r="H50" i="218"/>
  <c r="L51" i="218"/>
  <c r="J11" i="128"/>
  <c r="E54" i="131"/>
  <c r="C33" i="177"/>
  <c r="W34" i="215"/>
  <c r="L422" i="179"/>
  <c r="F15" i="218"/>
  <c r="Q64" i="203"/>
  <c r="Q61" i="203"/>
  <c r="V20" i="215"/>
  <c r="V8" i="215"/>
  <c r="V9" i="215"/>
  <c r="F48" i="36"/>
  <c r="N60" i="37" s="1"/>
  <c r="D25" i="114" s="1"/>
  <c r="C46" i="36"/>
  <c r="F43" i="36"/>
  <c r="N27" i="154"/>
  <c r="O27" i="154" s="1"/>
  <c r="U12" i="48"/>
  <c r="W33" i="215"/>
  <c r="W27" i="215"/>
  <c r="L34" i="128"/>
  <c r="J19" i="218"/>
  <c r="J16" i="218"/>
  <c r="D17" i="177"/>
  <c r="C17" i="177"/>
  <c r="I354" i="179"/>
  <c r="I355" i="179"/>
  <c r="I352" i="179"/>
  <c r="I358" i="179"/>
  <c r="D30" i="37"/>
  <c r="J51" i="207"/>
  <c r="E47" i="131"/>
  <c r="O554" i="179"/>
  <c r="U8" i="48"/>
  <c r="E64" i="203"/>
  <c r="W32" i="215"/>
  <c r="Q11" i="203"/>
  <c r="Q9" i="203"/>
  <c r="J18" i="218"/>
  <c r="F16" i="37"/>
  <c r="O299" i="179"/>
  <c r="P29" i="40"/>
  <c r="E30" i="33"/>
  <c r="J23" i="33" s="1"/>
  <c r="J22" i="33" s="1"/>
  <c r="E24" i="40"/>
  <c r="E56" i="40" s="1"/>
  <c r="E47" i="35"/>
  <c r="N27" i="37" s="1"/>
  <c r="F44" i="35"/>
  <c r="E42" i="35"/>
  <c r="J37" i="35" s="1"/>
  <c r="J36" i="35" s="1"/>
  <c r="D50" i="30"/>
  <c r="E54" i="37" s="1"/>
  <c r="D19" i="110" s="1"/>
  <c r="N432" i="179"/>
  <c r="O422" i="179" s="1"/>
  <c r="H32" i="229"/>
  <c r="D44" i="32"/>
  <c r="F54" i="250" s="1"/>
  <c r="O61" i="154"/>
  <c r="P26" i="40"/>
  <c r="U13" i="48"/>
  <c r="AD31" i="143"/>
  <c r="G58" i="127"/>
  <c r="O529" i="179"/>
  <c r="D58" i="34"/>
  <c r="D39" i="35"/>
  <c r="E57" i="250" s="1"/>
  <c r="D39" i="133"/>
  <c r="D59" i="250" s="1"/>
  <c r="K11" i="203"/>
  <c r="K19" i="203"/>
  <c r="K10" i="203"/>
  <c r="S69" i="203"/>
  <c r="S64" i="203"/>
  <c r="E50" i="30"/>
  <c r="N22" i="37" s="1"/>
  <c r="H23" i="37"/>
  <c r="E53" i="32"/>
  <c r="O24" i="37" s="1"/>
  <c r="F49" i="32"/>
  <c r="L56" i="37" s="1"/>
  <c r="E56" i="33"/>
  <c r="M25" i="37" s="1"/>
  <c r="J69" i="203"/>
  <c r="J76" i="203"/>
  <c r="AE53" i="203"/>
  <c r="K52" i="203" s="1"/>
  <c r="O23" i="203"/>
  <c r="O13" i="203"/>
  <c r="AA27" i="203"/>
  <c r="G12" i="203" s="1"/>
  <c r="C35" i="203"/>
  <c r="I377" i="179"/>
  <c r="O10" i="203"/>
  <c r="O12" i="203"/>
  <c r="J64" i="203"/>
  <c r="F29" i="154"/>
  <c r="G63" i="203"/>
  <c r="O14" i="203"/>
  <c r="D46" i="31"/>
  <c r="G75" i="203"/>
  <c r="S61" i="203"/>
  <c r="AA13" i="143"/>
  <c r="AA25" i="143"/>
  <c r="AA33" i="143" s="1"/>
  <c r="AA15" i="143"/>
  <c r="AJ115" i="203"/>
  <c r="N68" i="198"/>
  <c r="G25" i="198"/>
  <c r="K45" i="126"/>
  <c r="K43" i="126"/>
  <c r="I20" i="93"/>
  <c r="I22" i="93"/>
  <c r="K43" i="127"/>
  <c r="L26" i="127"/>
  <c r="L29" i="127"/>
  <c r="L24" i="127"/>
  <c r="G49" i="170"/>
  <c r="G48" i="170"/>
  <c r="W11" i="215"/>
  <c r="W10" i="215"/>
  <c r="L46" i="128"/>
  <c r="L49" i="128"/>
  <c r="I36" i="128"/>
  <c r="I38" i="128"/>
  <c r="I25" i="128"/>
  <c r="B56" i="128"/>
  <c r="K11" i="128"/>
  <c r="K13" i="128"/>
  <c r="K16" i="128"/>
  <c r="H54" i="131"/>
  <c r="H47" i="131"/>
  <c r="H55" i="131"/>
  <c r="L19" i="120"/>
  <c r="D19" i="120"/>
  <c r="O23" i="121"/>
  <c r="W23" i="121"/>
  <c r="R23" i="121"/>
  <c r="C16" i="39"/>
  <c r="C16" i="154"/>
  <c r="F16" i="154"/>
  <c r="E54" i="34"/>
  <c r="E49" i="34"/>
  <c r="N24" i="250" s="1"/>
  <c r="F21" i="34"/>
  <c r="K14" i="34" s="1"/>
  <c r="K13" i="34" s="1"/>
  <c r="M56" i="154"/>
  <c r="D7" i="34"/>
  <c r="C56" i="154" s="1"/>
  <c r="C24" i="154"/>
  <c r="C45" i="34"/>
  <c r="C24" i="250" s="1"/>
  <c r="E46" i="35"/>
  <c r="M27" i="37" s="1"/>
  <c r="E46" i="36"/>
  <c r="D37" i="134"/>
  <c r="D38" i="134"/>
  <c r="B75" i="126"/>
  <c r="I69" i="126" s="1"/>
  <c r="H22" i="37"/>
  <c r="D53" i="32"/>
  <c r="H16" i="37"/>
  <c r="D42" i="31"/>
  <c r="F49" i="34"/>
  <c r="N56" i="250" s="1"/>
  <c r="M36" i="127"/>
  <c r="J78" i="203"/>
  <c r="D15" i="120"/>
  <c r="D16" i="91"/>
  <c r="I16" i="91" s="1"/>
  <c r="V67" i="221"/>
  <c r="L44" i="128"/>
  <c r="C45" i="203"/>
  <c r="T28" i="215"/>
  <c r="L15" i="126"/>
  <c r="L10" i="126"/>
  <c r="C12" i="34"/>
  <c r="H6" i="34" s="1"/>
  <c r="H5" i="34" s="1"/>
  <c r="D40" i="35"/>
  <c r="AG40" i="203"/>
  <c r="AG53" i="203" s="1"/>
  <c r="M40" i="203" s="1"/>
  <c r="I22" i="128"/>
  <c r="O26" i="203"/>
  <c r="W18" i="215"/>
  <c r="W7" i="215"/>
  <c r="N50" i="154"/>
  <c r="I37" i="128"/>
  <c r="L48" i="128"/>
  <c r="G19" i="120"/>
  <c r="C36" i="203"/>
  <c r="C13" i="40"/>
  <c r="C45" i="40" s="1"/>
  <c r="H48" i="131"/>
  <c r="G76" i="203"/>
  <c r="AA23" i="143"/>
  <c r="AJ47" i="37"/>
  <c r="O16" i="203"/>
  <c r="K46" i="126"/>
  <c r="I382" i="179"/>
  <c r="L50" i="154"/>
  <c r="AA14" i="143"/>
  <c r="AJ50" i="37"/>
  <c r="U9" i="48"/>
  <c r="AC31" i="143"/>
  <c r="J42" i="126"/>
  <c r="J47" i="126"/>
  <c r="O52" i="170"/>
  <c r="W24" i="215"/>
  <c r="W29" i="215"/>
  <c r="W26" i="215"/>
  <c r="I360" i="179"/>
  <c r="I356" i="179"/>
  <c r="I357" i="179"/>
  <c r="I222" i="179"/>
  <c r="I226" i="179"/>
  <c r="F34" i="215"/>
  <c r="L34" i="215" s="1"/>
  <c r="F55" i="34"/>
  <c r="L58" i="37" s="1"/>
  <c r="B23" i="114" s="1"/>
  <c r="E10" i="31"/>
  <c r="D38" i="31"/>
  <c r="D37" i="133"/>
  <c r="I28" i="128"/>
  <c r="T25" i="215"/>
  <c r="M37" i="127"/>
  <c r="J72" i="203"/>
  <c r="R26" i="121"/>
  <c r="P67" i="221"/>
  <c r="L47" i="128"/>
  <c r="S78" i="203"/>
  <c r="I368" i="179"/>
  <c r="K12" i="128"/>
  <c r="T24" i="215"/>
  <c r="D40" i="133"/>
  <c r="E59" i="250" s="1"/>
  <c r="L17" i="126"/>
  <c r="R50" i="37"/>
  <c r="M22" i="111"/>
  <c r="I23" i="128"/>
  <c r="G23" i="120"/>
  <c r="O11" i="203"/>
  <c r="P40" i="215"/>
  <c r="D39" i="135"/>
  <c r="F61" i="250" s="1"/>
  <c r="I33" i="128"/>
  <c r="W30" i="215"/>
  <c r="I24" i="229"/>
  <c r="D40" i="31"/>
  <c r="D53" i="250" s="1"/>
  <c r="C24" i="229"/>
  <c r="U11" i="48"/>
  <c r="H51" i="131"/>
  <c r="W23" i="215"/>
  <c r="L214" i="179"/>
  <c r="F30" i="33"/>
  <c r="K23" i="33" s="1"/>
  <c r="K22" i="33" s="1"/>
  <c r="C49" i="35"/>
  <c r="AA22" i="143"/>
  <c r="L219" i="179"/>
  <c r="K21" i="154"/>
  <c r="M38" i="127"/>
  <c r="J49" i="126"/>
  <c r="I379" i="179"/>
  <c r="E23" i="39"/>
  <c r="J73" i="203"/>
  <c r="I359" i="179"/>
  <c r="I223" i="179"/>
  <c r="K15" i="128"/>
  <c r="W36" i="215"/>
  <c r="H14" i="93"/>
  <c r="AJ53" i="37"/>
  <c r="R49" i="37"/>
  <c r="P28" i="39"/>
  <c r="AJ52" i="37"/>
  <c r="P21" i="39"/>
  <c r="P19" i="39"/>
  <c r="P12" i="39"/>
  <c r="J14" i="48"/>
  <c r="U14" i="48" s="1"/>
  <c r="H14" i="111"/>
  <c r="AD32" i="143"/>
  <c r="AM120" i="203"/>
  <c r="K26" i="128"/>
  <c r="K22" i="128"/>
  <c r="G25" i="120"/>
  <c r="D25" i="120"/>
  <c r="L17" i="120"/>
  <c r="D17" i="120"/>
  <c r="E49" i="33"/>
  <c r="F45" i="36"/>
  <c r="N26" i="154"/>
  <c r="O26" i="154" s="1"/>
  <c r="L8" i="215"/>
  <c r="G28" i="40"/>
  <c r="G60" i="40" s="1"/>
  <c r="P25" i="40"/>
  <c r="P20" i="40"/>
  <c r="G20" i="40"/>
  <c r="G52" i="40" s="1"/>
  <c r="P18" i="40"/>
  <c r="P15" i="40"/>
  <c r="W105" i="203"/>
  <c r="AG27" i="203"/>
  <c r="M20" i="203" s="1"/>
  <c r="K13" i="203"/>
  <c r="K26" i="203"/>
  <c r="M65" i="203"/>
  <c r="K21" i="203"/>
  <c r="K23" i="203"/>
  <c r="Q69" i="203"/>
  <c r="I73" i="203"/>
  <c r="I11" i="203"/>
  <c r="R39" i="203"/>
  <c r="Q63" i="203"/>
  <c r="I64" i="203"/>
  <c r="Q20" i="203"/>
  <c r="Q23" i="203"/>
  <c r="I68" i="203"/>
  <c r="Q75" i="203"/>
  <c r="O78" i="203"/>
  <c r="I12" i="203"/>
  <c r="E36" i="203"/>
  <c r="E71" i="203"/>
  <c r="Q21" i="203"/>
  <c r="I62" i="203"/>
  <c r="M72" i="203"/>
  <c r="M63" i="203"/>
  <c r="P10" i="203"/>
  <c r="P11" i="203"/>
  <c r="R76" i="203"/>
  <c r="R62" i="203"/>
  <c r="R61" i="203"/>
  <c r="R69" i="203"/>
  <c r="R63" i="203"/>
  <c r="F73" i="203"/>
  <c r="F78" i="203"/>
  <c r="F71" i="203"/>
  <c r="L76" i="203"/>
  <c r="L78" i="203"/>
  <c r="AM52" i="203"/>
  <c r="J50" i="203"/>
  <c r="J43" i="203"/>
  <c r="J37" i="203"/>
  <c r="F35" i="203"/>
  <c r="F38" i="203"/>
  <c r="F45" i="203"/>
  <c r="F43" i="203"/>
  <c r="F52" i="203"/>
  <c r="F37" i="203"/>
  <c r="F50" i="203"/>
  <c r="F49" i="203"/>
  <c r="R14" i="203"/>
  <c r="R17" i="203"/>
  <c r="R27" i="203"/>
  <c r="R23" i="203"/>
  <c r="R13" i="203"/>
  <c r="R21" i="203"/>
  <c r="R19" i="203"/>
  <c r="R10" i="203"/>
  <c r="R16" i="203"/>
  <c r="AH27" i="203"/>
  <c r="N13" i="203" s="1"/>
  <c r="AJ40" i="203"/>
  <c r="AJ53" i="203" s="1"/>
  <c r="P40" i="203" s="1"/>
  <c r="R64" i="203"/>
  <c r="K20" i="203"/>
  <c r="O69" i="203"/>
  <c r="E38" i="203"/>
  <c r="K14" i="203"/>
  <c r="K16" i="203"/>
  <c r="Q71" i="203"/>
  <c r="Q68" i="203"/>
  <c r="Q65" i="203"/>
  <c r="I61" i="203"/>
  <c r="R50" i="203"/>
  <c r="I76" i="203"/>
  <c r="K9" i="203"/>
  <c r="E76" i="203"/>
  <c r="O75" i="203"/>
  <c r="Q76" i="203"/>
  <c r="R47" i="203"/>
  <c r="E45" i="203"/>
  <c r="Q19" i="203"/>
  <c r="Q14" i="203"/>
  <c r="I72" i="203"/>
  <c r="Q12" i="203"/>
  <c r="K17" i="203"/>
  <c r="K12" i="203"/>
  <c r="K24" i="203"/>
  <c r="E75" i="203"/>
  <c r="Q66" i="203"/>
  <c r="AI117" i="203"/>
  <c r="O61" i="203"/>
  <c r="I69" i="203"/>
  <c r="I71" i="203"/>
  <c r="R53" i="203"/>
  <c r="E52" i="203"/>
  <c r="I63" i="203"/>
  <c r="R35" i="203"/>
  <c r="E72" i="203"/>
  <c r="Q10" i="203"/>
  <c r="Y117" i="203"/>
  <c r="Q13" i="203"/>
  <c r="E35" i="203"/>
  <c r="I65" i="203"/>
  <c r="L72" i="203"/>
  <c r="M76" i="203"/>
  <c r="M75" i="203"/>
  <c r="M73" i="203"/>
  <c r="J39" i="203"/>
  <c r="J45" i="203"/>
  <c r="J52" i="203"/>
  <c r="J49" i="203"/>
  <c r="L75" i="203"/>
  <c r="L63" i="203"/>
  <c r="M62" i="203"/>
  <c r="J35" i="203"/>
  <c r="J38" i="203"/>
  <c r="J36" i="203"/>
  <c r="J65" i="203"/>
  <c r="J71" i="203"/>
  <c r="S72" i="203"/>
  <c r="H64" i="203"/>
  <c r="O19" i="203"/>
  <c r="O21" i="203"/>
  <c r="C47" i="203"/>
  <c r="S71" i="203"/>
  <c r="J75" i="203"/>
  <c r="J63" i="203"/>
  <c r="L73" i="203"/>
  <c r="L62" i="203"/>
  <c r="J47" i="203"/>
  <c r="J46" i="203"/>
  <c r="R26" i="203"/>
  <c r="C39" i="203"/>
  <c r="S63" i="203"/>
  <c r="J61" i="203"/>
  <c r="C46" i="203"/>
  <c r="F76" i="203"/>
  <c r="R73" i="203"/>
  <c r="O24" i="203"/>
  <c r="O9" i="203"/>
  <c r="C40" i="203"/>
  <c r="C42" i="203"/>
  <c r="F62" i="203"/>
  <c r="C52" i="203"/>
  <c r="F40" i="203"/>
  <c r="G71" i="203"/>
  <c r="F46" i="203"/>
  <c r="J66" i="203"/>
  <c r="J26" i="203"/>
  <c r="J10" i="203"/>
  <c r="J16" i="203"/>
  <c r="AD130" i="203"/>
  <c r="J115" i="203" s="1"/>
  <c r="J17" i="203"/>
  <c r="J20" i="203"/>
  <c r="D15" i="37"/>
  <c r="Q34" i="193"/>
  <c r="Q31" i="193"/>
  <c r="I22" i="80"/>
  <c r="U19" i="80" s="1"/>
  <c r="Z31" i="143"/>
  <c r="AE31" i="143"/>
  <c r="AP35" i="95"/>
  <c r="K69" i="203"/>
  <c r="K62" i="203"/>
  <c r="K73" i="203"/>
  <c r="K61" i="203"/>
  <c r="K76" i="203"/>
  <c r="K65" i="203"/>
  <c r="K68" i="203"/>
  <c r="K63" i="203"/>
  <c r="K78" i="203"/>
  <c r="K71" i="203"/>
  <c r="K72" i="203"/>
  <c r="K75" i="203"/>
  <c r="H61" i="203"/>
  <c r="H78" i="203"/>
  <c r="H63" i="203"/>
  <c r="H72" i="203"/>
  <c r="H76" i="203"/>
  <c r="H69" i="203"/>
  <c r="H65" i="203"/>
  <c r="H66" i="203"/>
  <c r="H62" i="203"/>
  <c r="H71" i="203"/>
  <c r="H73" i="203"/>
  <c r="H68" i="203"/>
  <c r="AH79" i="203"/>
  <c r="Q35" i="203"/>
  <c r="Q47" i="203"/>
  <c r="AK130" i="203"/>
  <c r="Q112" i="203" s="1"/>
  <c r="Q38" i="203"/>
  <c r="Q40" i="203"/>
  <c r="Q49" i="203"/>
  <c r="Q45" i="203"/>
  <c r="Q43" i="203"/>
  <c r="Q36" i="203"/>
  <c r="Q42" i="203"/>
  <c r="Q39" i="203"/>
  <c r="Q46" i="203"/>
  <c r="Q52" i="203"/>
  <c r="AF53" i="203"/>
  <c r="AF130" i="203" s="1"/>
  <c r="AF117" i="203"/>
  <c r="D46" i="203"/>
  <c r="D49" i="203"/>
  <c r="D50" i="203"/>
  <c r="D52" i="203"/>
  <c r="D35" i="203"/>
  <c r="D45" i="203"/>
  <c r="D37" i="203"/>
  <c r="D38" i="203"/>
  <c r="AH40" i="203"/>
  <c r="AH117" i="203" s="1"/>
  <c r="AH115" i="203"/>
  <c r="AM27" i="203"/>
  <c r="S27" i="203" s="1"/>
  <c r="AM117" i="203"/>
  <c r="AU14" i="203"/>
  <c r="L13" i="203"/>
  <c r="L21" i="203"/>
  <c r="L24" i="203"/>
  <c r="L26" i="203"/>
  <c r="H10" i="203"/>
  <c r="H13" i="203"/>
  <c r="H20" i="203"/>
  <c r="H11" i="203"/>
  <c r="H26" i="203"/>
  <c r="H19" i="203"/>
  <c r="H17" i="203"/>
  <c r="H24" i="203"/>
  <c r="H9" i="203"/>
  <c r="E29" i="131"/>
  <c r="E38" i="131"/>
  <c r="E33" i="131"/>
  <c r="E34" i="131"/>
  <c r="E37" i="131"/>
  <c r="E32" i="131"/>
  <c r="E36" i="131"/>
  <c r="E30" i="131"/>
  <c r="E35" i="131"/>
  <c r="E31" i="131"/>
  <c r="D42" i="131"/>
  <c r="M54" i="218"/>
  <c r="M49" i="218"/>
  <c r="M55" i="218"/>
  <c r="M52" i="218"/>
  <c r="M51" i="218"/>
  <c r="M50" i="218"/>
  <c r="I54" i="218"/>
  <c r="I49" i="218"/>
  <c r="I53" i="218"/>
  <c r="I52" i="218"/>
  <c r="I51" i="218"/>
  <c r="I50" i="218"/>
  <c r="E54" i="218"/>
  <c r="E49" i="218"/>
  <c r="E52" i="218"/>
  <c r="E55" i="218"/>
  <c r="E51" i="218"/>
  <c r="E50" i="218"/>
  <c r="O16" i="218"/>
  <c r="O18" i="218"/>
  <c r="O17" i="218"/>
  <c r="O19" i="218"/>
  <c r="O15" i="218"/>
  <c r="K14" i="218"/>
  <c r="K19" i="218"/>
  <c r="K16" i="218"/>
  <c r="K18" i="218"/>
  <c r="K15" i="218"/>
  <c r="K17" i="218"/>
  <c r="G14" i="218"/>
  <c r="G16" i="218"/>
  <c r="G15" i="218"/>
  <c r="G18" i="218"/>
  <c r="G17" i="218"/>
  <c r="C15" i="218"/>
  <c r="C14" i="218"/>
  <c r="C16" i="218"/>
  <c r="C18" i="218"/>
  <c r="C19" i="218"/>
  <c r="D66" i="177"/>
  <c r="C66" i="177"/>
  <c r="D62" i="177"/>
  <c r="C62" i="177"/>
  <c r="D58" i="177"/>
  <c r="C58" i="177"/>
  <c r="C54" i="177"/>
  <c r="D54" i="177"/>
  <c r="D50" i="177"/>
  <c r="C50" i="177"/>
  <c r="C46" i="177"/>
  <c r="D46" i="177"/>
  <c r="C42" i="177"/>
  <c r="D42" i="177"/>
  <c r="C38" i="177"/>
  <c r="D38" i="177"/>
  <c r="D34" i="177"/>
  <c r="C34" i="177"/>
  <c r="C30" i="177"/>
  <c r="D30" i="177"/>
  <c r="D26" i="177"/>
  <c r="C26" i="177"/>
  <c r="D22" i="177"/>
  <c r="C22" i="177"/>
  <c r="C18" i="177"/>
  <c r="D18" i="177"/>
  <c r="C14" i="177"/>
  <c r="D14" i="177"/>
  <c r="H12" i="203"/>
  <c r="C17" i="218"/>
  <c r="K64" i="203"/>
  <c r="O569" i="179"/>
  <c r="O568" i="179"/>
  <c r="N541" i="179"/>
  <c r="O537" i="179"/>
  <c r="O538" i="179"/>
  <c r="L13" i="39"/>
  <c r="P13" i="39" s="1"/>
  <c r="D19" i="154"/>
  <c r="F50" i="30"/>
  <c r="N54" i="37" s="1"/>
  <c r="D19" i="114" s="1"/>
  <c r="E48" i="30"/>
  <c r="N25" i="154"/>
  <c r="O25" i="154" s="1"/>
  <c r="R48" i="37"/>
  <c r="L69" i="203"/>
  <c r="L68" i="203"/>
  <c r="L64" i="203"/>
  <c r="L61" i="203"/>
  <c r="AJ48" i="37"/>
  <c r="G29" i="39"/>
  <c r="G28" i="39"/>
  <c r="G13" i="39"/>
  <c r="C25" i="37"/>
  <c r="V15" i="48"/>
  <c r="V8" i="48"/>
  <c r="V12" i="48"/>
  <c r="V9" i="48"/>
  <c r="L71" i="203"/>
  <c r="L66" i="203"/>
  <c r="L65" i="203"/>
  <c r="G26" i="93"/>
  <c r="W27" i="203"/>
  <c r="C14" i="203" s="1"/>
  <c r="F58" i="127"/>
  <c r="N24" i="154"/>
  <c r="P28" i="40"/>
  <c r="P27" i="40"/>
  <c r="G26" i="40"/>
  <c r="G58" i="40" s="1"/>
  <c r="P22" i="40"/>
  <c r="G22" i="40"/>
  <c r="G54" i="40" s="1"/>
  <c r="P19" i="40"/>
  <c r="V11" i="48"/>
  <c r="F36" i="203"/>
  <c r="F39" i="203"/>
  <c r="F42" i="203"/>
  <c r="AR12" i="203"/>
  <c r="R24" i="203"/>
  <c r="R11" i="203"/>
  <c r="C17" i="39"/>
  <c r="G17" i="39" s="1"/>
  <c r="F43" i="133"/>
  <c r="K37" i="133" s="1"/>
  <c r="K36" i="133" s="1"/>
  <c r="D48" i="134"/>
  <c r="E62" i="37" s="1"/>
  <c r="D27" i="110" s="1"/>
  <c r="D59" i="126"/>
  <c r="K52" i="126" s="1"/>
  <c r="J31" i="93"/>
  <c r="B40" i="229"/>
  <c r="E40" i="229" s="1"/>
  <c r="N23" i="40"/>
  <c r="P23" i="40" s="1"/>
  <c r="D27" i="37"/>
  <c r="E68" i="203"/>
  <c r="O76" i="203"/>
  <c r="G53" i="214"/>
  <c r="G57" i="214" s="1"/>
  <c r="O530" i="179"/>
  <c r="B43" i="229"/>
  <c r="G43" i="229" s="1"/>
  <c r="N81" i="198"/>
  <c r="G14" i="198"/>
  <c r="F59" i="126"/>
  <c r="M55" i="126" s="1"/>
  <c r="B59" i="126"/>
  <c r="I54" i="126" s="1"/>
  <c r="E39" i="126"/>
  <c r="L72" i="126" s="1"/>
  <c r="H22" i="93"/>
  <c r="H21" i="93"/>
  <c r="H23" i="93"/>
  <c r="G11" i="93"/>
  <c r="B36" i="93"/>
  <c r="G13" i="93"/>
  <c r="N48" i="127"/>
  <c r="N46" i="127"/>
  <c r="N47" i="127"/>
  <c r="N44" i="127"/>
  <c r="L36" i="127"/>
  <c r="L33" i="127"/>
  <c r="L35" i="127"/>
  <c r="L37" i="127"/>
  <c r="L38" i="127"/>
  <c r="L34" i="127"/>
  <c r="K24" i="127"/>
  <c r="K23" i="127"/>
  <c r="K26" i="127"/>
  <c r="E52" i="170"/>
  <c r="H48" i="170" s="1"/>
  <c r="I43" i="128"/>
  <c r="I47" i="128"/>
  <c r="I49" i="128"/>
  <c r="I48" i="128"/>
  <c r="I44" i="128"/>
  <c r="J37" i="128"/>
  <c r="J33" i="128"/>
  <c r="J38" i="128"/>
  <c r="J28" i="128"/>
  <c r="J27" i="128"/>
  <c r="J26" i="128"/>
  <c r="J25" i="128"/>
  <c r="J24" i="128"/>
  <c r="C56" i="128"/>
  <c r="J22" i="128"/>
  <c r="L16" i="128"/>
  <c r="L13" i="128"/>
  <c r="L15" i="128"/>
  <c r="L12" i="128"/>
  <c r="L14" i="128"/>
  <c r="E53" i="128"/>
  <c r="H30" i="131"/>
  <c r="H34" i="131"/>
  <c r="H29" i="131"/>
  <c r="H38" i="131"/>
  <c r="H33" i="131"/>
  <c r="H37" i="131"/>
  <c r="H18" i="131"/>
  <c r="H20" i="131"/>
  <c r="H17" i="131"/>
  <c r="Q62" i="221"/>
  <c r="W62" i="221"/>
  <c r="K62" i="221"/>
  <c r="O51" i="218"/>
  <c r="O50" i="218"/>
  <c r="O49" i="218"/>
  <c r="O54" i="218"/>
  <c r="K55" i="218"/>
  <c r="K52" i="218"/>
  <c r="K53" i="218"/>
  <c r="K54" i="218"/>
  <c r="K50" i="218"/>
  <c r="K51" i="218"/>
  <c r="G49" i="218"/>
  <c r="G50" i="218"/>
  <c r="G54" i="218"/>
  <c r="L49" i="39"/>
  <c r="L18" i="154"/>
  <c r="D41" i="30"/>
  <c r="D52" i="250" s="1"/>
  <c r="N52" i="154"/>
  <c r="O52" i="154" s="1"/>
  <c r="C20" i="154"/>
  <c r="C40" i="30"/>
  <c r="C20" i="250" s="1"/>
  <c r="C51" i="31"/>
  <c r="D51" i="31" s="1"/>
  <c r="F49" i="31"/>
  <c r="N55" i="37" s="1"/>
  <c r="D20" i="114" s="1"/>
  <c r="E48" i="31"/>
  <c r="M23" i="37" s="1"/>
  <c r="E48" i="32"/>
  <c r="C17" i="32"/>
  <c r="H12" i="32" s="1"/>
  <c r="H11" i="32" s="1"/>
  <c r="D14" i="32"/>
  <c r="D54" i="39" s="1"/>
  <c r="D22" i="39"/>
  <c r="C42" i="32"/>
  <c r="D22" i="250" s="1"/>
  <c r="E46" i="32"/>
  <c r="J40" i="32" s="1"/>
  <c r="J39" i="32" s="1"/>
  <c r="N22" i="154"/>
  <c r="O22" i="154" s="1"/>
  <c r="C61" i="33"/>
  <c r="F25" i="37" s="1"/>
  <c r="C54" i="33"/>
  <c r="D11" i="33"/>
  <c r="E55" i="154" s="1"/>
  <c r="C49" i="33"/>
  <c r="F54" i="34"/>
  <c r="F30" i="34"/>
  <c r="K23" i="34" s="1"/>
  <c r="K22" i="34" s="1"/>
  <c r="D11" i="34"/>
  <c r="E56" i="154" s="1"/>
  <c r="F12" i="34"/>
  <c r="K56" i="154"/>
  <c r="F46" i="36"/>
  <c r="F11" i="200"/>
  <c r="G11" i="200" s="1"/>
  <c r="C29" i="37"/>
  <c r="P17" i="203"/>
  <c r="B62" i="126"/>
  <c r="D56" i="34"/>
  <c r="D58" i="37" s="1"/>
  <c r="C23" i="110" s="1"/>
  <c r="D12" i="34"/>
  <c r="F56" i="154" s="1"/>
  <c r="C16" i="37"/>
  <c r="D43" i="31"/>
  <c r="D47" i="30"/>
  <c r="E24" i="174"/>
  <c r="L38" i="128"/>
  <c r="H13" i="131"/>
  <c r="J36" i="128"/>
  <c r="C49" i="30"/>
  <c r="C10" i="30"/>
  <c r="H6" i="30" s="1"/>
  <c r="H5" i="30" s="1"/>
  <c r="F47" i="36"/>
  <c r="M60" i="37" s="1"/>
  <c r="C25" i="114" s="1"/>
  <c r="D40" i="134"/>
  <c r="E60" i="250" s="1"/>
  <c r="C49" i="34"/>
  <c r="E24" i="250" s="1"/>
  <c r="H32" i="131"/>
  <c r="K49" i="218"/>
  <c r="O15" i="78"/>
  <c r="E65" i="127"/>
  <c r="K29" i="127"/>
  <c r="H35" i="131"/>
  <c r="C49" i="127"/>
  <c r="G53" i="218"/>
  <c r="J23" i="128"/>
  <c r="S593" i="165"/>
  <c r="S596" i="165" s="1"/>
  <c r="R593" i="165"/>
  <c r="R596" i="165" s="1"/>
  <c r="T593" i="165"/>
  <c r="T596" i="165" s="1"/>
  <c r="V593" i="165"/>
  <c r="V596" i="165" s="1"/>
  <c r="Q75" i="126"/>
  <c r="C39" i="126"/>
  <c r="J21" i="93"/>
  <c r="J22" i="93"/>
  <c r="J20" i="93"/>
  <c r="I10" i="93"/>
  <c r="I11" i="93"/>
  <c r="I13" i="93"/>
  <c r="D58" i="127"/>
  <c r="L47" i="127"/>
  <c r="L48" i="127"/>
  <c r="L49" i="127"/>
  <c r="L46" i="127"/>
  <c r="L43" i="127"/>
  <c r="J36" i="127"/>
  <c r="C65" i="127"/>
  <c r="M29" i="127"/>
  <c r="M24" i="127"/>
  <c r="M25" i="127"/>
  <c r="C52" i="170"/>
  <c r="J50" i="170" s="1"/>
  <c r="K45" i="128"/>
  <c r="K43" i="128"/>
  <c r="K49" i="128"/>
  <c r="K46" i="128"/>
  <c r="K44" i="128"/>
  <c r="K48" i="128"/>
  <c r="L35" i="128"/>
  <c r="L37" i="128"/>
  <c r="L25" i="128"/>
  <c r="L27" i="128"/>
  <c r="L23" i="128"/>
  <c r="L22" i="128"/>
  <c r="L24" i="128"/>
  <c r="J12" i="128"/>
  <c r="J13" i="128"/>
  <c r="C53" i="128"/>
  <c r="J15" i="128"/>
  <c r="Q16" i="217"/>
  <c r="F49" i="30"/>
  <c r="M54" i="37" s="1"/>
  <c r="C19" i="114" s="1"/>
  <c r="F46" i="31"/>
  <c r="C49" i="32"/>
  <c r="D41" i="32"/>
  <c r="C54" i="250" s="1"/>
  <c r="F17" i="32"/>
  <c r="M54" i="39"/>
  <c r="F49" i="35"/>
  <c r="O59" i="37" s="1"/>
  <c r="C47" i="35"/>
  <c r="E27" i="37" s="1"/>
  <c r="F45" i="35"/>
  <c r="C45" i="36"/>
  <c r="D40" i="36"/>
  <c r="E58" i="250" s="1"/>
  <c r="D37" i="36"/>
  <c r="D38" i="36"/>
  <c r="E50" i="133"/>
  <c r="O29" i="37" s="1"/>
  <c r="D41" i="133"/>
  <c r="F59" i="250" s="1"/>
  <c r="F47" i="133"/>
  <c r="M61" i="37" s="1"/>
  <c r="C26" i="114" s="1"/>
  <c r="E46" i="133"/>
  <c r="C45" i="133"/>
  <c r="D42" i="133"/>
  <c r="P59" i="39"/>
  <c r="N59" i="154"/>
  <c r="O59" i="154" s="1"/>
  <c r="D42" i="134"/>
  <c r="C50" i="134"/>
  <c r="C51" i="134" s="1"/>
  <c r="D51" i="134" s="1"/>
  <c r="F48" i="134"/>
  <c r="N62" i="37" s="1"/>
  <c r="D27" i="114" s="1"/>
  <c r="E47" i="134"/>
  <c r="M30" i="37" s="1"/>
  <c r="D41" i="134"/>
  <c r="F60" i="250" s="1"/>
  <c r="P60" i="39"/>
  <c r="N60" i="154"/>
  <c r="O60" i="154" s="1"/>
  <c r="C48" i="135"/>
  <c r="D40" i="135"/>
  <c r="D36" i="135"/>
  <c r="C61" i="250" s="1"/>
  <c r="M16" i="126"/>
  <c r="D52" i="30"/>
  <c r="O55" i="218"/>
  <c r="D38" i="133"/>
  <c r="D41" i="31"/>
  <c r="E53" i="250" s="1"/>
  <c r="L11" i="128"/>
  <c r="E56" i="128"/>
  <c r="K28" i="127"/>
  <c r="J24" i="93"/>
  <c r="J35" i="128"/>
  <c r="F18" i="37"/>
  <c r="AO50" i="37" s="1"/>
  <c r="F45" i="30"/>
  <c r="W593" i="165"/>
  <c r="W596" i="165" s="1"/>
  <c r="T62" i="221"/>
  <c r="F43" i="134"/>
  <c r="K37" i="134" s="1"/>
  <c r="K36" i="134" s="1"/>
  <c r="I46" i="128"/>
  <c r="H36" i="131"/>
  <c r="M23" i="127"/>
  <c r="E51" i="32"/>
  <c r="N24" i="37" s="1"/>
  <c r="I14" i="93"/>
  <c r="C49" i="31"/>
  <c r="E23" i="37" s="1"/>
  <c r="K47" i="128"/>
  <c r="J23" i="93"/>
  <c r="G51" i="218"/>
  <c r="J16" i="128"/>
  <c r="H23" i="203"/>
  <c r="H16" i="203"/>
  <c r="H21" i="203"/>
  <c r="U593" i="165"/>
  <c r="D43" i="133"/>
  <c r="P16" i="40"/>
  <c r="M42" i="126"/>
  <c r="M49" i="126"/>
  <c r="L15" i="218"/>
  <c r="L18" i="218"/>
  <c r="L14" i="218"/>
  <c r="H14" i="218"/>
  <c r="H19" i="218"/>
  <c r="D17" i="218"/>
  <c r="D15" i="218"/>
  <c r="D18" i="218"/>
  <c r="I31" i="120"/>
  <c r="G31" i="120" s="1"/>
  <c r="L24" i="120"/>
  <c r="G24" i="120"/>
  <c r="D24" i="120"/>
  <c r="L13" i="40"/>
  <c r="P13" i="40" s="1"/>
  <c r="L14" i="40"/>
  <c r="P14" i="40" s="1"/>
  <c r="R78" i="203"/>
  <c r="R65" i="203"/>
  <c r="R66" i="203"/>
  <c r="F69" i="203"/>
  <c r="F63" i="203"/>
  <c r="F68" i="203"/>
  <c r="F72" i="203"/>
  <c r="F65" i="203"/>
  <c r="AJ79" i="203"/>
  <c r="P66" i="203" s="1"/>
  <c r="R20" i="203"/>
  <c r="R9" i="203"/>
  <c r="R12" i="203"/>
  <c r="I14" i="203"/>
  <c r="I21" i="203"/>
  <c r="I10" i="203"/>
  <c r="Z27" i="203"/>
  <c r="F11" i="203" s="1"/>
  <c r="Z117" i="203"/>
  <c r="K49" i="126"/>
  <c r="K42" i="126"/>
  <c r="K44" i="126"/>
  <c r="K47" i="126"/>
  <c r="I34" i="126"/>
  <c r="I37" i="126"/>
  <c r="B65" i="126"/>
  <c r="D52" i="218"/>
  <c r="D55" i="218"/>
  <c r="N18" i="218"/>
  <c r="N19" i="218"/>
  <c r="N16" i="218"/>
  <c r="N17" i="218"/>
  <c r="F18" i="218"/>
  <c r="F16" i="218"/>
  <c r="F19" i="218"/>
  <c r="F17" i="218"/>
  <c r="D65" i="177"/>
  <c r="C65" i="177"/>
  <c r="C57" i="177"/>
  <c r="D57" i="177"/>
  <c r="C49" i="177"/>
  <c r="D49" i="177"/>
  <c r="D25" i="177"/>
  <c r="C25" i="177"/>
  <c r="L568" i="179"/>
  <c r="L569" i="179"/>
  <c r="N566" i="179"/>
  <c r="O560" i="179"/>
  <c r="L537" i="179"/>
  <c r="L538" i="179"/>
  <c r="L458" i="179"/>
  <c r="L388" i="179"/>
  <c r="L389" i="179"/>
  <c r="I380" i="179"/>
  <c r="I378" i="179"/>
  <c r="I372" i="179"/>
  <c r="I381" i="179"/>
  <c r="I373" i="179"/>
  <c r="D22" i="120"/>
  <c r="G22" i="120"/>
  <c r="L22" i="120"/>
  <c r="G11" i="120"/>
  <c r="D11" i="120"/>
  <c r="D51" i="30"/>
  <c r="F54" i="37" s="1"/>
  <c r="E19" i="110" s="1"/>
  <c r="O44" i="154"/>
  <c r="R47" i="37"/>
  <c r="I438" i="179"/>
  <c r="I439" i="179"/>
  <c r="I435" i="179"/>
  <c r="L16" i="39"/>
  <c r="P16" i="39" s="1"/>
  <c r="K16" i="154"/>
  <c r="L17" i="40"/>
  <c r="P17" i="40" s="1"/>
  <c r="C17" i="154"/>
  <c r="K18" i="154"/>
  <c r="D44" i="30"/>
  <c r="F48" i="30"/>
  <c r="N20" i="154"/>
  <c r="O20" i="154" s="1"/>
  <c r="D23" i="37"/>
  <c r="E49" i="31"/>
  <c r="N23" i="37" s="1"/>
  <c r="C10" i="31"/>
  <c r="H6" i="31" s="1"/>
  <c r="H5" i="31" s="1"/>
  <c r="C39" i="31"/>
  <c r="C21" i="250" s="1"/>
  <c r="D43" i="32"/>
  <c r="E54" i="250" s="1"/>
  <c r="F22" i="154"/>
  <c r="N24" i="40"/>
  <c r="P24" i="40" s="1"/>
  <c r="E30" i="34"/>
  <c r="C43" i="36"/>
  <c r="D43" i="36" s="1"/>
  <c r="E50" i="134"/>
  <c r="O30" i="37" s="1"/>
  <c r="E46" i="134"/>
  <c r="E45" i="134"/>
  <c r="F45" i="135"/>
  <c r="M63" i="37" s="1"/>
  <c r="C28" i="114" s="1"/>
  <c r="P51" i="39"/>
  <c r="P29" i="39"/>
  <c r="AA16" i="143"/>
  <c r="AA12" i="143"/>
  <c r="AA24" i="143"/>
  <c r="AA17" i="143"/>
  <c r="K47" i="203"/>
  <c r="AA53" i="203"/>
  <c r="G40" i="203" s="1"/>
  <c r="AA117" i="203"/>
  <c r="AU17" i="203"/>
  <c r="J46" i="126"/>
  <c r="J44" i="126"/>
  <c r="J45" i="126"/>
  <c r="K70" i="131"/>
  <c r="K69" i="131"/>
  <c r="G23" i="40"/>
  <c r="G55" i="40" s="1"/>
  <c r="G29" i="40"/>
  <c r="G61" i="40" s="1"/>
  <c r="G27" i="40"/>
  <c r="G59" i="40" s="1"/>
  <c r="G25" i="40"/>
  <c r="G57" i="40" s="1"/>
  <c r="G21" i="40"/>
  <c r="G53" i="40" s="1"/>
  <c r="AB53" i="203"/>
  <c r="AB130" i="203" s="1"/>
  <c r="AB117" i="203"/>
  <c r="Q26" i="203"/>
  <c r="Q16" i="203"/>
  <c r="Y27" i="203"/>
  <c r="E14" i="203" s="1"/>
  <c r="J15" i="171"/>
  <c r="E17" i="171"/>
  <c r="J17" i="171" s="1"/>
  <c r="O34" i="218"/>
  <c r="O37" i="218"/>
  <c r="O36" i="218"/>
  <c r="D20" i="120"/>
  <c r="L20" i="120"/>
  <c r="E19" i="37"/>
  <c r="P20" i="39"/>
  <c r="P18" i="39"/>
  <c r="T22" i="80"/>
  <c r="AG32" i="143"/>
  <c r="AC32" i="143"/>
  <c r="AE32" i="143"/>
  <c r="U598" i="165"/>
  <c r="S75" i="126"/>
  <c r="E59" i="126"/>
  <c r="L53" i="126" s="1"/>
  <c r="M36" i="93"/>
  <c r="O36" i="93"/>
  <c r="N39" i="127"/>
  <c r="H53" i="214"/>
  <c r="H57" i="214" s="1"/>
  <c r="G30" i="214"/>
  <c r="G34" i="214" s="1"/>
  <c r="X27" i="215"/>
  <c r="B42" i="229"/>
  <c r="G42" i="229" s="1"/>
  <c r="B39" i="229"/>
  <c r="E39" i="229" s="1"/>
  <c r="B36" i="229"/>
  <c r="E36" i="229" s="1"/>
  <c r="B34" i="229"/>
  <c r="E34" i="229" s="1"/>
  <c r="B33" i="229"/>
  <c r="E33" i="229" s="1"/>
  <c r="D48" i="32"/>
  <c r="H24" i="37"/>
  <c r="D51" i="32"/>
  <c r="E56" i="37" s="1"/>
  <c r="D21" i="110" s="1"/>
  <c r="J9" i="80"/>
  <c r="P16" i="203"/>
  <c r="P19" i="203"/>
  <c r="AU26" i="203"/>
  <c r="P13" i="203"/>
  <c r="G21" i="39"/>
  <c r="M69" i="203"/>
  <c r="M78" i="203"/>
  <c r="M71" i="203"/>
  <c r="M68" i="203"/>
  <c r="M61" i="203"/>
  <c r="M64" i="203"/>
  <c r="D29" i="37"/>
  <c r="U15" i="80"/>
  <c r="N48" i="154"/>
  <c r="O48" i="154" s="1"/>
  <c r="P24" i="203"/>
  <c r="J10" i="80"/>
  <c r="C58" i="127"/>
  <c r="R46" i="37"/>
  <c r="AJ46" i="37"/>
  <c r="G20" i="39"/>
  <c r="G19" i="39"/>
  <c r="AB32" i="143"/>
  <c r="I57" i="126"/>
  <c r="I53" i="126"/>
  <c r="C59" i="126"/>
  <c r="J55" i="126" s="1"/>
  <c r="M32" i="126"/>
  <c r="M39" i="126"/>
  <c r="M38" i="126"/>
  <c r="D39" i="126"/>
  <c r="K37" i="126" s="1"/>
  <c r="I20" i="126"/>
  <c r="I23" i="126"/>
  <c r="M21" i="126"/>
  <c r="I22" i="126"/>
  <c r="M25" i="126"/>
  <c r="I27" i="126"/>
  <c r="K20" i="126"/>
  <c r="L20" i="126"/>
  <c r="J22" i="126"/>
  <c r="M27" i="126"/>
  <c r="M22" i="126"/>
  <c r="M23" i="126"/>
  <c r="I25" i="126"/>
  <c r="K25" i="126"/>
  <c r="K27" i="126"/>
  <c r="K21" i="126"/>
  <c r="L27" i="126"/>
  <c r="I24" i="126"/>
  <c r="L25" i="126"/>
  <c r="J25" i="126"/>
  <c r="J24" i="126"/>
  <c r="J23" i="126"/>
  <c r="J27" i="126"/>
  <c r="M20" i="126"/>
  <c r="K22" i="126"/>
  <c r="K23" i="126"/>
  <c r="J20" i="126"/>
  <c r="C17" i="126"/>
  <c r="C73" i="126"/>
  <c r="K37" i="127"/>
  <c r="K34" i="127"/>
  <c r="K38" i="127"/>
  <c r="D65" i="127"/>
  <c r="K35" i="127"/>
  <c r="K33" i="127"/>
  <c r="J26" i="127"/>
  <c r="J24" i="127"/>
  <c r="J28" i="127"/>
  <c r="J25" i="127"/>
  <c r="J29" i="127"/>
  <c r="J23" i="127"/>
  <c r="M52" i="170"/>
  <c r="D52" i="170"/>
  <c r="I46" i="170" s="1"/>
  <c r="L9" i="203"/>
  <c r="L12" i="203"/>
  <c r="I9" i="203"/>
  <c r="I17" i="203"/>
  <c r="T7" i="215"/>
  <c r="T20" i="215"/>
  <c r="T12" i="215"/>
  <c r="T17" i="215"/>
  <c r="T9" i="215"/>
  <c r="T10" i="215"/>
  <c r="T13" i="215"/>
  <c r="K35" i="128"/>
  <c r="K37" i="128"/>
  <c r="K36" i="128"/>
  <c r="K34" i="128"/>
  <c r="E50" i="131"/>
  <c r="E52" i="131"/>
  <c r="H16" i="131"/>
  <c r="H11" i="131"/>
  <c r="H21" i="131"/>
  <c r="L52" i="218"/>
  <c r="L55" i="218"/>
  <c r="H54" i="218"/>
  <c r="H55" i="218"/>
  <c r="L16" i="218"/>
  <c r="L19" i="218"/>
  <c r="H15" i="218"/>
  <c r="H18" i="218"/>
  <c r="I215" i="179"/>
  <c r="I214" i="179"/>
  <c r="I217" i="179"/>
  <c r="I219" i="179"/>
  <c r="I216" i="179"/>
  <c r="D12" i="120"/>
  <c r="L12" i="120"/>
  <c r="G12" i="120"/>
  <c r="D8" i="120"/>
  <c r="L8" i="120"/>
  <c r="G8" i="120"/>
  <c r="R10" i="121"/>
  <c r="O10" i="121"/>
  <c r="C12" i="39"/>
  <c r="L45" i="39"/>
  <c r="C16" i="40"/>
  <c r="C48" i="40" s="1"/>
  <c r="C17" i="40"/>
  <c r="C49" i="40" s="1"/>
  <c r="F26" i="37"/>
  <c r="G14" i="39"/>
  <c r="L23" i="203"/>
  <c r="H12" i="131"/>
  <c r="L17" i="218"/>
  <c r="H14" i="131"/>
  <c r="L68" i="198"/>
  <c r="H10" i="111"/>
  <c r="D40" i="111"/>
  <c r="AG31" i="143"/>
  <c r="W15" i="215"/>
  <c r="W17" i="215"/>
  <c r="C37" i="30"/>
  <c r="D30" i="30"/>
  <c r="E23" i="154"/>
  <c r="C21" i="34"/>
  <c r="M24" i="154"/>
  <c r="E48" i="133"/>
  <c r="N29" i="37" s="1"/>
  <c r="F46" i="134"/>
  <c r="D10" i="134"/>
  <c r="F60" i="154" s="1"/>
  <c r="C43" i="134"/>
  <c r="D43" i="134" s="1"/>
  <c r="H17" i="142"/>
  <c r="F25" i="200"/>
  <c r="G25" i="200" s="1"/>
  <c r="O12" i="154"/>
  <c r="P26" i="39"/>
  <c r="AE117" i="203"/>
  <c r="G8" i="214"/>
  <c r="G12" i="214" s="1"/>
  <c r="K10" i="121"/>
  <c r="D17" i="142"/>
  <c r="E55" i="34"/>
  <c r="L26" i="37" s="1"/>
  <c r="P12" i="40"/>
  <c r="O58" i="154"/>
  <c r="O57" i="154"/>
  <c r="O29" i="154"/>
  <c r="G28" i="154"/>
  <c r="G26" i="154"/>
  <c r="G27" i="154"/>
  <c r="G25" i="154"/>
  <c r="V14" i="48"/>
  <c r="V13" i="48"/>
  <c r="D32" i="32"/>
  <c r="C38" i="32"/>
  <c r="C41" i="135"/>
  <c r="D41" i="135" s="1"/>
  <c r="X33" i="215"/>
  <c r="I21" i="229"/>
  <c r="H12" i="50"/>
  <c r="N47" i="154"/>
  <c r="R51" i="37"/>
  <c r="AJ51" i="37"/>
  <c r="P22" i="39"/>
  <c r="F18" i="215"/>
  <c r="L18" i="215" s="1"/>
  <c r="L20" i="215"/>
  <c r="J19" i="230"/>
  <c r="K19" i="230"/>
  <c r="I19" i="230"/>
  <c r="D17" i="37"/>
  <c r="D18" i="154"/>
  <c r="C18" i="154"/>
  <c r="L51" i="154"/>
  <c r="F54" i="33"/>
  <c r="F21" i="33"/>
  <c r="K14" i="33" s="1"/>
  <c r="K13" i="33" s="1"/>
  <c r="N55" i="39"/>
  <c r="F49" i="33"/>
  <c r="N55" i="250" s="1"/>
  <c r="E50" i="35"/>
  <c r="E50" i="36"/>
  <c r="O28" i="37" s="1"/>
  <c r="D41" i="36"/>
  <c r="F58" i="250" s="1"/>
  <c r="C47" i="36"/>
  <c r="C45" i="135"/>
  <c r="D37" i="135"/>
  <c r="D61" i="250" s="1"/>
  <c r="F43" i="135"/>
  <c r="F41" i="135"/>
  <c r="K35" i="135" s="1"/>
  <c r="K34" i="135" s="1"/>
  <c r="L17" i="142"/>
  <c r="D43" i="135"/>
  <c r="D47" i="135"/>
  <c r="M55" i="154"/>
  <c r="O55" i="154" s="1"/>
  <c r="D46" i="134"/>
  <c r="C30" i="37"/>
  <c r="AG117" i="203"/>
  <c r="C28" i="37"/>
  <c r="G27" i="39"/>
  <c r="G25" i="39"/>
  <c r="L52" i="126"/>
  <c r="D46" i="135"/>
  <c r="E63" i="37" s="1"/>
  <c r="D28" i="110" s="1"/>
  <c r="H30" i="37"/>
  <c r="D49" i="134"/>
  <c r="D45" i="134"/>
  <c r="D47" i="134"/>
  <c r="D62" i="37" s="1"/>
  <c r="C27" i="110" s="1"/>
  <c r="D39" i="36"/>
  <c r="D58" i="250" s="1"/>
  <c r="O53" i="154"/>
  <c r="O23" i="154"/>
  <c r="J22" i="80"/>
  <c r="D17" i="126"/>
  <c r="K15" i="126" s="1"/>
  <c r="D73" i="126"/>
  <c r="C36" i="93"/>
  <c r="D36" i="93"/>
  <c r="I23" i="93"/>
  <c r="H13" i="93"/>
  <c r="H12" i="93"/>
  <c r="H11" i="93"/>
  <c r="K48" i="127"/>
  <c r="K44" i="127"/>
  <c r="K45" i="127"/>
  <c r="K49" i="127"/>
  <c r="K47" i="127"/>
  <c r="F65" i="127"/>
  <c r="M34" i="127"/>
  <c r="M33" i="127"/>
  <c r="J37" i="127"/>
  <c r="J33" i="127"/>
  <c r="J38" i="127"/>
  <c r="J34" i="127"/>
  <c r="J35" i="127"/>
  <c r="N16" i="127"/>
  <c r="N20" i="127"/>
  <c r="N19" i="127"/>
  <c r="N18" i="127"/>
  <c r="F40" i="127"/>
  <c r="F20" i="127"/>
  <c r="Y26" i="215"/>
  <c r="Y27" i="215"/>
  <c r="Y34" i="215"/>
  <c r="Y33" i="215"/>
  <c r="Y29" i="215"/>
  <c r="Y25" i="215"/>
  <c r="Y23" i="215"/>
  <c r="Y32" i="215"/>
  <c r="Y36" i="215"/>
  <c r="Y31" i="215"/>
  <c r="V26" i="215"/>
  <c r="V34" i="215"/>
  <c r="V33" i="215"/>
  <c r="V25" i="215"/>
  <c r="V28" i="215"/>
  <c r="V30" i="215"/>
  <c r="V29" i="215"/>
  <c r="J24" i="203"/>
  <c r="J9" i="203"/>
  <c r="J19" i="203"/>
  <c r="J12" i="203"/>
  <c r="U9" i="80"/>
  <c r="P23" i="203"/>
  <c r="P12" i="203"/>
  <c r="P26" i="203"/>
  <c r="J12" i="80"/>
  <c r="J11" i="203"/>
  <c r="J23" i="203"/>
  <c r="J14" i="80"/>
  <c r="M12" i="126"/>
  <c r="M11" i="126"/>
  <c r="M15" i="126"/>
  <c r="O54" i="154"/>
  <c r="G26" i="39"/>
  <c r="P25" i="39"/>
  <c r="P24" i="39"/>
  <c r="G24" i="39"/>
  <c r="P23" i="39"/>
  <c r="G18" i="39"/>
  <c r="L15" i="39"/>
  <c r="P15" i="39" s="1"/>
  <c r="K47" i="154"/>
  <c r="F56" i="33"/>
  <c r="M57" i="37" s="1"/>
  <c r="C22" i="114" s="1"/>
  <c r="E55" i="33"/>
  <c r="D45" i="33"/>
  <c r="D47" i="33"/>
  <c r="D44" i="33"/>
  <c r="D50" i="33"/>
  <c r="F55" i="250" s="1"/>
  <c r="D48" i="33"/>
  <c r="D46" i="33"/>
  <c r="D55" i="250" s="1"/>
  <c r="D37" i="33"/>
  <c r="C42" i="33"/>
  <c r="E52" i="33"/>
  <c r="J44" i="33" s="1"/>
  <c r="J43" i="33" s="1"/>
  <c r="C45" i="35"/>
  <c r="D37" i="35"/>
  <c r="C57" i="250" s="1"/>
  <c r="D36" i="35"/>
  <c r="D38" i="35"/>
  <c r="D57" i="250" s="1"/>
  <c r="E48" i="36"/>
  <c r="N28" i="37" s="1"/>
  <c r="F50" i="133"/>
  <c r="O61" i="37" s="1"/>
  <c r="E26" i="114" s="1"/>
  <c r="E44" i="135"/>
  <c r="L31" i="37" s="1"/>
  <c r="J17" i="80"/>
  <c r="P14" i="203"/>
  <c r="P21" i="203"/>
  <c r="P20" i="203"/>
  <c r="P9" i="203"/>
  <c r="J16" i="80"/>
  <c r="S11" i="203"/>
  <c r="J14" i="203"/>
  <c r="J13" i="203"/>
  <c r="J21" i="203"/>
  <c r="M13" i="126"/>
  <c r="G41" i="229"/>
  <c r="D51" i="33"/>
  <c r="J30" i="93"/>
  <c r="J34" i="93"/>
  <c r="H21" i="37"/>
  <c r="D41" i="35"/>
  <c r="C44" i="35"/>
  <c r="H46" i="35" s="1"/>
  <c r="I52" i="126"/>
  <c r="I56" i="126"/>
  <c r="I55" i="126"/>
  <c r="D42" i="35"/>
  <c r="C18" i="37"/>
  <c r="X27" i="203"/>
  <c r="D14" i="203" s="1"/>
  <c r="X117" i="203"/>
  <c r="L16" i="126"/>
  <c r="L12" i="126"/>
  <c r="E62" i="126"/>
  <c r="I11" i="126"/>
  <c r="I14" i="126"/>
  <c r="J11" i="93"/>
  <c r="J13" i="93"/>
  <c r="J10" i="93"/>
  <c r="J14" i="93"/>
  <c r="J12" i="93"/>
  <c r="M45" i="127"/>
  <c r="M44" i="127"/>
  <c r="J40" i="127"/>
  <c r="T36" i="215"/>
  <c r="T29" i="215"/>
  <c r="T33" i="215"/>
  <c r="T27" i="215"/>
  <c r="T34" i="215"/>
  <c r="AB31" i="143"/>
  <c r="Z32" i="143"/>
  <c r="AO35" i="95"/>
  <c r="AO34" i="95"/>
  <c r="Q78" i="203"/>
  <c r="Q73" i="203"/>
  <c r="E78" i="203"/>
  <c r="E66" i="203"/>
  <c r="E61" i="203"/>
  <c r="E63" i="203"/>
  <c r="E65" i="203"/>
  <c r="E73" i="203"/>
  <c r="O66" i="203"/>
  <c r="O63" i="203"/>
  <c r="O62" i="203"/>
  <c r="O64" i="203"/>
  <c r="O72" i="203"/>
  <c r="AC53" i="203"/>
  <c r="AC117" i="203"/>
  <c r="E37" i="203"/>
  <c r="E46" i="203"/>
  <c r="E42" i="203"/>
  <c r="E43" i="203"/>
  <c r="E49" i="203"/>
  <c r="E47" i="203"/>
  <c r="E40" i="203"/>
  <c r="C49" i="203"/>
  <c r="C43" i="203"/>
  <c r="C38" i="203"/>
  <c r="C37" i="203"/>
  <c r="N12" i="203"/>
  <c r="N16" i="203"/>
  <c r="H14" i="203"/>
  <c r="E58" i="127"/>
  <c r="P17" i="39"/>
  <c r="AF32" i="143"/>
  <c r="S75" i="203"/>
  <c r="S76" i="203"/>
  <c r="S68" i="203"/>
  <c r="S62" i="203"/>
  <c r="S79" i="203"/>
  <c r="G69" i="203"/>
  <c r="G64" i="203"/>
  <c r="G73" i="203"/>
  <c r="G78" i="203"/>
  <c r="G66" i="203"/>
  <c r="G62" i="203"/>
  <c r="G72" i="203"/>
  <c r="G68" i="203"/>
  <c r="R46" i="203"/>
  <c r="R45" i="203"/>
  <c r="R52" i="203"/>
  <c r="R40" i="203"/>
  <c r="AL130" i="203"/>
  <c r="R42" i="203"/>
  <c r="R38" i="203"/>
  <c r="D40" i="203"/>
  <c r="D43" i="203"/>
  <c r="D42" i="203"/>
  <c r="D47" i="203"/>
  <c r="D36" i="203"/>
  <c r="L19" i="203"/>
  <c r="L20" i="203"/>
  <c r="L11" i="203"/>
  <c r="L14" i="203"/>
  <c r="L10" i="203"/>
  <c r="L17" i="203"/>
  <c r="L16" i="203"/>
  <c r="I23" i="203"/>
  <c r="I20" i="203"/>
  <c r="I16" i="203"/>
  <c r="I24" i="203"/>
  <c r="I13" i="203"/>
  <c r="I19" i="203"/>
  <c r="G64" i="214"/>
  <c r="G68" i="214" s="1"/>
  <c r="Q34" i="215"/>
  <c r="X34" i="215" s="1"/>
  <c r="N49" i="127"/>
  <c r="N45" i="127"/>
  <c r="G50" i="170"/>
  <c r="G47" i="170"/>
  <c r="Q40" i="215"/>
  <c r="X20" i="215"/>
  <c r="X7" i="215"/>
  <c r="U10" i="215"/>
  <c r="U9" i="215"/>
  <c r="D27" i="120"/>
  <c r="G27" i="120"/>
  <c r="L27" i="120"/>
  <c r="D16" i="120"/>
  <c r="G16" i="120"/>
  <c r="D30" i="31"/>
  <c r="C36" i="31"/>
  <c r="R68" i="203"/>
  <c r="R72" i="203"/>
  <c r="R79" i="203"/>
  <c r="R75" i="203"/>
  <c r="F66" i="203"/>
  <c r="F75" i="203"/>
  <c r="F61" i="203"/>
  <c r="Q50" i="203"/>
  <c r="Q37" i="203"/>
  <c r="J40" i="203"/>
  <c r="AD117" i="203"/>
  <c r="I32" i="126"/>
  <c r="I36" i="126"/>
  <c r="H20" i="93"/>
  <c r="H24" i="93"/>
  <c r="G14" i="93"/>
  <c r="G12" i="93"/>
  <c r="G41" i="214"/>
  <c r="G45" i="214" s="1"/>
  <c r="I45" i="128"/>
  <c r="O214" i="179"/>
  <c r="O219" i="179"/>
  <c r="D18" i="120"/>
  <c r="G18" i="120"/>
  <c r="E47" i="133"/>
  <c r="M29" i="37" s="1"/>
  <c r="F45" i="133"/>
  <c r="F42" i="35"/>
  <c r="K37" i="35" s="1"/>
  <c r="K36" i="35" s="1"/>
  <c r="M54" i="126" l="1"/>
  <c r="M56" i="126"/>
  <c r="M53" i="126"/>
  <c r="M57" i="126"/>
  <c r="L35" i="126"/>
  <c r="E24" i="114"/>
  <c r="H57" i="250"/>
  <c r="G57" i="250" s="1"/>
  <c r="I38" i="35"/>
  <c r="D42" i="33"/>
  <c r="I32" i="33" s="1"/>
  <c r="I31" i="33" s="1"/>
  <c r="H32" i="33"/>
  <c r="H31" i="33" s="1"/>
  <c r="L25" i="37"/>
  <c r="H62" i="37"/>
  <c r="I46" i="134"/>
  <c r="Q57" i="37"/>
  <c r="K55" i="33"/>
  <c r="D38" i="32"/>
  <c r="I26" i="32" s="1"/>
  <c r="I25" i="32" s="1"/>
  <c r="H26" i="32"/>
  <c r="H25" i="32" s="1"/>
  <c r="D49" i="33"/>
  <c r="E55" i="250" s="1"/>
  <c r="E23" i="250"/>
  <c r="Q60" i="37"/>
  <c r="K46" i="36"/>
  <c r="H55" i="250"/>
  <c r="I45" i="33"/>
  <c r="D47" i="133"/>
  <c r="D61" i="37" s="1"/>
  <c r="C26" i="110" s="1"/>
  <c r="H46" i="133"/>
  <c r="D48" i="36"/>
  <c r="E60" i="37" s="1"/>
  <c r="D25" i="110" s="1"/>
  <c r="H46" i="36"/>
  <c r="Q55" i="37"/>
  <c r="K48" i="31"/>
  <c r="H54" i="37"/>
  <c r="I48" i="30"/>
  <c r="E59" i="33"/>
  <c r="N25" i="37" s="1"/>
  <c r="N23" i="250"/>
  <c r="C60" i="250"/>
  <c r="I37" i="134"/>
  <c r="H54" i="250"/>
  <c r="I41" i="32"/>
  <c r="F55" i="37"/>
  <c r="E20" i="110" s="1"/>
  <c r="I6" i="135"/>
  <c r="I5" i="135" s="1"/>
  <c r="F61" i="154"/>
  <c r="G61" i="154" s="1"/>
  <c r="I6" i="134"/>
  <c r="I5" i="134" s="1"/>
  <c r="G57" i="39"/>
  <c r="H45" i="134"/>
  <c r="H44" i="134" s="1"/>
  <c r="G60" i="39"/>
  <c r="E20" i="114"/>
  <c r="G24" i="250"/>
  <c r="I24" i="250" s="1"/>
  <c r="G54" i="154"/>
  <c r="G21" i="250"/>
  <c r="I21" i="250" s="1"/>
  <c r="F52" i="250"/>
  <c r="D30" i="33"/>
  <c r="I23" i="33" s="1"/>
  <c r="I22" i="33" s="1"/>
  <c r="H23" i="33"/>
  <c r="H22" i="33" s="1"/>
  <c r="K38" i="30"/>
  <c r="G25" i="250"/>
  <c r="I25" i="250" s="1"/>
  <c r="J56" i="126"/>
  <c r="G30" i="37"/>
  <c r="C62" i="37"/>
  <c r="B27" i="110" s="1"/>
  <c r="I44" i="135"/>
  <c r="H63" i="37"/>
  <c r="K44" i="135"/>
  <c r="Q63" i="37"/>
  <c r="D21" i="34"/>
  <c r="I14" i="34" s="1"/>
  <c r="I13" i="34" s="1"/>
  <c r="H14" i="34"/>
  <c r="H13" i="34" s="1"/>
  <c r="D21" i="33"/>
  <c r="I14" i="33" s="1"/>
  <c r="I13" i="33" s="1"/>
  <c r="AA31" i="143"/>
  <c r="Q30" i="37"/>
  <c r="J46" i="134"/>
  <c r="E52" i="34"/>
  <c r="J44" i="34" s="1"/>
  <c r="J43" i="34" s="1"/>
  <c r="J23" i="34"/>
  <c r="J22" i="34" s="1"/>
  <c r="L29" i="37"/>
  <c r="C58" i="250"/>
  <c r="I37" i="36"/>
  <c r="L59" i="37"/>
  <c r="F53" i="250"/>
  <c r="L60" i="37"/>
  <c r="K45" i="36"/>
  <c r="K44" i="36" s="1"/>
  <c r="D54" i="33"/>
  <c r="H55" i="33"/>
  <c r="Q24" i="37"/>
  <c r="J49" i="32"/>
  <c r="H59" i="250"/>
  <c r="I38" i="133"/>
  <c r="F57" i="250"/>
  <c r="H60" i="250"/>
  <c r="G60" i="250" s="1"/>
  <c r="I38" i="134"/>
  <c r="Q59" i="37"/>
  <c r="K46" i="35"/>
  <c r="AM58" i="37"/>
  <c r="J36" i="135"/>
  <c r="Q29" i="250"/>
  <c r="P29" i="250" s="1"/>
  <c r="G60" i="154"/>
  <c r="P24" i="250"/>
  <c r="G55" i="154"/>
  <c r="G54" i="39"/>
  <c r="F56" i="37"/>
  <c r="E21" i="110" s="1"/>
  <c r="P26" i="250"/>
  <c r="I23" i="250"/>
  <c r="G23" i="250"/>
  <c r="P54" i="250"/>
  <c r="Q23" i="37"/>
  <c r="J48" i="31"/>
  <c r="I11" i="30"/>
  <c r="H55" i="34"/>
  <c r="D60" i="34"/>
  <c r="F58" i="37" s="1"/>
  <c r="E23" i="110" s="1"/>
  <c r="H26" i="37"/>
  <c r="D54" i="34"/>
  <c r="G55" i="39"/>
  <c r="G61" i="250"/>
  <c r="Q61" i="37"/>
  <c r="K46" i="133"/>
  <c r="C59" i="250"/>
  <c r="G59" i="250" s="1"/>
  <c r="I37" i="133"/>
  <c r="Q27" i="37"/>
  <c r="J46" i="35"/>
  <c r="J44" i="35" s="1"/>
  <c r="I27" i="250"/>
  <c r="G27" i="250"/>
  <c r="G26" i="250"/>
  <c r="I26" i="250" s="1"/>
  <c r="I13" i="35"/>
  <c r="G27" i="114"/>
  <c r="P62" i="37"/>
  <c r="I29" i="250"/>
  <c r="G29" i="250"/>
  <c r="Q25" i="37"/>
  <c r="J55" i="33"/>
  <c r="I6" i="32"/>
  <c r="I5" i="32" s="1"/>
  <c r="Q22" i="37"/>
  <c r="J48" i="30"/>
  <c r="F63" i="37"/>
  <c r="E28" i="110" s="1"/>
  <c r="D37" i="30"/>
  <c r="I26" i="30" s="1"/>
  <c r="I25" i="30" s="1"/>
  <c r="H26" i="30"/>
  <c r="H25" i="30" s="1"/>
  <c r="H56" i="37"/>
  <c r="I49" i="32"/>
  <c r="D36" i="31"/>
  <c r="I26" i="31" s="1"/>
  <c r="I25" i="31" s="1"/>
  <c r="H26" i="31"/>
  <c r="H25" i="31" s="1"/>
  <c r="C51" i="133"/>
  <c r="C55" i="250"/>
  <c r="F51" i="134"/>
  <c r="L62" i="37"/>
  <c r="K45" i="134"/>
  <c r="K44" i="134" s="1"/>
  <c r="AO58" i="37"/>
  <c r="L30" i="37"/>
  <c r="L54" i="37"/>
  <c r="K47" i="30"/>
  <c r="K46" i="30" s="1"/>
  <c r="H58" i="250"/>
  <c r="I38" i="36"/>
  <c r="Q58" i="37"/>
  <c r="K55" i="34"/>
  <c r="C52" i="33"/>
  <c r="E53" i="30"/>
  <c r="L22" i="37"/>
  <c r="J47" i="30"/>
  <c r="J46" i="30" s="1"/>
  <c r="G13" i="203"/>
  <c r="H53" i="250"/>
  <c r="I40" i="31"/>
  <c r="L28" i="37"/>
  <c r="J45" i="36"/>
  <c r="G56" i="154"/>
  <c r="Q26" i="37"/>
  <c r="J55" i="34"/>
  <c r="H55" i="37"/>
  <c r="I48" i="31"/>
  <c r="B21" i="114"/>
  <c r="H37" i="36"/>
  <c r="H36" i="36" s="1"/>
  <c r="G22" i="250"/>
  <c r="I22" i="250" s="1"/>
  <c r="H37" i="134"/>
  <c r="H36" i="134" s="1"/>
  <c r="G21" i="114"/>
  <c r="G19" i="114"/>
  <c r="P54" i="37"/>
  <c r="J45" i="35"/>
  <c r="G28" i="250"/>
  <c r="I28" i="250" s="1"/>
  <c r="G59" i="39"/>
  <c r="G58" i="39"/>
  <c r="Q28" i="37"/>
  <c r="J46" i="36"/>
  <c r="G20" i="250"/>
  <c r="I20" i="250" s="1"/>
  <c r="P23" i="250"/>
  <c r="L57" i="37"/>
  <c r="P53" i="250"/>
  <c r="P20" i="250"/>
  <c r="E43" i="229"/>
  <c r="H21" i="229"/>
  <c r="J21" i="229" s="1"/>
  <c r="G16" i="39"/>
  <c r="AO56" i="37"/>
  <c r="AN48" i="37"/>
  <c r="AN62" i="37"/>
  <c r="G63" i="154"/>
  <c r="AM55" i="37"/>
  <c r="AN55" i="37"/>
  <c r="G12" i="40"/>
  <c r="G44" i="40" s="1"/>
  <c r="G15" i="39"/>
  <c r="G29" i="154"/>
  <c r="G23" i="154"/>
  <c r="G12" i="154"/>
  <c r="G22" i="154"/>
  <c r="G24" i="40"/>
  <c r="G56" i="40" s="1"/>
  <c r="G16" i="40"/>
  <c r="G48" i="40" s="1"/>
  <c r="G13" i="40"/>
  <c r="G45" i="40" s="1"/>
  <c r="G17" i="40"/>
  <c r="G49" i="40" s="1"/>
  <c r="AM62" i="37"/>
  <c r="AN56" i="37"/>
  <c r="AN54" i="37"/>
  <c r="AO54" i="37"/>
  <c r="AO48" i="37"/>
  <c r="AN53" i="37"/>
  <c r="J34" i="135"/>
  <c r="E43" i="135"/>
  <c r="D44" i="135"/>
  <c r="C63" i="37" s="1"/>
  <c r="B28" i="110" s="1"/>
  <c r="H35" i="135"/>
  <c r="H34" i="135" s="1"/>
  <c r="C49" i="135"/>
  <c r="D49" i="135" s="1"/>
  <c r="C31" i="37"/>
  <c r="I35" i="135"/>
  <c r="I34" i="135" s="1"/>
  <c r="H31" i="37"/>
  <c r="H44" i="135"/>
  <c r="F27" i="37"/>
  <c r="I37" i="35"/>
  <c r="I36" i="35" s="1"/>
  <c r="N56" i="154"/>
  <c r="O56" i="154" s="1"/>
  <c r="K6" i="34"/>
  <c r="K5" i="34" s="1"/>
  <c r="F46" i="32"/>
  <c r="K40" i="32" s="1"/>
  <c r="K39" i="32" s="1"/>
  <c r="K12" i="32"/>
  <c r="K11" i="32" s="1"/>
  <c r="I14" i="114"/>
  <c r="E52" i="31"/>
  <c r="J47" i="31" s="1"/>
  <c r="J6" i="31"/>
  <c r="J5" i="31" s="1"/>
  <c r="N21" i="154"/>
  <c r="O21" i="154" s="1"/>
  <c r="E44" i="31"/>
  <c r="J39" i="31" s="1"/>
  <c r="J38" i="31" s="1"/>
  <c r="I6" i="34"/>
  <c r="I5" i="34" s="1"/>
  <c r="D49" i="32"/>
  <c r="C56" i="37" s="1"/>
  <c r="B21" i="110" s="1"/>
  <c r="E17" i="37"/>
  <c r="H10" i="50"/>
  <c r="G23" i="39"/>
  <c r="E20" i="37"/>
  <c r="G16" i="154"/>
  <c r="F15" i="37"/>
  <c r="D18" i="37"/>
  <c r="AM50" i="37" s="1"/>
  <c r="L70" i="126"/>
  <c r="K49" i="203"/>
  <c r="J49" i="170"/>
  <c r="K50" i="203"/>
  <c r="J46" i="170"/>
  <c r="AE130" i="203"/>
  <c r="K57" i="126"/>
  <c r="K38" i="203"/>
  <c r="K35" i="203"/>
  <c r="AI53" i="203"/>
  <c r="O40" i="203"/>
  <c r="E59" i="34"/>
  <c r="N26" i="37" s="1"/>
  <c r="O389" i="179"/>
  <c r="O421" i="179"/>
  <c r="O517" i="179"/>
  <c r="O576" i="179"/>
  <c r="O566" i="179"/>
  <c r="L566" i="179"/>
  <c r="O364" i="179"/>
  <c r="O370" i="179" s="1"/>
  <c r="O579" i="179"/>
  <c r="O592" i="179" s="1"/>
  <c r="L517" i="179"/>
  <c r="I384" i="179"/>
  <c r="O372" i="179"/>
  <c r="I370" i="179"/>
  <c r="L592" i="179"/>
  <c r="L541" i="179"/>
  <c r="L576" i="179"/>
  <c r="O541" i="179"/>
  <c r="O535" i="179"/>
  <c r="I362" i="179"/>
  <c r="O557" i="179"/>
  <c r="L524" i="179"/>
  <c r="I79" i="203"/>
  <c r="O353" i="179"/>
  <c r="O362" i="179" s="1"/>
  <c r="O436" i="179"/>
  <c r="O451" i="179" s="1"/>
  <c r="O458" i="179"/>
  <c r="J47" i="170"/>
  <c r="M26" i="203"/>
  <c r="I73" i="126"/>
  <c r="G23" i="203"/>
  <c r="I16" i="114"/>
  <c r="G19" i="203"/>
  <c r="O50" i="154"/>
  <c r="O47" i="154"/>
  <c r="J52" i="170"/>
  <c r="O24" i="154"/>
  <c r="L47" i="203"/>
  <c r="G17" i="203"/>
  <c r="G24" i="203"/>
  <c r="J48" i="170"/>
  <c r="I26" i="93"/>
  <c r="C24" i="37"/>
  <c r="S17" i="203"/>
  <c r="G10" i="203"/>
  <c r="E54" i="32"/>
  <c r="J48" i="32" s="1"/>
  <c r="N14" i="203"/>
  <c r="M13" i="203"/>
  <c r="M19" i="203"/>
  <c r="F51" i="36"/>
  <c r="M14" i="203"/>
  <c r="U12" i="80"/>
  <c r="U21" i="80"/>
  <c r="U17" i="80"/>
  <c r="U22" i="80"/>
  <c r="D45" i="34"/>
  <c r="C55" i="34"/>
  <c r="L11" i="192"/>
  <c r="K11" i="192" s="1"/>
  <c r="H17" i="50"/>
  <c r="U10" i="80"/>
  <c r="U14" i="80"/>
  <c r="M11" i="203"/>
  <c r="M16" i="203"/>
  <c r="U8" i="80"/>
  <c r="L40" i="127"/>
  <c r="E42" i="229"/>
  <c r="M17" i="203"/>
  <c r="U20" i="80"/>
  <c r="K53" i="126"/>
  <c r="H16" i="50"/>
  <c r="K55" i="126"/>
  <c r="F24" i="154"/>
  <c r="F59" i="34"/>
  <c r="N58" i="37" s="1"/>
  <c r="D23" i="114" s="1"/>
  <c r="P27" i="37"/>
  <c r="AJ27" i="37" s="1"/>
  <c r="G20" i="203"/>
  <c r="G26" i="203"/>
  <c r="G9" i="203"/>
  <c r="G16" i="203"/>
  <c r="G21" i="203"/>
  <c r="G11" i="203"/>
  <c r="K43" i="203"/>
  <c r="K37" i="203"/>
  <c r="K39" i="203"/>
  <c r="K46" i="203"/>
  <c r="K36" i="203"/>
  <c r="K45" i="203"/>
  <c r="K42" i="203"/>
  <c r="G22" i="39"/>
  <c r="H49" i="170"/>
  <c r="H47" i="170"/>
  <c r="J19" i="80"/>
  <c r="M9" i="203"/>
  <c r="M12" i="203"/>
  <c r="K54" i="126"/>
  <c r="M10" i="203"/>
  <c r="U18" i="80"/>
  <c r="J18" i="80"/>
  <c r="M23" i="203"/>
  <c r="U11" i="80"/>
  <c r="J15" i="80"/>
  <c r="F52" i="33"/>
  <c r="K44" i="33" s="1"/>
  <c r="K43" i="33" s="1"/>
  <c r="D50" i="133"/>
  <c r="J11" i="80"/>
  <c r="Q127" i="203"/>
  <c r="U13" i="80"/>
  <c r="J13" i="80"/>
  <c r="K56" i="126"/>
  <c r="L10" i="192"/>
  <c r="K10" i="192" s="1"/>
  <c r="M24" i="203"/>
  <c r="M21" i="203"/>
  <c r="I71" i="126"/>
  <c r="I70" i="126"/>
  <c r="I72" i="126"/>
  <c r="G14" i="203"/>
  <c r="K40" i="203"/>
  <c r="K27" i="203"/>
  <c r="AR14" i="203"/>
  <c r="AJ117" i="203"/>
  <c r="H79" i="203"/>
  <c r="Q27" i="203"/>
  <c r="O27" i="203"/>
  <c r="N20" i="203"/>
  <c r="Y130" i="203"/>
  <c r="E116" i="203" s="1"/>
  <c r="Q119" i="203"/>
  <c r="C21" i="203"/>
  <c r="J79" i="203"/>
  <c r="N24" i="203"/>
  <c r="N11" i="203"/>
  <c r="N26" i="203"/>
  <c r="N17" i="203"/>
  <c r="N9" i="203"/>
  <c r="N10" i="203"/>
  <c r="N21" i="203"/>
  <c r="N19" i="203"/>
  <c r="Q113" i="203"/>
  <c r="AH53" i="203"/>
  <c r="N49" i="203" s="1"/>
  <c r="N23" i="203"/>
  <c r="AM53" i="203"/>
  <c r="AM130" i="203" s="1"/>
  <c r="AM129" i="203"/>
  <c r="H128" i="203"/>
  <c r="H116" i="203"/>
  <c r="H129" i="203"/>
  <c r="H126" i="203"/>
  <c r="H127" i="203"/>
  <c r="S16" i="203"/>
  <c r="J116" i="203"/>
  <c r="Q123" i="203"/>
  <c r="Q129" i="203"/>
  <c r="Q125" i="203"/>
  <c r="Q126" i="203"/>
  <c r="C20" i="203"/>
  <c r="L79" i="203"/>
  <c r="Q116" i="203"/>
  <c r="J53" i="203"/>
  <c r="W130" i="203"/>
  <c r="C123" i="203" s="1"/>
  <c r="S14" i="203"/>
  <c r="S10" i="203"/>
  <c r="Q115" i="203"/>
  <c r="Q117" i="203"/>
  <c r="C23" i="203"/>
  <c r="C16" i="203"/>
  <c r="S20" i="203"/>
  <c r="S13" i="203"/>
  <c r="S21" i="203"/>
  <c r="K120" i="203"/>
  <c r="Q122" i="203"/>
  <c r="Q114" i="203"/>
  <c r="Q124" i="203"/>
  <c r="Q121" i="203"/>
  <c r="C13" i="203"/>
  <c r="K123" i="203"/>
  <c r="F53" i="203"/>
  <c r="K79" i="203"/>
  <c r="L121" i="203"/>
  <c r="L123" i="203"/>
  <c r="L113" i="203"/>
  <c r="L120" i="203"/>
  <c r="L130" i="203"/>
  <c r="L127" i="203"/>
  <c r="L117" i="203"/>
  <c r="L128" i="203"/>
  <c r="L119" i="203"/>
  <c r="L115" i="203"/>
  <c r="L125" i="203"/>
  <c r="L114" i="203"/>
  <c r="L129" i="203"/>
  <c r="L112" i="203"/>
  <c r="L126" i="203"/>
  <c r="L116" i="203"/>
  <c r="L124" i="203"/>
  <c r="L118" i="203"/>
  <c r="L122" i="203"/>
  <c r="N72" i="203"/>
  <c r="N69" i="203"/>
  <c r="N63" i="203"/>
  <c r="N75" i="203"/>
  <c r="N71" i="203"/>
  <c r="N78" i="203"/>
  <c r="N73" i="203"/>
  <c r="N62" i="203"/>
  <c r="N61" i="203"/>
  <c r="N76" i="203"/>
  <c r="N64" i="203"/>
  <c r="J120" i="203"/>
  <c r="J121" i="203"/>
  <c r="J118" i="203"/>
  <c r="J119" i="203"/>
  <c r="G49" i="203"/>
  <c r="J124" i="203"/>
  <c r="F10" i="203"/>
  <c r="U599" i="165"/>
  <c r="U600" i="165" s="1"/>
  <c r="J122" i="203"/>
  <c r="F23" i="37"/>
  <c r="AO55" i="37" s="1"/>
  <c r="J117" i="203"/>
  <c r="N68" i="203"/>
  <c r="G52" i="203"/>
  <c r="AJ130" i="203"/>
  <c r="P121" i="203" s="1"/>
  <c r="U596" i="165"/>
  <c r="J114" i="203"/>
  <c r="J123" i="203"/>
  <c r="J126" i="203"/>
  <c r="D46" i="36"/>
  <c r="N16" i="154"/>
  <c r="O16" i="154" s="1"/>
  <c r="F17" i="203"/>
  <c r="F16" i="203"/>
  <c r="K39" i="127"/>
  <c r="F53" i="30"/>
  <c r="J113" i="203"/>
  <c r="H112" i="203"/>
  <c r="H117" i="203"/>
  <c r="AA32" i="143"/>
  <c r="S24" i="203"/>
  <c r="S26" i="203"/>
  <c r="S19" i="203"/>
  <c r="S9" i="203"/>
  <c r="S12" i="203"/>
  <c r="N66" i="203"/>
  <c r="L36" i="203"/>
  <c r="L35" i="203"/>
  <c r="L43" i="203"/>
  <c r="L50" i="203"/>
  <c r="L42" i="203"/>
  <c r="L45" i="203"/>
  <c r="L38" i="203"/>
  <c r="L52" i="203"/>
  <c r="L39" i="203"/>
  <c r="L37" i="203"/>
  <c r="L49" i="203"/>
  <c r="H27" i="203"/>
  <c r="J127" i="203"/>
  <c r="J128" i="203"/>
  <c r="L46" i="203"/>
  <c r="J130" i="203"/>
  <c r="F51" i="133"/>
  <c r="K45" i="133" s="1"/>
  <c r="K44" i="133" s="1"/>
  <c r="H26" i="93"/>
  <c r="N65" i="203"/>
  <c r="J54" i="126"/>
  <c r="L57" i="126"/>
  <c r="J112" i="203"/>
  <c r="J129" i="203"/>
  <c r="C51" i="36"/>
  <c r="D51" i="36" s="1"/>
  <c r="J125" i="203"/>
  <c r="F52" i="34"/>
  <c r="K44" i="34" s="1"/>
  <c r="K43" i="34" s="1"/>
  <c r="I17" i="114"/>
  <c r="L39" i="127"/>
  <c r="C26" i="203"/>
  <c r="C10" i="203"/>
  <c r="C19" i="203"/>
  <c r="C24" i="203"/>
  <c r="C17" i="203"/>
  <c r="C9" i="203"/>
  <c r="C11" i="203"/>
  <c r="C12" i="203"/>
  <c r="H15" i="37"/>
  <c r="L40" i="203"/>
  <c r="Q130" i="203"/>
  <c r="Q120" i="203"/>
  <c r="Q128" i="203"/>
  <c r="Q118" i="203"/>
  <c r="K118" i="203"/>
  <c r="K115" i="203"/>
  <c r="K119" i="203"/>
  <c r="K130" i="203"/>
  <c r="U16" i="80"/>
  <c r="J20" i="80"/>
  <c r="C53" i="203"/>
  <c r="O79" i="203"/>
  <c r="E51" i="134"/>
  <c r="J45" i="134" s="1"/>
  <c r="J44" i="134" s="1"/>
  <c r="C47" i="31"/>
  <c r="D39" i="31"/>
  <c r="C53" i="250" s="1"/>
  <c r="N18" i="154"/>
  <c r="O18" i="154" s="1"/>
  <c r="F20" i="37"/>
  <c r="I13" i="114"/>
  <c r="D16" i="37"/>
  <c r="AM48" i="37" s="1"/>
  <c r="H115" i="203"/>
  <c r="H121" i="203"/>
  <c r="H114" i="203"/>
  <c r="H113" i="203"/>
  <c r="H123" i="203"/>
  <c r="H119" i="203"/>
  <c r="J26" i="93"/>
  <c r="J33" i="126"/>
  <c r="J35" i="126"/>
  <c r="J36" i="126"/>
  <c r="J32" i="126"/>
  <c r="C65" i="126"/>
  <c r="J34" i="126"/>
  <c r="D49" i="34"/>
  <c r="E56" i="250" s="1"/>
  <c r="C59" i="34"/>
  <c r="E26" i="37" s="1"/>
  <c r="AN58" i="37" s="1"/>
  <c r="D49" i="30"/>
  <c r="D54" i="37" s="1"/>
  <c r="C19" i="110" s="1"/>
  <c r="D22" i="37"/>
  <c r="AM54" i="37" s="1"/>
  <c r="D55" i="33"/>
  <c r="D60" i="33"/>
  <c r="F57" i="37" s="1"/>
  <c r="E22" i="110" s="1"/>
  <c r="D56" i="33"/>
  <c r="D57" i="37" s="1"/>
  <c r="C22" i="110" s="1"/>
  <c r="H25" i="37"/>
  <c r="D57" i="33"/>
  <c r="D42" i="32"/>
  <c r="C50" i="32"/>
  <c r="C21" i="37"/>
  <c r="G34" i="93"/>
  <c r="G33" i="93"/>
  <c r="G32" i="93"/>
  <c r="G31" i="93"/>
  <c r="G30" i="93"/>
  <c r="D58" i="33"/>
  <c r="L55" i="126"/>
  <c r="Q53" i="203"/>
  <c r="F79" i="203"/>
  <c r="G52" i="170"/>
  <c r="G47" i="203"/>
  <c r="D61" i="33"/>
  <c r="C59" i="33"/>
  <c r="J57" i="126"/>
  <c r="L56" i="126"/>
  <c r="M52" i="126"/>
  <c r="F52" i="31"/>
  <c r="K47" i="31" s="1"/>
  <c r="K46" i="31" s="1"/>
  <c r="F49" i="135"/>
  <c r="K43" i="135" s="1"/>
  <c r="K42" i="135" s="1"/>
  <c r="F30" i="37"/>
  <c r="AO62" i="37" s="1"/>
  <c r="H125" i="203"/>
  <c r="H124" i="203"/>
  <c r="F19" i="154"/>
  <c r="H20" i="37"/>
  <c r="F17" i="37"/>
  <c r="L31" i="120"/>
  <c r="D31" i="120"/>
  <c r="D50" i="36"/>
  <c r="H28" i="37"/>
  <c r="D45" i="36"/>
  <c r="D49" i="36"/>
  <c r="F60" i="37" s="1"/>
  <c r="E25" i="110" s="1"/>
  <c r="F50" i="32"/>
  <c r="M56" i="37" s="1"/>
  <c r="C21" i="114" s="1"/>
  <c r="C48" i="30"/>
  <c r="D40" i="30"/>
  <c r="C52" i="250" s="1"/>
  <c r="G52" i="250" s="1"/>
  <c r="L37" i="126"/>
  <c r="AA130" i="203"/>
  <c r="G43" i="203"/>
  <c r="G46" i="203"/>
  <c r="G36" i="203"/>
  <c r="G35" i="203"/>
  <c r="G39" i="203"/>
  <c r="G45" i="203"/>
  <c r="G42" i="203"/>
  <c r="G38" i="203"/>
  <c r="G37" i="203"/>
  <c r="G50" i="203"/>
  <c r="C44" i="31"/>
  <c r="D44" i="31" s="1"/>
  <c r="D10" i="31"/>
  <c r="F21" i="154"/>
  <c r="H19" i="37"/>
  <c r="F31" i="37"/>
  <c r="H29" i="37"/>
  <c r="D46" i="133"/>
  <c r="D45" i="133"/>
  <c r="J46" i="127"/>
  <c r="J44" i="127"/>
  <c r="J45" i="127"/>
  <c r="J49" i="127"/>
  <c r="J48" i="127"/>
  <c r="J43" i="127"/>
  <c r="J47" i="127"/>
  <c r="H50" i="170"/>
  <c r="H46" i="170"/>
  <c r="L32" i="126"/>
  <c r="L66" i="126"/>
  <c r="L34" i="126"/>
  <c r="L36" i="126"/>
  <c r="L76" i="126"/>
  <c r="L67" i="126"/>
  <c r="L39" i="126"/>
  <c r="L68" i="126"/>
  <c r="L74" i="126"/>
  <c r="L77" i="126"/>
  <c r="E65" i="126"/>
  <c r="E75" i="126"/>
  <c r="L75" i="126" s="1"/>
  <c r="L38" i="126"/>
  <c r="L71" i="126"/>
  <c r="L73" i="126"/>
  <c r="L33" i="126"/>
  <c r="D49" i="133"/>
  <c r="D50" i="134"/>
  <c r="F62" i="37" s="1"/>
  <c r="E27" i="110" s="1"/>
  <c r="L54" i="126"/>
  <c r="D48" i="135"/>
  <c r="H17" i="37"/>
  <c r="C75" i="126"/>
  <c r="J73" i="126" s="1"/>
  <c r="F50" i="35"/>
  <c r="K45" i="35" s="1"/>
  <c r="K44" i="35" s="1"/>
  <c r="H122" i="203"/>
  <c r="M79" i="203"/>
  <c r="H120" i="203"/>
  <c r="H130" i="203"/>
  <c r="H118" i="203"/>
  <c r="L69" i="126"/>
  <c r="E21" i="203"/>
  <c r="E17" i="203"/>
  <c r="E26" i="203"/>
  <c r="E12" i="203"/>
  <c r="E23" i="203"/>
  <c r="E9" i="203"/>
  <c r="E20" i="203"/>
  <c r="E24" i="203"/>
  <c r="E19" i="203"/>
  <c r="E13" i="203"/>
  <c r="E10" i="203"/>
  <c r="E16" i="203"/>
  <c r="E11" i="203"/>
  <c r="H43" i="203"/>
  <c r="H42" i="203"/>
  <c r="H47" i="203"/>
  <c r="H46" i="203"/>
  <c r="H40" i="203"/>
  <c r="H36" i="203"/>
  <c r="H50" i="203"/>
  <c r="H52" i="203"/>
  <c r="H49" i="203"/>
  <c r="H37" i="203"/>
  <c r="H39" i="203"/>
  <c r="H35" i="203"/>
  <c r="H45" i="203"/>
  <c r="H38" i="203"/>
  <c r="F20" i="203"/>
  <c r="F24" i="203"/>
  <c r="F26" i="203"/>
  <c r="F13" i="203"/>
  <c r="Z130" i="203"/>
  <c r="F21" i="203"/>
  <c r="F9" i="203"/>
  <c r="F19" i="203"/>
  <c r="F14" i="203"/>
  <c r="F12" i="203"/>
  <c r="F23" i="203"/>
  <c r="P62" i="203"/>
  <c r="P65" i="203"/>
  <c r="P61" i="203"/>
  <c r="P68" i="203"/>
  <c r="P78" i="203"/>
  <c r="P69" i="203"/>
  <c r="P72" i="203"/>
  <c r="P76" i="203"/>
  <c r="P64" i="203"/>
  <c r="P75" i="203"/>
  <c r="P63" i="203"/>
  <c r="P73" i="203"/>
  <c r="P71" i="203"/>
  <c r="I15" i="114"/>
  <c r="D49" i="31"/>
  <c r="E55" i="37" s="1"/>
  <c r="D20" i="110" s="1"/>
  <c r="I16" i="93"/>
  <c r="J37" i="126"/>
  <c r="F20" i="154"/>
  <c r="C45" i="30"/>
  <c r="D45" i="30" s="1"/>
  <c r="D10" i="30"/>
  <c r="D48" i="133"/>
  <c r="E61" i="37" s="1"/>
  <c r="D26" i="110" s="1"/>
  <c r="C46" i="32"/>
  <c r="D46" i="32" s="1"/>
  <c r="D17" i="32"/>
  <c r="I12" i="32" s="1"/>
  <c r="I11" i="32" s="1"/>
  <c r="N19" i="154"/>
  <c r="O19" i="154" s="1"/>
  <c r="J15" i="126"/>
  <c r="L12" i="192"/>
  <c r="K12" i="192" s="1"/>
  <c r="H18" i="50"/>
  <c r="K18" i="111"/>
  <c r="O18" i="111"/>
  <c r="I27" i="203"/>
  <c r="J36" i="93"/>
  <c r="I47" i="170"/>
  <c r="I49" i="170"/>
  <c r="I48" i="170"/>
  <c r="I50" i="170"/>
  <c r="J13" i="126"/>
  <c r="J10" i="126"/>
  <c r="J14" i="126"/>
  <c r="J12" i="126"/>
  <c r="J11" i="126"/>
  <c r="C62" i="126"/>
  <c r="H16" i="93"/>
  <c r="I11" i="114"/>
  <c r="C52" i="34"/>
  <c r="D52" i="34" s="1"/>
  <c r="G12" i="39"/>
  <c r="K34" i="126"/>
  <c r="K32" i="126"/>
  <c r="D65" i="126"/>
  <c r="K33" i="126"/>
  <c r="K36" i="126"/>
  <c r="K35" i="126"/>
  <c r="J53" i="126"/>
  <c r="J52" i="126"/>
  <c r="D53" i="203"/>
  <c r="E79" i="203"/>
  <c r="H15" i="50"/>
  <c r="L9" i="192"/>
  <c r="K9" i="192" s="1"/>
  <c r="E49" i="135"/>
  <c r="J43" i="135" s="1"/>
  <c r="D45" i="35"/>
  <c r="C59" i="37" s="1"/>
  <c r="B24" i="110" s="1"/>
  <c r="C27" i="37"/>
  <c r="D19" i="37"/>
  <c r="J27" i="203"/>
  <c r="I33" i="93"/>
  <c r="I34" i="93"/>
  <c r="I31" i="93"/>
  <c r="I30" i="93"/>
  <c r="K10" i="126"/>
  <c r="K14" i="126"/>
  <c r="K12" i="126"/>
  <c r="D62" i="126"/>
  <c r="K11" i="126"/>
  <c r="K13" i="126"/>
  <c r="D75" i="126"/>
  <c r="K73" i="126" s="1"/>
  <c r="E62" i="34"/>
  <c r="J54" i="34" s="1"/>
  <c r="J53" i="34" s="1"/>
  <c r="D31" i="37"/>
  <c r="D45" i="135"/>
  <c r="D63" i="37" s="1"/>
  <c r="C28" i="110" s="1"/>
  <c r="G16" i="93"/>
  <c r="J72" i="126"/>
  <c r="G79" i="203"/>
  <c r="E53" i="203"/>
  <c r="AO36" i="95"/>
  <c r="I32" i="93"/>
  <c r="D26" i="203"/>
  <c r="D21" i="203"/>
  <c r="D23" i="203"/>
  <c r="D16" i="203"/>
  <c r="X130" i="203"/>
  <c r="D117" i="203" s="1"/>
  <c r="D17" i="203"/>
  <c r="D20" i="203"/>
  <c r="D11" i="203"/>
  <c r="D12" i="203"/>
  <c r="D24" i="203"/>
  <c r="D13" i="203"/>
  <c r="D9" i="203"/>
  <c r="D19" i="203"/>
  <c r="D10" i="203"/>
  <c r="I59" i="126"/>
  <c r="P27" i="203"/>
  <c r="K17" i="154"/>
  <c r="J39" i="127"/>
  <c r="H32" i="93"/>
  <c r="H34" i="93"/>
  <c r="H31" i="93"/>
  <c r="H30" i="93"/>
  <c r="H33" i="93"/>
  <c r="F59" i="33"/>
  <c r="N57" i="37" s="1"/>
  <c r="D22" i="114" s="1"/>
  <c r="F19" i="37"/>
  <c r="K15" i="154"/>
  <c r="P46" i="203"/>
  <c r="P43" i="203"/>
  <c r="P37" i="203"/>
  <c r="P35" i="203"/>
  <c r="P39" i="203"/>
  <c r="P36" i="203"/>
  <c r="P42" i="203"/>
  <c r="P45" i="203"/>
  <c r="P50" i="203"/>
  <c r="P47" i="203"/>
  <c r="P38" i="203"/>
  <c r="P49" i="203"/>
  <c r="P52" i="203"/>
  <c r="E51" i="133"/>
  <c r="J45" i="133" s="1"/>
  <c r="J44" i="133" s="1"/>
  <c r="D14" i="37"/>
  <c r="R127" i="203"/>
  <c r="R116" i="203"/>
  <c r="R124" i="203"/>
  <c r="R125" i="203"/>
  <c r="R126" i="203"/>
  <c r="R114" i="203"/>
  <c r="R130" i="203"/>
  <c r="R115" i="203"/>
  <c r="R112" i="203"/>
  <c r="R123" i="203"/>
  <c r="R129" i="203"/>
  <c r="R119" i="203"/>
  <c r="R128" i="203"/>
  <c r="R122" i="203"/>
  <c r="R121" i="203"/>
  <c r="R113" i="203"/>
  <c r="R120" i="203"/>
  <c r="R117" i="203"/>
  <c r="R118" i="203"/>
  <c r="J16" i="93"/>
  <c r="D44" i="35"/>
  <c r="D48" i="35"/>
  <c r="D46" i="35"/>
  <c r="D59" i="37" s="1"/>
  <c r="C24" i="110" s="1"/>
  <c r="D49" i="35"/>
  <c r="D47" i="35"/>
  <c r="E59" i="37" s="1"/>
  <c r="D24" i="110" s="1"/>
  <c r="C50" i="35"/>
  <c r="D50" i="35" s="1"/>
  <c r="H27" i="37"/>
  <c r="N49" i="154"/>
  <c r="O49" i="154" s="1"/>
  <c r="H24" i="50"/>
  <c r="L18" i="192"/>
  <c r="K18" i="192" s="1"/>
  <c r="M52" i="203"/>
  <c r="M35" i="203"/>
  <c r="M43" i="203"/>
  <c r="M39" i="203"/>
  <c r="M47" i="203"/>
  <c r="M49" i="203"/>
  <c r="M37" i="203"/>
  <c r="M46" i="203"/>
  <c r="M36" i="203"/>
  <c r="M42" i="203"/>
  <c r="M45" i="203"/>
  <c r="M50" i="203"/>
  <c r="M38" i="203"/>
  <c r="AG130" i="203"/>
  <c r="D28" i="37"/>
  <c r="D47" i="36"/>
  <c r="D60" i="37" s="1"/>
  <c r="C25" i="110" s="1"/>
  <c r="F21" i="37"/>
  <c r="AO53" i="37" s="1"/>
  <c r="C15" i="154"/>
  <c r="I39" i="126"/>
  <c r="L27" i="203"/>
  <c r="E113" i="203"/>
  <c r="I42" i="203"/>
  <c r="I45" i="203"/>
  <c r="I39" i="203"/>
  <c r="I50" i="203"/>
  <c r="I35" i="203"/>
  <c r="I46" i="203"/>
  <c r="I43" i="203"/>
  <c r="I47" i="203"/>
  <c r="I49" i="203"/>
  <c r="I38" i="203"/>
  <c r="I52" i="203"/>
  <c r="I40" i="203"/>
  <c r="AC130" i="203"/>
  <c r="I117" i="203" s="1"/>
  <c r="I36" i="203"/>
  <c r="I37" i="203"/>
  <c r="Q79" i="203"/>
  <c r="I17" i="126"/>
  <c r="E51" i="36"/>
  <c r="M17" i="127"/>
  <c r="M15" i="127"/>
  <c r="M19" i="127"/>
  <c r="F62" i="127"/>
  <c r="M16" i="127"/>
  <c r="M14" i="127"/>
  <c r="M39" i="127"/>
  <c r="K40" i="127"/>
  <c r="F18" i="154"/>
  <c r="N51" i="154"/>
  <c r="O51" i="154" s="1"/>
  <c r="G27" i="37" l="1"/>
  <c r="I27" i="37"/>
  <c r="I44" i="34"/>
  <c r="I43" i="34" s="1"/>
  <c r="C56" i="250"/>
  <c r="G56" i="250" s="1"/>
  <c r="B22" i="114"/>
  <c r="AJ57" i="37"/>
  <c r="G20" i="110"/>
  <c r="H45" i="36"/>
  <c r="H44" i="36" s="1"/>
  <c r="G54" i="250"/>
  <c r="G20" i="114"/>
  <c r="P55" i="37"/>
  <c r="F59" i="37"/>
  <c r="E24" i="110" s="1"/>
  <c r="H61" i="37"/>
  <c r="I46" i="133"/>
  <c r="H60" i="37"/>
  <c r="I46" i="36"/>
  <c r="C57" i="37"/>
  <c r="B22" i="110" s="1"/>
  <c r="C60" i="37"/>
  <c r="B25" i="110" s="1"/>
  <c r="I45" i="36"/>
  <c r="I44" i="36" s="1"/>
  <c r="J44" i="135"/>
  <c r="Q31" i="37"/>
  <c r="AJ56" i="37"/>
  <c r="G53" i="250"/>
  <c r="G23" i="114"/>
  <c r="P58" i="37"/>
  <c r="B19" i="114"/>
  <c r="AJ54" i="37"/>
  <c r="F27" i="114"/>
  <c r="I27" i="114" s="1"/>
  <c r="R62" i="37"/>
  <c r="B25" i="114"/>
  <c r="I36" i="36"/>
  <c r="G28" i="114"/>
  <c r="P63" i="37"/>
  <c r="I45" i="134"/>
  <c r="I44" i="134" s="1"/>
  <c r="I16" i="37"/>
  <c r="G18" i="37"/>
  <c r="I40" i="32"/>
  <c r="I39" i="32" s="1"/>
  <c r="D54" i="250"/>
  <c r="J44" i="36"/>
  <c r="G26" i="114"/>
  <c r="P61" i="37"/>
  <c r="L14" i="192"/>
  <c r="K14" i="192" s="1"/>
  <c r="H20" i="50"/>
  <c r="B24" i="114"/>
  <c r="G22" i="114"/>
  <c r="P57" i="37"/>
  <c r="E62" i="33"/>
  <c r="J54" i="33" s="1"/>
  <c r="J53" i="33" s="1"/>
  <c r="H59" i="37"/>
  <c r="I46" i="35"/>
  <c r="G17" i="37"/>
  <c r="C61" i="37"/>
  <c r="B26" i="110" s="1"/>
  <c r="G28" i="37"/>
  <c r="I28" i="37"/>
  <c r="J46" i="31"/>
  <c r="P56" i="37"/>
  <c r="AJ58" i="37"/>
  <c r="B27" i="114"/>
  <c r="AJ62" i="37"/>
  <c r="G24" i="114"/>
  <c r="P59" i="37"/>
  <c r="AJ59" i="37" s="1"/>
  <c r="I18" i="37"/>
  <c r="G16" i="37"/>
  <c r="G19" i="110"/>
  <c r="G25" i="114"/>
  <c r="P60" i="37"/>
  <c r="G62" i="37"/>
  <c r="F27" i="110" s="1"/>
  <c r="G27" i="110"/>
  <c r="J42" i="135"/>
  <c r="C62" i="33"/>
  <c r="E25" i="37"/>
  <c r="G25" i="37" s="1"/>
  <c r="F19" i="114"/>
  <c r="I19" i="114" s="1"/>
  <c r="R54" i="37"/>
  <c r="I6" i="30"/>
  <c r="I5" i="30" s="1"/>
  <c r="F52" i="154"/>
  <c r="G52" i="154" s="1"/>
  <c r="G29" i="37"/>
  <c r="I29" i="37"/>
  <c r="I6" i="31"/>
  <c r="I5" i="31" s="1"/>
  <c r="F53" i="154"/>
  <c r="G53" i="154" s="1"/>
  <c r="G15" i="37"/>
  <c r="F61" i="37"/>
  <c r="E26" i="110" s="1"/>
  <c r="J47" i="32"/>
  <c r="G31" i="37"/>
  <c r="I31" i="37" s="1"/>
  <c r="D52" i="33"/>
  <c r="I44" i="33" s="1"/>
  <c r="I43" i="33" s="1"/>
  <c r="H44" i="33"/>
  <c r="H43" i="33" s="1"/>
  <c r="G58" i="250"/>
  <c r="D51" i="133"/>
  <c r="I45" i="133" s="1"/>
  <c r="I44" i="133" s="1"/>
  <c r="H45" i="133"/>
  <c r="H44" i="133" s="1"/>
  <c r="G21" i="110"/>
  <c r="I36" i="133"/>
  <c r="H58" i="37"/>
  <c r="I55" i="34"/>
  <c r="H57" i="37"/>
  <c r="I55" i="33"/>
  <c r="G63" i="37"/>
  <c r="F28" i="110" s="1"/>
  <c r="G28" i="110"/>
  <c r="I30" i="37"/>
  <c r="I36" i="134"/>
  <c r="G55" i="250"/>
  <c r="AN47" i="37"/>
  <c r="AN46" i="37"/>
  <c r="L7" i="192"/>
  <c r="K7" i="192" s="1"/>
  <c r="AM59" i="37"/>
  <c r="AN63" i="37"/>
  <c r="AM46" i="37"/>
  <c r="G24" i="154"/>
  <c r="G21" i="154"/>
  <c r="G19" i="154"/>
  <c r="G18" i="154"/>
  <c r="G20" i="154"/>
  <c r="AM63" i="37"/>
  <c r="AO51" i="37"/>
  <c r="AM60" i="37"/>
  <c r="AO49" i="37"/>
  <c r="AO63" i="37"/>
  <c r="AM51" i="37"/>
  <c r="AN60" i="37"/>
  <c r="AO60" i="37"/>
  <c r="AO47" i="37"/>
  <c r="AN51" i="37"/>
  <c r="AO52" i="37"/>
  <c r="AM61" i="37"/>
  <c r="AN57" i="37"/>
  <c r="AM57" i="37"/>
  <c r="AO57" i="37"/>
  <c r="AM47" i="37"/>
  <c r="AO61" i="37"/>
  <c r="AN61" i="37"/>
  <c r="H8" i="50"/>
  <c r="AO46" i="37"/>
  <c r="AO59" i="37"/>
  <c r="AN59" i="37"/>
  <c r="AN49" i="37"/>
  <c r="AN52" i="37"/>
  <c r="AM49" i="37"/>
  <c r="P23" i="37"/>
  <c r="AJ23" i="37" s="1"/>
  <c r="P22" i="37"/>
  <c r="AJ22" i="37" s="1"/>
  <c r="L19" i="192"/>
  <c r="K19" i="192" s="1"/>
  <c r="I43" i="135"/>
  <c r="I42" i="135" s="1"/>
  <c r="H43" i="135"/>
  <c r="H42" i="135" s="1"/>
  <c r="H45" i="35"/>
  <c r="H44" i="35" s="1"/>
  <c r="I45" i="35"/>
  <c r="I44" i="35" s="1"/>
  <c r="H44" i="34"/>
  <c r="H43" i="34" s="1"/>
  <c r="H40" i="32"/>
  <c r="H39" i="32" s="1"/>
  <c r="I39" i="31"/>
  <c r="I38" i="31" s="1"/>
  <c r="H39" i="31"/>
  <c r="H38" i="31" s="1"/>
  <c r="I39" i="30"/>
  <c r="I38" i="30" s="1"/>
  <c r="H39" i="30"/>
  <c r="H38" i="30" s="1"/>
  <c r="C20" i="37"/>
  <c r="G20" i="37" s="1"/>
  <c r="C17" i="37"/>
  <c r="I17" i="37" s="1"/>
  <c r="P16" i="37"/>
  <c r="AJ16" i="37" s="1"/>
  <c r="C15" i="37"/>
  <c r="I15" i="37" s="1"/>
  <c r="P15" i="37"/>
  <c r="AJ15" i="37" s="1"/>
  <c r="P14" i="37"/>
  <c r="AJ14" i="37" s="1"/>
  <c r="E129" i="203"/>
  <c r="E121" i="203"/>
  <c r="E115" i="203"/>
  <c r="E118" i="203"/>
  <c r="P20" i="37"/>
  <c r="AJ20" i="37" s="1"/>
  <c r="K59" i="126"/>
  <c r="K124" i="203"/>
  <c r="K125" i="203"/>
  <c r="K121" i="203"/>
  <c r="K126" i="203"/>
  <c r="K128" i="203"/>
  <c r="K113" i="203"/>
  <c r="K129" i="203"/>
  <c r="K122" i="203"/>
  <c r="K116" i="203"/>
  <c r="K114" i="203"/>
  <c r="K112" i="203"/>
  <c r="K127" i="203"/>
  <c r="O45" i="203"/>
  <c r="O47" i="203"/>
  <c r="O42" i="203"/>
  <c r="O35" i="203"/>
  <c r="O38" i="203"/>
  <c r="O43" i="203"/>
  <c r="O37" i="203"/>
  <c r="O50" i="203"/>
  <c r="O52" i="203"/>
  <c r="O49" i="203"/>
  <c r="O46" i="203"/>
  <c r="O36" i="203"/>
  <c r="O39" i="203"/>
  <c r="AI130" i="203"/>
  <c r="D59" i="33"/>
  <c r="E57" i="37" s="1"/>
  <c r="D22" i="110" s="1"/>
  <c r="K117" i="203"/>
  <c r="C127" i="203"/>
  <c r="C126" i="203"/>
  <c r="H11" i="50"/>
  <c r="I75" i="126"/>
  <c r="K53" i="203"/>
  <c r="M59" i="126"/>
  <c r="H52" i="170"/>
  <c r="P24" i="37"/>
  <c r="AJ24" i="37" s="1"/>
  <c r="G27" i="203"/>
  <c r="M27" i="203"/>
  <c r="C26" i="37"/>
  <c r="G26" i="37" s="1"/>
  <c r="I26" i="37" s="1"/>
  <c r="D55" i="34"/>
  <c r="C58" i="37" s="1"/>
  <c r="B23" i="110" s="1"/>
  <c r="E127" i="203"/>
  <c r="E112" i="203"/>
  <c r="E117" i="203"/>
  <c r="P125" i="203"/>
  <c r="E124" i="203"/>
  <c r="E120" i="203"/>
  <c r="E123" i="203"/>
  <c r="E130" i="203"/>
  <c r="L59" i="126"/>
  <c r="E119" i="203"/>
  <c r="E122" i="203"/>
  <c r="E126" i="203"/>
  <c r="E114" i="203"/>
  <c r="E128" i="203"/>
  <c r="E125" i="203"/>
  <c r="F62" i="34"/>
  <c r="K54" i="34" s="1"/>
  <c r="K53" i="34" s="1"/>
  <c r="AO120" i="203"/>
  <c r="AO127" i="203"/>
  <c r="S113" i="203"/>
  <c r="AO116" i="203"/>
  <c r="S120" i="203"/>
  <c r="S124" i="203"/>
  <c r="AO119" i="203"/>
  <c r="S127" i="203"/>
  <c r="S122" i="203"/>
  <c r="AO115" i="203"/>
  <c r="S119" i="203"/>
  <c r="S116" i="203"/>
  <c r="S129" i="203"/>
  <c r="S115" i="203"/>
  <c r="S130" i="203"/>
  <c r="S123" i="203"/>
  <c r="S128" i="203"/>
  <c r="S117" i="203"/>
  <c r="AO124" i="203"/>
  <c r="AO117" i="203"/>
  <c r="S121" i="203"/>
  <c r="S112" i="203"/>
  <c r="AO114" i="203"/>
  <c r="AO123" i="203"/>
  <c r="N27" i="203"/>
  <c r="N50" i="203"/>
  <c r="AO129" i="203"/>
  <c r="N39" i="203"/>
  <c r="N47" i="203"/>
  <c r="N35" i="203"/>
  <c r="C27" i="203"/>
  <c r="N52" i="203"/>
  <c r="N37" i="203"/>
  <c r="S35" i="203"/>
  <c r="S53" i="203"/>
  <c r="S38" i="203"/>
  <c r="S36" i="203"/>
  <c r="S47" i="203"/>
  <c r="S46" i="203"/>
  <c r="S52" i="203"/>
  <c r="S40" i="203"/>
  <c r="S45" i="203"/>
  <c r="S50" i="203"/>
  <c r="S43" i="203"/>
  <c r="S42" i="203"/>
  <c r="S39" i="203"/>
  <c r="S37" i="203"/>
  <c r="N43" i="203"/>
  <c r="N46" i="203"/>
  <c r="N38" i="203"/>
  <c r="N36" i="203"/>
  <c r="N45" i="203"/>
  <c r="AH130" i="203"/>
  <c r="N117" i="203" s="1"/>
  <c r="N40" i="203"/>
  <c r="N42" i="203"/>
  <c r="C119" i="203"/>
  <c r="C124" i="203"/>
  <c r="C113" i="203"/>
  <c r="C122" i="203"/>
  <c r="C116" i="203"/>
  <c r="C129" i="203"/>
  <c r="P115" i="203"/>
  <c r="C125" i="203"/>
  <c r="C121" i="203"/>
  <c r="C128" i="203"/>
  <c r="C130" i="203"/>
  <c r="P114" i="203"/>
  <c r="C117" i="203"/>
  <c r="AO122" i="203"/>
  <c r="AO130" i="203"/>
  <c r="S114" i="203"/>
  <c r="S118" i="203"/>
  <c r="AO112" i="203"/>
  <c r="S125" i="203"/>
  <c r="AO113" i="203"/>
  <c r="C115" i="203"/>
  <c r="C112" i="203"/>
  <c r="C120" i="203"/>
  <c r="C118" i="203"/>
  <c r="C114" i="203"/>
  <c r="P126" i="203"/>
  <c r="N79" i="203"/>
  <c r="P120" i="203"/>
  <c r="P119" i="203"/>
  <c r="P112" i="203"/>
  <c r="P123" i="203"/>
  <c r="N124" i="203"/>
  <c r="P18" i="37"/>
  <c r="AJ18" i="37" s="1"/>
  <c r="P116" i="203"/>
  <c r="P128" i="203"/>
  <c r="P130" i="203"/>
  <c r="P118" i="203"/>
  <c r="P122" i="203"/>
  <c r="H53" i="203"/>
  <c r="H9" i="50"/>
  <c r="L53" i="203"/>
  <c r="P117" i="203"/>
  <c r="J69" i="126"/>
  <c r="J59" i="126"/>
  <c r="J71" i="126"/>
  <c r="P113" i="203"/>
  <c r="P129" i="203"/>
  <c r="P127" i="203"/>
  <c r="P124" i="203"/>
  <c r="F27" i="203"/>
  <c r="P79" i="203"/>
  <c r="F17" i="154"/>
  <c r="L8" i="192"/>
  <c r="K8" i="192" s="1"/>
  <c r="H14" i="50"/>
  <c r="G36" i="93"/>
  <c r="J39" i="126"/>
  <c r="P30" i="37"/>
  <c r="AJ30" i="37" s="1"/>
  <c r="J70" i="126"/>
  <c r="F119" i="203"/>
  <c r="F128" i="203"/>
  <c r="F130" i="203"/>
  <c r="F115" i="203"/>
  <c r="F122" i="203"/>
  <c r="F116" i="203"/>
  <c r="F129" i="203"/>
  <c r="F113" i="203"/>
  <c r="F112" i="203"/>
  <c r="F121" i="203"/>
  <c r="F127" i="203"/>
  <c r="F125" i="203"/>
  <c r="F118" i="203"/>
  <c r="F114" i="203"/>
  <c r="F126" i="203"/>
  <c r="F124" i="203"/>
  <c r="F120" i="203"/>
  <c r="F123" i="203"/>
  <c r="D21" i="37"/>
  <c r="AM53" i="37" s="1"/>
  <c r="E27" i="203"/>
  <c r="F117" i="203"/>
  <c r="D48" i="30"/>
  <c r="C54" i="37" s="1"/>
  <c r="B19" i="110" s="1"/>
  <c r="C53" i="30"/>
  <c r="D53" i="30" s="1"/>
  <c r="C22" i="37"/>
  <c r="G53" i="203"/>
  <c r="L13" i="192"/>
  <c r="K13" i="192" s="1"/>
  <c r="H19" i="50"/>
  <c r="D59" i="34"/>
  <c r="E58" i="37" s="1"/>
  <c r="D23" i="110" s="1"/>
  <c r="C62" i="34"/>
  <c r="D62" i="34" s="1"/>
  <c r="L17" i="192"/>
  <c r="K17" i="192" s="1"/>
  <c r="H23" i="50"/>
  <c r="L16" i="192"/>
  <c r="K16" i="192" s="1"/>
  <c r="D24" i="37"/>
  <c r="AM56" i="37" s="1"/>
  <c r="C54" i="32"/>
  <c r="D54" i="32" s="1"/>
  <c r="D50" i="32"/>
  <c r="D47" i="31"/>
  <c r="C52" i="31"/>
  <c r="D52" i="31" s="1"/>
  <c r="C23" i="37"/>
  <c r="F62" i="33"/>
  <c r="K54" i="33" s="1"/>
  <c r="K53" i="33" s="1"/>
  <c r="H13" i="50"/>
  <c r="G123" i="203"/>
  <c r="G129" i="203"/>
  <c r="G120" i="203"/>
  <c r="G125" i="203"/>
  <c r="G127" i="203"/>
  <c r="G116" i="203"/>
  <c r="G126" i="203"/>
  <c r="G112" i="203"/>
  <c r="G122" i="203"/>
  <c r="G130" i="203"/>
  <c r="G115" i="203"/>
  <c r="G118" i="203"/>
  <c r="G124" i="203"/>
  <c r="G128" i="203"/>
  <c r="G114" i="203"/>
  <c r="G121" i="203"/>
  <c r="G119" i="203"/>
  <c r="G113" i="203"/>
  <c r="G117" i="203"/>
  <c r="F54" i="32"/>
  <c r="K48" i="32" s="1"/>
  <c r="K47" i="32" s="1"/>
  <c r="I52" i="170"/>
  <c r="P21" i="37"/>
  <c r="AJ21" i="37" s="1"/>
  <c r="C19" i="37"/>
  <c r="G19" i="37" s="1"/>
  <c r="I36" i="93"/>
  <c r="P31" i="37"/>
  <c r="AJ31" i="37" s="1"/>
  <c r="K39" i="126"/>
  <c r="J17" i="126"/>
  <c r="D20" i="37"/>
  <c r="AM52" i="37" s="1"/>
  <c r="M115" i="203"/>
  <c r="M129" i="203"/>
  <c r="M125" i="203"/>
  <c r="M120" i="203"/>
  <c r="M121" i="203"/>
  <c r="M126" i="203"/>
  <c r="M122" i="203"/>
  <c r="M118" i="203"/>
  <c r="M128" i="203"/>
  <c r="M123" i="203"/>
  <c r="M119" i="203"/>
  <c r="M116" i="203"/>
  <c r="M112" i="203"/>
  <c r="M127" i="203"/>
  <c r="M113" i="203"/>
  <c r="M114" i="203"/>
  <c r="M124" i="203"/>
  <c r="M130" i="203"/>
  <c r="M53" i="203"/>
  <c r="C14" i="37"/>
  <c r="G14" i="37" s="1"/>
  <c r="I18" i="114"/>
  <c r="L15" i="192"/>
  <c r="K15" i="192" s="1"/>
  <c r="H21" i="50"/>
  <c r="M117" i="203"/>
  <c r="H36" i="93"/>
  <c r="D113" i="203"/>
  <c r="D118" i="203"/>
  <c r="D125" i="203"/>
  <c r="D114" i="203"/>
  <c r="D126" i="203"/>
  <c r="D122" i="203"/>
  <c r="D123" i="203"/>
  <c r="D112" i="203"/>
  <c r="D129" i="203"/>
  <c r="D128" i="203"/>
  <c r="D116" i="203"/>
  <c r="D130" i="203"/>
  <c r="D119" i="203"/>
  <c r="D127" i="203"/>
  <c r="D120" i="203"/>
  <c r="D115" i="203"/>
  <c r="D124" i="203"/>
  <c r="D121" i="203"/>
  <c r="P28" i="37"/>
  <c r="AJ28" i="37" s="1"/>
  <c r="P29" i="37"/>
  <c r="AJ29" i="37" s="1"/>
  <c r="N17" i="154"/>
  <c r="O17" i="154" s="1"/>
  <c r="D27" i="203"/>
  <c r="P26" i="37"/>
  <c r="AJ26" i="37" s="1"/>
  <c r="K17" i="126"/>
  <c r="P25" i="37"/>
  <c r="AJ25" i="37" s="1"/>
  <c r="N15" i="154"/>
  <c r="O15" i="154" s="1"/>
  <c r="N40" i="127"/>
  <c r="I125" i="203"/>
  <c r="I129" i="203"/>
  <c r="I123" i="203"/>
  <c r="I130" i="203"/>
  <c r="I114" i="203"/>
  <c r="I113" i="203"/>
  <c r="I124" i="203"/>
  <c r="I126" i="203"/>
  <c r="I127" i="203"/>
  <c r="I128" i="203"/>
  <c r="I122" i="203"/>
  <c r="I118" i="203"/>
  <c r="I112" i="203"/>
  <c r="I119" i="203"/>
  <c r="I120" i="203"/>
  <c r="I115" i="203"/>
  <c r="I121" i="203"/>
  <c r="I116" i="203"/>
  <c r="I53" i="203"/>
  <c r="F15" i="154"/>
  <c r="P53" i="203"/>
  <c r="K71" i="126"/>
  <c r="K70" i="126"/>
  <c r="K69" i="126"/>
  <c r="K72" i="126"/>
  <c r="M40" i="127"/>
  <c r="G60" i="37" l="1"/>
  <c r="F25" i="110" s="1"/>
  <c r="G25" i="110"/>
  <c r="I20" i="37"/>
  <c r="D62" i="33"/>
  <c r="I54" i="33" s="1"/>
  <c r="I53" i="33" s="1"/>
  <c r="H54" i="33"/>
  <c r="H53" i="33" s="1"/>
  <c r="F25" i="114"/>
  <c r="I25" i="114" s="1"/>
  <c r="R60" i="37"/>
  <c r="F21" i="114"/>
  <c r="I21" i="114" s="1"/>
  <c r="R56" i="37"/>
  <c r="AJ60" i="37"/>
  <c r="F23" i="114"/>
  <c r="I23" i="114" s="1"/>
  <c r="R58" i="37"/>
  <c r="I19" i="37"/>
  <c r="G57" i="37"/>
  <c r="F22" i="110" s="1"/>
  <c r="G22" i="110"/>
  <c r="F24" i="114"/>
  <c r="I24" i="114" s="1"/>
  <c r="R59" i="37"/>
  <c r="I25" i="37"/>
  <c r="G59" i="37"/>
  <c r="F24" i="110" s="1"/>
  <c r="G24" i="110"/>
  <c r="G61" i="37"/>
  <c r="F26" i="110" s="1"/>
  <c r="G26" i="110"/>
  <c r="I47" i="31"/>
  <c r="I46" i="31" s="1"/>
  <c r="C55" i="37"/>
  <c r="I48" i="32"/>
  <c r="I47" i="32" s="1"/>
  <c r="D56" i="37"/>
  <c r="G22" i="37"/>
  <c r="I22" i="37"/>
  <c r="G58" i="37"/>
  <c r="F23" i="110" s="1"/>
  <c r="G23" i="110"/>
  <c r="F22" i="114"/>
  <c r="I22" i="114" s="1"/>
  <c r="R57" i="37"/>
  <c r="F26" i="114"/>
  <c r="I26" i="114" s="1"/>
  <c r="R61" i="37"/>
  <c r="AJ61" i="37"/>
  <c r="F28" i="114"/>
  <c r="I28" i="114" s="1"/>
  <c r="R63" i="37"/>
  <c r="AJ63" i="37"/>
  <c r="F20" i="114"/>
  <c r="I20" i="114" s="1"/>
  <c r="R55" i="37"/>
  <c r="AJ55" i="37"/>
  <c r="G21" i="37"/>
  <c r="G54" i="37"/>
  <c r="F19" i="110" s="1"/>
  <c r="G23" i="37"/>
  <c r="I23" i="37"/>
  <c r="I21" i="37"/>
  <c r="G24" i="37"/>
  <c r="I24" i="37" s="1"/>
  <c r="AP57" i="37"/>
  <c r="AR57" i="37"/>
  <c r="AP62" i="37"/>
  <c r="AR62" i="37"/>
  <c r="AP60" i="37"/>
  <c r="AR60" i="37"/>
  <c r="AP59" i="37"/>
  <c r="AR59" i="37"/>
  <c r="AP61" i="37"/>
  <c r="AR61" i="37"/>
  <c r="G15" i="154"/>
  <c r="G17" i="154"/>
  <c r="AQ63" i="37"/>
  <c r="AQ62" i="37"/>
  <c r="AQ60" i="37"/>
  <c r="AQ61" i="37"/>
  <c r="AQ57" i="37"/>
  <c r="AQ59" i="37"/>
  <c r="P19" i="37"/>
  <c r="AJ19" i="37" s="1"/>
  <c r="P17" i="37"/>
  <c r="AJ17" i="37" s="1"/>
  <c r="I54" i="34"/>
  <c r="I53" i="34" s="1"/>
  <c r="H54" i="34"/>
  <c r="H53" i="34" s="1"/>
  <c r="H48" i="32"/>
  <c r="H47" i="32" s="1"/>
  <c r="H47" i="31"/>
  <c r="H46" i="31" s="1"/>
  <c r="I47" i="30"/>
  <c r="I46" i="30" s="1"/>
  <c r="H47" i="30"/>
  <c r="H46" i="30" s="1"/>
  <c r="I12" i="114"/>
  <c r="N122" i="203"/>
  <c r="O120" i="203"/>
  <c r="O119" i="203"/>
  <c r="O118" i="203"/>
  <c r="O128" i="203"/>
  <c r="O114" i="203"/>
  <c r="O121" i="203"/>
  <c r="O122" i="203"/>
  <c r="O124" i="203"/>
  <c r="O127" i="203"/>
  <c r="O115" i="203"/>
  <c r="O116" i="203"/>
  <c r="O123" i="203"/>
  <c r="O126" i="203"/>
  <c r="O125" i="203"/>
  <c r="O113" i="203"/>
  <c r="O130" i="203"/>
  <c r="O129" i="203"/>
  <c r="O117" i="203"/>
  <c r="O112" i="203"/>
  <c r="N119" i="203"/>
  <c r="O53" i="203"/>
  <c r="N118" i="203"/>
  <c r="N115" i="203"/>
  <c r="N53" i="203"/>
  <c r="AP130" i="203"/>
  <c r="N113" i="203"/>
  <c r="N112" i="203"/>
  <c r="N123" i="203"/>
  <c r="N128" i="203"/>
  <c r="N127" i="203"/>
  <c r="N121" i="203"/>
  <c r="N129" i="203"/>
  <c r="N114" i="203"/>
  <c r="N125" i="203"/>
  <c r="N126" i="203"/>
  <c r="N130" i="203"/>
  <c r="N116" i="203"/>
  <c r="N120" i="203"/>
  <c r="J75" i="126"/>
  <c r="K75" i="126"/>
  <c r="B20" i="110" l="1"/>
  <c r="G55" i="37"/>
  <c r="F20" i="110" s="1"/>
  <c r="C21" i="110"/>
  <c r="G56" i="37"/>
  <c r="F21" i="110" s="1"/>
  <c r="AP52" i="37"/>
  <c r="AR52" i="37"/>
  <c r="AP63" i="37"/>
  <c r="AR63" i="37"/>
  <c r="AP53" i="37"/>
  <c r="AR53" i="37"/>
  <c r="AP50" i="37"/>
  <c r="AR50" i="37"/>
  <c r="AP47" i="37"/>
  <c r="AR47" i="37"/>
  <c r="AP56" i="37"/>
  <c r="AR56" i="37"/>
  <c r="AP49" i="37"/>
  <c r="AR49" i="37"/>
  <c r="AP54" i="37"/>
  <c r="AR54" i="37"/>
  <c r="AP46" i="37"/>
  <c r="AR46" i="37"/>
  <c r="AP51" i="37"/>
  <c r="AR51" i="37"/>
  <c r="AP48" i="37"/>
  <c r="AR48" i="37"/>
  <c r="AQ53" i="37"/>
  <c r="AQ47" i="37"/>
  <c r="AQ52" i="37"/>
  <c r="AQ50" i="37"/>
  <c r="AQ55" i="37"/>
  <c r="AQ48" i="37"/>
  <c r="AQ58" i="37"/>
  <c r="AQ46" i="37"/>
  <c r="AQ54" i="37"/>
  <c r="AQ49" i="37"/>
  <c r="AQ51" i="37"/>
  <c r="AQ56" i="37"/>
  <c r="AP58" i="37" l="1"/>
  <c r="AR58" i="37"/>
  <c r="AP55" i="37"/>
  <c r="AR55" i="37"/>
  <c r="G64" i="37"/>
  <c r="F29" i="110" s="1"/>
  <c r="G29" i="110"/>
  <c r="G30" i="110"/>
  <c r="G65" i="37"/>
  <c r="F30" i="110" s="1"/>
  <c r="I14" i="37"/>
</calcChain>
</file>

<file path=xl/sharedStrings.xml><?xml version="1.0" encoding="utf-8"?>
<sst xmlns="http://schemas.openxmlformats.org/spreadsheetml/2006/main" count="12685" uniqueCount="2910">
  <si>
    <t>David Chatton</t>
  </si>
  <si>
    <t>Adrian Knapper</t>
  </si>
  <si>
    <t>Harry Chesters</t>
  </si>
  <si>
    <t>M4S</t>
  </si>
  <si>
    <t>AKIP</t>
  </si>
  <si>
    <t>Turnout 24.0%</t>
  </si>
  <si>
    <t>Better Bedford Independent</t>
  </si>
  <si>
    <t>Mark Powell</t>
  </si>
  <si>
    <t>Errol Carr</t>
  </si>
  <si>
    <t>Turnout 25.2%</t>
  </si>
  <si>
    <t>Turnout 25.3%</t>
  </si>
  <si>
    <t>Candidate</t>
  </si>
  <si>
    <t>Other</t>
  </si>
  <si>
    <t>Conservative</t>
  </si>
  <si>
    <t>Labour</t>
  </si>
  <si>
    <t>Liberal</t>
  </si>
  <si>
    <t>Total</t>
  </si>
  <si>
    <t>England</t>
  </si>
  <si>
    <t>Wales</t>
  </si>
  <si>
    <t>Scotland</t>
  </si>
  <si>
    <t>Northern Ireland</t>
  </si>
  <si>
    <t>Sources:</t>
  </si>
  <si>
    <t>Liberal Democrat</t>
  </si>
  <si>
    <t>Plaid Cymru</t>
  </si>
  <si>
    <t>Scottish National</t>
  </si>
  <si>
    <t>Elected</t>
  </si>
  <si>
    <t>Irish Nationalist</t>
  </si>
  <si>
    <t>Sinn Fein</t>
  </si>
  <si>
    <t>Others</t>
  </si>
  <si>
    <t>Unity</t>
  </si>
  <si>
    <t>Irish Labour</t>
  </si>
  <si>
    <t>Ulster Unionist</t>
  </si>
  <si>
    <t>Vanguard Unionist Progressive</t>
  </si>
  <si>
    <t>1945 General Election</t>
  </si>
  <si>
    <t>Votes cast</t>
  </si>
  <si>
    <t>Great Britain</t>
  </si>
  <si>
    <t>Share(%)</t>
  </si>
  <si>
    <t>Candidates</t>
  </si>
  <si>
    <t>National</t>
  </si>
  <si>
    <t>National Liberal</t>
  </si>
  <si>
    <t>Total National</t>
  </si>
  <si>
    <t>Universities</t>
  </si>
  <si>
    <t>(a) includes Universities</t>
  </si>
  <si>
    <t>British Electoral Facts: 1832-1999, Parliamentary Research Services</t>
  </si>
  <si>
    <t>1950 General Election</t>
  </si>
  <si>
    <t>National Liberal &amp; Conservative</t>
  </si>
  <si>
    <t>United Kingdom</t>
  </si>
  <si>
    <t>1951 General Election</t>
  </si>
  <si>
    <t>1955 General Election</t>
  </si>
  <si>
    <t>1959 General Election</t>
  </si>
  <si>
    <t>Feb</t>
  </si>
  <si>
    <t>Oct</t>
  </si>
  <si>
    <t>Table 1a</t>
  </si>
  <si>
    <t>Lab</t>
  </si>
  <si>
    <t>Votes (millions)</t>
  </si>
  <si>
    <t>Share of vote (%)</t>
  </si>
  <si>
    <t>Seats won</t>
  </si>
  <si>
    <t>1964 General Election</t>
  </si>
  <si>
    <t>1966 General Election</t>
  </si>
  <si>
    <t>Irish Republican</t>
  </si>
  <si>
    <t xml:space="preserve">Ceredigion </t>
  </si>
  <si>
    <t xml:space="preserve">Torbay </t>
  </si>
  <si>
    <t>Republican Labour Party</t>
  </si>
  <si>
    <t>Total Conservative</t>
  </si>
  <si>
    <t>1970 General Election</t>
  </si>
  <si>
    <t>National Democratic Party</t>
  </si>
  <si>
    <t>Protestant Unionist Party</t>
  </si>
  <si>
    <t>1974 General Election</t>
  </si>
  <si>
    <t>Ulster Democratic Unionist</t>
  </si>
  <si>
    <t>Ulster Unionist (Anti-Assembly)</t>
  </si>
  <si>
    <t>Total United Ulster Unionist Council</t>
  </si>
  <si>
    <t>Alliance</t>
  </si>
  <si>
    <t>Northern Ireland Labour</t>
  </si>
  <si>
    <t>Republican Clubs</t>
  </si>
  <si>
    <t>Ulster Unionist (Pro-Assembly)</t>
  </si>
  <si>
    <t>Social Democratic and Labour Party</t>
  </si>
  <si>
    <t>1979 General Election</t>
  </si>
  <si>
    <t>United Ulster Unionist</t>
  </si>
  <si>
    <t>Other "Loyalist"</t>
  </si>
  <si>
    <t>Total "Loyalist"</t>
  </si>
  <si>
    <t>Irish Independence Party</t>
  </si>
  <si>
    <t>Republican Clubs/Workers' Party</t>
  </si>
  <si>
    <t>February</t>
  </si>
  <si>
    <t>Unionist Party of Northern Ireland</t>
  </si>
  <si>
    <t>1983 General Election</t>
  </si>
  <si>
    <t>Social Democratic Party</t>
  </si>
  <si>
    <t>Total Liberal/SDP</t>
  </si>
  <si>
    <t>Ulster Popular Unionist</t>
  </si>
  <si>
    <t>The Workers' Party</t>
  </si>
  <si>
    <t>1987 General Election</t>
  </si>
  <si>
    <t>1992 General Election</t>
  </si>
  <si>
    <t>1997 General Election</t>
  </si>
  <si>
    <t>UK Unionist</t>
  </si>
  <si>
    <t>Progressive Unionist</t>
  </si>
  <si>
    <t>Table 1c</t>
  </si>
  <si>
    <t>PC/SNP</t>
  </si>
  <si>
    <t>Table 1b</t>
  </si>
  <si>
    <t>Table 1d</t>
  </si>
  <si>
    <t>Votes (thousands)</t>
  </si>
  <si>
    <t>PC</t>
  </si>
  <si>
    <t>Table 1e</t>
  </si>
  <si>
    <t>SNP</t>
  </si>
  <si>
    <t>Table 1f</t>
  </si>
  <si>
    <t>..</t>
  </si>
  <si>
    <t>N.Ireland</t>
  </si>
  <si>
    <t>U.K</t>
  </si>
  <si>
    <t>Total Electorate</t>
  </si>
  <si>
    <t>Con</t>
  </si>
  <si>
    <t>01 totals</t>
  </si>
  <si>
    <t>Table 5</t>
  </si>
  <si>
    <t>Party</t>
  </si>
  <si>
    <t>Votes</t>
  </si>
  <si>
    <t>British National Party</t>
  </si>
  <si>
    <t>SDLP</t>
  </si>
  <si>
    <t>Democratic Unionist</t>
  </si>
  <si>
    <t>Green</t>
  </si>
  <si>
    <t>UK Independence Party</t>
  </si>
  <si>
    <t>Independent</t>
  </si>
  <si>
    <t>Socialist Labour Party</t>
  </si>
  <si>
    <t>Natural Law Party</t>
  </si>
  <si>
    <t>Unmarked or void for uncertainty</t>
  </si>
  <si>
    <t>Writing or mark by which voter could be identified</t>
  </si>
  <si>
    <t>Want of Official Mark</t>
  </si>
  <si>
    <t>Table 2</t>
  </si>
  <si>
    <t>Table 3</t>
  </si>
  <si>
    <t>Table 4</t>
  </si>
  <si>
    <t>Seats Won</t>
  </si>
  <si>
    <t>Share of Vote</t>
  </si>
  <si>
    <t>Valid votes as % of electorate</t>
  </si>
  <si>
    <t>Number of postal ballot papers issued</t>
  </si>
  <si>
    <t>Wirral South</t>
  </si>
  <si>
    <t>Manchester Central</t>
  </si>
  <si>
    <t>Twickenham</t>
  </si>
  <si>
    <t>Birmingham, Ladywood</t>
  </si>
  <si>
    <t>Leeds Central</t>
  </si>
  <si>
    <t>High Peak</t>
  </si>
  <si>
    <t>Swansea East</t>
  </si>
  <si>
    <t>Monmouth</t>
  </si>
  <si>
    <t>Vale of Glamorgan</t>
  </si>
  <si>
    <t>Cynon Valley</t>
  </si>
  <si>
    <t>Table 10</t>
  </si>
  <si>
    <t>Name</t>
  </si>
  <si>
    <t>Number</t>
  </si>
  <si>
    <t>Scottish Socialist Party</t>
  </si>
  <si>
    <t>Socialist Alliance</t>
  </si>
  <si>
    <t>Constituencies</t>
  </si>
  <si>
    <t>Regional lists</t>
  </si>
  <si>
    <t>Total seats won</t>
  </si>
  <si>
    <t>Scottish Green Party</t>
  </si>
  <si>
    <t>Table 13</t>
  </si>
  <si>
    <t>% Share of Vote</t>
  </si>
  <si>
    <t>Sinn Féin</t>
  </si>
  <si>
    <t>CAIN web service (cain.ulst.ac.uk)</t>
  </si>
  <si>
    <t>%</t>
  </si>
  <si>
    <t>Ken Livingstone</t>
  </si>
  <si>
    <t>Steve Norris</t>
  </si>
  <si>
    <t>Frank Dobson</t>
  </si>
  <si>
    <t>Susan Kramer</t>
  </si>
  <si>
    <t>Ram Gidoomal</t>
  </si>
  <si>
    <t>Christian Peoples Alliance</t>
  </si>
  <si>
    <t>Darren Johnson</t>
  </si>
  <si>
    <t>Michael Newland</t>
  </si>
  <si>
    <t>Damian Hockney</t>
  </si>
  <si>
    <t>Geoffrey Ben-Nathan</t>
  </si>
  <si>
    <t>Pro-Motorist Small Shop</t>
  </si>
  <si>
    <t>Ashwin Kumar Tanna</t>
  </si>
  <si>
    <t>Geoffrey Clements</t>
  </si>
  <si>
    <t>Labour Party</t>
  </si>
  <si>
    <t>Notes:</t>
  </si>
  <si>
    <t>(a) The "others" winning seats were the Vanguard Unionist Progressive Party with three seats in both 1974 elections; an independent</t>
  </si>
  <si>
    <t>Cambridgeshire</t>
  </si>
  <si>
    <t>George Stevenson</t>
  </si>
  <si>
    <t>CPA</t>
  </si>
  <si>
    <t>01</t>
  </si>
  <si>
    <t>Business</t>
  </si>
  <si>
    <t>Yes</t>
  </si>
  <si>
    <t>No</t>
  </si>
  <si>
    <t>Electorate</t>
  </si>
  <si>
    <t>Borders</t>
  </si>
  <si>
    <t>Central</t>
  </si>
  <si>
    <t>Dumfries and Galloway</t>
  </si>
  <si>
    <t>Fife</t>
  </si>
  <si>
    <t>Grampian</t>
  </si>
  <si>
    <t>Highland</t>
  </si>
  <si>
    <t>Lothian</t>
  </si>
  <si>
    <t>Orkney</t>
  </si>
  <si>
    <t>Shetland</t>
  </si>
  <si>
    <t>Strathclyde</t>
  </si>
  <si>
    <t>Tayside</t>
  </si>
  <si>
    <t>Western Isles</t>
  </si>
  <si>
    <t>Clwyd &amp; Gwynedd</t>
  </si>
  <si>
    <t>Dyfed</t>
  </si>
  <si>
    <t>Powys</t>
  </si>
  <si>
    <t>Gwent &amp; Mid Glamorgan</t>
  </si>
  <si>
    <t>South Glamorgan</t>
  </si>
  <si>
    <t>West Glamorgan</t>
  </si>
  <si>
    <t>British Electoral Facts: 1832-2006, Rallings and Thrasher</t>
  </si>
  <si>
    <t>David Lloyd George</t>
  </si>
  <si>
    <t>Andrew Bonar Law</t>
  </si>
  <si>
    <t>None</t>
  </si>
  <si>
    <t>Stanley Baldwin</t>
  </si>
  <si>
    <t>Ramsay MacDonald</t>
  </si>
  <si>
    <t>Clement Attlee</t>
  </si>
  <si>
    <t>Sir Winston Churchill</t>
  </si>
  <si>
    <t>Sir Anthony Eden</t>
  </si>
  <si>
    <t>Harold Wilson</t>
  </si>
  <si>
    <t>Edward Heath</t>
  </si>
  <si>
    <t>Margaret Thatcher</t>
  </si>
  <si>
    <t>John Major</t>
  </si>
  <si>
    <t>Tony Blair</t>
  </si>
  <si>
    <t>Source:</t>
  </si>
  <si>
    <t>Other White collar</t>
  </si>
  <si>
    <t>% turnout</t>
  </si>
  <si>
    <t>Feb 1974</t>
  </si>
  <si>
    <t>Oct 1974</t>
  </si>
  <si>
    <t>Table 23</t>
  </si>
  <si>
    <t xml:space="preserve">Result </t>
  </si>
  <si>
    <t>L Dem</t>
  </si>
  <si>
    <t>SNP/PC</t>
  </si>
  <si>
    <t>Turnout</t>
  </si>
  <si>
    <t>Lab hold</t>
  </si>
  <si>
    <t xml:space="preserve"> </t>
  </si>
  <si>
    <t>1945-50</t>
  </si>
  <si>
    <t>1950-51</t>
  </si>
  <si>
    <t>1951-55</t>
  </si>
  <si>
    <t>1955-59</t>
  </si>
  <si>
    <t>1959-64</t>
  </si>
  <si>
    <t>1964-66</t>
  </si>
  <si>
    <t>1966-70</t>
  </si>
  <si>
    <t>1979-83</t>
  </si>
  <si>
    <t>1983-87</t>
  </si>
  <si>
    <t>1987-92</t>
  </si>
  <si>
    <t>1992-97</t>
  </si>
  <si>
    <t>1997-2001</t>
  </si>
  <si>
    <t>Lib Dem</t>
  </si>
  <si>
    <t>% Share</t>
  </si>
  <si>
    <t>75-79</t>
  </si>
  <si>
    <t>70-74</t>
  </si>
  <si>
    <t>65-69</t>
  </si>
  <si>
    <t>60-64</t>
  </si>
  <si>
    <t>55-59</t>
  </si>
  <si>
    <t>50-54</t>
  </si>
  <si>
    <t>45-49</t>
  </si>
  <si>
    <t>40-44</t>
  </si>
  <si>
    <t>35-39</t>
  </si>
  <si>
    <t>30-34</t>
  </si>
  <si>
    <t>…</t>
  </si>
  <si>
    <t>Ulster Unionist Party) in  1979 ; the UK Unionist Party in 1997.</t>
  </si>
  <si>
    <t xml:space="preserve">in October 1974; the United Ulster Unionist Party, an independent and James Kilfedder as an Ulster Unionist (not the Official </t>
  </si>
  <si>
    <t xml:space="preserve">Durham City </t>
  </si>
  <si>
    <t>Parliamentary Research Services,</t>
  </si>
  <si>
    <t>UKIP</t>
  </si>
  <si>
    <t>Respect</t>
  </si>
  <si>
    <t>Simon Hughes</t>
  </si>
  <si>
    <t>Frank Maloney</t>
  </si>
  <si>
    <t>Lindsey German</t>
  </si>
  <si>
    <t>Julian Leppert</t>
  </si>
  <si>
    <t>Tammy Nagalingam</t>
  </si>
  <si>
    <t>Lorna Reid</t>
  </si>
  <si>
    <t xml:space="preserve">Indep. Working Class Assoc. </t>
  </si>
  <si>
    <t xml:space="preserve">Labour            </t>
  </si>
  <si>
    <t>Cheadle</t>
  </si>
  <si>
    <t>Livingston</t>
  </si>
  <si>
    <t>Blaenau Gwent</t>
  </si>
  <si>
    <t>Bromley &amp; Chislehurst</t>
  </si>
  <si>
    <t>House of Commons Library data</t>
  </si>
  <si>
    <t>House of Commons Library Data</t>
  </si>
  <si>
    <t xml:space="preserve">Total </t>
  </si>
  <si>
    <t>Date</t>
  </si>
  <si>
    <t>Constituency</t>
  </si>
  <si>
    <t>Smethwick</t>
  </si>
  <si>
    <t>Ashton-under-Lyme</t>
  </si>
  <si>
    <t>Edinburgh E</t>
  </si>
  <si>
    <t>Con hold</t>
  </si>
  <si>
    <t>Bromley</t>
  </si>
  <si>
    <t>Bournemouth</t>
  </si>
  <si>
    <t>Kensington South</t>
  </si>
  <si>
    <t>Tottenham North</t>
  </si>
  <si>
    <t>Preston</t>
  </si>
  <si>
    <t>Lab gain</t>
  </si>
  <si>
    <t>Con gain</t>
  </si>
  <si>
    <t>Ayrshire South</t>
  </si>
  <si>
    <t>Glasgow, Cathcart</t>
  </si>
  <si>
    <t>Heywood and Radcliffe</t>
  </si>
  <si>
    <t>Hemsworth</t>
  </si>
  <si>
    <t>Con gain from Ind</t>
  </si>
  <si>
    <t>Ogmore</t>
  </si>
  <si>
    <t>Bexley</t>
  </si>
  <si>
    <t>Pontypool</t>
  </si>
  <si>
    <t>Battersea North</t>
  </si>
  <si>
    <t>Glasgow, Bridegton</t>
  </si>
  <si>
    <t>ILP hold</t>
  </si>
  <si>
    <t>Bermondsey, Rotherhithe</t>
  </si>
  <si>
    <t>Paddington North</t>
  </si>
  <si>
    <t>Table 8a</t>
  </si>
  <si>
    <t>Table 7</t>
  </si>
  <si>
    <t>Aberdeen South</t>
  </si>
  <si>
    <t>Aberdare</t>
  </si>
  <si>
    <t>Kilmarnock</t>
  </si>
  <si>
    <t>Normanton</t>
  </si>
  <si>
    <t>Jarrow</t>
  </si>
  <si>
    <t>Liverpool, Edge Hill</t>
  </si>
  <si>
    <t>Islington West</t>
  </si>
  <si>
    <t>Gravesend</t>
  </si>
  <si>
    <t>Howdenshire</t>
  </si>
  <si>
    <t>Edinburh East</t>
  </si>
  <si>
    <t>Epsom</t>
  </si>
  <si>
    <t>Glasgow, Camlachie</t>
  </si>
  <si>
    <t>Con gain from Lab</t>
  </si>
  <si>
    <t>Con gain from ILP</t>
  </si>
  <si>
    <t>Paisley</t>
  </si>
  <si>
    <t>Wigan</t>
  </si>
  <si>
    <t>Croydon North</t>
  </si>
  <si>
    <t>Brigg</t>
  </si>
  <si>
    <t>Southwark Central</t>
  </si>
  <si>
    <t>Glasgow, Gorbals</t>
  </si>
  <si>
    <t>Stirling and Falkirk</t>
  </si>
  <si>
    <t>Edmonton</t>
  </si>
  <si>
    <t>Glasgow, Hillhead</t>
  </si>
  <si>
    <t>Batley and Morley</t>
  </si>
  <si>
    <t>Hammersmith South</t>
  </si>
  <si>
    <t>St.Pancras North</t>
  </si>
  <si>
    <t>Sowerby</t>
  </si>
  <si>
    <t>Leeds West</t>
  </si>
  <si>
    <t>Bradford South</t>
  </si>
  <si>
    <t>GENERAL ELECTION 1950</t>
  </si>
  <si>
    <t>Sheffield, Neepsend</t>
  </si>
  <si>
    <t>Dunbartonshire West</t>
  </si>
  <si>
    <t>Brighouse and Spenborough</t>
  </si>
  <si>
    <t>Leicester NE</t>
  </si>
  <si>
    <t>Glasgow, Scotstoun</t>
  </si>
  <si>
    <t>Oxford</t>
  </si>
  <si>
    <t>Bimingham, Handsworth</t>
  </si>
  <si>
    <t>Bristol SE</t>
  </si>
  <si>
    <t>Abertillery</t>
  </si>
  <si>
    <t>Bristol West</t>
  </si>
  <si>
    <t>Ormskirk</t>
  </si>
  <si>
    <t>Harrow West</t>
  </si>
  <si>
    <t>Woolwich East</t>
  </si>
  <si>
    <t>Westhoughton</t>
  </si>
  <si>
    <t>GENERAL ELECTION 1951</t>
  </si>
  <si>
    <t>Not retained</t>
  </si>
  <si>
    <t>not retained</t>
  </si>
  <si>
    <t>retained</t>
  </si>
  <si>
    <t>Fulham</t>
  </si>
  <si>
    <t>Bournemouth East and Christchurch</t>
  </si>
  <si>
    <t>Southport</t>
  </si>
  <si>
    <t>Leeds SE</t>
  </si>
  <si>
    <t>Cleveland</t>
  </si>
  <si>
    <t>Wycombe</t>
  </si>
  <si>
    <t>Birmingham, Small Heath</t>
  </si>
  <si>
    <t>Farnworth</t>
  </si>
  <si>
    <t>Canterbury</t>
  </si>
  <si>
    <t>Isle of Thanet</t>
  </si>
  <si>
    <t>Barnsley</t>
  </si>
  <si>
    <t>Stoke-on-Trent North</t>
  </si>
  <si>
    <t>Hayes and Harlington</t>
  </si>
  <si>
    <t>Sunderland South</t>
  </si>
  <si>
    <t>Abingdon</t>
  </si>
  <si>
    <t>Birmingham, Edgbaston</t>
  </si>
  <si>
    <t>Broxtowe</t>
  </si>
  <si>
    <t>Crosby</t>
  </si>
  <si>
    <t>Ilford North</t>
  </si>
  <si>
    <t>Kingston upon Hull, Haltemprice</t>
  </si>
  <si>
    <t>Harwich</t>
  </si>
  <si>
    <t>Bournemouth West</t>
  </si>
  <si>
    <t>Arundel and Shoreham</t>
  </si>
  <si>
    <t>Harrogate</t>
  </si>
  <si>
    <t>Edinburgh East</t>
  </si>
  <si>
    <t>Motherwell</t>
  </si>
  <si>
    <t>Croydon East</t>
  </si>
  <si>
    <t>Shoreditch and Finsbury</t>
  </si>
  <si>
    <t>Wakefield</t>
  </si>
  <si>
    <t>Aldershot</t>
  </si>
  <si>
    <t>Sutton And Cheam</t>
  </si>
  <si>
    <t>Morpeth</t>
  </si>
  <si>
    <t>Liverpool, West Derby</t>
  </si>
  <si>
    <t>Inverness</t>
  </si>
  <si>
    <t>Norfolk South</t>
  </si>
  <si>
    <t>Orpington</t>
  </si>
  <si>
    <t>Edinburgh North</t>
  </si>
  <si>
    <t>Stockport South</t>
  </si>
  <si>
    <t>Wrexham</t>
  </si>
  <si>
    <t>Gateshead West</t>
  </si>
  <si>
    <t>Greenock</t>
  </si>
  <si>
    <t>Torquay</t>
  </si>
  <si>
    <t>Blaydon</t>
  </si>
  <si>
    <t>Leeds NE</t>
  </si>
  <si>
    <t>Hereford</t>
  </si>
  <si>
    <t>Gainsborough</t>
  </si>
  <si>
    <t>Taunton</t>
  </si>
  <si>
    <t>Walthamstow West</t>
  </si>
  <si>
    <t>Tonbridge</t>
  </si>
  <si>
    <t>Newport(Mon.)</t>
  </si>
  <si>
    <t>Cheter-le-Street</t>
  </si>
  <si>
    <t>City of Chester</t>
  </si>
  <si>
    <t>...</t>
  </si>
  <si>
    <t>Melton</t>
  </si>
  <si>
    <t>Lewisham North</t>
  </si>
  <si>
    <t>Lab gain from Con</t>
  </si>
  <si>
    <t>Wednesbury</t>
  </si>
  <si>
    <t>Carmathen</t>
  </si>
  <si>
    <t>Lab gain from Lib</t>
  </si>
  <si>
    <t>Warwick and Lemington</t>
  </si>
  <si>
    <t>Beckenham</t>
  </si>
  <si>
    <t>Newcastle upon Tyne</t>
  </si>
  <si>
    <t>Edinburgh South</t>
  </si>
  <si>
    <t>East Ham North</t>
  </si>
  <si>
    <t>Hornsey</t>
  </si>
  <si>
    <t>Dorset North</t>
  </si>
  <si>
    <t>Gloucester</t>
  </si>
  <si>
    <t>Ipswich</t>
  </si>
  <si>
    <t>Leicester SE</t>
  </si>
  <si>
    <t>Liverpool, Garston</t>
  </si>
  <si>
    <t>Con gain from Ind Con</t>
  </si>
  <si>
    <t>Rochdale</t>
  </si>
  <si>
    <t>Glasgow, Kelvingrove</t>
  </si>
  <si>
    <t>Torrington</t>
  </si>
  <si>
    <t>Lib gain from Con</t>
  </si>
  <si>
    <t>Islington North</t>
  </si>
  <si>
    <t>St.Helens</t>
  </si>
  <si>
    <t>Weston-super-Mare</t>
  </si>
  <si>
    <t>Argyll</t>
  </si>
  <si>
    <t>Ealing South</t>
  </si>
  <si>
    <t>Women</t>
  </si>
  <si>
    <t>Morecambe and Lonsdale</t>
  </si>
  <si>
    <t>Chichester</t>
  </si>
  <si>
    <t>Aberdeenshire East</t>
  </si>
  <si>
    <t>Southend West</t>
  </si>
  <si>
    <t>Harrow East</t>
  </si>
  <si>
    <t>Norfolk SW</t>
  </si>
  <si>
    <t>Galloway</t>
  </si>
  <si>
    <t>Penistone</t>
  </si>
  <si>
    <t>Whitehaven</t>
  </si>
  <si>
    <t>Bolton East</t>
  </si>
  <si>
    <t>Bedfordshire Mid</t>
  </si>
  <si>
    <t>Tiverton</t>
  </si>
  <si>
    <t>Petersfield</t>
  </si>
  <si>
    <t>Ludlow</t>
  </si>
  <si>
    <t>List of Tables</t>
  </si>
  <si>
    <t>Table number</t>
  </si>
  <si>
    <t>Title</t>
  </si>
  <si>
    <t>Table 16</t>
  </si>
  <si>
    <t>Table 18</t>
  </si>
  <si>
    <t xml:space="preserve">Leicester South </t>
  </si>
  <si>
    <t xml:space="preserve">Birmingham Hodge Hill </t>
  </si>
  <si>
    <t>LD gain from Lab</t>
  </si>
  <si>
    <t>Leicester South</t>
  </si>
  <si>
    <t xml:space="preserve">LD gain from Lab </t>
  </si>
  <si>
    <t>Mayoral Elections</t>
  </si>
  <si>
    <t>Carshalton</t>
  </si>
  <si>
    <t>Ebbw Vale</t>
  </si>
  <si>
    <t>Blyth</t>
  </si>
  <si>
    <t>Worcester</t>
  </si>
  <si>
    <t>Colchester</t>
  </si>
  <si>
    <t>Brimingham, Small Heath</t>
  </si>
  <si>
    <t>Warrington</t>
  </si>
  <si>
    <t>Manchester, Moss Side</t>
  </si>
  <si>
    <t>Oswestry</t>
  </si>
  <si>
    <t>Fife East</t>
  </si>
  <si>
    <t>Glasgow, Bridgeton</t>
  </si>
  <si>
    <t>Lincoln</t>
  </si>
  <si>
    <t>Blackpool North</t>
  </si>
  <si>
    <t>Middlesbrough</t>
  </si>
  <si>
    <t>Pontefract</t>
  </si>
  <si>
    <t>Stockton-on-Tees</t>
  </si>
  <si>
    <t>Derby North</t>
  </si>
  <si>
    <t>Montgomeryshire</t>
  </si>
  <si>
    <t>Lib hold</t>
  </si>
  <si>
    <t>Middlesbrough West</t>
  </si>
  <si>
    <t>Debyshire West</t>
  </si>
  <si>
    <t>West Lothian</t>
  </si>
  <si>
    <t>Dorset South</t>
  </si>
  <si>
    <t>Norfolk Central</t>
  </si>
  <si>
    <t>Northamptonshire South</t>
  </si>
  <si>
    <t>Chippenham</t>
  </si>
  <si>
    <t>Glasgow, Woodside</t>
  </si>
  <si>
    <t>Colne Valley</t>
  </si>
  <si>
    <t>Rotherham</t>
  </si>
  <si>
    <t>Leeds South</t>
  </si>
  <si>
    <t>Deptford</t>
  </si>
  <si>
    <t xml:space="preserve">West Bromwich </t>
  </si>
  <si>
    <t>Stratford</t>
  </si>
  <si>
    <t>Luton</t>
  </si>
  <si>
    <t>Kinross-shire and Perthshire West</t>
  </si>
  <si>
    <t>Dundee West</t>
  </si>
  <si>
    <t>St.Marylebone</t>
  </si>
  <si>
    <t>Manchester, Openshaw</t>
  </si>
  <si>
    <t>Sudbury and Woodbridge</t>
  </si>
  <si>
    <t>Dunfriesshire</t>
  </si>
  <si>
    <t>Winchester</t>
  </si>
  <si>
    <t>Bury St.Edmunds</t>
  </si>
  <si>
    <t>Devizes</t>
  </si>
  <si>
    <t>Rutherglen</t>
  </si>
  <si>
    <t xml:space="preserve">Faversham </t>
  </si>
  <si>
    <t>Liverpool, Scotland</t>
  </si>
  <si>
    <t>Leyton</t>
  </si>
  <si>
    <t>Nuneaton</t>
  </si>
  <si>
    <t>Altrinham and Sale</t>
  </si>
  <si>
    <t>East Grinstead</t>
  </si>
  <si>
    <t>Salisbury</t>
  </si>
  <si>
    <t>Saffron Walden</t>
  </si>
  <si>
    <t>Roxburghshire, Selkirkshire and Peeblesshire</t>
  </si>
  <si>
    <t>Birmingham, Hall Green</t>
  </si>
  <si>
    <t>Hove</t>
  </si>
  <si>
    <t>Cities of London and Westminster</t>
  </si>
  <si>
    <t>Erith and Crayford</t>
  </si>
  <si>
    <t>Kingston upon Hull North</t>
  </si>
  <si>
    <t>Carmarthen</t>
  </si>
  <si>
    <t>PC gain from Lab</t>
  </si>
  <si>
    <t>Rhondda West</t>
  </si>
  <si>
    <t>Glasgow, Pollok</t>
  </si>
  <si>
    <t>Honiton</t>
  </si>
  <si>
    <t>Brierley Hill</t>
  </si>
  <si>
    <t>Cambridge</t>
  </si>
  <si>
    <t>Leicester SW</t>
  </si>
  <si>
    <t>Manchester, Gorton</t>
  </si>
  <si>
    <t>Hamilton</t>
  </si>
  <si>
    <t>SNP gain from Lab</t>
  </si>
  <si>
    <t>Derbyshire West</t>
  </si>
  <si>
    <t>Acton</t>
  </si>
  <si>
    <t>Dudley</t>
  </si>
  <si>
    <t>Meriden</t>
  </si>
  <si>
    <t>Warwick and Leamington</t>
  </si>
  <si>
    <t>Oldham West</t>
  </si>
  <si>
    <t>Sheffield Brightside</t>
  </si>
  <si>
    <t>Nelson and Colne</t>
  </si>
  <si>
    <t>Caerphilly</t>
  </si>
  <si>
    <t>Bassetlaw</t>
  </si>
  <si>
    <t>New Forest</t>
  </si>
  <si>
    <t>Brighton, Pavilion</t>
  </si>
  <si>
    <t>Walthamstow East</t>
  </si>
  <si>
    <t>Lib gain from Lab</t>
  </si>
  <si>
    <t>Newcastle-under-Lyme</t>
  </si>
  <si>
    <t>Swindon</t>
  </si>
  <si>
    <t>Louth</t>
  </si>
  <si>
    <t>Wellingborough</t>
  </si>
  <si>
    <t>Bridgwater</t>
  </si>
  <si>
    <t>Enfield West</t>
  </si>
  <si>
    <t>Southampton, Itchen</t>
  </si>
  <si>
    <t>Bromsgrove</t>
  </si>
  <si>
    <t>Goole</t>
  </si>
  <si>
    <t>Greenwich</t>
  </si>
  <si>
    <t>Widnes</t>
  </si>
  <si>
    <t>Macclesfield</t>
  </si>
  <si>
    <t>Merthyr Tydfil</t>
  </si>
  <si>
    <t>Lab gain from Ind Lab</t>
  </si>
  <si>
    <t>Southwark</t>
  </si>
  <si>
    <t>Kingston upon Thames</t>
  </si>
  <si>
    <t>Sutton and Cheam</t>
  </si>
  <si>
    <t>Uxbridge</t>
  </si>
  <si>
    <t>Dem Lab gain from Lab</t>
  </si>
  <si>
    <t>Chester-le-Street</t>
  </si>
  <si>
    <t>Dundee East</t>
  </si>
  <si>
    <t>West Bromwich</t>
  </si>
  <si>
    <t>Manchester, Exchange</t>
  </si>
  <si>
    <t>Isle of Ely</t>
  </si>
  <si>
    <t>Ripon</t>
  </si>
  <si>
    <t>Berwick-upon-Tweed</t>
  </si>
  <si>
    <t>Glasgow, Govan</t>
  </si>
  <si>
    <t>Newham South</t>
  </si>
  <si>
    <t>Greenwich, Woolwich West</t>
  </si>
  <si>
    <t>Coventry NW</t>
  </si>
  <si>
    <t>Sutton, Carshalton</t>
  </si>
  <si>
    <t>+0.0%</t>
  </si>
  <si>
    <t>Wirral</t>
  </si>
  <si>
    <t>Thurrock</t>
  </si>
  <si>
    <t>Walsall North</t>
  </si>
  <si>
    <t>Con gain from ENP</t>
  </si>
  <si>
    <t>Workington</t>
  </si>
  <si>
    <t>City of London and Westminster South</t>
  </si>
  <si>
    <t>Birmingham, Strechford</t>
  </si>
  <si>
    <t>Ashfield</t>
  </si>
  <si>
    <t>Grimsby</t>
  </si>
  <si>
    <t>Bournemouth East</t>
  </si>
  <si>
    <t>Redbridge, Ilford North</t>
  </si>
  <si>
    <t>Glasgow, Garscadden</t>
  </si>
  <si>
    <t>Lambeth Central</t>
  </si>
  <si>
    <t>Epsom and Ewell</t>
  </si>
  <si>
    <t>Berwick and East Lothian</t>
  </si>
  <si>
    <t>Pontefract and Castleford</t>
  </si>
  <si>
    <t>Clitheroe</t>
  </si>
  <si>
    <t>Knutsford</t>
  </si>
  <si>
    <t>Hertfordshire SW</t>
  </si>
  <si>
    <t>Southend East</t>
  </si>
  <si>
    <t>Glasgow Central</t>
  </si>
  <si>
    <t>Croydon NW</t>
  </si>
  <si>
    <t>SDP gain from Con</t>
  </si>
  <si>
    <t>Beaconsfield</t>
  </si>
  <si>
    <t>Merton, Mitcham and Morden</t>
  </si>
  <si>
    <t>Coatbridge and Airdrie</t>
  </si>
  <si>
    <t>Gower</t>
  </si>
  <si>
    <t>Southwark, Peckham</t>
  </si>
  <si>
    <t>Birmingham, Northfiled</t>
  </si>
  <si>
    <t>Glasgow, Queens's Park</t>
  </si>
  <si>
    <t>Southwark, Bermondsey</t>
  </si>
  <si>
    <t>Lib gain from Ind Lab</t>
  </si>
  <si>
    <t>Darlington</t>
  </si>
  <si>
    <t>Penrith and The Border</t>
  </si>
  <si>
    <t>Chesterfield</t>
  </si>
  <si>
    <t>Stafford</t>
  </si>
  <si>
    <t>Surrey SW</t>
  </si>
  <si>
    <t>Portsmouth South</t>
  </si>
  <si>
    <t>Enfield, Southgate</t>
  </si>
  <si>
    <t>Brecon and Radnor</t>
  </si>
  <si>
    <t>Tyne Bridge</t>
  </si>
  <si>
    <t>Ryedale</t>
  </si>
  <si>
    <t>Knowsley North</t>
  </si>
  <si>
    <t>SDP gain from Lab</t>
  </si>
  <si>
    <t>Truro</t>
  </si>
  <si>
    <t>Kensington</t>
  </si>
  <si>
    <t>Epping Forest</t>
  </si>
  <si>
    <t>Pontypridd</t>
  </si>
  <si>
    <t>Richmond (Yorks)</t>
  </si>
  <si>
    <t>Vauxhall</t>
  </si>
  <si>
    <t>Mid Staffordshire</t>
  </si>
  <si>
    <t>Bootle</t>
  </si>
  <si>
    <t>Bradford North</t>
  </si>
  <si>
    <t>Paisley North</t>
  </si>
  <si>
    <t>Paisley South</t>
  </si>
  <si>
    <t>Ribble Valley</t>
  </si>
  <si>
    <t>Neath</t>
  </si>
  <si>
    <t>Liverpool Walton</t>
  </si>
  <si>
    <t>Knowsley South</t>
  </si>
  <si>
    <t>Eastbourne</t>
  </si>
  <si>
    <t>Kincardine and Deeside</t>
  </si>
  <si>
    <t>Langbaurgh</t>
  </si>
  <si>
    <t>Newbury</t>
  </si>
  <si>
    <t>Christchurch</t>
  </si>
  <si>
    <t>Barking</t>
  </si>
  <si>
    <t>Eastleigh</t>
  </si>
  <si>
    <t>Newham North East</t>
  </si>
  <si>
    <t>Dagenham</t>
  </si>
  <si>
    <t>Monklands East</t>
  </si>
  <si>
    <t>Dudley West</t>
  </si>
  <si>
    <t>Islwyn</t>
  </si>
  <si>
    <t>Perth and Kinross</t>
  </si>
  <si>
    <t>South East Staffordshire</t>
  </si>
  <si>
    <t>Barnsley East</t>
  </si>
  <si>
    <t>Eddisbury</t>
  </si>
  <si>
    <t>Hamilton South</t>
  </si>
  <si>
    <t>Kensington and Chelsea</t>
  </si>
  <si>
    <t>Ceredigion</t>
  </si>
  <si>
    <t>Romsey</t>
  </si>
  <si>
    <t>Tottenham</t>
  </si>
  <si>
    <t>Glasgow, Anniesland</t>
  </si>
  <si>
    <t>Falkirk West</t>
  </si>
  <si>
    <t>Littleborough &amp; Saddleworth</t>
  </si>
  <si>
    <t>LD gain from Con</t>
  </si>
  <si>
    <t>SNP gain from Con</t>
  </si>
  <si>
    <t>PC hold</t>
  </si>
  <si>
    <t>Lab win</t>
  </si>
  <si>
    <t>Council</t>
  </si>
  <si>
    <t>Result</t>
  </si>
  <si>
    <t>For</t>
  </si>
  <si>
    <t>Against</t>
  </si>
  <si>
    <t xml:space="preserve">Berwick-upon-Tweed </t>
  </si>
  <si>
    <t xml:space="preserve">No </t>
  </si>
  <si>
    <t xml:space="preserve">Gloucester </t>
  </si>
  <si>
    <t xml:space="preserve">Watford </t>
  </si>
  <si>
    <t xml:space="preserve">Yes </t>
  </si>
  <si>
    <t xml:space="preserve">Kirklees </t>
  </si>
  <si>
    <t xml:space="preserve">Sunderland </t>
  </si>
  <si>
    <t xml:space="preserve">Hartlepool </t>
  </si>
  <si>
    <t xml:space="preserve">Lewisham </t>
  </si>
  <si>
    <t xml:space="preserve">North Tyneside </t>
  </si>
  <si>
    <t xml:space="preserve">Sedgefield </t>
  </si>
  <si>
    <t xml:space="preserve">Middlesbrough </t>
  </si>
  <si>
    <t xml:space="preserve">Brighton and Hove </t>
  </si>
  <si>
    <t xml:space="preserve">Redditch </t>
  </si>
  <si>
    <t xml:space="preserve">Harrow </t>
  </si>
  <si>
    <t xml:space="preserve">Harlow </t>
  </si>
  <si>
    <t xml:space="preserve">Plymouth </t>
  </si>
  <si>
    <t xml:space="preserve">Southwark </t>
  </si>
  <si>
    <t xml:space="preserve">Newham </t>
  </si>
  <si>
    <t xml:space="preserve">West Devon </t>
  </si>
  <si>
    <t xml:space="preserve">Shepway </t>
  </si>
  <si>
    <t xml:space="preserve">Bedford </t>
  </si>
  <si>
    <t xml:space="preserve">Oxford </t>
  </si>
  <si>
    <t xml:space="preserve">Hackney </t>
  </si>
  <si>
    <t xml:space="preserve">Mansfield </t>
  </si>
  <si>
    <t xml:space="preserve">Corby </t>
  </si>
  <si>
    <t xml:space="preserve">Ealing </t>
  </si>
  <si>
    <t>London</t>
  </si>
  <si>
    <t>Lewisham</t>
  </si>
  <si>
    <t>-</t>
  </si>
  <si>
    <t>Newham</t>
  </si>
  <si>
    <t>Robin Wales</t>
  </si>
  <si>
    <t>Hackney</t>
  </si>
  <si>
    <t>Torbay</t>
  </si>
  <si>
    <t>Nicholas Bye</t>
  </si>
  <si>
    <t>Not Comparable</t>
  </si>
  <si>
    <t xml:space="preserve">Net Seat Gains and Losses </t>
  </si>
  <si>
    <t>Table 19</t>
  </si>
  <si>
    <t>Table 24</t>
  </si>
  <si>
    <t>Table 25</t>
  </si>
  <si>
    <t>Table 26</t>
  </si>
  <si>
    <t>Table 31</t>
  </si>
  <si>
    <t>CON</t>
  </si>
  <si>
    <t>LAB</t>
  </si>
  <si>
    <t>Brent East</t>
  </si>
  <si>
    <t>House of Commons Library</t>
  </si>
  <si>
    <t>Total UK</t>
  </si>
  <si>
    <t>Linda Arkley</t>
  </si>
  <si>
    <t>Turnout 31.4%</t>
  </si>
  <si>
    <t>Gordon Adam</t>
  </si>
  <si>
    <t>Robert Batten</t>
  </si>
  <si>
    <t>NF</t>
  </si>
  <si>
    <t>25-29</t>
  </si>
  <si>
    <t>80-84</t>
  </si>
  <si>
    <t>Louise van der Hoeven</t>
  </si>
  <si>
    <t>National Front</t>
  </si>
  <si>
    <t>Supporting Green Shoots</t>
  </si>
  <si>
    <t>Source: Welsh Office, FWS Craig, British Electoral Facts, 1832-1987; Local government (Wales) Act 1994 (Schedule 1)</t>
  </si>
  <si>
    <t>GENERAL ELECTION 2005</t>
  </si>
  <si>
    <t>Nicky Attenborough</t>
  </si>
  <si>
    <t>Randolph Charles</t>
  </si>
  <si>
    <t>Justina McLennan</t>
  </si>
  <si>
    <t>Alan Meale</t>
  </si>
  <si>
    <t>Aaron Beattie</t>
  </si>
  <si>
    <t>Philip Burman</t>
  </si>
  <si>
    <t>Mary Button</t>
  </si>
  <si>
    <t>Ray Mallon</t>
  </si>
  <si>
    <t>Joe Michna</t>
  </si>
  <si>
    <t>Charles Rooney</t>
  </si>
  <si>
    <t>Dorothy Smith</t>
  </si>
  <si>
    <t>Isle of Wight</t>
  </si>
  <si>
    <t>Harold Macmillan</t>
  </si>
  <si>
    <t>Crewe &amp; Nantwich</t>
  </si>
  <si>
    <t xml:space="preserve">Sinn Fein </t>
  </si>
  <si>
    <t xml:space="preserve">Northern Ireland </t>
  </si>
  <si>
    <t>Number of Votes</t>
  </si>
  <si>
    <t>Ealing, Southall</t>
  </si>
  <si>
    <t>Sedgefield</t>
  </si>
  <si>
    <t>Barrister</t>
  </si>
  <si>
    <t>Solicitor</t>
  </si>
  <si>
    <t>Professions</t>
  </si>
  <si>
    <t>Civil service/local govt</t>
  </si>
  <si>
    <t>Teachers</t>
  </si>
  <si>
    <t>Armed services</t>
  </si>
  <si>
    <t>Other Professions</t>
  </si>
  <si>
    <t>Company Executive/Director</t>
  </si>
  <si>
    <t>Other business</t>
  </si>
  <si>
    <t>White collar</t>
  </si>
  <si>
    <t>Politician/pol. organiser</t>
  </si>
  <si>
    <t>Publisher/journalist</t>
  </si>
  <si>
    <t>Misc. white collar</t>
  </si>
  <si>
    <t>Manual Workers</t>
  </si>
  <si>
    <t>Miner</t>
  </si>
  <si>
    <t>Other Manual</t>
  </si>
  <si>
    <t>Miscellaneous</t>
  </si>
  <si>
    <t>Table 6a</t>
  </si>
  <si>
    <t>University</t>
  </si>
  <si>
    <t>Oxbridge</t>
  </si>
  <si>
    <t>05</t>
  </si>
  <si>
    <t>Others (a)</t>
  </si>
  <si>
    <t>Age</t>
  </si>
  <si>
    <t>Average change in share of vote since previous election</t>
  </si>
  <si>
    <t xml:space="preserve">  </t>
  </si>
  <si>
    <t>Turnout 51.1%</t>
  </si>
  <si>
    <t>Carl Richardson</t>
  </si>
  <si>
    <t>Ian John Henry Cameron</t>
  </si>
  <si>
    <t>Stephen Allison</t>
  </si>
  <si>
    <t>LLH</t>
  </si>
  <si>
    <t>Stan Kaiser</t>
  </si>
  <si>
    <t>John Lauderdale</t>
  </si>
  <si>
    <t>Brenda Pearson</t>
  </si>
  <si>
    <t>Stoke-on-Trent</t>
  </si>
  <si>
    <t>Mark Joseph Meredith</t>
  </si>
  <si>
    <t>Turnout 50.8%</t>
  </si>
  <si>
    <t>Roger Michael Ibbs</t>
  </si>
  <si>
    <t>SGS</t>
  </si>
  <si>
    <t>Steven Reginald Batkin</t>
  </si>
  <si>
    <t>Gary Chevin</t>
  </si>
  <si>
    <t>Justin Harvey</t>
  </si>
  <si>
    <t>Gary Falconer</t>
  </si>
  <si>
    <t>Turnout 54.5%</t>
  </si>
  <si>
    <t>Raymond Bartlett</t>
  </si>
  <si>
    <t>Michael Cooper</t>
  </si>
  <si>
    <t>David Owen</t>
  </si>
  <si>
    <t>Richard Rolt</t>
  </si>
  <si>
    <t>John Harrison</t>
  </si>
  <si>
    <t>Turnout 61.4%</t>
  </si>
  <si>
    <t>LindaArkely</t>
  </si>
  <si>
    <t>Dr Joan Harvey</t>
  </si>
  <si>
    <t>Turnout 40.1%</t>
  </si>
  <si>
    <t>Turnout 34.2%</t>
  </si>
  <si>
    <t>Turnout 30.8%</t>
  </si>
  <si>
    <t>FCP</t>
  </si>
  <si>
    <t>Borders (Borders); Central (Clackmannan, Falkirk, Stirling); Dumfries &amp; Galloway (Dufries &amp; Galloway): Fife (Fife); Grampian (City of Aberdeen, Aberdeenshire, Moray);  Highland (Highland); Lothian (City of Edinburgh, East Lothian, West Lothian, Midlothian); Orkney (Orkney); Shetland (Shetland Islands); Strathclyde (Argyle &amp; Bute, East Ayrshire, North Ayrshire, South Ayrshire, East Dunbartonshire, West Dunbartonshire, City of Glasgow, Inverclyde, North Lanarkshire, South Lanarkshire, East Renfrewshire, Renfrewshire); Tayside (Angus, City of Dundee, Perthshire &amp; Kinross); Western Isles (Western Isles)</t>
  </si>
  <si>
    <t>GENERAL ELECTION 1955</t>
  </si>
  <si>
    <t>GENERAL ELECTION 1959</t>
  </si>
  <si>
    <t>GENERAL ELECTION 1964</t>
  </si>
  <si>
    <t>GENERAL ELECTION 1966</t>
  </si>
  <si>
    <t>GENERAL ELECTION 1970</t>
  </si>
  <si>
    <t>GENERAL ELECTION 1974 (FEB)</t>
  </si>
  <si>
    <t>GENERAL ELECTION 1974 (OCT)</t>
  </si>
  <si>
    <t>GENERAL ELECTION 1979</t>
  </si>
  <si>
    <t>GENERAL ELECTION 1983</t>
  </si>
  <si>
    <t>GENERAL ELECTION 1987</t>
  </si>
  <si>
    <t>GENERAL ELECTION 1992</t>
  </si>
  <si>
    <t>GENERAL ELECTION 1997</t>
  </si>
  <si>
    <t>GENERAL ELECTION 2001</t>
  </si>
  <si>
    <t>Table 22</t>
  </si>
  <si>
    <t>% share of votes</t>
  </si>
  <si>
    <t>Table 20a</t>
  </si>
  <si>
    <t xml:space="preserve">CON </t>
  </si>
  <si>
    <t xml:space="preserve">LAB </t>
  </si>
  <si>
    <t xml:space="preserve">LD </t>
  </si>
  <si>
    <t xml:space="preserve">Others </t>
  </si>
  <si>
    <t xml:space="preserve">British Electoral Facts: 1832-2006, Rallings and Thrasher, </t>
  </si>
  <si>
    <t>British Electoral Facts: 1832-2006, Parliamentary Research Services</t>
  </si>
  <si>
    <t>Watford</t>
  </si>
  <si>
    <t>Bedford</t>
  </si>
  <si>
    <t>Hartlepool</t>
  </si>
  <si>
    <t>SA</t>
  </si>
  <si>
    <t>BNP</t>
  </si>
  <si>
    <t>Mansfield</t>
  </si>
  <si>
    <t>North Tyneside</t>
  </si>
  <si>
    <t>Doncaster</t>
  </si>
  <si>
    <t>Andrew Burden</t>
  </si>
  <si>
    <t>Turnout 28.4%</t>
  </si>
  <si>
    <t>Jessie Credland</t>
  </si>
  <si>
    <t>CG</t>
  </si>
  <si>
    <t>Table 12</t>
  </si>
  <si>
    <t>Michael Maye</t>
  </si>
  <si>
    <t>Graham Newman</t>
  </si>
  <si>
    <t>LD</t>
  </si>
  <si>
    <t>Martin Winter</t>
  </si>
  <si>
    <t>Ian Cameron</t>
  </si>
  <si>
    <t>Turnout 30.1%</t>
  </si>
  <si>
    <t>Stephen Close</t>
  </si>
  <si>
    <t>Stuart Drummond</t>
  </si>
  <si>
    <t>Leo Gillen</t>
  </si>
  <si>
    <t>Arthur Preece</t>
  </si>
  <si>
    <t>Steve Bullock</t>
  </si>
  <si>
    <t>Turnout 25.5%</t>
  </si>
  <si>
    <t>Alex Feakes</t>
  </si>
  <si>
    <t>LEAP</t>
  </si>
  <si>
    <t>Sinna Mani</t>
  </si>
  <si>
    <t>Derek Stone</t>
  </si>
  <si>
    <t>Middlesborough</t>
  </si>
  <si>
    <t>Sylvia Connolly</t>
  </si>
  <si>
    <t>Turnout 41.3%</t>
  </si>
  <si>
    <t>Ronald Darby</t>
  </si>
  <si>
    <t>Jeffrey Fowler</t>
  </si>
  <si>
    <t>Rod Jones</t>
  </si>
  <si>
    <t>Raymond Mallon</t>
  </si>
  <si>
    <t>Tawfique Choudhury</t>
  </si>
  <si>
    <t>Turnout 27.6%</t>
  </si>
  <si>
    <t>Alan Craig</t>
  </si>
  <si>
    <t>Michael Davidson</t>
  </si>
  <si>
    <t>Graham Postles</t>
  </si>
  <si>
    <t>Gabrielle Rolfe</t>
  </si>
  <si>
    <t>*</t>
  </si>
  <si>
    <t>Total includes 'Rejected in part'</t>
  </si>
  <si>
    <t>Liberal Democrat and predecessors</t>
  </si>
  <si>
    <t>Table 18a</t>
  </si>
  <si>
    <t>Election</t>
  </si>
  <si>
    <t>Including Independent Unionist, Progressive Unionists, Protestant Unionists</t>
  </si>
  <si>
    <t>Unionist</t>
  </si>
  <si>
    <t xml:space="preserve">Independent </t>
  </si>
  <si>
    <t>Nationalist/</t>
  </si>
  <si>
    <t xml:space="preserve">Ulster Unionist </t>
  </si>
  <si>
    <t>Association/</t>
  </si>
  <si>
    <t>Northern Ireland House of Commons 1921-1969</t>
  </si>
  <si>
    <t>Eddie Darke</t>
  </si>
  <si>
    <t>Turnout 42.5%</t>
  </si>
  <si>
    <t>Michael Elliott</t>
  </si>
  <si>
    <t>Michael Huscroft</t>
  </si>
  <si>
    <t>Christopher Morgan</t>
  </si>
  <si>
    <t>Allan Pond</t>
  </si>
  <si>
    <t>FC</t>
  </si>
  <si>
    <t>Turnout 37.4%</t>
  </si>
  <si>
    <t>Gary Ling</t>
  </si>
  <si>
    <t>Stephen Rackett</t>
  </si>
  <si>
    <t>Dorothy Thornhill</t>
  </si>
  <si>
    <t>Paul Woodward</t>
  </si>
  <si>
    <t>Local Education Action by Parents</t>
  </si>
  <si>
    <t>Frank Branston</t>
  </si>
  <si>
    <t>BBI</t>
  </si>
  <si>
    <t>Christine McHugh</t>
  </si>
  <si>
    <t>Charles Rose</t>
  </si>
  <si>
    <t>Apu Bagchi</t>
  </si>
  <si>
    <t>Ian Clifton</t>
  </si>
  <si>
    <t>Arthur Foster</t>
  </si>
  <si>
    <t>Gurminder Singh Dosanjh</t>
  </si>
  <si>
    <t>Jules Pipe</t>
  </si>
  <si>
    <t>Andrew Boff</t>
  </si>
  <si>
    <t>Paul Foot</t>
  </si>
  <si>
    <t>Ian Sharer</t>
  </si>
  <si>
    <t>Crospin Truman</t>
  </si>
  <si>
    <t>Bruce Spenser</t>
  </si>
  <si>
    <t>Terry Edwards</t>
  </si>
  <si>
    <t>Tony Egginton</t>
  </si>
  <si>
    <t>Lorna Carter</t>
  </si>
  <si>
    <t>Kathryn Allsop</t>
  </si>
  <si>
    <t>Phillip Smith</t>
  </si>
  <si>
    <t>Michael Comerford</t>
  </si>
  <si>
    <t>Turnout 18.5%</t>
  </si>
  <si>
    <t>Mike Wolfe</t>
  </si>
  <si>
    <t>Mayor 4 Stoke</t>
  </si>
  <si>
    <t>Steven Batkin</t>
  </si>
  <si>
    <t>Roger Ibbs</t>
  </si>
  <si>
    <t>Geoffrey Snow</t>
  </si>
  <si>
    <t>Fred Morrow</t>
  </si>
  <si>
    <t>Paul Breeze</t>
  </si>
  <si>
    <t>Patricia Whitehouse</t>
  </si>
  <si>
    <t>Graham Wilkes</t>
  </si>
  <si>
    <t xml:space="preserve">Dunfermline &amp; W Fife </t>
  </si>
  <si>
    <t>Ind hold</t>
  </si>
  <si>
    <t>Henley</t>
  </si>
  <si>
    <t>Glasgow East</t>
  </si>
  <si>
    <t>Glenrothes</t>
  </si>
  <si>
    <t>Norwich North</t>
  </si>
  <si>
    <t>Mischa Borris</t>
  </si>
  <si>
    <t>Monty Goldman</t>
  </si>
  <si>
    <t>CPB</t>
  </si>
  <si>
    <t>William Thompson</t>
  </si>
  <si>
    <t>CP</t>
  </si>
  <si>
    <t>Chris Maines</t>
  </si>
  <si>
    <t>Simon John Nundy</t>
  </si>
  <si>
    <t>Dean Maurice Walton</t>
  </si>
  <si>
    <t>John Nicholas Hamilton</t>
  </si>
  <si>
    <t>Tess Culnane</t>
  </si>
  <si>
    <t>Graham Trevor Dare</t>
  </si>
  <si>
    <t>ED</t>
  </si>
  <si>
    <t>Sir Robin Wales</t>
  </si>
  <si>
    <t>Maria Joy Allen</t>
  </si>
  <si>
    <t>Kamran Malik</t>
  </si>
  <si>
    <t>Chikwe Nkemnacho</t>
  </si>
  <si>
    <t>IND</t>
  </si>
  <si>
    <t>Stephen Johnson</t>
  </si>
  <si>
    <t>Nigel Bell</t>
  </si>
  <si>
    <t>Alex MacGregor Mason</t>
  </si>
  <si>
    <t>Turnout 58.0%</t>
  </si>
  <si>
    <t>Turnout 38.4%</t>
  </si>
  <si>
    <t>Peter Davies</t>
  </si>
  <si>
    <t>Sandra Holland</t>
  </si>
  <si>
    <t>Jonathan Wood</t>
  </si>
  <si>
    <t>Stuart Exelby</t>
  </si>
  <si>
    <t>Michael Felse</t>
  </si>
  <si>
    <t>Chris Simmons</t>
  </si>
  <si>
    <t>Martyn Aiken</t>
  </si>
  <si>
    <t>Tony Morrell</t>
  </si>
  <si>
    <t>Cheryl Dunn</t>
  </si>
  <si>
    <t>David Young</t>
  </si>
  <si>
    <t>Jim Gillespie</t>
  </si>
  <si>
    <t>Iris Ryder</t>
  </si>
  <si>
    <t>Allison Willetts</t>
  </si>
  <si>
    <t>Lynne Gillam</t>
  </si>
  <si>
    <t>Barbara Jackson</t>
  </si>
  <si>
    <t>Christine Blakey</t>
  </si>
  <si>
    <t>Nigel John Yuscroft</t>
  </si>
  <si>
    <t>John Burrows</t>
  </si>
  <si>
    <t>Martin Collins</t>
  </si>
  <si>
    <t>Robert Nigel Batten</t>
  </si>
  <si>
    <t>Turnout 38.1%</t>
  </si>
  <si>
    <t>Turnout 31.9%</t>
  </si>
  <si>
    <t>English Democrats</t>
  </si>
  <si>
    <t>Tower Hamlets</t>
  </si>
  <si>
    <t>Lutfur Rahman</t>
  </si>
  <si>
    <t>Helal Uddin Abbas</t>
  </si>
  <si>
    <t>Neil King</t>
  </si>
  <si>
    <t>John Griffiths</t>
  </si>
  <si>
    <t>John Duffell</t>
  </si>
  <si>
    <t>Bury</t>
  </si>
  <si>
    <t>Left List</t>
  </si>
  <si>
    <t>Boris Johnson</t>
  </si>
  <si>
    <t>Brian Paddick</t>
  </si>
  <si>
    <t>Siân Berry</t>
  </si>
  <si>
    <t>Richard Barnbrook</t>
  </si>
  <si>
    <t>Gerard Batten</t>
  </si>
  <si>
    <t>Matt O’Connor</t>
  </si>
  <si>
    <t>Winston McKenzie</t>
  </si>
  <si>
    <t>David Cameron</t>
  </si>
  <si>
    <t>General Election Results: 1974-2010: Northern Ireland</t>
  </si>
  <si>
    <t>10</t>
  </si>
  <si>
    <t>Oldham East and Saddleworth</t>
  </si>
  <si>
    <t>GENERAL ELECTION 2010</t>
  </si>
  <si>
    <t>Barnsley Central</t>
  </si>
  <si>
    <t>Table 1: Northern Ireland Assembly election results: 5 May 2011</t>
  </si>
  <si>
    <t>Fenland</t>
  </si>
  <si>
    <t>Great Yarmouth</t>
  </si>
  <si>
    <t>Gordon Malcolm Oliver</t>
  </si>
  <si>
    <t>Nick Bye</t>
  </si>
  <si>
    <t>Dennis Raymond Brewer</t>
  </si>
  <si>
    <t>Patrick Canavan</t>
  </si>
  <si>
    <t>Paul Clifford</t>
  </si>
  <si>
    <t>Martin Robert Brook</t>
  </si>
  <si>
    <t>Fiona McPhail</t>
  </si>
  <si>
    <t>Voice 4 Torbay</t>
  </si>
  <si>
    <t>Sam Moss</t>
  </si>
  <si>
    <t>http://www.torbay.gov.uk/index/council/elections/electionresults/mayoralelectionresults.htm</t>
  </si>
  <si>
    <t>Dave Hodgson</t>
  </si>
  <si>
    <t>John Guthrie</t>
  </si>
  <si>
    <t>Michelle Harris</t>
  </si>
  <si>
    <t>Tony Hare</t>
  </si>
  <si>
    <t>Greg Paszynski</t>
  </si>
  <si>
    <t>http://www.bedford.gov.uk/council_and_democracy/elections/2011_-_council_elections/mayoral_results.aspx</t>
  </si>
  <si>
    <t>V4T</t>
  </si>
  <si>
    <t>Leicester</t>
  </si>
  <si>
    <t>Sir Peter Soulsby</t>
  </si>
  <si>
    <t>Ross Ian Grant</t>
  </si>
  <si>
    <t>Rick Moore</t>
  </si>
  <si>
    <t>Gary Glen Hunt</t>
  </si>
  <si>
    <t>Geoff Forse</t>
  </si>
  <si>
    <t>Nima Patel</t>
  </si>
  <si>
    <t>Regine Amanda Anderson</t>
  </si>
  <si>
    <t>Mohinder Farma</t>
  </si>
  <si>
    <t>David John Bowley</t>
  </si>
  <si>
    <t>Mu-hamid Pathan</t>
  </si>
  <si>
    <t>Lee Alan Sowden</t>
  </si>
  <si>
    <t>UPS</t>
  </si>
  <si>
    <t>Unity For Peace and Socialism</t>
  </si>
  <si>
    <t>Turnout 40.7%</t>
  </si>
  <si>
    <t>http://www.leicester.gov.uk/elections2011/electedMayorResults.aspx</t>
  </si>
  <si>
    <t>Tony Eggington</t>
  </si>
  <si>
    <t>Stephen Yemm</t>
  </si>
  <si>
    <t>David Hamilton</t>
  </si>
  <si>
    <t>Vic Bobo</t>
  </si>
  <si>
    <t>Anna Marie Ellis</t>
  </si>
  <si>
    <t>http://www.mansfield.gov.uk/CHttpHandler.ashx?id=4126&amp;p=0</t>
  </si>
  <si>
    <t>Raymond Thomas Mallon</t>
  </si>
  <si>
    <t>Michael John Carr</t>
  </si>
  <si>
    <t>Chris Foote-Wood</t>
  </si>
  <si>
    <t>Christopher L Cole-Nolan</t>
  </si>
  <si>
    <t>http://www.middlesbrough.gov.uk/public/Council,%20government%20&amp;%20democracy/5%20May%202011%20Declaration%20of%20Results%20pdfs/Decleration%20of%20Mayoral%20Results%202011%202.pdf</t>
  </si>
  <si>
    <t>Gordon Oliver</t>
  </si>
  <si>
    <t>Bridgend</t>
  </si>
  <si>
    <t>Cardiff</t>
  </si>
  <si>
    <t>Carmarthenshire</t>
  </si>
  <si>
    <t>Conwy</t>
  </si>
  <si>
    <t>Denbighshire</t>
  </si>
  <si>
    <t>Flintshire</t>
  </si>
  <si>
    <t>Gwynedd</t>
  </si>
  <si>
    <t>Isle of Anglesey</t>
  </si>
  <si>
    <t>Monmouthshire</t>
  </si>
  <si>
    <t>Neath Port Talbot</t>
  </si>
  <si>
    <t>Newport</t>
  </si>
  <si>
    <t>Pembrokeshire</t>
  </si>
  <si>
    <t>Rhondda Cynon Taf</t>
  </si>
  <si>
    <t>Swansea</t>
  </si>
  <si>
    <t>Torfaen</t>
  </si>
  <si>
    <t>Electoral Commission website:</t>
  </si>
  <si>
    <t>http://referendumresults.aboutmyvote.co.uk/en/all-local-voting-area-declarations.aspx</t>
  </si>
  <si>
    <t>Vote share</t>
  </si>
  <si>
    <t>% Yes</t>
  </si>
  <si>
    <t>% No</t>
  </si>
  <si>
    <t>North East</t>
  </si>
  <si>
    <t>West Midlands</t>
  </si>
  <si>
    <t>East Midlands</t>
  </si>
  <si>
    <t>Eastern</t>
  </si>
  <si>
    <t>South East</t>
  </si>
  <si>
    <t>North West</t>
  </si>
  <si>
    <t>Yorkshire and the Humber</t>
  </si>
  <si>
    <t>South West</t>
  </si>
  <si>
    <t>UK Total</t>
  </si>
  <si>
    <t>Alternative Vote Referendum results by region</t>
  </si>
  <si>
    <t>http://ukreferendumresults.aboutmyvote.co.uk/en/default.aspx</t>
  </si>
  <si>
    <t>House of Commons Members by Age (July 2011)</t>
  </si>
  <si>
    <t>Includes all by elections up to and including Inverclyde</t>
  </si>
  <si>
    <t>Belfast West</t>
  </si>
  <si>
    <t>SF hold</t>
  </si>
  <si>
    <t>Inverclyde</t>
  </si>
  <si>
    <t>SF</t>
  </si>
  <si>
    <t>UUP</t>
  </si>
  <si>
    <t>Fermanagh and South Tyrone</t>
  </si>
  <si>
    <t>Anti-H Block gain from Ind Rep</t>
  </si>
  <si>
    <t>Anti-H Block hold</t>
  </si>
  <si>
    <t>Belfast South</t>
  </si>
  <si>
    <t>UUP hold</t>
  </si>
  <si>
    <t>East Antrim</t>
  </si>
  <si>
    <t>North Antrim</t>
  </si>
  <si>
    <t>South Antrim</t>
  </si>
  <si>
    <t>Belfast East</t>
  </si>
  <si>
    <t>Belfast North</t>
  </si>
  <si>
    <t>North Down</t>
  </si>
  <si>
    <t>South Down</t>
  </si>
  <si>
    <t>Lagan Valley</t>
  </si>
  <si>
    <t>East Londonderry</t>
  </si>
  <si>
    <t>Mid Ulster</t>
  </si>
  <si>
    <t>Newry and Armagh</t>
  </si>
  <si>
    <t>SDLP gain from UUP</t>
  </si>
  <si>
    <t>Strangford</t>
  </si>
  <si>
    <t>Upper Bann</t>
  </si>
  <si>
    <t>DUP hold</t>
  </si>
  <si>
    <t>DUP gain from UUP</t>
  </si>
  <si>
    <t xml:space="preserve">Scottish Senior 
Citizens Unity Party </t>
  </si>
  <si>
    <t>United Kingdom 
Independence Party</t>
  </si>
  <si>
    <t>http://www.totalpolitics.com/articles/4488/the-new-house-of-commons.thtml</t>
  </si>
  <si>
    <t>Private School</t>
  </si>
  <si>
    <t>DUP</t>
  </si>
  <si>
    <t>Democratic Unionist Party</t>
  </si>
  <si>
    <t>Ulster Unionist Party</t>
  </si>
  <si>
    <t>UPU</t>
  </si>
  <si>
    <t>Ulster Popular Unionist Party</t>
  </si>
  <si>
    <t>UKU</t>
  </si>
  <si>
    <t>United Kingdom Unionist</t>
  </si>
  <si>
    <t>UKU gain from UPU</t>
  </si>
  <si>
    <t>UPU hold</t>
  </si>
  <si>
    <t>http://www.towerhamlets.gov.uk/</t>
  </si>
  <si>
    <t>http://www.great-yarmouth.gov.uk/</t>
  </si>
  <si>
    <t>turnout</t>
  </si>
  <si>
    <t xml:space="preserve">Lab hold. </t>
  </si>
  <si>
    <t>LD hold</t>
  </si>
  <si>
    <t>Feltham and Heston</t>
  </si>
  <si>
    <t>Bradford West</t>
  </si>
  <si>
    <t>Votes received</t>
  </si>
  <si>
    <t>% vote share received</t>
  </si>
  <si>
    <t>Votes received (first preference votes)</t>
  </si>
  <si>
    <t>% vote share received (first preference votes)</t>
  </si>
  <si>
    <t>UK-wide turnout</t>
  </si>
  <si>
    <t>Notes</t>
  </si>
  <si>
    <t>Sources</t>
  </si>
  <si>
    <t>Electorates</t>
  </si>
  <si>
    <t>Regional list</t>
  </si>
  <si>
    <t>http://www.electoralcommission.org.uk/__data/assets/pdf_file/0017/141614/SP-election-report-Final-Updated.pdf</t>
  </si>
  <si>
    <t>Registered electorate (from Electoral Commission):</t>
  </si>
  <si>
    <t>% first preference vote</t>
  </si>
  <si>
    <t>First preference votes</t>
  </si>
  <si>
    <t>Source</t>
  </si>
  <si>
    <t>UK Unionists</t>
  </si>
  <si>
    <t>PUP</t>
  </si>
  <si>
    <t>Electoral Office for Northern Ireland, www.eoni.org.uk</t>
  </si>
  <si>
    <t>LD &amp; turnout query</t>
  </si>
  <si>
    <t>Actual is 2.95409</t>
  </si>
  <si>
    <t>see printout</t>
  </si>
  <si>
    <t>Con &amp; SNP/PC</t>
  </si>
  <si>
    <t>Actual Con is 10.09067 and actual SNP is -4.65326</t>
  </si>
  <si>
    <t>con</t>
  </si>
  <si>
    <t>con &amp; lab</t>
  </si>
  <si>
    <t>Con &amp; LD</t>
  </si>
  <si>
    <t>Con &amp; Lab</t>
  </si>
  <si>
    <t>Lab &amp; LD</t>
  </si>
  <si>
    <t>Lab &amp; Turnout</t>
  </si>
  <si>
    <t>Lab &amp; LD &amp; PC</t>
  </si>
  <si>
    <t>Con &amp; Lab &amp; LD</t>
  </si>
  <si>
    <t>Con &amp; Lab &amp; LD &amp; Turnout</t>
  </si>
  <si>
    <t>Assembly electorate</t>
  </si>
  <si>
    <t>Spoiled ballot papers:</t>
  </si>
  <si>
    <t>Mayoral</t>
  </si>
  <si>
    <t>List</t>
  </si>
  <si>
    <t>4 May 2000</t>
  </si>
  <si>
    <t>10 June 2004</t>
  </si>
  <si>
    <t>1 May 2008</t>
  </si>
  <si>
    <t>Electorates:</t>
  </si>
  <si>
    <t>2004 and 2008 results</t>
  </si>
  <si>
    <t>2000 results</t>
  </si>
  <si>
    <t>http://data.london.gov.uk/datastore/package/london-elections-results-2000</t>
  </si>
  <si>
    <t>1. Excluding votes where the second preference was the same as the first preference.</t>
  </si>
  <si>
    <t>2. If no candidate receives more than half of first preference votes, the two candidates who received the most first preference votes then receive second preferences from the other candidates.</t>
  </si>
  <si>
    <t>Salford</t>
  </si>
  <si>
    <t>http://www.salford.gov.uk/pr-12-3102.htm</t>
  </si>
  <si>
    <t>1. Scottish Socialist Party</t>
  </si>
  <si>
    <t>http://www.electoralcommission.org.uk/__data/assets/pdf_file/0012/141330/Final-NAW-report-web.pdf</t>
  </si>
  <si>
    <t>Second party</t>
  </si>
  <si>
    <t>Actual Lab is -5.23362</t>
  </si>
  <si>
    <t>Con &amp; Lab &amp; Turnout</t>
  </si>
  <si>
    <t>Kept our figure, if RP 05/34 variance with BEF +/-0.1</t>
  </si>
  <si>
    <t>Kept our figure, if RP 05/34 variance with BEF +/-0.1 n.b. BEF date is incorrect Brent East (18/9/2003)</t>
  </si>
  <si>
    <t>Kept our figure, if RP 10/50 variance with BEF +/-0.1</t>
  </si>
  <si>
    <t>Con -2.5 &amp; Lab -16.8 &amp; LD 15.6 &amp; SNP2.1</t>
  </si>
  <si>
    <t>RP 10/50 contains error in GE Other and Total Poll figures. Also, this table previously just said LD gain.</t>
  </si>
  <si>
    <t>Typo in RP where Turnout says 63.1 instead of 63.7</t>
  </si>
  <si>
    <t>Change in share of the vote since previous election:</t>
  </si>
  <si>
    <t>(if +/-0.1%, have kept our figure)</t>
  </si>
  <si>
    <t>Difference with BEF</t>
  </si>
  <si>
    <t>No change</t>
  </si>
  <si>
    <t>Respect gain from Lab</t>
  </si>
  <si>
    <t>1st preference</t>
  </si>
  <si>
    <t xml:space="preserve"> #  Same day as General Election</t>
  </si>
  <si>
    <t>LIB</t>
  </si>
  <si>
    <t>Prime Minister</t>
  </si>
  <si>
    <t>Electoral Commission</t>
  </si>
  <si>
    <t xml:space="preserve">Newcastle-under-Lyme </t>
  </si>
  <si>
    <t>Crewe and Nantwich</t>
  </si>
  <si>
    <t>Voting for more than one candidate</t>
  </si>
  <si>
    <t>% of all ballots</t>
  </si>
  <si>
    <t>1970-74</t>
  </si>
  <si>
    <t>1974-79</t>
  </si>
  <si>
    <t>2001-05</t>
  </si>
  <si>
    <t>2005-10</t>
  </si>
  <si>
    <t>Average turnout</t>
  </si>
  <si>
    <t>1979 votes</t>
  </si>
  <si>
    <t>% Yes vote</t>
  </si>
  <si>
    <t>% No vote</t>
  </si>
  <si>
    <t>1997 results fitted to 1979 counting areas as follows</t>
  </si>
  <si>
    <t>1979 counting areas</t>
  </si>
  <si>
    <t xml:space="preserve">    Dyfed (Carmarthenshire, Ceredigion, Pembrokeshire) </t>
  </si>
  <si>
    <t xml:space="preserve">    Powys (Powys) -- 1997 area includes communities of Llanrhaeadr-ym-Mochnant, Llansilin and Llangedwyn (formerly in Glyndwr DC in Clwyd, now in Powys UA) Powys (Powys) -- 1997 area includes communities of Llanrhaeadr-ym-Mochnant, Llansilin and Llangedwyn (formerly in Glyndwr DC in Clwyd, now in Powys UA) Powys (Powys) -- 1997 area includes communities of Llanrhaeadr-ym-Mochnant, Llansilin and Llangedwyn (formerly in Glyndwr DC in Clwyd, now in Powys UA)</t>
  </si>
  <si>
    <t xml:space="preserve">    Gwent &amp; Mid Glamorgan (Wick, St Bride's Major and Ewenny (formerly in Ogwr BC in Mid Glamorgan, now in Vale of Glamorgan UA) and excludes community of Pentyrch (formerly in Taff-Ely BC in Mid Glamorgan, now in Cardiff UA) </t>
  </si>
  <si>
    <t xml:space="preserve">    South Glamorgan (Vale of Glamorgan, Cardiff) -- 1997 area includes communities of Wick, St Bride's Major and Ewenny (formerly in Ogwr BC in Mid Glamorgan, now in Vale of Glamorgan UA) and includes community of Pentyrch (formerly in Taff-Ely BC in Mid Glamorgan, now in Cardiff UA) </t>
  </si>
  <si>
    <t xml:space="preserve">    West Glamorgan (Neath &amp; Port Talbot, Swansea)</t>
  </si>
  <si>
    <t>1997 results fitted to 1979 areas as follows:</t>
  </si>
  <si>
    <t>Local authority</t>
  </si>
  <si>
    <t>Total votes</t>
  </si>
  <si>
    <t>% vote</t>
  </si>
  <si>
    <t>Source: Electoral Commission</t>
  </si>
  <si>
    <t>UK</t>
  </si>
  <si>
    <t>Total vote</t>
  </si>
  <si>
    <t>3 May 2012</t>
  </si>
  <si>
    <t>Jenny Jones</t>
  </si>
  <si>
    <t>Siobhan Benita</t>
  </si>
  <si>
    <t>Lawrence James Webb</t>
  </si>
  <si>
    <t>Carlos Cortiglia</t>
  </si>
  <si>
    <t>2012 results</t>
  </si>
  <si>
    <t>http://data.london.gov.uk/datastore/package/london-elections-results-2012-wards-boroughs-constituency</t>
  </si>
  <si>
    <t>and BBC Political Research, personal communication</t>
  </si>
  <si>
    <t>Source: Greater London Authority</t>
  </si>
  <si>
    <t>Birmingham</t>
  </si>
  <si>
    <t>Bradford</t>
  </si>
  <si>
    <t>Bristol</t>
  </si>
  <si>
    <t>Coventry</t>
  </si>
  <si>
    <t>Leeds</t>
  </si>
  <si>
    <t>Manchester</t>
  </si>
  <si>
    <t>Newcastle-Upon-Tyne</t>
  </si>
  <si>
    <t>Nottingham</t>
  </si>
  <si>
    <t>Sheffield</t>
  </si>
  <si>
    <t>2nd preference</t>
  </si>
  <si>
    <t>North Tyneside (by-election)</t>
  </si>
  <si>
    <t>Turnout 47.0%</t>
  </si>
  <si>
    <t>Turnout 36.6%</t>
  </si>
  <si>
    <t>Turnout 41.2%</t>
  </si>
  <si>
    <t>Susie Colley</t>
  </si>
  <si>
    <t>Adrian John Gee-Turner</t>
  </si>
  <si>
    <t>http://www.hackney.gov.uk/2010-results-mayor.htm</t>
  </si>
  <si>
    <t>Terry Wilcox</t>
  </si>
  <si>
    <t>Shafiq Khan</t>
  </si>
  <si>
    <t>Marie-Louise Irvine</t>
  </si>
  <si>
    <t>Vince Muspratt</t>
  </si>
  <si>
    <t>Tristram Cooke</t>
  </si>
  <si>
    <t>http://www.watford.gov.uk/ccm/content/legal-and-democratic/election-results---mayoral-2nd-may-2002.en</t>
  </si>
  <si>
    <t>Turnout 25.6%</t>
  </si>
  <si>
    <t>Local Man, Local Issues, Hartlepool First</t>
  </si>
  <si>
    <t>Liverpool</t>
  </si>
  <si>
    <t>Joe Anderson</t>
  </si>
  <si>
    <t>Liam Fogarty</t>
  </si>
  <si>
    <t>Richard Kemp</t>
  </si>
  <si>
    <t>John Coyne</t>
  </si>
  <si>
    <t>Tony Mulhearn</t>
  </si>
  <si>
    <t>TUSC</t>
  </si>
  <si>
    <t>Steve Radford</t>
  </si>
  <si>
    <t>Tony Caldeira</t>
  </si>
  <si>
    <t>Adam Heatherington</t>
  </si>
  <si>
    <t>Paul Duane Rimmer</t>
  </si>
  <si>
    <t>Jeffrey Berman</t>
  </si>
  <si>
    <t>LIP</t>
  </si>
  <si>
    <t>Mike Whitby</t>
  </si>
  <si>
    <t>Peter Tierney</t>
  </si>
  <si>
    <t>Turnout 31.7%</t>
  </si>
  <si>
    <t>http://councillors.liverpool.gov.uk/mgElectionAreaResults.aspx?ID=224&amp;RPID=2828867</t>
  </si>
  <si>
    <t>Ian Stewart</t>
  </si>
  <si>
    <t>Karen Margaret Garrido</t>
  </si>
  <si>
    <t>Bernard Gill</t>
  </si>
  <si>
    <t>Pat Ward</t>
  </si>
  <si>
    <t>Norman Owen</t>
  </si>
  <si>
    <t>Eddy O'Sullivan</t>
  </si>
  <si>
    <t>Paul Massey</t>
  </si>
  <si>
    <t>Mike Felse</t>
  </si>
  <si>
    <t>Joe O'Neill</t>
  </si>
  <si>
    <t>Michael Moulding</t>
  </si>
  <si>
    <t>CAP</t>
  </si>
  <si>
    <t>Liverpool Independent Party</t>
  </si>
  <si>
    <t>Turnout 26.1%</t>
  </si>
  <si>
    <t>LAB/Coop</t>
  </si>
  <si>
    <t>2001General Election</t>
  </si>
  <si>
    <t>2005 General Election</t>
  </si>
  <si>
    <t>2010 General Election</t>
  </si>
  <si>
    <t>UCUNF</t>
  </si>
  <si>
    <t>Election 2010: The Official Results; HC Library "General Election 2010; final Edition"</t>
  </si>
  <si>
    <t>Coalition</t>
  </si>
  <si>
    <t>4. Labour formed a government after the 1923 election but the Conservatives had won the most seats (although not a majority).</t>
  </si>
  <si>
    <t>5. 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</si>
  <si>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6. 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</si>
  <si>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7. The Conservatives were the largest party following the 2010 election but did not have a majority.  A coalition government was formed with the Liberal Democrats.</t>
  </si>
  <si>
    <t>3. Majority of 283 is calculated including the 73 Sinn Fein Members who did not take their seats.</t>
  </si>
  <si>
    <t>Number rejected does not include postal ballots that were returned after close of poll.  Ought to be (Number of covering envelopes returned before close of poll) minus (Number of ballot papers include at the start of count) but since figures not always available - some constituencies do not report the data - this is not always the case.</t>
  </si>
  <si>
    <t>Postal votes as % of total valid votes</t>
  </si>
  <si>
    <t>% of all postal ballot papers issued</t>
  </si>
  <si>
    <t>Covering envelopes returned before close of poll</t>
  </si>
  <si>
    <t>Note: Rows may not sum to the total.  For some constituencies in some years the number of spoilt ballots by reason is not available.  The total column also includes spoilt ballots classified as 'rejected in part'.</t>
  </si>
  <si>
    <t>% MPs</t>
  </si>
  <si>
    <t>1. Includes Coalition Conservative for 1918; National, National Liberal and National Labour for 1931-35; National and National Liberal for 1945; National Liberal &amp; Conservative for 1945-70.</t>
  </si>
  <si>
    <t>2. Includes Coalition Liberal Party for 1918; National Liberal for 1922; Independent Liberal for 1931; Liberal/SDP Alliance for 1983-87; Liberal Democrats from 1922.</t>
  </si>
  <si>
    <t>3. Figures for all Ireland, not just Northern Ireland.</t>
  </si>
  <si>
    <t>Politician/political organiser</t>
  </si>
  <si>
    <t>Civil service/local government</t>
  </si>
  <si>
    <t>Liberal Democrat &amp; predecessors</t>
  </si>
  <si>
    <t>Three main parties</t>
  </si>
  <si>
    <t>Miscellaneous white collar</t>
  </si>
  <si>
    <t>White</t>
  </si>
  <si>
    <t>Non-white</t>
  </si>
  <si>
    <t>% of all MPs</t>
  </si>
  <si>
    <t>Corby</t>
  </si>
  <si>
    <t>Clacton</t>
  </si>
  <si>
    <t>Rochester and Strood</t>
  </si>
  <si>
    <t>Newark</t>
  </si>
  <si>
    <t>Bolton West</t>
  </si>
  <si>
    <t>Gordon Brown</t>
  </si>
  <si>
    <t>Cardiff South and Penarth</t>
  </si>
  <si>
    <t>Heywood and Middleton</t>
  </si>
  <si>
    <t>Orkney and Shetland</t>
  </si>
  <si>
    <t>Social Democratic &amp; Labour Party</t>
  </si>
  <si>
    <t>Grand Total</t>
  </si>
  <si>
    <t>30-40</t>
  </si>
  <si>
    <t>40-50</t>
  </si>
  <si>
    <t>50-60</t>
  </si>
  <si>
    <t>60-70</t>
  </si>
  <si>
    <t>70-80</t>
  </si>
  <si>
    <t>80+</t>
  </si>
  <si>
    <t>20-30</t>
  </si>
  <si>
    <t>Source: House of Commons Library MP database</t>
  </si>
  <si>
    <t>Note: age at date of election</t>
  </si>
  <si>
    <t>London Assembly Members elected by party, 2000-2012</t>
  </si>
  <si>
    <t>Constituency seats</t>
  </si>
  <si>
    <t>London-wide seats</t>
  </si>
  <si>
    <t>Beverley Brennan</t>
  </si>
  <si>
    <t>Percy Brewis</t>
  </si>
  <si>
    <t>Susan Colley</t>
  </si>
  <si>
    <t>Robert Crawford</t>
  </si>
  <si>
    <t>James Grimble</t>
  </si>
  <si>
    <t>Peter Middleton</t>
  </si>
  <si>
    <t>James O'Dwyer</t>
  </si>
  <si>
    <t>Beverley Oxley</t>
  </si>
  <si>
    <t>Nicholas Pannell</t>
  </si>
  <si>
    <t>Julien Parrott</t>
  </si>
  <si>
    <t>David Pedrick-Friend</t>
  </si>
  <si>
    <t>Marshall Richie</t>
  </si>
  <si>
    <t>Turnout 23.5%</t>
  </si>
  <si>
    <t>Matthew Penhaligon</t>
  </si>
  <si>
    <t>Mima Bone</t>
  </si>
  <si>
    <t>Hettie Peters</t>
  </si>
  <si>
    <t>Dean Ryan</t>
  </si>
  <si>
    <t>Turnout 32.9%</t>
  </si>
  <si>
    <t>Turnout 33.0%</t>
  </si>
  <si>
    <t>Christopher Maines</t>
  </si>
  <si>
    <t>James Cleverley</t>
  </si>
  <si>
    <t>Michael Keogh</t>
  </si>
  <si>
    <t>John Hamilton</t>
  </si>
  <si>
    <t>LPA</t>
  </si>
  <si>
    <t>GRN</t>
  </si>
  <si>
    <t>RES</t>
  </si>
  <si>
    <t>Lewisham People's Alliance</t>
  </si>
  <si>
    <t>Turnout 34.5%</t>
  </si>
  <si>
    <t>Akhtar Jafar</t>
  </si>
  <si>
    <t>Reza Choudhury</t>
  </si>
  <si>
    <t xml:space="preserve">Anwar Hussain </t>
  </si>
  <si>
    <t>Stephen O’Brien</t>
  </si>
  <si>
    <t>Ruth Ellis</t>
  </si>
  <si>
    <t>Bedford (by-election)</t>
  </si>
  <si>
    <t>Turnout 30.2%</t>
  </si>
  <si>
    <t>James Valentine</t>
  </si>
  <si>
    <t>Eve Robinson-Morley</t>
  </si>
  <si>
    <t>Parvez Akhtar</t>
  </si>
  <si>
    <t>Trade Unionist and Socialist Coalition</t>
  </si>
  <si>
    <t>Party descriptions:</t>
  </si>
  <si>
    <t>Turnout 65.2%</t>
  </si>
  <si>
    <t>Turnount 50.4%</t>
  </si>
  <si>
    <t>Turnout 58.4%</t>
  </si>
  <si>
    <t>Holborn and St.Pancras S</t>
  </si>
  <si>
    <t>All MEPs</t>
  </si>
  <si>
    <t>GLA</t>
  </si>
  <si>
    <t>% female Members</t>
  </si>
  <si>
    <t>N Ireland</t>
  </si>
  <si>
    <t>Source: HC Library SN05170; RP11/40; RP11/41; RP11/42</t>
  </si>
  <si>
    <t>http://www.london.gov.uk/who-runs-london/the-london-assembly/members</t>
  </si>
  <si>
    <t>2012 London Assembly: the number of female Assembly Members for each party is: Labour 5; Conservatives 1; Liberal Democrats 1; Greens 1.</t>
  </si>
  <si>
    <t>London Assembly</t>
  </si>
  <si>
    <t>1959 GE</t>
  </si>
  <si>
    <t>1955 GE</t>
  </si>
  <si>
    <t>1951 GE</t>
  </si>
  <si>
    <t>Const.</t>
  </si>
  <si>
    <t>d.o.b.</t>
  </si>
  <si>
    <t>Arthur Holt</t>
  </si>
  <si>
    <t>Evan Roderic Bowen</t>
  </si>
  <si>
    <t>Cardiganshire</t>
  </si>
  <si>
    <t>Donald Wade</t>
  </si>
  <si>
    <t>Huddersfield West</t>
  </si>
  <si>
    <t>(Edward) Clement Davies</t>
  </si>
  <si>
    <t>Montgomery</t>
  </si>
  <si>
    <t>19/02/1884</t>
  </si>
  <si>
    <t>Joseph Grimond</t>
  </si>
  <si>
    <t>Jeremy Thorpe</t>
  </si>
  <si>
    <t>Devon, North</t>
  </si>
  <si>
    <t>Rhys Hopkin Morris*</t>
  </si>
  <si>
    <t>30/06/1888</t>
  </si>
  <si>
    <t>Rhys Hopkin Morris</t>
  </si>
  <si>
    <t>*Who's Who and Oxford DNB only give his d.o.b. As 1888. Wikipedia gives it as 5 September 1888 but is not verifiable.</t>
  </si>
  <si>
    <t>1. Data for 1983 and 1987 are for Liberals only (not SDP)</t>
  </si>
  <si>
    <t>NB. 1951 and 1955 data for Liberals are not included in the books.  The relevant DOB data were gathered from Who's Who and Dods.</t>
  </si>
  <si>
    <t>Millions</t>
  </si>
  <si>
    <t>1. Figures for all Ireland, not Northern Ireland</t>
  </si>
  <si>
    <t>Electorate at UK General Elections, 1918-2010</t>
  </si>
  <si>
    <t>Total MPs elected</t>
  </si>
  <si>
    <t>Grand total</t>
  </si>
  <si>
    <t>NB 1983 data excludes Robert N Wareing - therefore there were 34 rather than 33 new Labour MPs elected in 1983</t>
  </si>
  <si>
    <t>1. Excludes former MPs returning to the House of Commons after time away from Parliament.</t>
  </si>
  <si>
    <t>2. Liberal Democrat includes predecessor parties.</t>
  </si>
  <si>
    <t>Service votes</t>
  </si>
  <si>
    <t>1. 1918 figures include all of Ireland.</t>
  </si>
  <si>
    <t>Table 6: Age of MPs elected at 2010 General Election</t>
  </si>
  <si>
    <t>Percentage of parties' MPs</t>
  </si>
  <si>
    <t>Table 11: Main former occupations of Members of Parliament, 1951-2010</t>
  </si>
  <si>
    <t>GENERAL ELECTION 1945</t>
  </si>
  <si>
    <t>Table 13: Parliamentary by-elections in Great Britain since 1945</t>
  </si>
  <si>
    <t>Table 17: National Assembly for Wales elections, 1999-2011</t>
  </si>
  <si>
    <t>Table 16a: Assembly Members elected by party, 1999-2011</t>
  </si>
  <si>
    <t>Table 17b: Scottish Parliament elections, 1999-2011</t>
  </si>
  <si>
    <t>Table 17a: Members of the Scottish Parliament elected by party, 1999-2011</t>
  </si>
  <si>
    <t>Table 18: Northern Ireland Assembly elections: 1998-2011</t>
  </si>
  <si>
    <t>NI Labour</t>
  </si>
  <si>
    <t>Unopposed</t>
  </si>
  <si>
    <t>Table 19: Members elected at general elections to the Northern Ireland House of Commons (Stormont)</t>
  </si>
  <si>
    <t>Table 20a: London Assembly seats won by party, 2000-2012</t>
  </si>
  <si>
    <t>Percentage of party's MEPs</t>
  </si>
  <si>
    <t>Greater London Authority</t>
  </si>
  <si>
    <t>1. Turnout as reported by local authority</t>
  </si>
  <si>
    <t>2. A referendum on whether to end the mayoral system was held in Doncaster in May 2012.  The referendum decided in favour of retaining the mayoral system.</t>
  </si>
  <si>
    <t xml:space="preserve">3. A subsequent referendum in Stoke-on-Trent in October 2008 decided in favour of ending the mayoral system and using a leader and cabinet system instead. </t>
  </si>
  <si>
    <t>1. 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</si>
  <si>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Seats</t>
  </si>
  <si>
    <t>Irish Nationalist/Anti-Partionist</t>
  </si>
  <si>
    <t>2. Irish Nationalist/Anti-Partitionist</t>
  </si>
  <si>
    <t>2. Includes Coalition Conservative for 1918; National, National Liberal and National Labour candidates for 1931-1935; National and National Liberal candidates for 1945; National Liberal &amp; Conservative candidates 1945-1970.</t>
  </si>
  <si>
    <t>3. Includes Coalition Liberal Party for 1918; National Liberal for 1922; and Independent Liberal for 1931. Figures show Liberal/SDP Alliance vote for 1983-1987 and Liberal Democrat vote from 1992 onwards.</t>
  </si>
  <si>
    <t>1. For elections up to 1992, the Speaker of the House of Commons is listed under the party he represented before his appointment. From 1997 the Speaker is listed under 'Other'.</t>
  </si>
  <si>
    <t>Number of female MEPs</t>
  </si>
  <si>
    <t>% of total</t>
  </si>
  <si>
    <t>1. Turnout is as reported by local authority and may include spoilt ballots</t>
  </si>
  <si>
    <t>NAT</t>
  </si>
  <si>
    <t>14a</t>
  </si>
  <si>
    <t>GENERAL ELECTION 1922</t>
  </si>
  <si>
    <t>GENERAL ELECTION 1923</t>
  </si>
  <si>
    <t>GENERAL ELECTION 1924</t>
  </si>
  <si>
    <t>GENERAL ELECTION 1929</t>
  </si>
  <si>
    <t>GENERAL ELECTION 1931</t>
  </si>
  <si>
    <t>GENERAL ELECTION 1935</t>
  </si>
  <si>
    <t>Armagh</t>
  </si>
  <si>
    <t>Londonderry</t>
  </si>
  <si>
    <t>Mid-Ulster</t>
  </si>
  <si>
    <t>East Belfast</t>
  </si>
  <si>
    <t>West Belfast</t>
  </si>
  <si>
    <t>Nat hold</t>
  </si>
  <si>
    <t>J. Beattie's candidature was not endorsed by the British Labour Party owing to the electoral truce but he joined the Parliamentary Labour Party shortly after being elected.</t>
  </si>
  <si>
    <t>FM to check workings</t>
  </si>
  <si>
    <t>SGS notes</t>
  </si>
  <si>
    <t>Footnotes. FM to check wording.</t>
  </si>
  <si>
    <t>FM to check workings.</t>
  </si>
  <si>
    <t>Previous election was unopposed.</t>
  </si>
  <si>
    <t>Compared to previous General Election rather than previous By election.</t>
  </si>
  <si>
    <t>Unity gain from Con</t>
  </si>
  <si>
    <t>FM to check</t>
  </si>
  <si>
    <t>Footnote</t>
  </si>
  <si>
    <t>BE called due to resignation of Speaker Boothroyd</t>
  </si>
  <si>
    <t>BE called due to resignation of Speaker Martin</t>
  </si>
  <si>
    <t>Unopposed by Labour and Liberal parties</t>
  </si>
  <si>
    <t>FM to decide on footnote</t>
  </si>
  <si>
    <t>can we do?</t>
  </si>
  <si>
    <t xml:space="preserve"> Uncontested by-election</t>
  </si>
  <si>
    <t>GE done by STV, by-election by FPTP</t>
  </si>
  <si>
    <t>FM to check figures - see tabe with MT workings</t>
  </si>
  <si>
    <t xml:space="preserve">British Electoral Facts: 1832-2006, Colin Rallings and Michael Thrasher, Parliamentary Research Services, </t>
  </si>
  <si>
    <r>
      <t>Sources</t>
    </r>
    <r>
      <rPr>
        <i/>
        <sz val="8"/>
        <rFont val="Times New Roman"/>
        <family val="1"/>
      </rPr>
      <t/>
    </r>
  </si>
  <si>
    <t>1. Liberal Party in 1979 and SDP/Liberal Alliance in 1984.  SDP votes in the 1989 election are counted under 'Other'.</t>
  </si>
  <si>
    <t>2. Ecology Party in 1979 and 1984.</t>
  </si>
  <si>
    <t>Note: Local elections were held on the same day as a general election in 1979, 1997, 2001, 2005 and 2010.  For these years, general election results are shown (in bold).</t>
  </si>
  <si>
    <t>NI Lab gain from Con</t>
  </si>
  <si>
    <t>Previous general election was uncontested</t>
  </si>
  <si>
    <t>By-election uncontested</t>
  </si>
  <si>
    <t>Londonderry*</t>
  </si>
  <si>
    <t>Fermanagh and Tyrone*</t>
  </si>
  <si>
    <t>Down*</t>
  </si>
  <si>
    <t>Antrim*</t>
  </si>
  <si>
    <t>1. Constituency returned two MPs at 1945 General Election. When calculating the change in vote share, the total vote received by a party's candidate in the previous general election is used.</t>
  </si>
  <si>
    <t>2. Votes for the National candidate in the general election are counted as Conservative votes.</t>
  </si>
  <si>
    <t>3. From 1918 to 1945, two Members were returned for a Combined English Universities constituency and three Members for a Combined Scottish Universities constituency, using the Single Transferable Vote system. By-elections were conducted by First Past the Post. Therefore by-election results are not comparable with the general election results.</t>
  </si>
  <si>
    <t>4. Election re-run. Original general election result annulled by election court.</t>
  </si>
  <si>
    <t>7. By-election called due to resignation of Speaker Michael Martin.</t>
  </si>
  <si>
    <t>6. Labour and the Liberal Democrats did not contest the by-election.</t>
  </si>
  <si>
    <t>5. By-election called due to resignation of Speaker Betty Boothroyd.</t>
  </si>
  <si>
    <t>4. Prior to the by-election the seat was held by a Conservative (see footnote 1). Changes in vote share are as compared to the 1955 General Election.</t>
  </si>
  <si>
    <t>Number of ballots rejected at the count</t>
  </si>
  <si>
    <t>1. Civilian turnout only. Special arrangements were made to allow members of the armed forces and their spouses to vote regardless of whether they were included on the electoral register as service voters.</t>
  </si>
  <si>
    <t>Ind Con gain from SF</t>
  </si>
  <si>
    <t>3. Sinn Féin (SF) candidate T.J. Mitchell was elected as MP for Mid-Ulster at the 1955 General Election, but was in prison at the time of election and hence was disqualified from being an MP. No petition was lodged but a by-election writ was subsequently issued; in the 31 August 1955 by-election Mitchell again stood for Sinn Féín and topped the poll (therefore the by-election is here recorded as a Sinn Féin hold). However on this occasion a petition was lodged and since Mitchell was disqualified, the Conservative candidate was elected instead.</t>
  </si>
  <si>
    <t>1. The formation of new parties in the early 1970s altered the pattern of party competition at Westminster elections. The SDLP (formed 1970) and the DUP (formed 1971) are included in Table 14b (1974-2012). Ulster Unionists are listed as Conservatives up to 1972 when they stopped taking the Conservative whip.</t>
  </si>
  <si>
    <t>* Constituency returned two MPs at previous general election. Change in vote share between general election and by-election is calculating using the total vote received by a party's candidate in the previous general election. However some electors will only voted for one candidate in the general election and of those who cast two votes, some will have voted for candidates from different parties. Additionally some parties will only have stood one candidate in a multimember seat.</t>
  </si>
  <si>
    <t>Table 6</t>
  </si>
  <si>
    <t>Table 8</t>
  </si>
  <si>
    <t>Table 9</t>
  </si>
  <si>
    <t>Parliamentary by-elections in Great Britain since 1945</t>
  </si>
  <si>
    <t>Table 14a</t>
  </si>
  <si>
    <t>Parliamentary by-elections in Northern Ireland, 1922-1974</t>
  </si>
  <si>
    <t>Table 14b</t>
  </si>
  <si>
    <t>Table 15a</t>
  </si>
  <si>
    <t>Table 15b</t>
  </si>
  <si>
    <t>Members elected at general elections to the Northern Ireland House of Commons (Stormont)</t>
  </si>
  <si>
    <t>Table 20b</t>
  </si>
  <si>
    <t>Women elected at elections to devolved parliaments and London Assembly, 1998-2012</t>
  </si>
  <si>
    <t>Change in voting for/against devolution in Scotland, 1 March 1979 and 11 September 1997</t>
  </si>
  <si>
    <t>Voting for/against devolution in Wales, 1 March 1979 and 18 September 1997</t>
  </si>
  <si>
    <t>Results of referendum on extending the law-making powers of the National Assembly for Wales, 3 March 2011</t>
  </si>
  <si>
    <t>Referendum on membership of the European Community, 5 June 1975</t>
  </si>
  <si>
    <t>Table 32</t>
  </si>
  <si>
    <t>Results of the referendum on the Alternative Vote, 5 May 2011</t>
  </si>
  <si>
    <t>71%?</t>
  </si>
  <si>
    <t>72%??</t>
  </si>
  <si>
    <t xml:space="preserve">Cheltenham </t>
  </si>
  <si>
    <r>
      <t>Con</t>
    </r>
    <r>
      <rPr>
        <vertAlign val="superscript"/>
        <sz val="9"/>
        <rFont val="Frutiger LT Std 45 Light"/>
        <family val="2"/>
      </rPr>
      <t>(a)</t>
    </r>
  </si>
  <si>
    <r>
      <t>Lib</t>
    </r>
    <r>
      <rPr>
        <vertAlign val="superscript"/>
        <sz val="9"/>
        <rFont val="Frutiger LT Std 45 Light"/>
        <family val="2"/>
      </rPr>
      <t>(b)</t>
    </r>
  </si>
  <si>
    <t>Note: Liberal vote share includes votes for Liberal/SDP alliance (1983-87) and Liberal Democrats from 1992.  Figures for 1918 include all Ireland.</t>
  </si>
  <si>
    <r>
      <t xml:space="preserve">Colin Rallings and Michael Thrasher, </t>
    </r>
    <r>
      <rPr>
        <i/>
        <sz val="8"/>
        <rFont val="Frutiger LT Std 45 Light"/>
        <family val="2"/>
      </rPr>
      <t>British Electoral Facts 1832-2006</t>
    </r>
  </si>
  <si>
    <t>Note: Liberal seats include seats won by Liberal/SDP alliance (1983-87 and Liberal Democrats from 1992. Figures for 1918 include all Ireland.</t>
  </si>
  <si>
    <t>House of Commons LDrary, RP10/36 General Election 2010</t>
  </si>
  <si>
    <t>2. Includes Coalition Conservative for 1918; National, National LDeral and National Labour candidates for 1931-1935; National and National LDeral candidates for 1945; National LDeral &amp; Conservative candidates 1945-1970.</t>
  </si>
  <si>
    <t>3. Includes Coalition LDeral Party for 1918; National LDeral for 1922; and Independent LDeral for 1931. Figures show LDeral/SDP Alliance vote for 1983-1987 and LDeral Democrat vote from 1992 onwards.</t>
  </si>
  <si>
    <t>5. 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</si>
  <si>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6. Irish Nationalist/Anti-Partitionist</t>
  </si>
  <si>
    <t>7. 1918 figures include all of Ireland. After the creation of the Irish Free State in 1922 Northern Ireland remained part of the United Kingdom.</t>
  </si>
  <si>
    <t>House of Commons Library, CBP7186 General Election 2015</t>
  </si>
  <si>
    <t>Table 8: Black and Minority Ethnic MPs elected at General Elections, 1987-2015</t>
  </si>
  <si>
    <t>Median age of Members of Parliament at General Elections, 1951-2015 (3 main parties)</t>
  </si>
  <si>
    <t>15</t>
  </si>
  <si>
    <t>Main former occupations of Members of Parliament, 1951-2015</t>
  </si>
  <si>
    <t>Table 11: Main former occupations of Members of Parliament 1951-2015</t>
  </si>
  <si>
    <r>
      <rPr>
        <i/>
        <sz val="10"/>
        <rFont val="Frutiger LT Std 45 Light"/>
        <family val="2"/>
      </rPr>
      <t>The British General Election of …(1951-2005)</t>
    </r>
    <r>
      <rPr>
        <sz val="10"/>
        <rFont val="Frutiger LT Std 45 Light"/>
        <family val="2"/>
      </rPr>
      <t>, David Butler and Denis Kavanagh</t>
    </r>
  </si>
  <si>
    <r>
      <rPr>
        <i/>
        <sz val="10"/>
        <rFont val="Frutiger LT Std 45 Light"/>
        <family val="2"/>
      </rPr>
      <t>The British General Election of 2010</t>
    </r>
    <r>
      <rPr>
        <sz val="10"/>
        <rFont val="Frutiger LT Std 45 Light"/>
        <family val="2"/>
      </rPr>
      <t>, David Butler and Philip Cowley</t>
    </r>
  </si>
  <si>
    <t>2010-15</t>
  </si>
  <si>
    <r>
      <t>City of London</t>
    </r>
    <r>
      <rPr>
        <vertAlign val="superscript"/>
        <sz val="10"/>
        <rFont val="Frutiger LT Std 45 Light"/>
        <family val="2"/>
      </rPr>
      <t>1,2</t>
    </r>
  </si>
  <si>
    <r>
      <t>Preston</t>
    </r>
    <r>
      <rPr>
        <vertAlign val="superscript"/>
        <sz val="10"/>
        <rFont val="Frutiger LT Std 45 Light"/>
        <family val="2"/>
      </rPr>
      <t>1</t>
    </r>
  </si>
  <si>
    <r>
      <t>Combined English Universities</t>
    </r>
    <r>
      <rPr>
        <vertAlign val="superscript"/>
        <sz val="10"/>
        <rFont val="Frutiger LT Std 45 Light"/>
        <family val="2"/>
      </rPr>
      <t>3</t>
    </r>
  </si>
  <si>
    <r>
      <t>Combined Scottish Universities</t>
    </r>
    <r>
      <rPr>
        <vertAlign val="superscript"/>
        <sz val="10"/>
        <rFont val="Frutiger LT Std 45 Light"/>
        <family val="2"/>
      </rPr>
      <t>3</t>
    </r>
  </si>
  <si>
    <r>
      <t>Winchester</t>
    </r>
    <r>
      <rPr>
        <vertAlign val="superscript"/>
        <sz val="10"/>
        <rFont val="Frutiger LT Std 45 Light"/>
        <family val="2"/>
      </rPr>
      <t>4</t>
    </r>
  </si>
  <si>
    <r>
      <t>West Bromwich West</t>
    </r>
    <r>
      <rPr>
        <vertAlign val="superscript"/>
        <sz val="10"/>
        <rFont val="Frutiger LT Std 45 Light"/>
        <family val="2"/>
      </rPr>
      <t>5</t>
    </r>
  </si>
  <si>
    <r>
      <t>Haltemprice &amp; Howden</t>
    </r>
    <r>
      <rPr>
        <vertAlign val="superscript"/>
        <sz val="10"/>
        <rFont val="Frutiger LT Std 45 Light"/>
        <family val="2"/>
      </rPr>
      <t>6</t>
    </r>
  </si>
  <si>
    <r>
      <t>Glasgow North East</t>
    </r>
    <r>
      <rPr>
        <vertAlign val="superscript"/>
        <sz val="10"/>
        <rFont val="Frutiger LT Std 45 Light"/>
        <family val="2"/>
      </rPr>
      <t>7</t>
    </r>
  </si>
  <si>
    <r>
      <t xml:space="preserve">F.W.S. Craig, </t>
    </r>
    <r>
      <rPr>
        <i/>
        <sz val="8"/>
        <rFont val="Frutiger LT Std 45 Light"/>
        <family val="2"/>
      </rPr>
      <t>Chronology of British Parliamentary By-elections 1833-1987</t>
    </r>
  </si>
  <si>
    <r>
      <t xml:space="preserve">House of Commons Library, RP10/50 </t>
    </r>
    <r>
      <rPr>
        <i/>
        <sz val="8"/>
        <rFont val="Frutiger LT Std 45 Light"/>
        <family val="2"/>
      </rPr>
      <t>By-election results 2005-10</t>
    </r>
    <r>
      <rPr>
        <sz val="8"/>
        <rFont val="Frutiger LT Std 45 Light"/>
        <family val="2"/>
      </rPr>
      <t xml:space="preserve">; SN05833 </t>
    </r>
    <r>
      <rPr>
        <i/>
        <sz val="8"/>
        <rFont val="Frutiger LT Std 45 Light"/>
        <family val="2"/>
      </rPr>
      <t>By-elections since 2010 General Election</t>
    </r>
  </si>
  <si>
    <t>Rotheram</t>
  </si>
  <si>
    <t>South Sheilds</t>
  </si>
  <si>
    <t>Wythenshawe &amp; Sale East</t>
  </si>
  <si>
    <t>UKIP gain from Con</t>
  </si>
  <si>
    <t>GENERAL ELECTION 2015</t>
  </si>
  <si>
    <t>2015-</t>
  </si>
  <si>
    <t>CON hold</t>
  </si>
  <si>
    <t>CON gain</t>
  </si>
  <si>
    <t>CON gain from Ind</t>
  </si>
  <si>
    <t>CON gain from ILP</t>
  </si>
  <si>
    <t>CON gain from Ind CON</t>
  </si>
  <si>
    <t>Lib gain from CON</t>
  </si>
  <si>
    <t>CON gain from ENP</t>
  </si>
  <si>
    <t>SDP gain from CON</t>
  </si>
  <si>
    <t>LD gain from CON</t>
  </si>
  <si>
    <t>SNP gain from CON</t>
  </si>
  <si>
    <t>UKIP gain from CON</t>
  </si>
  <si>
    <t>2. Votes for the National candidate in the general election are counted as CONservative votes.</t>
  </si>
  <si>
    <t>LAB hold</t>
  </si>
  <si>
    <t>LAB gain</t>
  </si>
  <si>
    <t>CON gain from LAB</t>
  </si>
  <si>
    <t>LAB gain from CON</t>
  </si>
  <si>
    <t>LAB gain from Lib</t>
  </si>
  <si>
    <t>PC gain from LAB</t>
  </si>
  <si>
    <t>SNP gain from LAB</t>
  </si>
  <si>
    <t>Lib gain from LAB</t>
  </si>
  <si>
    <t>LAB gain from Ind LAB</t>
  </si>
  <si>
    <t>Dem LAB gain from LAB</t>
  </si>
  <si>
    <t>Lib gain from Ind LAB</t>
  </si>
  <si>
    <t>SDP gain from LAB</t>
  </si>
  <si>
    <t xml:space="preserve">LAB hold. </t>
  </si>
  <si>
    <t>LAB win</t>
  </si>
  <si>
    <t>LD gain from LAB</t>
  </si>
  <si>
    <t xml:space="preserve">LD gain from LAB </t>
  </si>
  <si>
    <t>Respect gain from LAB</t>
  </si>
  <si>
    <t>5. The formation of new parties in the early 1970s altered the pattern of party competition at Westminster elections. The SDLP (formed 1970) and the DUP (formed 1971) are included in this table but not in Table 14a. The Ulster Unionist Party (UUP) took the Conservative whip at Westminster until 1972 and so in Table 14a are listed under Conservatives.</t>
  </si>
  <si>
    <t>6. Multiple by-elections were held in January 1986 after fifteen unionist Members resigned their seats in protest at the Anglo-Irish Agreement.</t>
  </si>
  <si>
    <t xml:space="preserve">This list is identical to the "13 by-elections list", but it includes graphics needed for data trasfer to Word </t>
  </si>
  <si>
    <t>Anti-H Block</t>
  </si>
  <si>
    <t xml:space="preserve">The Liberal Democrat party category includes </t>
  </si>
  <si>
    <t>- The Liberal Party in 1979</t>
  </si>
  <si>
    <t>-SDP/Liberal Alliance in 1984.</t>
  </si>
  <si>
    <t>Colin Rallings and Michael Thrasher, British Electoral Facts 1832-2006</t>
  </si>
  <si>
    <t>Change in share of seats 2007-2011</t>
  </si>
  <si>
    <t xml:space="preserve">Change </t>
  </si>
  <si>
    <r>
      <rPr>
        <sz val="8"/>
        <rFont val="Frutiger LT Std 45 Light"/>
        <family val="2"/>
      </rPr>
      <t>Colin Rallings and Michael Thrasher,</t>
    </r>
    <r>
      <rPr>
        <i/>
        <sz val="8"/>
        <rFont val="Frutiger LT Std 45 Light"/>
        <family val="2"/>
      </rPr>
      <t xml:space="preserve"> British Electoral Facts 1832-2006</t>
    </r>
  </si>
  <si>
    <r>
      <rPr>
        <sz val="8"/>
        <rFont val="Frutiger LT Std 45 Light"/>
        <family val="2"/>
      </rPr>
      <t xml:space="preserve">Electoral Commission, </t>
    </r>
    <r>
      <rPr>
        <i/>
        <sz val="8"/>
        <rFont val="Frutiger LT Std 45 Light"/>
        <family val="2"/>
      </rPr>
      <t>Report on the National Assembly for Wales general election 5 May 2011</t>
    </r>
  </si>
  <si>
    <r>
      <t>House of Commons Library Research Paper RP11/40,</t>
    </r>
    <r>
      <rPr>
        <i/>
        <sz val="8"/>
        <rFont val="Frutiger LT Std 45 Light"/>
        <family val="2"/>
      </rPr>
      <t xml:space="preserve"> National Assembly for Wales Elections: 2011</t>
    </r>
  </si>
  <si>
    <t>2007-11</t>
  </si>
  <si>
    <t>2003-07</t>
  </si>
  <si>
    <r>
      <rPr>
        <sz val="8"/>
        <rFont val="Frutiger LT Std 45 Light"/>
        <family val="2"/>
      </rPr>
      <t xml:space="preserve">Electoral Commission, </t>
    </r>
    <r>
      <rPr>
        <i/>
        <sz val="8"/>
        <rFont val="Frutiger LT Std 45 Light"/>
        <family val="2"/>
      </rPr>
      <t>Report on the Scottish Parliament election on 5 May 2011</t>
    </r>
  </si>
  <si>
    <r>
      <t>House of Commons Library Research Paper RP07/46,</t>
    </r>
    <r>
      <rPr>
        <i/>
        <sz val="8"/>
        <rFont val="Frutiger LT Std 45 Light"/>
        <family val="2"/>
      </rPr>
      <t xml:space="preserve"> Scottish Parliament Elections: 3 May 2007</t>
    </r>
  </si>
  <si>
    <r>
      <t>House of Commons Library Research Paper RP11/41,</t>
    </r>
    <r>
      <rPr>
        <i/>
        <sz val="8"/>
        <rFont val="Frutiger LT Std 45 Light"/>
        <family val="2"/>
      </rPr>
      <t xml:space="preserve"> Scottish Parliament Elections: 2011</t>
    </r>
  </si>
  <si>
    <t>1. Including Independent Unionists, Progressive Unionists, Protestant Unionists and Independent O'Neill Unionists</t>
  </si>
  <si>
    <t>2. Including Independent Labour, Commonwealth Labour, Federation of Labour, Irish Labour, Republican Labour and Socialist Republican.</t>
  </si>
  <si>
    <t>3. Including Nationalists, Republicans, Sinn Féin, Fianna Fáil, Anti-Partitionists</t>
  </si>
  <si>
    <t>4. Of the 36 Unionists elected in 1969, 24 were pro-O'Neill and 12 were anti-O'Neill.</t>
  </si>
  <si>
    <t>Source: Sydney Elliot, Northern Ireland Parliamentary Election Results 1921-1972</t>
  </si>
  <si>
    <t>Greater London Authority, The 2008 London Elections (Stats 410.74)</t>
  </si>
  <si>
    <t>Women elected as UK MEPs at European Parliament elections, 1979-2014</t>
  </si>
  <si>
    <r>
      <t xml:space="preserve">House of Commons Library, SN05170 </t>
    </r>
    <r>
      <rPr>
        <i/>
        <sz val="8"/>
        <color indexed="8"/>
        <rFont val="Frutiger LT Std 55 Roman"/>
        <family val="2"/>
      </rPr>
      <t>Women in Public Life, the Professions and the Boardroom</t>
    </r>
  </si>
  <si>
    <r>
      <t xml:space="preserve">1. Colin Rallings and Michael Thrasher, </t>
    </r>
    <r>
      <rPr>
        <i/>
        <sz val="8"/>
        <rFont val="Frutiger LT Std 55 Roman"/>
        <family val="2"/>
      </rPr>
      <t>British Electoral Facts 1832-2006</t>
    </r>
  </si>
  <si>
    <t>2. Greater London Authority</t>
  </si>
  <si>
    <t>1. Colin Rallings and Michael Thrasher, British electoral facts 1832-2006</t>
  </si>
  <si>
    <t>2. Colin Rallings and Michael Thrasher, Local elections handbook, various</t>
  </si>
  <si>
    <r>
      <t>Turnout</t>
    </r>
    <r>
      <rPr>
        <vertAlign val="superscript"/>
        <sz val="10"/>
        <rFont val="Frutiger LT Std 45 Light"/>
        <family val="2"/>
      </rPr>
      <t>1</t>
    </r>
  </si>
  <si>
    <r>
      <t>Doncaster</t>
    </r>
    <r>
      <rPr>
        <vertAlign val="superscript"/>
        <sz val="10"/>
        <rFont val="Frutiger LT Std 45 Light"/>
        <family val="2"/>
      </rPr>
      <t>2</t>
    </r>
  </si>
  <si>
    <r>
      <t>Stoke-on-Trent</t>
    </r>
    <r>
      <rPr>
        <vertAlign val="superscript"/>
        <sz val="10"/>
        <rFont val="Frutiger LT Std 45 Light"/>
        <family val="2"/>
      </rPr>
      <t>3</t>
    </r>
  </si>
  <si>
    <r>
      <t>Source: Colin Rallings and Michael Thrasher,</t>
    </r>
    <r>
      <rPr>
        <i/>
        <sz val="10"/>
        <rFont val="Frutiger LT Std 45 Light"/>
        <family val="2"/>
      </rPr>
      <t xml:space="preserve"> British Electoral Facts 1832-2006</t>
    </r>
    <r>
      <rPr>
        <sz val="10"/>
        <rFont val="Frutiger LT Std 45 Light"/>
        <family val="2"/>
      </rPr>
      <t xml:space="preserve">; local authority websites; House of Commons Library, RP12/27 </t>
    </r>
    <r>
      <rPr>
        <i/>
        <sz val="10"/>
        <rFont val="Frutiger LT Std 45 Light"/>
        <family val="2"/>
      </rPr>
      <t>Local Elections 2012</t>
    </r>
  </si>
  <si>
    <t xml:space="preserve"> Against</t>
  </si>
  <si>
    <t>% Of votes</t>
  </si>
  <si>
    <r>
      <t xml:space="preserve">Source: Colin Rallings and Michael Thrasher, </t>
    </r>
    <r>
      <rPr>
        <i/>
        <sz val="10"/>
        <rFont val="Frutiger LT Std 45 Light"/>
        <family val="2"/>
      </rPr>
      <t>British Electoral Facts 1832-2006</t>
    </r>
  </si>
  <si>
    <t>N. Ireland</t>
  </si>
  <si>
    <r>
      <t xml:space="preserve">Source: House of Commons Library RP11/44, </t>
    </r>
    <r>
      <rPr>
        <i/>
        <sz val="8"/>
        <color indexed="8"/>
        <rFont val="Frutiger LT Std 45 Light"/>
        <family val="2"/>
      </rPr>
      <t>Alternative Vote Referendum 2011</t>
    </r>
  </si>
  <si>
    <t>Note: Civilian turnout only. Special arrangements were made to allow members of the armed forces and their spouses to vote regardless of whether they were included on the electoral register as service voters.</t>
  </si>
  <si>
    <t>Source: Colin Rallings and Michael Thrasher, British Electoral Facts 1832-2006</t>
  </si>
  <si>
    <t>20-24</t>
  </si>
  <si>
    <t>85+</t>
  </si>
  <si>
    <t>House of Commons Members by Age (30 November 2015)</t>
  </si>
  <si>
    <t>Votes (000s)</t>
  </si>
  <si>
    <t>% seats won</t>
  </si>
  <si>
    <t>ukip</t>
  </si>
  <si>
    <t>seats won</t>
  </si>
  <si>
    <r>
      <t>CON</t>
    </r>
    <r>
      <rPr>
        <vertAlign val="superscript"/>
        <sz val="10"/>
        <rFont val="Frutiger LT Std 55 Roman"/>
        <family val="2"/>
      </rPr>
      <t>2</t>
    </r>
  </si>
  <si>
    <r>
      <t>LIB</t>
    </r>
    <r>
      <rPr>
        <vertAlign val="superscript"/>
        <sz val="10"/>
        <rFont val="Frutiger LT Std 55 Roman"/>
        <family val="2"/>
      </rPr>
      <t>3</t>
    </r>
  </si>
  <si>
    <r>
      <t xml:space="preserve">Colin Rallings and Michael Thrasher, </t>
    </r>
    <r>
      <rPr>
        <i/>
        <sz val="8"/>
        <rFont val="Frutiger LT Std 55 Roman"/>
        <family val="2"/>
      </rPr>
      <t>British Electoral Facts 1832-2006</t>
    </r>
  </si>
  <si>
    <r>
      <t xml:space="preserve">House of Commons Library RP10/36 </t>
    </r>
    <r>
      <rPr>
        <i/>
        <sz val="8"/>
        <rFont val="Frutiger LT Std 55 Roman"/>
        <family val="2"/>
      </rPr>
      <t>General Election 2010</t>
    </r>
  </si>
  <si>
    <t>=</t>
  </si>
  <si>
    <t>Table 1g</t>
  </si>
  <si>
    <t>Table 1h</t>
  </si>
  <si>
    <t>Table 1i</t>
  </si>
  <si>
    <t>Table 1j</t>
  </si>
  <si>
    <t>Table 1k</t>
  </si>
  <si>
    <t>Table 1l</t>
  </si>
  <si>
    <t>Table 11a</t>
  </si>
  <si>
    <t>Main former occupations of Members of Parliament 1951-2015</t>
  </si>
  <si>
    <t>Table 11b</t>
  </si>
  <si>
    <t>Table 17</t>
  </si>
  <si>
    <t>Party forming        government</t>
  </si>
  <si>
    <t>Marquess of Salisbury</t>
  </si>
  <si>
    <t>Arthur Balfour</t>
  </si>
  <si>
    <t>Sir Henry Campbell-Bannerman </t>
  </si>
  <si>
    <t xml:space="preserve">january </t>
  </si>
  <si>
    <t>march</t>
  </si>
  <si>
    <t>april</t>
  </si>
  <si>
    <t>may</t>
  </si>
  <si>
    <t>june</t>
  </si>
  <si>
    <t>july</t>
  </si>
  <si>
    <t>august</t>
  </si>
  <si>
    <t>september</t>
  </si>
  <si>
    <t>october</t>
  </si>
  <si>
    <t>november</t>
  </si>
  <si>
    <t>december</t>
  </si>
  <si>
    <t>start-</t>
  </si>
  <si>
    <t>End</t>
  </si>
  <si>
    <t>Herbert Henry Asquith</t>
  </si>
  <si>
    <t>Neville Chamberlain</t>
  </si>
  <si>
    <t>Winston Churchill</t>
  </si>
  <si>
    <t>Anthony Eden</t>
  </si>
  <si>
    <t>Alec Douglas-Home</t>
  </si>
  <si>
    <t>James Callaghan</t>
  </si>
  <si>
    <t>sig</t>
  </si>
  <si>
    <t xml:space="preserve">Number of days </t>
  </si>
  <si>
    <t xml:space="preserve">number of years </t>
  </si>
  <si>
    <t>Earlier</t>
  </si>
  <si>
    <t>Starting 1916</t>
  </si>
  <si>
    <t>real order</t>
  </si>
  <si>
    <t>PM years in office 1916-2015</t>
  </si>
  <si>
    <t xml:space="preserve">Scottish National Party </t>
  </si>
  <si>
    <t xml:space="preserve">average of </t>
  </si>
  <si>
    <t>Occupations of Scottish National Party MPs, 2015</t>
  </si>
  <si>
    <t xml:space="preserve">Total: </t>
  </si>
  <si>
    <t>% total</t>
  </si>
  <si>
    <t xml:space="preserve">PC/SNP </t>
  </si>
  <si>
    <t>Note: Liberal Democrat councillor figures include predecessor parties</t>
  </si>
  <si>
    <t xml:space="preserve">Sources: </t>
  </si>
  <si>
    <t>3. House of Commons Library, RP12/27 Local Elections 2012</t>
  </si>
  <si>
    <r>
      <t xml:space="preserve">1. House of Commons Library, SN05170 </t>
    </r>
    <r>
      <rPr>
        <sz val="8"/>
        <color indexed="8"/>
        <rFont val="Frutiger LT Std 55 Roman"/>
        <family val="2"/>
      </rPr>
      <t>Women in Public Life, the Professions and the Boardroom</t>
    </r>
  </si>
  <si>
    <t xml:space="preserve">% seat </t>
  </si>
  <si>
    <t>1922-1923</t>
  </si>
  <si>
    <t>1963-1964</t>
  </si>
  <si>
    <t>1955-1957</t>
  </si>
  <si>
    <t>2007-2010</t>
  </si>
  <si>
    <t>1937-1940</t>
  </si>
  <si>
    <t>1976-1979</t>
  </si>
  <si>
    <t>1970-1974</t>
  </si>
  <si>
    <t>2010-2015</t>
  </si>
  <si>
    <t>1916-1922</t>
  </si>
  <si>
    <t>1945-1951</t>
  </si>
  <si>
    <t>1990-1997</t>
  </si>
  <si>
    <t>1957-1963</t>
  </si>
  <si>
    <t>1997-2007</t>
  </si>
  <si>
    <t>1979-1990</t>
  </si>
  <si>
    <t xml:space="preserve">1940-1945 &amp; 1951-1955 </t>
  </si>
  <si>
    <t>1964-1970 &amp; 1974-1976</t>
  </si>
  <si>
    <t xml:space="preserve">1923 &amp; 1924-1929 &amp; 1935-1937 </t>
  </si>
  <si>
    <t xml:space="preserve">1951-1955 &amp; 1924 </t>
  </si>
  <si>
    <t xml:space="preserve">*David Cameron </t>
  </si>
  <si>
    <t xml:space="preserve">Operation Black Vote (2016) OBV online data, </t>
  </si>
  <si>
    <t xml:space="preserve"> Oldham West and Royton</t>
  </si>
  <si>
    <t xml:space="preserve">UK Unionist </t>
  </si>
  <si>
    <t xml:space="preserve">Democratic Unionist </t>
  </si>
  <si>
    <t xml:space="preserve">Social Democratic Labour Party </t>
  </si>
  <si>
    <t>02 May 2013</t>
  </si>
  <si>
    <t>Turnout 27.2%</t>
  </si>
  <si>
    <t>David Allen</t>
  </si>
  <si>
    <t>John Brown</t>
  </si>
  <si>
    <t>Martin Drake</t>
  </si>
  <si>
    <t>Mary Jackson</t>
  </si>
  <si>
    <t>Ros Jones</t>
  </si>
  <si>
    <t>Micael Maye</t>
  </si>
  <si>
    <t>Dave Owen</t>
  </si>
  <si>
    <t>Tony ward</t>
  </si>
  <si>
    <t>Doug Wright</t>
  </si>
  <si>
    <t>SYS</t>
  </si>
  <si>
    <t>Turnout 31.8%</t>
  </si>
  <si>
    <t>John Appleby</t>
  </si>
  <si>
    <t>Norma Redfearn</t>
  </si>
  <si>
    <t>07 May 2015</t>
  </si>
  <si>
    <t>Turnout 66.0%</t>
  </si>
  <si>
    <t>Jas Parmar</t>
  </si>
  <si>
    <t>Tim Douglas</t>
  </si>
  <si>
    <t>Steve Lowe</t>
  </si>
  <si>
    <t>Adrian John Haynes</t>
  </si>
  <si>
    <t>Copeland</t>
  </si>
  <si>
    <t>Mike Starkie</t>
  </si>
  <si>
    <t>Turnout 60.0%</t>
  </si>
  <si>
    <t>Steve Gibbons</t>
  </si>
  <si>
    <t>Chris Whiteside</t>
  </si>
  <si>
    <t>Peter Alfred Soulsby</t>
  </si>
  <si>
    <t>Turnout 59.0%</t>
  </si>
  <si>
    <t>Paul David Brenner</t>
  </si>
  <si>
    <t>Dutch Veldhuizen</t>
  </si>
  <si>
    <t>Tim Grayson</t>
  </si>
  <si>
    <t>Adrian Charles Barnes</t>
  </si>
  <si>
    <t>Barbie Potter</t>
  </si>
  <si>
    <t>LICAC</t>
  </si>
  <si>
    <t>Avtar Singh</t>
  </si>
  <si>
    <t>Kate Allsop</t>
  </si>
  <si>
    <t>MIF</t>
  </si>
  <si>
    <t>Turnout  57.9%</t>
  </si>
  <si>
    <t>Martin Lee</t>
  </si>
  <si>
    <t>Philip Shields</t>
  </si>
  <si>
    <t>Christopher David Budd</t>
  </si>
  <si>
    <t>Turnout 52.0%</t>
  </si>
  <si>
    <t>Andrew Loughran Preston</t>
  </si>
  <si>
    <t>David Robert Roberts</t>
  </si>
  <si>
    <t>Christopher Lloyd Cole-Nolan</t>
  </si>
  <si>
    <t>Len Junier</t>
  </si>
  <si>
    <t>Dennis Brewer</t>
  </si>
  <si>
    <t>Julien Henry Parrott</t>
  </si>
  <si>
    <t>Darren John Cowell</t>
  </si>
  <si>
    <t>Pamela Neale</t>
  </si>
  <si>
    <t>22 May 2014</t>
  </si>
  <si>
    <t>Turnout 38.8%</t>
  </si>
  <si>
    <t>Linda Kelly</t>
  </si>
  <si>
    <t>Simon De Deney</t>
  </si>
  <si>
    <t>Mustapha Korel</t>
  </si>
  <si>
    <t>RA</t>
  </si>
  <si>
    <t>Turnout 36.7%</t>
  </si>
  <si>
    <t>Simon Nundy</t>
  </si>
  <si>
    <t>Duwayne Brooks</t>
  </si>
  <si>
    <t>Mike Keogh</t>
  </si>
  <si>
    <t>Peter Lello</t>
  </si>
  <si>
    <t>Christopher Flood</t>
  </si>
  <si>
    <t>Turnout 39.4%</t>
  </si>
  <si>
    <t>Stefan Mrozinski</t>
  </si>
  <si>
    <t>David Mears</t>
  </si>
  <si>
    <t>Jane Lithgow</t>
  </si>
  <si>
    <t>CUP</t>
  </si>
  <si>
    <t>David Thorpe</t>
  </si>
  <si>
    <t>Lois Austin</t>
  </si>
  <si>
    <t>Alex Latim</t>
  </si>
  <si>
    <t>THF</t>
  </si>
  <si>
    <t>Turnout 45.9%</t>
  </si>
  <si>
    <t>John Biggs</t>
  </si>
  <si>
    <t>Christopher Wilford</t>
  </si>
  <si>
    <t>Nicholas McQueen</t>
  </si>
  <si>
    <t>Chris Smith</t>
  </si>
  <si>
    <t>Reetendra Banerji</t>
  </si>
  <si>
    <t>Hugo Pierre</t>
  </si>
  <si>
    <t>Mohammed Khan</t>
  </si>
  <si>
    <t>Hafiz Kadir</t>
  </si>
  <si>
    <t>Turnout 36.1%</t>
  </si>
  <si>
    <t>Jagtar Dhindsa</t>
  </si>
  <si>
    <t>Philip Cox</t>
  </si>
  <si>
    <t>Linda Topping</t>
  </si>
  <si>
    <t>1. House of Commons Library, Local Elections research papers, various years</t>
  </si>
  <si>
    <t>2. BBC Political Research</t>
  </si>
  <si>
    <t>3. Local authority websites</t>
  </si>
  <si>
    <t>4. Colin Rallings and Michael Thrasher, Local Elections Handbook, various years</t>
  </si>
  <si>
    <t>Community Action Party - Exposing Political Fraud</t>
  </si>
  <si>
    <t>22 May 2014  Petition</t>
  </si>
  <si>
    <t xml:space="preserve">Doncaster </t>
  </si>
  <si>
    <r>
      <t>Stoke-on-Trent</t>
    </r>
    <r>
      <rPr>
        <vertAlign val="superscript"/>
        <sz val="10"/>
        <rFont val="Frutiger LT Std 45 Light"/>
        <family val="2"/>
      </rPr>
      <t>3 (leader)</t>
    </r>
  </si>
  <si>
    <t xml:space="preserve"> * Same day as General Election</t>
  </si>
  <si>
    <r>
      <t>Sources: Colin Rallings and Michael Thrasher,</t>
    </r>
    <r>
      <rPr>
        <i/>
        <sz val="10"/>
        <rFont val="Frutiger LT Std 45 Light"/>
        <family val="2"/>
      </rPr>
      <t xml:space="preserve"> British Electoral Facts 1832-2006</t>
    </r>
    <r>
      <rPr>
        <sz val="10"/>
        <rFont val="Frutiger LT Std 45 Light"/>
        <family val="2"/>
      </rPr>
      <t xml:space="preserve">; local authority websites; House of Commons Library, RP12/27 </t>
    </r>
    <r>
      <rPr>
        <i/>
        <sz val="10"/>
        <rFont val="Frutiger LT Std 45 Light"/>
        <family val="2"/>
      </rPr>
      <t>Local Elections 2012</t>
    </r>
  </si>
  <si>
    <t>House of Commons Library briefing Paper SNO5000</t>
  </si>
  <si>
    <t xml:space="preserve">http://researchbriefings.parliament.uk/ResearchBriefing/Summary/SN05000 </t>
  </si>
  <si>
    <t>Doncaster (retained)</t>
  </si>
  <si>
    <t>Hartlepool (retained)</t>
  </si>
  <si>
    <t>Middlesbrough (retained)</t>
  </si>
  <si>
    <t>15 November 2012</t>
  </si>
  <si>
    <t>George Ferguson</t>
  </si>
  <si>
    <t xml:space="preserve">Bristol 1st </t>
  </si>
  <si>
    <t xml:space="preserve">Tom Baldwin  </t>
  </si>
  <si>
    <t>Tony Britt</t>
  </si>
  <si>
    <t>Ind</t>
  </si>
  <si>
    <t>Tim Collins</t>
  </si>
  <si>
    <t>Dave Dobbs</t>
  </si>
  <si>
    <t>The Birthday Party</t>
  </si>
  <si>
    <t xml:space="preserve">Rich Fisher </t>
  </si>
  <si>
    <t>Stoney Garnett</t>
  </si>
  <si>
    <t xml:space="preserve">Owain George </t>
  </si>
  <si>
    <t xml:space="preserve">Ind </t>
  </si>
  <si>
    <t>Geoff Gollop</t>
  </si>
  <si>
    <t>Neil Maggs</t>
  </si>
  <si>
    <t>Spud Murphy</t>
  </si>
  <si>
    <t xml:space="preserve">Philip Pover </t>
  </si>
  <si>
    <t xml:space="preserve">Elsa Daniella Radice </t>
  </si>
  <si>
    <t>Marvin Johnathan Rees</t>
  </si>
  <si>
    <t>Jon Rogers</t>
  </si>
  <si>
    <t>Turnout 27.9%</t>
  </si>
  <si>
    <t>B1st</t>
  </si>
  <si>
    <t>TRP</t>
  </si>
  <si>
    <t>BP</t>
  </si>
  <si>
    <t xml:space="preserve">TRP </t>
  </si>
  <si>
    <t xml:space="preserve">4.  Referendum in Hartlepool in November 2012 had abolished the mayoral system in the area. </t>
  </si>
  <si>
    <t>Year</t>
  </si>
  <si>
    <t xml:space="preserve">Next </t>
  </si>
  <si>
    <t>Mayoral referendum details</t>
  </si>
  <si>
    <t xml:space="preserve">Name </t>
  </si>
  <si>
    <t>elected</t>
  </si>
  <si>
    <t>election</t>
  </si>
  <si>
    <t>Adopted a mayoral system without holding a referendum</t>
  </si>
  <si>
    <t xml:space="preserve">Con </t>
  </si>
  <si>
    <t>TBP</t>
  </si>
  <si>
    <t>Bath &amp; North East Somerset</t>
  </si>
  <si>
    <t>local authority</t>
  </si>
  <si>
    <t xml:space="preserve">electorate </t>
  </si>
  <si>
    <t>Aberdeen City</t>
  </si>
  <si>
    <t>Aberdeenshire</t>
  </si>
  <si>
    <t>Angus</t>
  </si>
  <si>
    <t>Argyll and Bute</t>
  </si>
  <si>
    <t>Clackmannanshire</t>
  </si>
  <si>
    <t>Dundee City</t>
  </si>
  <si>
    <t>East Ayrshire</t>
  </si>
  <si>
    <t>East Dunbartonshire</t>
  </si>
  <si>
    <t>East Lothian</t>
  </si>
  <si>
    <t>East Renfrewshire</t>
  </si>
  <si>
    <t>Edinburgh, City of</t>
  </si>
  <si>
    <t>Eilean Siar</t>
  </si>
  <si>
    <t>Falkirk</t>
  </si>
  <si>
    <t>Glasgow City</t>
  </si>
  <si>
    <t>Midlothian</t>
  </si>
  <si>
    <t>Moray</t>
  </si>
  <si>
    <t>North Ayrshire</t>
  </si>
  <si>
    <t>North Lanarkshire</t>
  </si>
  <si>
    <t>Orkney Islands</t>
  </si>
  <si>
    <t>Renfrewshire</t>
  </si>
  <si>
    <t>Scottish Borders</t>
  </si>
  <si>
    <t>Shetland Islands</t>
  </si>
  <si>
    <t>South Ayrshire</t>
  </si>
  <si>
    <t>South Lanarkshire</t>
  </si>
  <si>
    <t>Stirling</t>
  </si>
  <si>
    <t>West Dunbartonshire</t>
  </si>
  <si>
    <t>rejected</t>
  </si>
  <si>
    <t>Source: Library Research Paper RP14/50, Scottish Independence Referendum 2014</t>
  </si>
  <si>
    <t>Yes %</t>
  </si>
  <si>
    <t>No %</t>
  </si>
  <si>
    <t>Scottish referendum results by counting area</t>
  </si>
  <si>
    <t xml:space="preserve">% share </t>
  </si>
  <si>
    <t xml:space="preserve">Constituency seats </t>
  </si>
  <si>
    <t xml:space="preserve">Number of Votes </t>
  </si>
  <si>
    <t xml:space="preserve">Regional seats </t>
  </si>
  <si>
    <t xml:space="preserve">Regional votes </t>
  </si>
  <si>
    <t>Regional turnout</t>
  </si>
  <si>
    <t xml:space="preserve">Constituency turnout </t>
  </si>
  <si>
    <t xml:space="preserve">Constituency votes </t>
  </si>
  <si>
    <t>Constituency Turnout</t>
  </si>
  <si>
    <t>Regional Turnout</t>
  </si>
  <si>
    <t>Constituency votes</t>
  </si>
  <si>
    <t>Regional votes</t>
  </si>
  <si>
    <t>Number of votes and seats</t>
  </si>
  <si>
    <t>Scottish Parliament seats and share of votes by party, 1999 to 2016</t>
  </si>
  <si>
    <t>Scottish National Party</t>
  </si>
  <si>
    <t>Regional</t>
  </si>
  <si>
    <t>Share</t>
  </si>
  <si>
    <t xml:space="preserve">% Seats </t>
  </si>
  <si>
    <t>People before Profit Alliance</t>
  </si>
  <si>
    <t>TUV</t>
  </si>
  <si>
    <t>Green Party</t>
  </si>
  <si>
    <t>Note: Discrepancy between EONI and Rallings &amp; Thrasher data for 1998 and 2003 - R&amp;T data appear above</t>
  </si>
  <si>
    <t>Dates of elections</t>
  </si>
  <si>
    <t>% of votes and seats won</t>
  </si>
  <si>
    <t xml:space="preserve">Seats von </t>
  </si>
  <si>
    <t xml:space="preserve">Votes </t>
  </si>
  <si>
    <t>Summary 1998 to 2016</t>
  </si>
  <si>
    <t xml:space="preserve">Seats        </t>
  </si>
  <si>
    <t>No.</t>
  </si>
  <si>
    <t>1st pref votes</t>
  </si>
  <si>
    <t>Women MLAs</t>
  </si>
  <si>
    <t xml:space="preserve">                       </t>
  </si>
  <si>
    <t>Alliance Party</t>
  </si>
  <si>
    <t xml:space="preserve">Constituency ballot votes </t>
  </si>
  <si>
    <t xml:space="preserve">London-wide ballot votes </t>
  </si>
  <si>
    <t xml:space="preserve">Constituency ballot seats  </t>
  </si>
  <si>
    <t xml:space="preserve">London-wide ballot seats  </t>
  </si>
  <si>
    <t>London-wide ballot turnout</t>
  </si>
  <si>
    <t>Constituency Ballot turnout</t>
  </si>
  <si>
    <t>Sadiq Khan</t>
  </si>
  <si>
    <t>Zac Goldsmith</t>
  </si>
  <si>
    <t>Sian Berry</t>
  </si>
  <si>
    <t>Caroline Pidgeon</t>
  </si>
  <si>
    <t>Peter Whittle</t>
  </si>
  <si>
    <t>George Galloway</t>
  </si>
  <si>
    <t>David Furness</t>
  </si>
  <si>
    <t xml:space="preserve">Turnout </t>
  </si>
  <si>
    <t xml:space="preserve">2016 results </t>
  </si>
  <si>
    <t>5 May 2016</t>
  </si>
  <si>
    <t>3. House of Commons Library, London Elections 2016 CBP-7598</t>
  </si>
  <si>
    <t>Of which UKIP</t>
  </si>
  <si>
    <t>Local Government Elections Centre</t>
  </si>
  <si>
    <t>UKIP share of the vote calculated from 2013 onwards</t>
  </si>
  <si>
    <t>Ind/Other</t>
  </si>
  <si>
    <t>NOC</t>
  </si>
  <si>
    <t>All councils in England</t>
  </si>
  <si>
    <t xml:space="preserve">All councils in Wales </t>
  </si>
  <si>
    <t>% share of all councils in England</t>
  </si>
  <si>
    <t>% share of all councils in Wales</t>
  </si>
  <si>
    <t>All councils in Scotland</t>
  </si>
  <si>
    <t>% share of all councils in Scotland</t>
  </si>
  <si>
    <t>Table 24: Party affiliation of councillors 1973-2013</t>
  </si>
  <si>
    <t>Table 25: Estimated national equivalent share of vote at local elections: Great Britain, 1979-2015</t>
  </si>
  <si>
    <t>Table 27: Mayoral referendum results</t>
  </si>
  <si>
    <t xml:space="preserve">Bristol </t>
  </si>
  <si>
    <t>Charles Lucas</t>
  </si>
  <si>
    <t>Tony Dyer</t>
  </si>
  <si>
    <t>Kay Barnard</t>
  </si>
  <si>
    <t>Paul Anthony Turner</t>
  </si>
  <si>
    <t>Tom Baldwin</t>
  </si>
  <si>
    <t>Christine Charlotte Townsend</t>
  </si>
  <si>
    <t>Paul Anthony Saville</t>
  </si>
  <si>
    <t>John Langley</t>
  </si>
  <si>
    <t>Mayor Festus Kudehinbu</t>
  </si>
  <si>
    <t xml:space="preserve">Liverpool </t>
  </si>
  <si>
    <t xml:space="preserve">Tom Crone </t>
  </si>
  <si>
    <t xml:space="preserve">Roger Bannister </t>
  </si>
  <si>
    <t>Alan Hutchinson</t>
  </si>
  <si>
    <t>Robin Garrido</t>
  </si>
  <si>
    <t>Owen Martin Hammond</t>
  </si>
  <si>
    <t>Wendy Kay Olsen</t>
  </si>
  <si>
    <t>Turnout 44.3%</t>
  </si>
  <si>
    <t>Turnout 30.9%</t>
  </si>
  <si>
    <t>Turnout 29.1%</t>
  </si>
  <si>
    <t>Paul Dennett</t>
  </si>
  <si>
    <t>BF</t>
  </si>
  <si>
    <t xml:space="preserve">Paul Dennett </t>
  </si>
  <si>
    <t>Sheffield Brightside and Hillsborough</t>
  </si>
  <si>
    <t xml:space="preserve">con </t>
  </si>
  <si>
    <t xml:space="preserve">lab </t>
  </si>
  <si>
    <t xml:space="preserve">ld </t>
  </si>
  <si>
    <t xml:space="preserve">Ukip </t>
  </si>
  <si>
    <t>other</t>
  </si>
  <si>
    <t>2016 by elec</t>
  </si>
  <si>
    <t xml:space="preserve"> https://www.sheffield.gov.uk/your-city-council/elections/election-results/2016/brightside-hillsborough-by-election.html</t>
  </si>
  <si>
    <t>Table 26: Council control by party immediately following elections, Great Britain, 2005-2016</t>
  </si>
  <si>
    <t>SSP</t>
  </si>
  <si>
    <t xml:space="preserve">       </t>
  </si>
  <si>
    <t xml:space="preserve">        </t>
  </si>
  <si>
    <t xml:space="preserve">          </t>
  </si>
  <si>
    <t xml:space="preserve">Total seats </t>
  </si>
  <si>
    <t xml:space="preserve">Notes: </t>
  </si>
  <si>
    <t xml:space="preserve">Other </t>
  </si>
  <si>
    <t>Number of first round votes</t>
  </si>
  <si>
    <t xml:space="preserve">Avon &amp; Somerset </t>
  </si>
  <si>
    <t>Bedfordshire</t>
  </si>
  <si>
    <t xml:space="preserve">Cambridgeshire </t>
  </si>
  <si>
    <t>Cheshire</t>
  </si>
  <si>
    <t>Cumbria</t>
  </si>
  <si>
    <t>Derbyshire</t>
  </si>
  <si>
    <t>Devon &amp; Cornwall</t>
  </si>
  <si>
    <t>Dorset</t>
  </si>
  <si>
    <t xml:space="preserve">Durham </t>
  </si>
  <si>
    <t>Dyfed-Powys</t>
  </si>
  <si>
    <t>Essex</t>
  </si>
  <si>
    <t>Gloucestershire</t>
  </si>
  <si>
    <t xml:space="preserve">Gwent </t>
  </si>
  <si>
    <t>Hampshire</t>
  </si>
  <si>
    <t>Hertfordshire</t>
  </si>
  <si>
    <t xml:space="preserve">Humberside </t>
  </si>
  <si>
    <t>Kent</t>
  </si>
  <si>
    <t>Lancashire</t>
  </si>
  <si>
    <t>Leicestershire</t>
  </si>
  <si>
    <t>Lincolnshire</t>
  </si>
  <si>
    <t>Merseyside</t>
  </si>
  <si>
    <t xml:space="preserve">Norfolk </t>
  </si>
  <si>
    <t>North Wales</t>
  </si>
  <si>
    <t>North Yorkshire</t>
  </si>
  <si>
    <t>Northamptonshire</t>
  </si>
  <si>
    <t xml:space="preserve">Northumbria </t>
  </si>
  <si>
    <t>Nottinghamshire</t>
  </si>
  <si>
    <t>South Wales</t>
  </si>
  <si>
    <t>South Yorkshire</t>
  </si>
  <si>
    <t>Staffordshire</t>
  </si>
  <si>
    <t xml:space="preserve">Suffolk </t>
  </si>
  <si>
    <t xml:space="preserve">Surrey </t>
  </si>
  <si>
    <t xml:space="preserve">Sussex </t>
  </si>
  <si>
    <t>Thames Valley</t>
  </si>
  <si>
    <t>Warwickshire</t>
  </si>
  <si>
    <t>West Mercia</t>
  </si>
  <si>
    <t xml:space="preserve">West Midlands </t>
  </si>
  <si>
    <t>West Yorkshire</t>
  </si>
  <si>
    <t>Wiltshire</t>
  </si>
  <si>
    <t>Greater Manchester</t>
  </si>
  <si>
    <t>Area</t>
  </si>
  <si>
    <t>England and Wales</t>
  </si>
  <si>
    <t xml:space="preserve"> Source: House of Commons Library Briefing Paper: CBP-07595</t>
  </si>
  <si>
    <t>Table 35: Results of the referendum on the Alternative Vote, 5 May 2011</t>
  </si>
  <si>
    <t>Seats won in PCC elections by party, 2012 &amp; 2016</t>
  </si>
  <si>
    <t>Table 29a</t>
  </si>
  <si>
    <t>Share of PCC election first preference votes and turnout by policing area, 2016</t>
  </si>
  <si>
    <t>Table 29b</t>
  </si>
  <si>
    <t>Share of PCC election first preference votes and turnout by policing area, 2012</t>
  </si>
  <si>
    <t>Table 29c</t>
  </si>
  <si>
    <t>2010-2016</t>
  </si>
  <si>
    <t>Oldham West and Royton</t>
  </si>
  <si>
    <t>2000-2016</t>
  </si>
  <si>
    <t>North Tyneside (retained)</t>
  </si>
  <si>
    <t>Torbay (retained)</t>
  </si>
  <si>
    <t xml:space="preserve">Results by region, ranked by highest vote share for Leave </t>
  </si>
  <si>
    <t>Counting region</t>
  </si>
  <si>
    <t>Remain</t>
  </si>
  <si>
    <t>Leave</t>
  </si>
  <si>
    <t>Rejected votes</t>
  </si>
  <si>
    <t>Total votes cast (incl. rejected)</t>
  </si>
  <si>
    <t>Turnout (valid votes as % of electorate)</t>
  </si>
  <si>
    <t>Turnup (total votes cast as % of electorate)</t>
  </si>
  <si>
    <t xml:space="preserve">Electorate </t>
  </si>
  <si>
    <t>East of England</t>
  </si>
  <si>
    <t>South West and Gibraltar</t>
  </si>
  <si>
    <t>south west</t>
  </si>
  <si>
    <t>gibraltar</t>
  </si>
  <si>
    <t>E12000009</t>
  </si>
  <si>
    <t>GI</t>
  </si>
  <si>
    <t>Gibraltar</t>
  </si>
  <si>
    <t>Net vote in favour of Leave (%)</t>
  </si>
  <si>
    <t>red bars</t>
  </si>
  <si>
    <t>can this have the axis lower</t>
  </si>
  <si>
    <t xml:space="preserve">can it be ranked </t>
  </si>
  <si>
    <t xml:space="preserve">can it show the average (3.9%) as a line </t>
  </si>
  <si>
    <t xml:space="preserve"> % Leave votes</t>
  </si>
  <si>
    <t xml:space="preserve">% Remain votes </t>
  </si>
  <si>
    <t>Table 31: Referendum on membership of the European Community, 5 June 1975</t>
  </si>
  <si>
    <t>Table 33: Scottish referendum results by counting area, 2014</t>
  </si>
  <si>
    <t>Table 34: Voting for/against devolution in Wales, 1 March 1979 and 18 September 1997</t>
  </si>
  <si>
    <t>Table 34</t>
  </si>
  <si>
    <t>Table 35: Results of referendum on extending the law-making powers of the National Assembly for Wales, 3 March 2011</t>
  </si>
  <si>
    <t>Table 36: Results of the referendum on the Alternative Vote, 5 May 2011</t>
  </si>
  <si>
    <t xml:space="preserve">Table  30 </t>
  </si>
  <si>
    <t>EU referendum results by region, ranked by highest vote share for Leave, 23 June 2016</t>
  </si>
  <si>
    <t xml:space="preserve">Y / H </t>
  </si>
  <si>
    <t>Yorkshire and the Humber (Y/H)</t>
  </si>
  <si>
    <t>South Shields</t>
  </si>
  <si>
    <t>Tooting</t>
  </si>
  <si>
    <t>Bateley and Spen</t>
  </si>
  <si>
    <t>Witney</t>
  </si>
  <si>
    <t>Sleaford and North Hykeham</t>
  </si>
  <si>
    <t>% seats</t>
  </si>
  <si>
    <t>% 1st pref votes</t>
  </si>
  <si>
    <t>1st Pref Votes and seats won</t>
  </si>
  <si>
    <t>Members of devolved legislatures and London Assembly 1998-2017:</t>
  </si>
  <si>
    <t>Con gain from LAB</t>
  </si>
  <si>
    <t>Stoke-on-Trent Central</t>
  </si>
  <si>
    <t>Number of parliamentary by-elections</t>
  </si>
  <si>
    <t>2015-17</t>
  </si>
  <si>
    <t>Theresa May</t>
  </si>
  <si>
    <r>
      <t>Table 1k: General Election Results, 1918-2017: Northern Ireland</t>
    </r>
    <r>
      <rPr>
        <b/>
        <vertAlign val="superscript"/>
        <sz val="11"/>
        <rFont val="Frutiger LT Std 45 Light"/>
        <family val="2"/>
      </rPr>
      <t>1</t>
    </r>
  </si>
  <si>
    <r>
      <t>Table 1l: General Election Results, 1918-2017: Northern Ireland</t>
    </r>
    <r>
      <rPr>
        <b/>
        <vertAlign val="superscript"/>
        <sz val="11"/>
        <rFont val="Frutiger LT Std 45 Light"/>
        <family val="2"/>
      </rPr>
      <t>1</t>
    </r>
  </si>
  <si>
    <t>Table 5: Women MPs elected at General Elections by party 1918 to 2017</t>
  </si>
  <si>
    <t>House of Commons Library, CBP7979 General Election 2017</t>
  </si>
  <si>
    <t>Women MPs elected at General Elections by party 1918-2017</t>
  </si>
  <si>
    <t>Proportion of women MPs per party 1918-2017</t>
  </si>
  <si>
    <t xml:space="preserve">GENERAL ELECTION 2015 </t>
  </si>
  <si>
    <t>The Sunday Times, May 7 2017.</t>
  </si>
  <si>
    <t>Table 25: Estimated national equivalent share of vote at local elections: Great Britain, 1979-2017</t>
  </si>
  <si>
    <t>2. The Sunday Times, May 7 2017.</t>
  </si>
  <si>
    <t>Kevin Price</t>
  </si>
  <si>
    <t xml:space="preserve">Rod Cantrill </t>
  </si>
  <si>
    <t>Paul Bullen</t>
  </si>
  <si>
    <t>Julie Howell</t>
  </si>
  <si>
    <t>Other candidates</t>
  </si>
  <si>
    <t>Sean Anstee</t>
  </si>
  <si>
    <t>Jane Brophy</t>
  </si>
  <si>
    <t>Shneur Odze</t>
  </si>
  <si>
    <t>Will Patterson</t>
  </si>
  <si>
    <t>Oth</t>
  </si>
  <si>
    <t>Turnout 28.6%</t>
  </si>
  <si>
    <t>Carl Cashman</t>
  </si>
  <si>
    <t>Paula Walters</t>
  </si>
  <si>
    <t>Tom Crone</t>
  </si>
  <si>
    <t>Turnout 25.9%</t>
  </si>
  <si>
    <t>Sue Jeffrey</t>
  </si>
  <si>
    <t>Chris Foote Wood</t>
  </si>
  <si>
    <t>John Tennant</t>
  </si>
  <si>
    <t>Turnout 21.0%</t>
  </si>
  <si>
    <t>Sion Simon</t>
  </si>
  <si>
    <t>Beverley Nielsen</t>
  </si>
  <si>
    <t>Pete Durnell</t>
  </si>
  <si>
    <t>James Burn</t>
  </si>
  <si>
    <t>Turnout 26.3%</t>
  </si>
  <si>
    <t>Lesley Mansell</t>
  </si>
  <si>
    <t>Stephen Williams</t>
  </si>
  <si>
    <t>Aaron Foot</t>
  </si>
  <si>
    <t>Darren Hall</t>
  </si>
  <si>
    <t>Turnout 28.9%</t>
  </si>
  <si>
    <t>George Jabbour</t>
  </si>
  <si>
    <t>Brian Whitmore</t>
  </si>
  <si>
    <t>Turnout 29.3%</t>
  </si>
  <si>
    <t>Turnout 34.1%</t>
  </si>
  <si>
    <t>Stewart Hay</t>
  </si>
  <si>
    <t>Stuart Houghton</t>
  </si>
  <si>
    <t>2. In 2017, the first elections for six elected mayors of combined authorities known as ‘Metro-mayors” took place.</t>
  </si>
  <si>
    <t xml:space="preserve">Andy Burnham </t>
  </si>
  <si>
    <t xml:space="preserve">Steve Rotheram </t>
  </si>
  <si>
    <t>Ben Houchen</t>
  </si>
  <si>
    <t>Andy Street</t>
  </si>
  <si>
    <t>Marvin Rees</t>
  </si>
  <si>
    <t>Authority</t>
  </si>
  <si>
    <t>Philip Glanville</t>
  </si>
  <si>
    <t xml:space="preserve">2. Elected at by-election </t>
  </si>
  <si>
    <t>Note:</t>
  </si>
  <si>
    <t>3. In 2017, the first elections for six elected mayors of combined authorities known as ‘Metro-mayors” took place.</t>
  </si>
  <si>
    <t>Table 28a. Elected Local Authority Mayors as at August 2017</t>
  </si>
  <si>
    <t>Start selecting the figure from this corner</t>
  </si>
  <si>
    <t>XL Toolbox Settings</t>
  </si>
  <si>
    <t>export_preset</t>
  </si>
  <si>
    <t>&lt;?xml version="1.0" encoding="utf-16"?&gt;_x000D_
&lt;Preset xmlns:xsi="http://www.w3.org/2001/XMLSchema-instance" xmlns:xsd="http://www.w3.org/2001/XMLSchema"&gt;_x000D_
  &lt;Name&gt;Png, 300 dpi, RGB, White canvas&lt;/Name&gt;_x000D_
  &lt;Dpi&gt;400&lt;/Dpi&gt;_x000D_
  &lt;FileType&gt;Png&lt;/FileType&gt;_x000D_
  &lt;ColorSpace&gt;Rgb&lt;/ColorSpace&gt;_x000D_
  &lt;Transparency&gt;TransparentCanvas&lt;/Transparency&gt;_x000D_
  &lt;UseColorProfile&gt;false&lt;/UseColorProfile&gt;_x000D_
  &lt;ColorProfile&gt;ProPhoto&lt;/ColorProfile&gt;_x000D_
&lt;/Preset&gt;</t>
  </si>
  <si>
    <t>export_path</t>
  </si>
  <si>
    <t>fru</t>
  </si>
  <si>
    <t>Page in the briefing paper</t>
  </si>
  <si>
    <t>S:\Teams\Statistics\Subjects\Elections\UK Election Statistics\Landing page\CBP-7529.pic.London.Assembly.png</t>
  </si>
  <si>
    <t xml:space="preserve">Number </t>
  </si>
  <si>
    <t>Postal votes included in count</t>
  </si>
  <si>
    <t xml:space="preserve">Total Valid votes </t>
  </si>
  <si>
    <t>updated 20.4.09 for RP on MPs since 1979</t>
  </si>
  <si>
    <t xml:space="preserve">Average Age at election (Years) </t>
  </si>
  <si>
    <t>18-29</t>
  </si>
  <si>
    <t>30-39</t>
  </si>
  <si>
    <t>40-49</t>
  </si>
  <si>
    <t>50-59</t>
  </si>
  <si>
    <t>60-69</t>
  </si>
  <si>
    <t>70+</t>
  </si>
  <si>
    <t>Not specified</t>
  </si>
  <si>
    <t>Over 50</t>
  </si>
  <si>
    <t xml:space="preserve">under 30 </t>
  </si>
  <si>
    <t>Over 70</t>
  </si>
  <si>
    <t>*Data only available for 645 out of 650 MPs</t>
  </si>
  <si>
    <t>3. AGES OF MEMBERS OF PARLIAMENT ELECTED AT GENERAL ELECTIONS</t>
  </si>
  <si>
    <t>% attending educational institution</t>
  </si>
  <si>
    <t>by education</t>
  </si>
  <si>
    <t xml:space="preserve">total </t>
  </si>
  <si>
    <t>Private schools</t>
  </si>
  <si>
    <t>Uni graduates</t>
  </si>
  <si>
    <t>Ox or Cam</t>
  </si>
  <si>
    <t>Fee-paying school</t>
  </si>
  <si>
    <t>3 MAIN</t>
  </si>
  <si>
    <t>Oxford / Cambridge</t>
  </si>
  <si>
    <t>4 largest</t>
  </si>
  <si>
    <t>Oxford /Cambridge</t>
  </si>
  <si>
    <r>
      <t xml:space="preserve">Source:  Kavanagh, Cowley et al </t>
    </r>
    <r>
      <rPr>
        <i/>
        <sz val="9"/>
        <rFont val="Open Sans"/>
        <family val="2"/>
      </rPr>
      <t>The British General Election of 2017 &amp; previous editions</t>
    </r>
  </si>
  <si>
    <t>Fee paying school</t>
  </si>
  <si>
    <t>3 main parties</t>
  </si>
  <si>
    <t>All MPs: lower bounds</t>
  </si>
  <si>
    <t>Table 10: Education of Members of Parliament 1951-2017</t>
  </si>
  <si>
    <t>Occupation of MPs elected at the 2005 General Election</t>
  </si>
  <si>
    <t>Percentage</t>
  </si>
  <si>
    <t>LibDem</t>
  </si>
  <si>
    <t xml:space="preserve">   Barrister</t>
  </si>
  <si>
    <t xml:space="preserve">   Solicitor</t>
  </si>
  <si>
    <t xml:space="preserve">   Doctor</t>
  </si>
  <si>
    <t xml:space="preserve">   Civil service/local govt</t>
  </si>
  <si>
    <t xml:space="preserve">   Teachers: University/college</t>
  </si>
  <si>
    <t xml:space="preserve">   Teacher: school</t>
  </si>
  <si>
    <t xml:space="preserve">   White Collar</t>
  </si>
  <si>
    <t xml:space="preserve">   Politician/Political organiser</t>
  </si>
  <si>
    <t xml:space="preserve">   Publisher/Journalist</t>
  </si>
  <si>
    <t xml:space="preserve">   Miner</t>
  </si>
  <si>
    <t>Occupation of MPs elected at the 2015 General Election</t>
  </si>
  <si>
    <t xml:space="preserve">   Accountant</t>
  </si>
  <si>
    <t xml:space="preserve">   Armed services</t>
  </si>
  <si>
    <t xml:space="preserve">   Doctor/dentist/optician</t>
  </si>
  <si>
    <t xml:space="preserve">   Public relations</t>
  </si>
  <si>
    <r>
      <t xml:space="preserve">Source: Kavanagh and Cowley, </t>
    </r>
    <r>
      <rPr>
        <i/>
        <sz val="8"/>
        <rFont val="Open Sans"/>
        <family val="2"/>
      </rPr>
      <t>The British General Election of 2015</t>
    </r>
  </si>
  <si>
    <t xml:space="preserve">stats on universal credit, dead  jewnny stainets </t>
  </si>
  <si>
    <t>11. 2017 MPS’ OCCUPATION IMMEDIATELY PRIOR TO THE ELECTION</t>
  </si>
  <si>
    <t>Brokerage</t>
  </si>
  <si>
    <t>Legal profession</t>
  </si>
  <si>
    <t>Education</t>
  </si>
  <si>
    <t>Physicians/dentists</t>
  </si>
  <si>
    <t>Architects/surveyors/engineers</t>
  </si>
  <si>
    <t>Instrumental</t>
  </si>
  <si>
    <t>Councillor/other elected office</t>
  </si>
  <si>
    <t>Political/social/policy research</t>
  </si>
  <si>
    <t>Party official</t>
  </si>
  <si>
    <t>Journalism/broadcast/media</t>
  </si>
  <si>
    <t>Trade union official</t>
  </si>
  <si>
    <t>Lobbyist</t>
  </si>
  <si>
    <t xml:space="preserve">Business/commerce </t>
  </si>
  <si>
    <t>Agriculture/farmers</t>
  </si>
  <si>
    <t>Armed forces</t>
  </si>
  <si>
    <t>Civil service/local authority</t>
  </si>
  <si>
    <t>Clergy</t>
  </si>
  <si>
    <t>NHS</t>
  </si>
  <si>
    <t>Other white collar</t>
  </si>
  <si>
    <t>Retired</t>
  </si>
  <si>
    <t>Social worker</t>
  </si>
  <si>
    <t>Voluntary sector</t>
  </si>
  <si>
    <t>Writer/literacy/artist</t>
  </si>
  <si>
    <t>Manual</t>
  </si>
  <si>
    <r>
      <t xml:space="preserve">Source:  Kavanagh, Cowley et al </t>
    </r>
    <r>
      <rPr>
        <i/>
        <sz val="9"/>
        <rFont val="Open Sans"/>
        <family val="2"/>
      </rPr>
      <t>The British General Election of 2017</t>
    </r>
  </si>
  <si>
    <t>Number of
 by-elections</t>
  </si>
  <si>
    <t>GENERAL ELECTION 2017</t>
  </si>
  <si>
    <t>Lewisham East</t>
  </si>
  <si>
    <t>West Tyrone</t>
  </si>
  <si>
    <t>Rallings and Thrasher, “Labour gains too low to boost Corbyn PM hopes” (Local Government Chronicle), 8 May 2018</t>
  </si>
  <si>
    <t>Turnout 36.9%</t>
  </si>
  <si>
    <t>Imitiyaz Lunat</t>
  </si>
  <si>
    <t>Pauline France</t>
  </si>
  <si>
    <t>Harini Iyengar</t>
  </si>
  <si>
    <t>WEP</t>
  </si>
  <si>
    <t>Vernon Williams</t>
  </si>
  <si>
    <t>Ind.</t>
  </si>
  <si>
    <t>https://hackney.gov.uk/mayor-election</t>
  </si>
  <si>
    <t>Daniel Egan</t>
  </si>
  <si>
    <t>Ross Archer</t>
  </si>
  <si>
    <t>John Coughin</t>
  </si>
  <si>
    <t>Will Donnelly</t>
  </si>
  <si>
    <t xml:space="preserve">Turnout 37.4% </t>
  </si>
  <si>
    <t>PBP</t>
  </si>
  <si>
    <t>D&amp;V</t>
  </si>
  <si>
    <t>https://www.bbc.co.uk/news/uk-politics-43831452</t>
  </si>
  <si>
    <t>https://www.lewisham.gov.uk/mayorandcouncil/elections/results/Documents/ElectionWardResultsMayoral2018.pdf</t>
  </si>
  <si>
    <t>Turnout 34.9%</t>
  </si>
  <si>
    <t>Rokshana Fiaz</t>
  </si>
  <si>
    <t>Rahima Khan</t>
  </si>
  <si>
    <t>Gareth Evans</t>
  </si>
  <si>
    <t>Chishala Kumalinga</t>
  </si>
  <si>
    <t>Daniel Oxley</t>
  </si>
  <si>
    <t>Democrats and Veterans</t>
  </si>
  <si>
    <t>Turnout 40.6%</t>
  </si>
  <si>
    <t>Rabina Khan</t>
  </si>
  <si>
    <t>People's Alliance of Tower Hamlets</t>
  </si>
  <si>
    <t>PATH</t>
  </si>
  <si>
    <t>Elaine Bagshaw</t>
  </si>
  <si>
    <t>Ciaran Alasdair Jebb</t>
  </si>
  <si>
    <t>Abul Monsur Ohid Ahmed</t>
  </si>
  <si>
    <t>Anwara Ali</t>
  </si>
  <si>
    <t>A</t>
  </si>
  <si>
    <t>Turnout 38.6%</t>
  </si>
  <si>
    <t>Jagtar Singh Dhindsa</t>
  </si>
  <si>
    <t>Jaber George Jabbour </t>
  </si>
  <si>
    <t>Sheffield City Region</t>
  </si>
  <si>
    <t>Turnout 25.4%</t>
  </si>
  <si>
    <t xml:space="preserve">Ian Geoffrey Walker </t>
  </si>
  <si>
    <t>Hannah Ruth Kitching</t>
  </si>
  <si>
    <t>Robert Murphy</t>
  </si>
  <si>
    <t>David Stewart Allen</t>
  </si>
  <si>
    <t>Mick Bower</t>
  </si>
  <si>
    <t>YP</t>
  </si>
  <si>
    <t>The Yorkshire Party</t>
  </si>
  <si>
    <t>Naveen Judah</t>
  </si>
  <si>
    <t>South Yorkshire Save Our NHS</t>
  </si>
  <si>
    <t>SYNHS</t>
  </si>
  <si>
    <t>Women's Equality Party</t>
  </si>
  <si>
    <t>People Before Profit</t>
  </si>
  <si>
    <t>Aspire</t>
  </si>
  <si>
    <t>Mansfield Independent Forum</t>
  </si>
  <si>
    <t xml:space="preserve">Community Group </t>
  </si>
  <si>
    <t xml:space="preserve">Christian People's Alliance </t>
  </si>
  <si>
    <t xml:space="preserve">Communist Party of Britain </t>
  </si>
  <si>
    <t>The Respect Party</t>
  </si>
  <si>
    <t xml:space="preserve">Fat Cat Party </t>
  </si>
  <si>
    <t xml:space="preserve">THF </t>
  </si>
  <si>
    <t xml:space="preserve">Tower Hamlets First </t>
  </si>
  <si>
    <t xml:space="preserve">Communities Welfare Party </t>
  </si>
  <si>
    <t>CWP</t>
  </si>
  <si>
    <t xml:space="preserve">on page 69 </t>
  </si>
  <si>
    <t>Dan Jarvis</t>
  </si>
  <si>
    <t>Table 28b. Elected Metro-mayors, as at December 2018</t>
  </si>
  <si>
    <t>OLD</t>
  </si>
  <si>
    <t>Peter Colin Taylor</t>
  </si>
  <si>
    <t>Latest</t>
  </si>
  <si>
    <t xml:space="preserve">House of Commons Library briefing Papers SN05000 and CBP-8306 </t>
  </si>
  <si>
    <r>
      <t>Majority</t>
    </r>
    <r>
      <rPr>
        <vertAlign val="superscript"/>
        <sz val="9"/>
        <rFont val="Open Sans"/>
        <family val="2"/>
      </rPr>
      <t>1</t>
    </r>
  </si>
  <si>
    <r>
      <t xml:space="preserve">Colin Rallings and Michael Thrasher, </t>
    </r>
    <r>
      <rPr>
        <i/>
        <sz val="8"/>
        <rFont val="Open Sans"/>
        <family val="2"/>
      </rPr>
      <t>British Electoral Facts 1832-2006</t>
    </r>
  </si>
  <si>
    <r>
      <t xml:space="preserve">Peter Joyce, </t>
    </r>
    <r>
      <rPr>
        <i/>
        <sz val="8"/>
        <rFont val="Open Sans"/>
        <family val="2"/>
      </rPr>
      <t>Politico's Guide to UK General Elections 1832-2001</t>
    </r>
  </si>
  <si>
    <t>https://www.gov.uk/government/history/past-prime-ministers</t>
  </si>
  <si>
    <t>Legend:</t>
  </si>
  <si>
    <r>
      <t xml:space="preserve">Colin Rallings and Michael Thrasher, </t>
    </r>
    <r>
      <rPr>
        <i/>
        <sz val="9"/>
        <rFont val="Open Sans"/>
        <family val="2"/>
      </rPr>
      <t>British Electoral Facts 1832-2006</t>
    </r>
  </si>
  <si>
    <r>
      <t xml:space="preserve">House of Commons Library, RP10/36 </t>
    </r>
    <r>
      <rPr>
        <i/>
        <sz val="9"/>
        <rFont val="Open Sans"/>
        <family val="2"/>
      </rPr>
      <t>General Election 2010</t>
    </r>
  </si>
  <si>
    <r>
      <t xml:space="preserve">House of Commons Library, RP10/36 </t>
    </r>
    <r>
      <rPr>
        <i/>
        <sz val="8"/>
        <rFont val="Open Sans"/>
        <family val="2"/>
      </rPr>
      <t>General Election 2010</t>
    </r>
  </si>
  <si>
    <r>
      <t>CON</t>
    </r>
    <r>
      <rPr>
        <b/>
        <vertAlign val="superscript"/>
        <sz val="9"/>
        <color theme="0"/>
        <rFont val="Open Sans"/>
        <family val="2"/>
      </rPr>
      <t>2</t>
    </r>
  </si>
  <si>
    <r>
      <t>LD</t>
    </r>
    <r>
      <rPr>
        <b/>
        <vertAlign val="superscript"/>
        <sz val="9"/>
        <rFont val="Open Sans"/>
        <family val="2"/>
      </rPr>
      <t>3</t>
    </r>
  </si>
  <si>
    <r>
      <t xml:space="preserve">Colin Rallings and Michael Thrasher, </t>
    </r>
    <r>
      <rPr>
        <i/>
        <sz val="8"/>
        <rFont val="Open Sans"/>
        <family val="2"/>
      </rPr>
      <t>British Electoral Facts 1932-2006</t>
    </r>
  </si>
  <si>
    <r>
      <t xml:space="preserve">House of Commons Library Research Paper RP10/36, </t>
    </r>
    <r>
      <rPr>
        <i/>
        <sz val="8"/>
        <rFont val="Open Sans"/>
        <family val="2"/>
      </rPr>
      <t>General Election 2010</t>
    </r>
  </si>
  <si>
    <t>Years</t>
  </si>
  <si>
    <t>Average</t>
  </si>
  <si>
    <r>
      <t xml:space="preserve">Colin Rallings and Michael Thrasher, </t>
    </r>
    <r>
      <rPr>
        <i/>
        <sz val="10"/>
        <rFont val="Open Sans"/>
        <family val="2"/>
      </rPr>
      <t>British Electoral Facts 1832-2006</t>
    </r>
  </si>
  <si>
    <t xml:space="preserve"> CON </t>
  </si>
  <si>
    <t xml:space="preserve">SNP </t>
  </si>
  <si>
    <r>
      <t>New MPs</t>
    </r>
    <r>
      <rPr>
        <vertAlign val="superscript"/>
        <sz val="10"/>
        <rFont val="Open Sans"/>
        <family val="2"/>
      </rPr>
      <t>1</t>
    </r>
  </si>
  <si>
    <r>
      <t>% of MPs who are new</t>
    </r>
    <r>
      <rPr>
        <vertAlign val="superscript"/>
        <sz val="10"/>
        <rFont val="Open Sans"/>
        <family val="2"/>
      </rPr>
      <t>1</t>
    </r>
  </si>
  <si>
    <r>
      <t xml:space="preserve">Main Occupations of Members of Parliament 1951- </t>
    </r>
    <r>
      <rPr>
        <sz val="10"/>
        <rFont val="Open Sans"/>
        <family val="2"/>
      </rPr>
      <t>(percentages)</t>
    </r>
  </si>
  <si>
    <r>
      <t xml:space="preserve">1 </t>
    </r>
    <r>
      <rPr>
        <vertAlign val="superscript"/>
        <sz val="10"/>
        <rFont val="Open Sans"/>
        <family val="2"/>
      </rPr>
      <t>2</t>
    </r>
  </si>
  <si>
    <r>
      <t xml:space="preserve">6 </t>
    </r>
    <r>
      <rPr>
        <vertAlign val="superscript"/>
        <sz val="10"/>
        <rFont val="Open Sans"/>
        <family val="2"/>
      </rPr>
      <t>2</t>
    </r>
  </si>
  <si>
    <r>
      <t xml:space="preserve">15 </t>
    </r>
    <r>
      <rPr>
        <vertAlign val="superscript"/>
        <sz val="10"/>
        <rFont val="Open Sans"/>
        <family val="2"/>
      </rPr>
      <t>1</t>
    </r>
  </si>
  <si>
    <r>
      <t xml:space="preserve">7 </t>
    </r>
    <r>
      <rPr>
        <vertAlign val="superscript"/>
        <sz val="10"/>
        <rFont val="Open Sans"/>
        <family val="2"/>
      </rPr>
      <t>2</t>
    </r>
  </si>
  <si>
    <r>
      <rPr>
        <i/>
        <sz val="10"/>
        <rFont val="Open Sans"/>
        <family val="2"/>
      </rPr>
      <t>The British General Election of …(1951-2005)</t>
    </r>
    <r>
      <rPr>
        <sz val="10"/>
        <rFont val="Open Sans"/>
        <family val="2"/>
      </rPr>
      <t>, David Butler and Denis Kavanagh</t>
    </r>
  </si>
  <si>
    <r>
      <rPr>
        <i/>
        <sz val="10"/>
        <rFont val="Open Sans"/>
        <family val="2"/>
      </rPr>
      <t>The British General Election of 2010</t>
    </r>
    <r>
      <rPr>
        <sz val="10"/>
        <rFont val="Open Sans"/>
        <family val="2"/>
      </rPr>
      <t>, David Butler and Philip Cowley</t>
    </r>
  </si>
  <si>
    <r>
      <t>City of London</t>
    </r>
    <r>
      <rPr>
        <vertAlign val="superscript"/>
        <sz val="10"/>
        <rFont val="Open Sans"/>
        <family val="2"/>
      </rPr>
      <t>1,2</t>
    </r>
  </si>
  <si>
    <r>
      <t>Preston</t>
    </r>
    <r>
      <rPr>
        <vertAlign val="superscript"/>
        <sz val="10"/>
        <rFont val="Open Sans"/>
        <family val="2"/>
      </rPr>
      <t>1</t>
    </r>
  </si>
  <si>
    <r>
      <t>Combined English Universities</t>
    </r>
    <r>
      <rPr>
        <vertAlign val="superscript"/>
        <sz val="10"/>
        <rFont val="Open Sans"/>
        <family val="2"/>
      </rPr>
      <t>3</t>
    </r>
  </si>
  <si>
    <r>
      <t>Combined Scottish Universities</t>
    </r>
    <r>
      <rPr>
        <vertAlign val="superscript"/>
        <sz val="10"/>
        <rFont val="Open Sans"/>
        <family val="2"/>
      </rPr>
      <t>3</t>
    </r>
  </si>
  <si>
    <r>
      <t>Winchester</t>
    </r>
    <r>
      <rPr>
        <vertAlign val="superscript"/>
        <sz val="10"/>
        <rFont val="Open Sans"/>
        <family val="2"/>
      </rPr>
      <t>4</t>
    </r>
  </si>
  <si>
    <r>
      <t>West Bromwich West</t>
    </r>
    <r>
      <rPr>
        <vertAlign val="superscript"/>
        <sz val="10"/>
        <rFont val="Open Sans"/>
        <family val="2"/>
      </rPr>
      <t>5</t>
    </r>
  </si>
  <si>
    <r>
      <t>Haltemprice &amp; Howden</t>
    </r>
    <r>
      <rPr>
        <vertAlign val="superscript"/>
        <sz val="10"/>
        <rFont val="Open Sans"/>
        <family val="2"/>
      </rPr>
      <t>6</t>
    </r>
  </si>
  <si>
    <r>
      <t>Glasgow North East</t>
    </r>
    <r>
      <rPr>
        <vertAlign val="superscript"/>
        <sz val="10"/>
        <rFont val="Open Sans"/>
        <family val="2"/>
      </rPr>
      <t>7</t>
    </r>
  </si>
  <si>
    <r>
      <t>Richmond Park</t>
    </r>
    <r>
      <rPr>
        <vertAlign val="superscript"/>
        <sz val="10"/>
        <rFont val="Open Sans"/>
        <family val="2"/>
      </rPr>
      <t>8</t>
    </r>
  </si>
  <si>
    <r>
      <t xml:space="preserve">F.W.S. Craig, </t>
    </r>
    <r>
      <rPr>
        <i/>
        <sz val="8"/>
        <rFont val="Open Sans"/>
        <family val="2"/>
      </rPr>
      <t>Chronology of British Parliamentary By-elections 1833-1987</t>
    </r>
  </si>
  <si>
    <r>
      <t xml:space="preserve">Liberal Democrat </t>
    </r>
    <r>
      <rPr>
        <vertAlign val="superscript"/>
        <sz val="9"/>
        <rFont val="Open Sans"/>
        <family val="2"/>
      </rPr>
      <t>1</t>
    </r>
  </si>
  <si>
    <r>
      <t xml:space="preserve">Green </t>
    </r>
    <r>
      <rPr>
        <vertAlign val="superscript"/>
        <sz val="9"/>
        <rFont val="Open Sans"/>
        <family val="2"/>
      </rPr>
      <t>2</t>
    </r>
  </si>
  <si>
    <r>
      <rPr>
        <sz val="8"/>
        <rFont val="Open Sans"/>
        <family val="2"/>
      </rPr>
      <t>Colin Rallings and Michael Thrasher,</t>
    </r>
    <r>
      <rPr>
        <i/>
        <sz val="8"/>
        <rFont val="Open Sans"/>
        <family val="2"/>
      </rPr>
      <t xml:space="preserve"> British Electoral Facts 1832-2006</t>
    </r>
  </si>
  <si>
    <r>
      <t xml:space="preserve">House of Commons Library Research Paper RP09/53, </t>
    </r>
    <r>
      <rPr>
        <i/>
        <sz val="8"/>
        <rFont val="Open Sans"/>
        <family val="2"/>
      </rPr>
      <t>European Parliament Elections 2009</t>
    </r>
  </si>
  <si>
    <r>
      <rPr>
        <sz val="8"/>
        <rFont val="Open Sans"/>
        <family val="2"/>
      </rPr>
      <t xml:space="preserve">Electoral Commission, </t>
    </r>
    <r>
      <rPr>
        <i/>
        <sz val="8"/>
        <rFont val="Open Sans"/>
        <family val="2"/>
      </rPr>
      <t>Report on the National Assembly for Wales general election 5 May 2016</t>
    </r>
  </si>
  <si>
    <r>
      <t>House of Commons Library Briefing Paper CBP 7594 ,</t>
    </r>
    <r>
      <rPr>
        <i/>
        <sz val="8"/>
        <rFont val="Open Sans"/>
        <family val="2"/>
      </rPr>
      <t xml:space="preserve"> National Assembly for Wales Elections: 2016</t>
    </r>
  </si>
  <si>
    <r>
      <rPr>
        <sz val="9"/>
        <rFont val="Open Sans"/>
        <family val="2"/>
      </rPr>
      <t>Colin Rallings and Michael Thrasher,</t>
    </r>
    <r>
      <rPr>
        <i/>
        <sz val="9"/>
        <rFont val="Open Sans"/>
        <family val="2"/>
      </rPr>
      <t xml:space="preserve"> British Electoral Facts 1832-2006</t>
    </r>
  </si>
  <si>
    <r>
      <rPr>
        <sz val="9"/>
        <rFont val="Open Sans"/>
        <family val="2"/>
      </rPr>
      <t xml:space="preserve">Electoral Commission, </t>
    </r>
    <r>
      <rPr>
        <i/>
        <sz val="9"/>
        <rFont val="Open Sans"/>
        <family val="2"/>
      </rPr>
      <t>Report on the National Assembly for Wales general election 5 May 2016</t>
    </r>
  </si>
  <si>
    <r>
      <t>House of Commons Library Briefing Paper CBP 7594,</t>
    </r>
    <r>
      <rPr>
        <i/>
        <sz val="9"/>
        <rFont val="Open Sans"/>
        <family val="2"/>
      </rPr>
      <t xml:space="preserve"> National Assembly for Wales Elections: 2016</t>
    </r>
  </si>
  <si>
    <r>
      <rPr>
        <b/>
        <sz val="9"/>
        <rFont val="Open Sans"/>
        <family val="2"/>
      </rPr>
      <t>Regional Seats</t>
    </r>
    <r>
      <rPr>
        <sz val="9"/>
        <rFont val="Open Sans"/>
        <family val="2"/>
      </rPr>
      <t xml:space="preserve"> </t>
    </r>
  </si>
  <si>
    <r>
      <rPr>
        <sz val="8"/>
        <rFont val="Open Sans"/>
        <family val="2"/>
      </rPr>
      <t xml:space="preserve">Electoral Commission, </t>
    </r>
    <r>
      <rPr>
        <i/>
        <sz val="8"/>
        <rFont val="Open Sans"/>
        <family val="2"/>
      </rPr>
      <t>Report on the Scottish Parliament election on 5 May 2011</t>
    </r>
  </si>
  <si>
    <r>
      <t>House of Commons Library Research Paper RP07/46,</t>
    </r>
    <r>
      <rPr>
        <i/>
        <sz val="8"/>
        <rFont val="Open Sans"/>
        <family val="2"/>
      </rPr>
      <t xml:space="preserve"> Scottish Parliament Elections: 3 May 2007</t>
    </r>
  </si>
  <si>
    <r>
      <t>House of Commons Library Research Paper RP11/41,</t>
    </r>
    <r>
      <rPr>
        <i/>
        <sz val="8"/>
        <rFont val="Open Sans"/>
        <family val="2"/>
      </rPr>
      <t xml:space="preserve"> Scottish Parliament Elections: 2011</t>
    </r>
  </si>
  <si>
    <r>
      <t>SSP</t>
    </r>
    <r>
      <rPr>
        <vertAlign val="superscript"/>
        <sz val="9"/>
        <rFont val="Open Sans"/>
        <family val="2"/>
      </rPr>
      <t>1</t>
    </r>
  </si>
  <si>
    <r>
      <t>Labour</t>
    </r>
    <r>
      <rPr>
        <vertAlign val="superscript"/>
        <sz val="9"/>
        <rFont val="Open Sans"/>
        <family val="2"/>
      </rPr>
      <t xml:space="preserve"> 2</t>
    </r>
  </si>
  <si>
    <r>
      <t>Republicans</t>
    </r>
    <r>
      <rPr>
        <vertAlign val="superscript"/>
        <sz val="9"/>
        <rFont val="Open Sans"/>
        <family val="2"/>
      </rPr>
      <t>3</t>
    </r>
  </si>
  <si>
    <r>
      <t>Other Unionist</t>
    </r>
    <r>
      <rPr>
        <vertAlign val="superscript"/>
        <sz val="9"/>
        <rFont val="Open Sans"/>
        <family val="2"/>
      </rPr>
      <t>1</t>
    </r>
  </si>
  <si>
    <r>
      <t xml:space="preserve">    36 </t>
    </r>
    <r>
      <rPr>
        <vertAlign val="superscript"/>
        <sz val="9"/>
        <rFont val="Open Sans"/>
        <family val="2"/>
      </rPr>
      <t>4</t>
    </r>
  </si>
  <si>
    <r>
      <t xml:space="preserve">1969 </t>
    </r>
    <r>
      <rPr>
        <vertAlign val="superscript"/>
        <sz val="9"/>
        <rFont val="Open Sans"/>
        <family val="2"/>
      </rPr>
      <t>4</t>
    </r>
  </si>
  <si>
    <r>
      <t xml:space="preserve">Data from Greater London Authority, </t>
    </r>
    <r>
      <rPr>
        <i/>
        <sz val="10"/>
        <color indexed="8"/>
        <rFont val="Open Sans"/>
        <family val="2"/>
      </rPr>
      <t xml:space="preserve">The 2008 London Elections </t>
    </r>
    <r>
      <rPr>
        <sz val="10"/>
        <color indexed="8"/>
        <rFont val="Open Sans"/>
        <family val="2"/>
      </rPr>
      <t>(Stats 410.74)</t>
    </r>
  </si>
  <si>
    <t xml:space="preserve"> UKIP</t>
  </si>
  <si>
    <t xml:space="preserve"> LAB</t>
  </si>
  <si>
    <t xml:space="preserve"> CON</t>
  </si>
  <si>
    <t xml:space="preserve"> GRN</t>
  </si>
  <si>
    <t xml:space="preserve"> LD</t>
  </si>
  <si>
    <t xml:space="preserve"> Others</t>
  </si>
  <si>
    <t xml:space="preserve"> BNP</t>
  </si>
  <si>
    <r>
      <t>GLA,</t>
    </r>
    <r>
      <rPr>
        <i/>
        <sz val="9"/>
        <rFont val="Open Sans"/>
        <family val="2"/>
      </rPr>
      <t xml:space="preserve"> The 2008 London Elections</t>
    </r>
  </si>
  <si>
    <r>
      <t>2nd preference</t>
    </r>
    <r>
      <rPr>
        <vertAlign val="superscript"/>
        <sz val="9"/>
        <rFont val="Open Sans"/>
        <family val="2"/>
      </rPr>
      <t>1</t>
    </r>
  </si>
  <si>
    <r>
      <t>Total</t>
    </r>
    <r>
      <rPr>
        <vertAlign val="superscript"/>
        <sz val="9"/>
        <rFont val="Open Sans"/>
        <family val="2"/>
      </rPr>
      <t>2</t>
    </r>
  </si>
  <si>
    <r>
      <t xml:space="preserve">1. Colin Rallings and Michael Thrasher, </t>
    </r>
    <r>
      <rPr>
        <i/>
        <sz val="8"/>
        <rFont val="Open Sans"/>
        <family val="2"/>
      </rPr>
      <t>British Electoral Facts 1832-2006</t>
    </r>
  </si>
  <si>
    <r>
      <t xml:space="preserve">2. House of Commons Library, RP09/53 </t>
    </r>
    <r>
      <rPr>
        <i/>
        <sz val="8"/>
        <color indexed="8"/>
        <rFont val="Open Sans"/>
        <family val="2"/>
      </rPr>
      <t>European Parliament Elections 2009</t>
    </r>
  </si>
  <si>
    <r>
      <t xml:space="preserve">1. House of Commons Library, SN01250 </t>
    </r>
    <r>
      <rPr>
        <sz val="8"/>
        <color indexed="8"/>
        <rFont val="Open Sans"/>
        <family val="2"/>
      </rPr>
      <t>Women in Public Life, the Professions and the Boardroom</t>
    </r>
  </si>
  <si>
    <t>At European Parliament elections</t>
  </si>
  <si>
    <r>
      <rPr>
        <b/>
        <sz val="8"/>
        <rFont val="Open Sans"/>
        <family val="2"/>
      </rPr>
      <t xml:space="preserve">Source: </t>
    </r>
    <r>
      <rPr>
        <sz val="8"/>
        <rFont val="Open Sans"/>
        <family val="2"/>
      </rPr>
      <t>Rallings and Thrasher, British Electoral Facts 1832-2006</t>
    </r>
  </si>
  <si>
    <r>
      <t>Rallings and Thrasher,</t>
    </r>
    <r>
      <rPr>
        <i/>
        <sz val="8"/>
        <rFont val="Open Sans"/>
        <family val="2"/>
      </rPr>
      <t xml:space="preserve"> Local Elections Handbook</t>
    </r>
    <r>
      <rPr>
        <sz val="8"/>
        <rFont val="Open Sans"/>
        <family val="2"/>
      </rPr>
      <t>, various</t>
    </r>
  </si>
  <si>
    <r>
      <rPr>
        <b/>
        <sz val="8"/>
        <rFont val="Open Sans"/>
        <family val="2"/>
      </rPr>
      <t xml:space="preserve">Notes: </t>
    </r>
    <r>
      <rPr>
        <sz val="8"/>
        <rFont val="Open Sans"/>
        <family val="2"/>
      </rPr>
      <t xml:space="preserve">Local elections in 1979, 1997, 2001, 2005, 2010 and 2015 were held on same day as a general election, and in these years general election vote shares are shown in bold. </t>
    </r>
  </si>
  <si>
    <r>
      <t>Turnout</t>
    </r>
    <r>
      <rPr>
        <vertAlign val="superscript"/>
        <sz val="10"/>
        <rFont val="Open Sans"/>
        <family val="2"/>
      </rPr>
      <t>1</t>
    </r>
  </si>
  <si>
    <r>
      <t>Doncaster</t>
    </r>
    <r>
      <rPr>
        <vertAlign val="superscript"/>
        <sz val="10"/>
        <rFont val="Open Sans"/>
        <family val="2"/>
      </rPr>
      <t>2</t>
    </r>
  </si>
  <si>
    <r>
      <t>Stoke-on-Trent</t>
    </r>
    <r>
      <rPr>
        <vertAlign val="superscript"/>
        <sz val="10"/>
        <rFont val="Open Sans"/>
        <family val="2"/>
      </rPr>
      <t>3</t>
    </r>
  </si>
  <si>
    <r>
      <t>Stoke-on-Trent</t>
    </r>
    <r>
      <rPr>
        <vertAlign val="superscript"/>
        <sz val="10"/>
        <rFont val="Open Sans"/>
        <family val="2"/>
      </rPr>
      <t>3 (leader)</t>
    </r>
  </si>
  <si>
    <r>
      <t>Hartlepool (abolished)</t>
    </r>
    <r>
      <rPr>
        <vertAlign val="superscript"/>
        <sz val="10"/>
        <rFont val="Open Sans"/>
        <family val="2"/>
      </rPr>
      <t>4</t>
    </r>
  </si>
  <si>
    <r>
      <t>Sources: Colin Rallings and Michael Thrasher,</t>
    </r>
    <r>
      <rPr>
        <i/>
        <sz val="10"/>
        <rFont val="Open Sans"/>
        <family val="2"/>
      </rPr>
      <t xml:space="preserve"> British Electoral Facts 1832-2006</t>
    </r>
    <r>
      <rPr>
        <sz val="10"/>
        <rFont val="Open Sans"/>
        <family val="2"/>
      </rPr>
      <t xml:space="preserve">; local authority websites; House of Commons Library, RP12/27 </t>
    </r>
    <r>
      <rPr>
        <i/>
        <sz val="10"/>
        <rFont val="Open Sans"/>
        <family val="2"/>
      </rPr>
      <t>Local Elections 2012</t>
    </r>
  </si>
  <si>
    <r>
      <t>Turnout</t>
    </r>
    <r>
      <rPr>
        <b/>
        <vertAlign val="superscript"/>
        <sz val="9"/>
        <rFont val="Open Sans"/>
        <family val="2"/>
      </rPr>
      <t>1</t>
    </r>
  </si>
  <si>
    <r>
      <t>Sources: Colin Rallings and Michael Thrasher,</t>
    </r>
    <r>
      <rPr>
        <i/>
        <sz val="9"/>
        <rFont val="Open Sans"/>
        <family val="2"/>
      </rPr>
      <t xml:space="preserve"> British Electoral Facts 1832-2006</t>
    </r>
    <r>
      <rPr>
        <sz val="9"/>
        <rFont val="Open Sans"/>
        <family val="2"/>
      </rPr>
      <t xml:space="preserve">; local authority websites; House of Commons Library, RP12/27 </t>
    </r>
    <r>
      <rPr>
        <i/>
        <sz val="9"/>
        <rFont val="Open Sans"/>
        <family val="2"/>
      </rPr>
      <t>Local Elections 2012</t>
    </r>
  </si>
  <si>
    <r>
      <t xml:space="preserve">Greater Manchester </t>
    </r>
    <r>
      <rPr>
        <vertAlign val="superscript"/>
        <sz val="9"/>
        <rFont val="Open Sans"/>
        <family val="2"/>
      </rPr>
      <t>2</t>
    </r>
  </si>
  <si>
    <r>
      <t xml:space="preserve">Liverpool City Region </t>
    </r>
    <r>
      <rPr>
        <vertAlign val="superscript"/>
        <sz val="9"/>
        <rFont val="Open Sans"/>
        <family val="2"/>
      </rPr>
      <t>2</t>
    </r>
  </si>
  <si>
    <r>
      <t xml:space="preserve">Tees Valley </t>
    </r>
    <r>
      <rPr>
        <vertAlign val="superscript"/>
        <sz val="9"/>
        <rFont val="Open Sans"/>
        <family val="2"/>
      </rPr>
      <t>2</t>
    </r>
  </si>
  <si>
    <r>
      <t xml:space="preserve">West Midlands </t>
    </r>
    <r>
      <rPr>
        <vertAlign val="superscript"/>
        <sz val="9"/>
        <rFont val="Open Sans"/>
        <family val="2"/>
      </rPr>
      <t>2</t>
    </r>
  </si>
  <si>
    <r>
      <t xml:space="preserve">West of England </t>
    </r>
    <r>
      <rPr>
        <vertAlign val="superscript"/>
        <sz val="9"/>
        <rFont val="Open Sans"/>
        <family val="2"/>
      </rPr>
      <t>2</t>
    </r>
  </si>
  <si>
    <r>
      <t>Turnout</t>
    </r>
    <r>
      <rPr>
        <vertAlign val="superscript"/>
        <sz val="9"/>
        <rFont val="Open Sans"/>
        <family val="2"/>
      </rPr>
      <t>1</t>
    </r>
  </si>
  <si>
    <r>
      <t xml:space="preserve">Cambridgeshire and Peterborough </t>
    </r>
    <r>
      <rPr>
        <b/>
        <vertAlign val="superscript"/>
        <sz val="9"/>
        <rFont val="Open Sans"/>
        <family val="2"/>
      </rPr>
      <t>2</t>
    </r>
  </si>
  <si>
    <r>
      <t xml:space="preserve">Greater Manchester </t>
    </r>
    <r>
      <rPr>
        <b/>
        <vertAlign val="superscript"/>
        <sz val="9"/>
        <rFont val="Open Sans"/>
        <family val="2"/>
      </rPr>
      <t>2</t>
    </r>
  </si>
  <si>
    <r>
      <t xml:space="preserve">Liverpool City Region </t>
    </r>
    <r>
      <rPr>
        <b/>
        <vertAlign val="superscript"/>
        <sz val="9"/>
        <rFont val="Open Sans"/>
        <family val="2"/>
      </rPr>
      <t>2</t>
    </r>
  </si>
  <si>
    <r>
      <t xml:space="preserve">Tees Valley </t>
    </r>
    <r>
      <rPr>
        <b/>
        <vertAlign val="superscript"/>
        <sz val="9"/>
        <rFont val="Open Sans"/>
        <family val="2"/>
      </rPr>
      <t>2</t>
    </r>
  </si>
  <si>
    <r>
      <t xml:space="preserve">West Midlands </t>
    </r>
    <r>
      <rPr>
        <b/>
        <vertAlign val="superscript"/>
        <sz val="9"/>
        <rFont val="Open Sans"/>
        <family val="2"/>
      </rPr>
      <t>2</t>
    </r>
  </si>
  <si>
    <r>
      <t xml:space="preserve">West of England </t>
    </r>
    <r>
      <rPr>
        <b/>
        <vertAlign val="superscript"/>
        <sz val="9"/>
        <rFont val="Open Sans"/>
        <family val="2"/>
      </rPr>
      <t>2</t>
    </r>
  </si>
  <si>
    <r>
      <t>Alastair Henry</t>
    </r>
    <r>
      <rPr>
        <b/>
        <sz val="9"/>
        <rFont val="Open Sans"/>
        <family val="2"/>
      </rPr>
      <t xml:space="preserve"> </t>
    </r>
    <r>
      <rPr>
        <sz val="9"/>
        <rFont val="Open Sans"/>
        <family val="2"/>
      </rPr>
      <t>Binnie-Lubbock</t>
    </r>
  </si>
  <si>
    <r>
      <t>Authority/Turnout</t>
    </r>
    <r>
      <rPr>
        <vertAlign val="superscript"/>
        <sz val="9"/>
        <rFont val="Open Sans"/>
        <family val="2"/>
      </rPr>
      <t>1</t>
    </r>
  </si>
  <si>
    <t xml:space="preserve">PC </t>
  </si>
  <si>
    <t xml:space="preserve">UKIP </t>
  </si>
  <si>
    <t xml:space="preserve">GRN </t>
  </si>
  <si>
    <t xml:space="preserve">IND </t>
  </si>
  <si>
    <t>EU referendum results by region,</t>
  </si>
  <si>
    <r>
      <t>Electorate</t>
    </r>
    <r>
      <rPr>
        <vertAlign val="superscript"/>
        <sz val="10"/>
        <rFont val="Open Sans"/>
        <family val="2"/>
      </rPr>
      <t>1</t>
    </r>
  </si>
  <si>
    <r>
      <t>% turnout</t>
    </r>
    <r>
      <rPr>
        <vertAlign val="superscript"/>
        <sz val="10"/>
        <rFont val="Open Sans"/>
        <family val="2"/>
      </rPr>
      <t>1</t>
    </r>
  </si>
  <si>
    <t>Ranked by highest vote share for Leave, 23 June 2016</t>
  </si>
  <si>
    <r>
      <t xml:space="preserve">Source: House of Commons Library RP97/113, </t>
    </r>
    <r>
      <rPr>
        <i/>
        <sz val="8"/>
        <rFont val="Open Sans"/>
        <family val="2"/>
      </rPr>
      <t>Results of Devolution Referendums (1979 &amp; 1997)</t>
    </r>
  </si>
  <si>
    <r>
      <t xml:space="preserve">Sources: Scottish Office; F.W.S. Craig, </t>
    </r>
    <r>
      <rPr>
        <i/>
        <sz val="8"/>
        <rFont val="Open Sans"/>
        <family val="2"/>
      </rPr>
      <t>British Electoral Facts, 1832-1987</t>
    </r>
  </si>
  <si>
    <t xml:space="preserve">Table 32: Change in voting for/against devolution in Scotland, </t>
  </si>
  <si>
    <t>1 March 1979 and 11 September 1997</t>
  </si>
  <si>
    <r>
      <t xml:space="preserve">    Clwyd &amp; Gwynedd (Anglesey, Conwy, Denbighshire, Flintshire, Gwynedd, Wrexham) - 1997 area </t>
    </r>
    <r>
      <rPr>
        <i/>
        <sz val="8"/>
        <rFont val="Open Sans"/>
        <family val="2"/>
      </rPr>
      <t>excludes</t>
    </r>
    <r>
      <rPr>
        <sz val="8"/>
        <rFont val="Open Sans"/>
        <family val="2"/>
      </rPr>
      <t xml:space="preserve"> communities of Llanrhaeadr-ym-Mochnant, Llansilin and Llangedwyn (formerly in Glyndwr DC in Clwyd, now in Powys UA)  </t>
    </r>
  </si>
  <si>
    <t>1 March 1979 and 18 September 1997</t>
  </si>
  <si>
    <r>
      <t xml:space="preserve">Source: House of Commons Library RP11/44, </t>
    </r>
    <r>
      <rPr>
        <i/>
        <sz val="10"/>
        <color indexed="8"/>
        <rFont val="Open Sans"/>
        <family val="2"/>
      </rPr>
      <t>Alternative Vote Referendum 2011</t>
    </r>
  </si>
  <si>
    <r>
      <rPr>
        <i/>
        <vertAlign val="superscript"/>
        <sz val="10"/>
        <color indexed="8"/>
        <rFont val="Open Sans"/>
        <family val="2"/>
      </rPr>
      <t>10</t>
    </r>
    <r>
      <rPr>
        <i/>
        <sz val="10"/>
        <color indexed="8"/>
        <rFont val="Open Sans"/>
        <family val="2"/>
      </rPr>
      <t xml:space="preserve"> Ibid</t>
    </r>
  </si>
  <si>
    <t>Unopposed returns</t>
  </si>
  <si>
    <r>
      <rPr>
        <sz val="7"/>
        <rFont val="Open Sans"/>
        <family val="2"/>
      </rPr>
      <t>Colin Rallings and Michael Thrasher,</t>
    </r>
    <r>
      <rPr>
        <i/>
        <sz val="7"/>
        <rFont val="Open Sans"/>
        <family val="2"/>
      </rPr>
      <t xml:space="preserve"> British Electoral Facts 1832-2006</t>
    </r>
  </si>
  <si>
    <r>
      <t xml:space="preserve"> CON</t>
    </r>
    <r>
      <rPr>
        <b/>
        <vertAlign val="superscript"/>
        <sz val="9"/>
        <color theme="0"/>
        <rFont val="Open Sans"/>
        <family val="2"/>
      </rPr>
      <t>1</t>
    </r>
    <r>
      <rPr>
        <b/>
        <sz val="9"/>
        <color theme="0"/>
        <rFont val="Open Sans"/>
        <family val="2"/>
      </rPr>
      <t xml:space="preserve"> </t>
    </r>
  </si>
  <si>
    <r>
      <t>LD</t>
    </r>
    <r>
      <rPr>
        <b/>
        <vertAlign val="superscript"/>
        <sz val="9"/>
        <rFont val="Open Sans"/>
        <family val="2"/>
      </rPr>
      <t>2</t>
    </r>
    <r>
      <rPr>
        <b/>
        <sz val="9"/>
        <rFont val="Open Sans"/>
        <family val="2"/>
      </rPr>
      <t xml:space="preserve"> </t>
    </r>
  </si>
  <si>
    <r>
      <t xml:space="preserve"> David Butler, Denis Kavanagh and others, </t>
    </r>
    <r>
      <rPr>
        <i/>
        <sz val="11"/>
        <rFont val="Open Sans"/>
        <family val="2"/>
      </rPr>
      <t>The British General Election of ... (1951-2010)</t>
    </r>
  </si>
  <si>
    <r>
      <t>Mid-Ulster</t>
    </r>
    <r>
      <rPr>
        <vertAlign val="superscript"/>
        <sz val="10"/>
        <rFont val="Open Sans"/>
        <family val="2"/>
      </rPr>
      <t>3</t>
    </r>
  </si>
  <si>
    <r>
      <t>Mid-Ulster</t>
    </r>
    <r>
      <rPr>
        <vertAlign val="superscript"/>
        <sz val="10"/>
        <rFont val="Open Sans"/>
        <family val="2"/>
      </rPr>
      <t>4</t>
    </r>
  </si>
  <si>
    <r>
      <t>GENERAL ELECTION 1983</t>
    </r>
    <r>
      <rPr>
        <b/>
        <vertAlign val="superscript"/>
        <sz val="10"/>
        <rFont val="Open Sans"/>
        <family val="2"/>
      </rPr>
      <t>6</t>
    </r>
  </si>
  <si>
    <r>
      <t xml:space="preserve">F.W.S. Craig, </t>
    </r>
    <r>
      <rPr>
        <i/>
        <sz val="8"/>
        <rFont val="Open Sans"/>
        <family val="2"/>
      </rPr>
      <t>British Parliamentary Election Results 1918-1949</t>
    </r>
  </si>
  <si>
    <r>
      <t xml:space="preserve">F.W.S. Craig, </t>
    </r>
    <r>
      <rPr>
        <i/>
        <sz val="8"/>
        <rFont val="Open Sans"/>
        <family val="2"/>
      </rPr>
      <t>British Parliamentary Election Results 1950-1973</t>
    </r>
  </si>
  <si>
    <r>
      <t xml:space="preserve">F.W.S. Craig, </t>
    </r>
    <r>
      <rPr>
        <i/>
        <sz val="8"/>
        <rFont val="Open Sans"/>
        <family val="2"/>
      </rPr>
      <t>British Parliamentary Election Results 1974-1983</t>
    </r>
  </si>
  <si>
    <r>
      <t>Colin Rallings and Michael Thrasher,</t>
    </r>
    <r>
      <rPr>
        <i/>
        <sz val="8"/>
        <rFont val="Open Sans"/>
        <family val="2"/>
      </rPr>
      <t xml:space="preserve"> British Parliamentary Election Results 1983-1997</t>
    </r>
  </si>
  <si>
    <r>
      <t xml:space="preserve">House of Commons Library RP01/36, </t>
    </r>
    <r>
      <rPr>
        <i/>
        <sz val="8"/>
        <rFont val="Open Sans"/>
        <family val="2"/>
      </rPr>
      <t>By-election results 1997-2000</t>
    </r>
    <r>
      <rPr>
        <sz val="8"/>
        <rFont val="Open Sans"/>
        <family val="2"/>
      </rPr>
      <t xml:space="preserve">; RP05/34, </t>
    </r>
    <r>
      <rPr>
        <i/>
        <sz val="8"/>
        <rFont val="Open Sans"/>
        <family val="2"/>
      </rPr>
      <t>By-election results 2001-05</t>
    </r>
    <r>
      <rPr>
        <sz val="8"/>
        <rFont val="Open Sans"/>
        <family val="2"/>
      </rPr>
      <t xml:space="preserve">; </t>
    </r>
  </si>
  <si>
    <r>
      <t xml:space="preserve">RP10/50, </t>
    </r>
    <r>
      <rPr>
        <i/>
        <sz val="8"/>
        <rFont val="Open Sans"/>
        <family val="2"/>
      </rPr>
      <t>By-election results 2005-10</t>
    </r>
    <r>
      <rPr>
        <sz val="8"/>
        <rFont val="Open Sans"/>
        <family val="2"/>
      </rPr>
      <t xml:space="preserve">; SN05833, </t>
    </r>
    <r>
      <rPr>
        <i/>
        <sz val="8"/>
        <rFont val="Open Sans"/>
        <family val="2"/>
      </rPr>
      <t>By-elections since 2010 General Election</t>
    </r>
  </si>
  <si>
    <t xml:space="preserve">UUP </t>
  </si>
  <si>
    <t xml:space="preserve">SDLP </t>
  </si>
  <si>
    <r>
      <t>NAT</t>
    </r>
    <r>
      <rPr>
        <b/>
        <vertAlign val="superscript"/>
        <sz val="9"/>
        <rFont val="Frutiger LT Std 45 Light"/>
        <family val="2"/>
      </rPr>
      <t xml:space="preserve">2 </t>
    </r>
  </si>
  <si>
    <t xml:space="preserve">SF </t>
  </si>
  <si>
    <r>
      <t>Change in</t>
    </r>
    <r>
      <rPr>
        <b/>
        <sz val="10"/>
        <rFont val="Open Sans"/>
        <family val="2"/>
      </rPr>
      <t xml:space="preserve"> </t>
    </r>
    <r>
      <rPr>
        <sz val="10"/>
        <rFont val="Open Sans"/>
        <family val="2"/>
      </rPr>
      <t>vote share since previous election:</t>
    </r>
  </si>
  <si>
    <t>James Palmer</t>
  </si>
  <si>
    <t>Andy Burnham</t>
  </si>
  <si>
    <t>Steve Rotheram</t>
  </si>
  <si>
    <t>Tim Bowles</t>
  </si>
  <si>
    <t xml:space="preserve">Ros Jones </t>
  </si>
  <si>
    <t xml:space="preserve">Norma Redfearn </t>
  </si>
  <si>
    <t xml:space="preserve">Philip Maurice Glanvvile  </t>
  </si>
  <si>
    <t xml:space="preserve">Rokshana Fiaz </t>
  </si>
  <si>
    <t xml:space="preserve">John Biggs </t>
  </si>
  <si>
    <r>
      <t xml:space="preserve">Cambridgeshire and Peterborough </t>
    </r>
    <r>
      <rPr>
        <vertAlign val="superscript"/>
        <sz val="9"/>
        <rFont val="Open Sans"/>
        <family val="2"/>
      </rPr>
      <t>2</t>
    </r>
  </si>
  <si>
    <t>Adrian Knapper Independent Party</t>
  </si>
  <si>
    <t xml:space="preserve">England </t>
  </si>
  <si>
    <t xml:space="preserve">Wales </t>
  </si>
  <si>
    <t xml:space="preserve">England and Wales </t>
  </si>
  <si>
    <t>total votes cast (incl. rejected)</t>
  </si>
  <si>
    <t>turnout (votes cast as % of electorate)</t>
  </si>
  <si>
    <t>Rejected</t>
  </si>
  <si>
    <r>
      <t>CON</t>
    </r>
    <r>
      <rPr>
        <b/>
        <vertAlign val="superscript"/>
        <sz val="9"/>
        <color theme="0"/>
        <rFont val="Open Sans"/>
        <family val="2"/>
      </rPr>
      <t xml:space="preserve">2 </t>
    </r>
  </si>
  <si>
    <t xml:space="preserve">NAT </t>
  </si>
  <si>
    <r>
      <t>LD</t>
    </r>
    <r>
      <rPr>
        <b/>
        <vertAlign val="superscript"/>
        <sz val="9"/>
        <rFont val="Open Sans"/>
        <family val="2"/>
      </rPr>
      <t xml:space="preserve">3 </t>
    </r>
  </si>
  <si>
    <r>
      <t>LD</t>
    </r>
    <r>
      <rPr>
        <b/>
        <vertAlign val="superscript"/>
        <sz val="9"/>
        <rFont val="Open Sans"/>
        <family val="2"/>
      </rPr>
      <t xml:space="preserve">3     </t>
    </r>
  </si>
  <si>
    <t xml:space="preserve">DUP </t>
  </si>
  <si>
    <r>
      <t xml:space="preserve">CON </t>
    </r>
    <r>
      <rPr>
        <b/>
        <vertAlign val="superscript"/>
        <sz val="9"/>
        <color theme="0"/>
        <rFont val="Open Sans"/>
        <family val="2"/>
      </rPr>
      <t xml:space="preserve"> </t>
    </r>
  </si>
  <si>
    <r>
      <t>LD</t>
    </r>
    <r>
      <rPr>
        <b/>
        <vertAlign val="superscript"/>
        <sz val="9"/>
        <rFont val="Open Sans"/>
        <family val="2"/>
      </rPr>
      <t xml:space="preserve">2 </t>
    </r>
  </si>
  <si>
    <t xml:space="preserve"> in i</t>
  </si>
  <si>
    <t>ENG</t>
  </si>
  <si>
    <t>Table 11c</t>
  </si>
  <si>
    <t>1974 Feb</t>
  </si>
  <si>
    <t>1974 Oct</t>
  </si>
  <si>
    <t>Peterborough</t>
  </si>
  <si>
    <t>Newport West</t>
  </si>
  <si>
    <t>8. By-election called due to resignation of Zac Goldsmith from Conservative party who stood as an independent in the by-election. The Conservatives did not field a candidate. The change in CON vote share is based off CON vote share in 2015 GE and Zac Goldsmith's independent vote share.</t>
  </si>
  <si>
    <t>GE</t>
  </si>
  <si>
    <t>lab</t>
  </si>
  <si>
    <t>lewishman</t>
  </si>
  <si>
    <t>cons</t>
  </si>
  <si>
    <t>ld</t>
  </si>
  <si>
    <t>christian</t>
  </si>
  <si>
    <t>green</t>
  </si>
  <si>
    <t>inde</t>
  </si>
  <si>
    <t>Ge</t>
  </si>
  <si>
    <t>Byelection</t>
  </si>
  <si>
    <t>for britain</t>
  </si>
  <si>
    <t>monster</t>
  </si>
  <si>
    <t>veterans</t>
  </si>
  <si>
    <t>libertarian</t>
  </si>
  <si>
    <t>yp</t>
  </si>
  <si>
    <t>rad</t>
  </si>
  <si>
    <t>newport</t>
  </si>
  <si>
    <t>renew</t>
  </si>
  <si>
    <t>abolish</t>
  </si>
  <si>
    <t>social demo</t>
  </si>
  <si>
    <t>byelectio</t>
  </si>
  <si>
    <t>2-5 perce</t>
  </si>
  <si>
    <t>1-1 percent</t>
  </si>
  <si>
    <t>Table 15a: UK MEPs elected at European Parliament elections by party, 1979-2019</t>
  </si>
  <si>
    <t>Brexit</t>
  </si>
  <si>
    <t>Table 22: Women elected as UK MEPs at European Parliament elections, 1979-2019</t>
  </si>
  <si>
    <t>Women elected as UK MEPs at European Parliament elections, 1979-2019</t>
  </si>
  <si>
    <r>
      <t xml:space="preserve">2. House of Commons Library, </t>
    </r>
    <r>
      <rPr>
        <i/>
        <sz val="8"/>
        <color indexed="8"/>
        <rFont val="Frutiger LT Std 55 Roman"/>
        <family val="2"/>
      </rPr>
      <t>European Parliament Elections 2019</t>
    </r>
  </si>
  <si>
    <t>Rallings and Thrasher, “Voters turned their back on the two main parties” (Local Government Chronicle), 7 May 2019</t>
  </si>
  <si>
    <t>James Driscoll</t>
  </si>
  <si>
    <t>Andy Preston</t>
  </si>
  <si>
    <t>Gianni Carofano</t>
  </si>
  <si>
    <t>Jenni Jackson</t>
  </si>
  <si>
    <t>Adrian Spurrell</t>
  </si>
  <si>
    <t>Turnout 37.5%</t>
  </si>
  <si>
    <t>Linda Jones-Bulman</t>
  </si>
  <si>
    <t>Ged McGrath</t>
  </si>
  <si>
    <t>Turnout 34.8%</t>
  </si>
  <si>
    <t>Peter Soulsby</t>
  </si>
  <si>
    <t>Sandip Verma</t>
  </si>
  <si>
    <t>Margaret Lewis</t>
  </si>
  <si>
    <t>Nigel Porter</t>
  </si>
  <si>
    <t>Stuart Young</t>
  </si>
  <si>
    <t>Sanjay Gogia</t>
  </si>
  <si>
    <t>Stephen Score</t>
  </si>
  <si>
    <t>SP</t>
  </si>
  <si>
    <t>Socialist Party</t>
  </si>
  <si>
    <t>Turnout  29.1%</t>
  </si>
  <si>
    <t>Andy Abrahams</t>
  </si>
  <si>
    <t>Steve Garner</t>
  </si>
  <si>
    <t>Phillip Shields</t>
  </si>
  <si>
    <t>Turnout 31.1%</t>
  </si>
  <si>
    <t>Mick Thompson</t>
  </si>
  <si>
    <t>Peter Longstaff</t>
  </si>
  <si>
    <t>Ken Hall</t>
  </si>
  <si>
    <t>Brexit Party</t>
  </si>
  <si>
    <t>North of Tyne</t>
  </si>
  <si>
    <t>Year elected</t>
  </si>
  <si>
    <t>Years spent in office by Prime Ministers 1916-2019</t>
  </si>
  <si>
    <t>As at August 2019</t>
  </si>
  <si>
    <t>General Elections 1918-2019: United Kingdom</t>
  </si>
  <si>
    <t>General Elections 1918-2019: Great Britain</t>
  </si>
  <si>
    <t>General Elections 1918-2019: England</t>
  </si>
  <si>
    <t>General Elections 1918-2019: Wales</t>
  </si>
  <si>
    <t>General Elections 1918-2019: Scotland</t>
  </si>
  <si>
    <t>General Elections 1918-2019: Northern Ireland</t>
  </si>
  <si>
    <t>Turnout at UK General Elections: 1918-2019</t>
  </si>
  <si>
    <t>Spoilt Ballot Papers in UK General Elections 1964-2019</t>
  </si>
  <si>
    <t>Postal Ballot Papers in UK Elections 1945-2019</t>
  </si>
  <si>
    <t>Women MPs elected at General Elections by Party 1918-2019</t>
  </si>
  <si>
    <t>Black and Minority Ethnic MPs elected at General Elections, 1987-2019</t>
  </si>
  <si>
    <t>MPs entering House of Commons for first time at General Elections, 1979-2019</t>
  </si>
  <si>
    <t>Northern Ireland Assembly Elections:1998-2019</t>
  </si>
  <si>
    <t>Party affiliation of councillors 1973-2019</t>
  </si>
  <si>
    <t>Elected Mayors, as at August 2019 (outside of London)</t>
  </si>
  <si>
    <t>Elected metro-mayors, as at August 2019</t>
  </si>
  <si>
    <t>2016-2019</t>
  </si>
  <si>
    <t>1924, 1929-1935</t>
  </si>
  <si>
    <t>GENERAL ELECTION 2019</t>
  </si>
  <si>
    <t>Seats won by party at UK General Elections: 1918-2019</t>
  </si>
  <si>
    <t>National Labour</t>
  </si>
  <si>
    <t>Unoposed</t>
  </si>
  <si>
    <t xml:space="preserve">Source: Rallings and Thrasher, British Electoral Facts: 1832-2012, </t>
  </si>
  <si>
    <t>All others</t>
  </si>
  <si>
    <t>N</t>
  </si>
  <si>
    <t>C</t>
  </si>
  <si>
    <t>L</t>
  </si>
  <si>
    <t>(Total Co)</t>
  </si>
  <si>
    <t>CoL</t>
  </si>
  <si>
    <t>Co C</t>
  </si>
  <si>
    <t>UNIVERSITIES</t>
  </si>
  <si>
    <t>NFDSS</t>
  </si>
  <si>
    <t>NOP</t>
  </si>
  <si>
    <t>NatP</t>
  </si>
  <si>
    <t>Co-o p</t>
  </si>
  <si>
    <t>Co NDP</t>
  </si>
  <si>
    <t>Co Ind</t>
  </si>
  <si>
    <t>Co Lab</t>
  </si>
  <si>
    <t>Co L</t>
  </si>
  <si>
    <t>UNITED KINGDOM</t>
  </si>
  <si>
    <t>NDP</t>
  </si>
  <si>
    <t>Nat P</t>
  </si>
  <si>
    <t>Co-op</t>
  </si>
  <si>
    <t>Example how  LD vote share would not fit the R&amp;T figure, because of rounding to only 1 decimal point</t>
  </si>
  <si>
    <t>GREAT BRITAIN</t>
  </si>
  <si>
    <t>IRELAND</t>
  </si>
  <si>
    <t>SCOTLAND</t>
  </si>
  <si>
    <t xml:space="preserve">This cell is empty in R&amp;T it should be 1 to summ up to the total </t>
  </si>
  <si>
    <t>WALES</t>
  </si>
  <si>
    <t xml:space="preserve">ENGLAND </t>
  </si>
  <si>
    <t xml:space="preserve">elected </t>
  </si>
  <si>
    <t xml:space="preserve">Unopposed </t>
  </si>
  <si>
    <t>candidates</t>
  </si>
  <si>
    <t>total votes</t>
  </si>
  <si>
    <r>
      <rPr>
        <b/>
        <sz val="12"/>
        <color rgb="FF3F3F3D"/>
        <rFont val="Open Sans"/>
        <family val="2"/>
      </rPr>
      <t>Total</t>
    </r>
  </si>
  <si>
    <r>
      <rPr>
        <sz val="12"/>
        <color rgb="FF3F3F3D"/>
        <rFont val="Open Sans"/>
        <family val="2"/>
      </rPr>
      <t>Other</t>
    </r>
    <r>
      <rPr>
        <sz val="12"/>
        <color rgb="FF5B5B5B"/>
        <rFont val="Open Sans"/>
        <family val="2"/>
      </rPr>
      <t>s</t>
    </r>
  </si>
  <si>
    <r>
      <rPr>
        <sz val="12"/>
        <color rgb="FF3F3F3D"/>
        <rFont val="Open Sans"/>
        <family val="2"/>
      </rPr>
      <t>Lab</t>
    </r>
  </si>
  <si>
    <r>
      <rPr>
        <sz val="12"/>
        <color rgb="FF3F3F3D"/>
        <rFont val="Open Sans"/>
        <family val="2"/>
      </rPr>
      <t>NL</t>
    </r>
  </si>
  <si>
    <r>
      <rPr>
        <sz val="12"/>
        <color rgb="FF3F3F3D"/>
        <rFont val="Open Sans"/>
        <family val="2"/>
      </rPr>
      <t>L</t>
    </r>
  </si>
  <si>
    <r>
      <rPr>
        <sz val="12"/>
        <color rgb="FF3F3F3D"/>
        <rFont val="Open Sans"/>
        <family val="2"/>
      </rPr>
      <t>C</t>
    </r>
  </si>
  <si>
    <r>
      <rPr>
        <b/>
        <sz val="12"/>
        <color rgb="FF3F3F3D"/>
        <rFont val="Open Sans"/>
        <family val="2"/>
      </rPr>
      <t>UNIVERSITIES</t>
    </r>
  </si>
  <si>
    <r>
      <rPr>
        <sz val="12"/>
        <color rgb="FF3F3F3D"/>
        <rFont val="Open Sans"/>
        <family val="2"/>
      </rPr>
      <t>Others</t>
    </r>
  </si>
  <si>
    <r>
      <rPr>
        <sz val="12"/>
        <color rgb="FF3F3F3D"/>
        <rFont val="Open Sans"/>
        <family val="2"/>
      </rPr>
      <t>N</t>
    </r>
  </si>
  <si>
    <r>
      <rPr>
        <sz val="12"/>
        <color rgb="FF3F3F3D"/>
        <rFont val="Open Sans"/>
        <family val="2"/>
      </rPr>
      <t>Com</t>
    </r>
  </si>
  <si>
    <r>
      <rPr>
        <b/>
        <sz val="12"/>
        <color rgb="FF3F3F3D"/>
        <rFont val="Open Sans"/>
        <family val="2"/>
      </rPr>
      <t>UNITED KINGDOM</t>
    </r>
  </si>
  <si>
    <r>
      <rPr>
        <b/>
        <sz val="12"/>
        <color rgb="FF3F3F3D"/>
        <rFont val="Open Sans"/>
        <family val="2"/>
      </rPr>
      <t>GREAT BRITAIN</t>
    </r>
  </si>
  <si>
    <r>
      <rPr>
        <b/>
        <sz val="12"/>
        <color rgb="FF3F3F3D"/>
        <rFont val="Open Sans"/>
        <family val="2"/>
      </rPr>
      <t>NORTHERN IRELAND</t>
    </r>
  </si>
  <si>
    <r>
      <rPr>
        <b/>
        <sz val="12"/>
        <color rgb="FF3F3F3D"/>
        <rFont val="Open Sans"/>
        <family val="2"/>
      </rPr>
      <t>NL</t>
    </r>
  </si>
  <si>
    <r>
      <rPr>
        <b/>
        <sz val="12"/>
        <color rgb="FF3F3F3D"/>
        <rFont val="Open Sans"/>
        <family val="2"/>
      </rPr>
      <t>SCOTLAND</t>
    </r>
  </si>
  <si>
    <r>
      <rPr>
        <b/>
        <sz val="12"/>
        <color rgb="FF3F3F3D"/>
        <rFont val="Open Sans"/>
        <family val="2"/>
      </rPr>
      <t>WALES</t>
    </r>
  </si>
  <si>
    <r>
      <rPr>
        <b/>
        <sz val="12"/>
        <color rgb="FF3F3F3D"/>
        <rFont val="Open Sans"/>
        <family val="2"/>
      </rPr>
      <t>ENGLAND</t>
    </r>
  </si>
  <si>
    <r>
      <rPr>
        <i/>
        <sz val="12"/>
        <color rgb="FF3F3F3D"/>
        <rFont val="Open Sans"/>
        <family val="2"/>
      </rPr>
      <t>Elected</t>
    </r>
  </si>
  <si>
    <r>
      <rPr>
        <i/>
        <sz val="12"/>
        <color rgb="FF3F3F3D"/>
        <rFont val="Open Sans"/>
        <family val="2"/>
      </rPr>
      <t>Unopposed</t>
    </r>
  </si>
  <si>
    <r>
      <rPr>
        <i/>
        <sz val="12"/>
        <color rgb="FF3F3F3D"/>
        <rFont val="Open Sans"/>
        <family val="2"/>
      </rPr>
      <t>Candidates</t>
    </r>
  </si>
  <si>
    <r>
      <rPr>
        <sz val="12"/>
        <color rgb="FF3F3F3D"/>
        <rFont val="Open Sans"/>
        <family val="2"/>
      </rPr>
      <t>%</t>
    </r>
  </si>
  <si>
    <r>
      <rPr>
        <i/>
        <sz val="12"/>
        <color rgb="FF3F3F3D"/>
        <rFont val="Open Sans"/>
        <family val="2"/>
      </rPr>
      <t>Total Votes</t>
    </r>
  </si>
  <si>
    <t>General Election 1922 (15 November)</t>
  </si>
  <si>
    <r>
      <rPr>
        <b/>
        <sz val="12"/>
        <color rgb="FF3B3B3B"/>
        <rFont val="Open Sans"/>
        <family val="2"/>
      </rPr>
      <t>Total</t>
    </r>
  </si>
  <si>
    <r>
      <rPr>
        <sz val="12"/>
        <color rgb="FF3B3B3B"/>
        <rFont val="Open Sans"/>
        <family val="2"/>
      </rPr>
      <t>Others</t>
    </r>
  </si>
  <si>
    <r>
      <rPr>
        <sz val="12"/>
        <color rgb="FF3B3B3B"/>
        <rFont val="Open Sans"/>
        <family val="2"/>
      </rPr>
      <t>Lab</t>
    </r>
  </si>
  <si>
    <r>
      <rPr>
        <sz val="12"/>
        <color rgb="FF3B3B3B"/>
        <rFont val="Open Sans"/>
        <family val="2"/>
      </rPr>
      <t>L</t>
    </r>
  </si>
  <si>
    <r>
      <rPr>
        <sz val="12"/>
        <color rgb="FF3B3B3B"/>
        <rFont val="Open Sans"/>
        <family val="2"/>
      </rPr>
      <t>C</t>
    </r>
  </si>
  <si>
    <r>
      <rPr>
        <b/>
        <sz val="12"/>
        <color rgb="FF3B3B3B"/>
        <rFont val="Open Sans"/>
        <family val="2"/>
      </rPr>
      <t>UNIVERSITIES</t>
    </r>
  </si>
  <si>
    <r>
      <rPr>
        <sz val="12"/>
        <color rgb="FF3B3B3B"/>
        <rFont val="Open Sans"/>
        <family val="2"/>
      </rPr>
      <t>N</t>
    </r>
  </si>
  <si>
    <r>
      <rPr>
        <sz val="12"/>
        <color rgb="FF3B3B3B"/>
        <rFont val="Open Sans"/>
        <family val="2"/>
      </rPr>
      <t>Com</t>
    </r>
  </si>
  <si>
    <r>
      <rPr>
        <b/>
        <sz val="12"/>
        <color rgb="FF3B3B3B"/>
        <rFont val="Open Sans"/>
        <family val="2"/>
      </rPr>
      <t>UNITED KINGDOM</t>
    </r>
  </si>
  <si>
    <r>
      <rPr>
        <sz val="12"/>
        <color rgb="FF3B3B3B"/>
        <rFont val="Open Sans"/>
        <family val="2"/>
      </rPr>
      <t>O</t>
    </r>
    <r>
      <rPr>
        <sz val="12"/>
        <color rgb="FF595959"/>
        <rFont val="Open Sans"/>
        <family val="2"/>
      </rPr>
      <t>t</t>
    </r>
    <r>
      <rPr>
        <sz val="12"/>
        <color rgb="FF3B3B3B"/>
        <rFont val="Open Sans"/>
        <family val="2"/>
      </rPr>
      <t>hers</t>
    </r>
  </si>
  <si>
    <r>
      <rPr>
        <b/>
        <sz val="12"/>
        <color rgb="FF3B3B3B"/>
        <rFont val="Open Sans"/>
        <family val="2"/>
      </rPr>
      <t>GREAT BRITAIN</t>
    </r>
  </si>
  <si>
    <r>
      <rPr>
        <b/>
        <sz val="12"/>
        <color rgb="FF3B3B3B"/>
        <rFont val="Open Sans"/>
        <family val="2"/>
      </rPr>
      <t>NORTHERN IRELAND</t>
    </r>
  </si>
  <si>
    <r>
      <rPr>
        <b/>
        <sz val="12"/>
        <color rgb="FF3B3B3B"/>
        <rFont val="Open Sans"/>
        <family val="2"/>
      </rPr>
      <t>SCOTLAND</t>
    </r>
  </si>
  <si>
    <r>
      <rPr>
        <b/>
        <sz val="12"/>
        <color rgb="FF3B3B3B"/>
        <rFont val="Open Sans"/>
        <family val="2"/>
      </rPr>
      <t>WALES</t>
    </r>
  </si>
  <si>
    <r>
      <rPr>
        <b/>
        <sz val="12"/>
        <color rgb="FF3B3B3B"/>
        <rFont val="Open Sans"/>
        <family val="2"/>
      </rPr>
      <t>ENGLAND</t>
    </r>
  </si>
  <si>
    <r>
      <rPr>
        <b/>
        <i/>
        <sz val="12"/>
        <color rgb="FF3B3B3B"/>
        <rFont val="Open Sans"/>
        <family val="2"/>
      </rPr>
      <t>Elected</t>
    </r>
  </si>
  <si>
    <r>
      <rPr>
        <b/>
        <i/>
        <sz val="12"/>
        <color rgb="FF3B3B3B"/>
        <rFont val="Open Sans"/>
        <family val="2"/>
      </rPr>
      <t>Unopposed</t>
    </r>
  </si>
  <si>
    <r>
      <rPr>
        <b/>
        <i/>
        <sz val="12"/>
        <color rgb="FF3B3B3B"/>
        <rFont val="Open Sans"/>
        <family val="2"/>
      </rPr>
      <t>Cattdidntes</t>
    </r>
  </si>
  <si>
    <r>
      <rPr>
        <sz val="12"/>
        <color rgb="FF3B3B3B"/>
        <rFont val="Open Sans"/>
        <family val="2"/>
      </rPr>
      <t>%</t>
    </r>
  </si>
  <si>
    <r>
      <rPr>
        <b/>
        <i/>
        <sz val="12"/>
        <color rgb="FF3B3B3B"/>
        <rFont val="Open Sans"/>
        <family val="2"/>
      </rPr>
      <t>Total Votes</t>
    </r>
  </si>
  <si>
    <t xml:space="preserve"> General Election 1923 (6 December)</t>
  </si>
  <si>
    <r>
      <rPr>
        <sz val="12"/>
        <color rgb="FF3B3B3B"/>
        <rFont val="Open Sans"/>
        <family val="2"/>
      </rPr>
      <t>Other</t>
    </r>
    <r>
      <rPr>
        <sz val="12"/>
        <color rgb="FF5B5B5B"/>
        <rFont val="Open Sans"/>
        <family val="2"/>
      </rPr>
      <t>s</t>
    </r>
  </si>
  <si>
    <r>
      <rPr>
        <sz val="12"/>
        <color rgb="FF3B3B3B"/>
        <rFont val="Open Sans"/>
        <family val="2"/>
      </rPr>
      <t>Const</t>
    </r>
  </si>
  <si>
    <r>
      <rPr>
        <sz val="12"/>
        <color rgb="FF3B3B3B"/>
        <rFont val="Open Sans"/>
        <family val="2"/>
      </rPr>
      <t>SF</t>
    </r>
  </si>
  <si>
    <r>
      <rPr>
        <b/>
        <i/>
        <sz val="12"/>
        <color rgb="FF3B3B3B"/>
        <rFont val="Open Sans"/>
        <family val="2"/>
      </rPr>
      <t>Candidates</t>
    </r>
  </si>
  <si>
    <t>General Election 1924 (29 October)</t>
  </si>
  <si>
    <r>
      <rPr>
        <sz val="12"/>
        <color rgb="FF3B3B3B"/>
        <rFont val="Open Sans"/>
        <family val="2"/>
      </rPr>
      <t>SNP</t>
    </r>
  </si>
  <si>
    <r>
      <rPr>
        <sz val="12"/>
        <color rgb="FF3B3B3B"/>
        <rFont val="Open Sans"/>
        <family val="2"/>
      </rPr>
      <t>PC</t>
    </r>
  </si>
  <si>
    <r>
      <rPr>
        <sz val="12"/>
        <color rgb="FF525252"/>
        <rFont val="Open Sans"/>
        <family val="2"/>
      </rPr>
      <t>Lab</t>
    </r>
  </si>
  <si>
    <r>
      <rPr>
        <sz val="12"/>
        <color rgb="FF525252"/>
        <rFont val="Open Sans"/>
        <family val="2"/>
      </rPr>
      <t>L</t>
    </r>
  </si>
  <si>
    <r>
      <rPr>
        <b/>
        <i/>
        <sz val="12"/>
        <color rgb="FF3B3B3B"/>
        <rFont val="Open Sans"/>
        <family val="2"/>
      </rPr>
      <t>Candidtlles</t>
    </r>
  </si>
  <si>
    <t>General Election 1929 (30 May)</t>
  </si>
  <si>
    <r>
      <rPr>
        <b/>
        <sz val="12"/>
        <color rgb="FF3D3D3D"/>
        <rFont val="Open Sans"/>
        <family val="2"/>
      </rPr>
      <t>Total</t>
    </r>
  </si>
  <si>
    <r>
      <rPr>
        <sz val="12"/>
        <color rgb="FF3D3D3D"/>
        <rFont val="Open Sans"/>
        <family val="2"/>
      </rPr>
      <t>Others</t>
    </r>
  </si>
  <si>
    <r>
      <rPr>
        <sz val="12"/>
        <color rgb="FF3D3D3D"/>
        <rFont val="Open Sans"/>
        <family val="2"/>
      </rPr>
      <t>NP</t>
    </r>
  </si>
  <si>
    <r>
      <rPr>
        <sz val="12"/>
        <color rgb="FF3D3D3D"/>
        <rFont val="Open Sans"/>
        <family val="2"/>
      </rPr>
      <t>PC</t>
    </r>
  </si>
  <si>
    <r>
      <rPr>
        <i/>
        <sz val="12"/>
        <color rgb="FF3D3D3D"/>
        <rFont val="Open Sans"/>
        <family val="2"/>
      </rPr>
      <t>(Total Nat)</t>
    </r>
  </si>
  <si>
    <r>
      <rPr>
        <sz val="12"/>
        <color rgb="FF3D3D3D"/>
        <rFont val="Open Sans"/>
        <family val="2"/>
      </rPr>
      <t>NLab</t>
    </r>
  </si>
  <si>
    <r>
      <rPr>
        <sz val="12"/>
        <color rgb="FF3D3D3D"/>
        <rFont val="Open Sans"/>
        <family val="2"/>
      </rPr>
      <t>L</t>
    </r>
  </si>
  <si>
    <r>
      <rPr>
        <sz val="12"/>
        <color rgb="FF3D3D3D"/>
        <rFont val="Open Sans"/>
        <family val="2"/>
      </rPr>
      <t>C</t>
    </r>
  </si>
  <si>
    <r>
      <rPr>
        <b/>
        <sz val="12"/>
        <color rgb="FF3D3D3D"/>
        <rFont val="Open Sans"/>
        <family val="2"/>
      </rPr>
      <t>UNIVERSITIES</t>
    </r>
  </si>
  <si>
    <r>
      <rPr>
        <sz val="12"/>
        <color rgb="FF3D3D3D"/>
        <rFont val="Open Sans"/>
        <family val="2"/>
      </rPr>
      <t>N</t>
    </r>
  </si>
  <si>
    <r>
      <rPr>
        <sz val="12"/>
        <color rgb="FF3D3D3D"/>
        <rFont val="Open Sans"/>
        <family val="2"/>
      </rPr>
      <t>Com</t>
    </r>
  </si>
  <si>
    <r>
      <rPr>
        <sz val="12"/>
        <color rgb="FF3D3D3D"/>
        <rFont val="Open Sans"/>
        <family val="2"/>
      </rPr>
      <t>SNP</t>
    </r>
  </si>
  <si>
    <r>
      <rPr>
        <sz val="12"/>
        <color rgb="FF3D3D3D"/>
        <rFont val="Open Sans"/>
        <family val="2"/>
      </rPr>
      <t>Lab</t>
    </r>
  </si>
  <si>
    <r>
      <rPr>
        <sz val="12"/>
        <color rgb="FF3D3D3D"/>
        <rFont val="Open Sans"/>
        <family val="2"/>
      </rPr>
      <t>Ind L</t>
    </r>
  </si>
  <si>
    <r>
      <rPr>
        <i/>
        <sz val="12"/>
        <color rgb="FF3D3D3D"/>
        <rFont val="Open Sans"/>
        <family val="2"/>
      </rPr>
      <t>(Tot</t>
    </r>
    <r>
      <rPr>
        <i/>
        <sz val="12"/>
        <color rgb="FF595959"/>
        <rFont val="Open Sans"/>
        <family val="2"/>
      </rPr>
      <t>a</t>
    </r>
    <r>
      <rPr>
        <i/>
        <sz val="12"/>
        <color rgb="FF3D3D3D"/>
        <rFont val="Open Sans"/>
        <family val="2"/>
      </rPr>
      <t>l Nat)</t>
    </r>
  </si>
  <si>
    <r>
      <rPr>
        <sz val="12"/>
        <color rgb="FF3D3D3D"/>
        <rFont val="Open Sans"/>
        <family val="2"/>
      </rPr>
      <t>NL</t>
    </r>
  </si>
  <si>
    <r>
      <rPr>
        <sz val="12"/>
        <color rgb="FF3D3D3D"/>
        <rFont val="Open Sans"/>
        <family val="2"/>
      </rPr>
      <t>Nat</t>
    </r>
  </si>
  <si>
    <r>
      <rPr>
        <b/>
        <sz val="12"/>
        <color rgb="FF3D3D3D"/>
        <rFont val="Open Sans"/>
        <family val="2"/>
      </rPr>
      <t>UNITED KlNGDOM</t>
    </r>
  </si>
  <si>
    <r>
      <rPr>
        <b/>
        <sz val="12"/>
        <color rgb="FF3D3D3D"/>
        <rFont val="Open Sans"/>
        <family val="2"/>
      </rPr>
      <t>GREAT BRITAIN</t>
    </r>
  </si>
  <si>
    <r>
      <rPr>
        <b/>
        <sz val="12"/>
        <color rgb="FF3D3D3D"/>
        <rFont val="Open Sans"/>
        <family val="2"/>
      </rPr>
      <t>NORTHERN IRELAND</t>
    </r>
  </si>
  <si>
    <r>
      <rPr>
        <b/>
        <sz val="12"/>
        <color rgb="FF3D3D3D"/>
        <rFont val="Open Sans"/>
        <family val="2"/>
      </rPr>
      <t>SCOTLAND</t>
    </r>
  </si>
  <si>
    <r>
      <rPr>
        <b/>
        <sz val="12"/>
        <color rgb="FF3D3D3D"/>
        <rFont val="Open Sans"/>
        <family val="2"/>
      </rPr>
      <t>NL</t>
    </r>
  </si>
  <si>
    <r>
      <rPr>
        <b/>
        <sz val="12"/>
        <color rgb="FF3D3D3D"/>
        <rFont val="Open Sans"/>
        <family val="2"/>
      </rPr>
      <t>WALES</t>
    </r>
  </si>
  <si>
    <r>
      <rPr>
        <b/>
        <sz val="12"/>
        <color rgb="FF3D3D3D"/>
        <rFont val="Open Sans"/>
        <family val="2"/>
      </rPr>
      <t>ENGLAND</t>
    </r>
  </si>
  <si>
    <t>General Election 1931 (27 October)</t>
  </si>
  <si>
    <r>
      <rPr>
        <sz val="12"/>
        <color rgb="FF4F4F4F"/>
        <rFont val="Open Sans"/>
        <family val="2"/>
      </rPr>
      <t>Lab</t>
    </r>
  </si>
  <si>
    <r>
      <rPr>
        <b/>
        <sz val="12"/>
        <color rgb="FF4F4F4F"/>
        <rFont val="Open Sans"/>
        <family val="2"/>
      </rPr>
      <t>L</t>
    </r>
  </si>
  <si>
    <r>
      <rPr>
        <i/>
        <sz val="12"/>
        <color rgb="FF3B3B3B"/>
        <rFont val="Open Sans"/>
        <family val="2"/>
      </rPr>
      <t>(Total Nat)</t>
    </r>
  </si>
  <si>
    <r>
      <rPr>
        <b/>
        <sz val="12"/>
        <color rgb="FF3B3B3B"/>
        <rFont val="Open Sans"/>
        <family val="2"/>
      </rPr>
      <t>NL</t>
    </r>
  </si>
  <si>
    <r>
      <rPr>
        <sz val="12"/>
        <color rgb="FF232323"/>
        <rFont val="Open Sans"/>
        <family val="2"/>
      </rPr>
      <t>Rep</t>
    </r>
  </si>
  <si>
    <r>
      <rPr>
        <sz val="12"/>
        <color rgb="FF0F0F0F"/>
        <rFont val="Open Sans"/>
        <family val="2"/>
      </rPr>
      <t>N</t>
    </r>
  </si>
  <si>
    <r>
      <rPr>
        <sz val="12"/>
        <color rgb="FF232323"/>
        <rFont val="Open Sans"/>
        <family val="2"/>
      </rPr>
      <t>ILP</t>
    </r>
  </si>
  <si>
    <r>
      <rPr>
        <sz val="12"/>
        <color rgb="FF3A3A3A"/>
        <rFont val="Open Sans"/>
        <family val="2"/>
      </rPr>
      <t>Com</t>
    </r>
  </si>
  <si>
    <r>
      <rPr>
        <sz val="12"/>
        <color rgb="FF232323"/>
        <rFont val="Open Sans"/>
        <family val="2"/>
      </rPr>
      <t>SNP</t>
    </r>
  </si>
  <si>
    <r>
      <rPr>
        <sz val="12"/>
        <color rgb="FF0F0F0F"/>
        <rFont val="Open Sans"/>
        <family val="2"/>
      </rPr>
      <t>PC</t>
    </r>
  </si>
  <si>
    <r>
      <rPr>
        <sz val="12"/>
        <color rgb="FF0F0F0F"/>
        <rFont val="Open Sans"/>
        <family val="2"/>
      </rPr>
      <t>Lab</t>
    </r>
  </si>
  <si>
    <r>
      <rPr>
        <b/>
        <sz val="12"/>
        <color rgb="FF0F0F0F"/>
        <rFont val="Open Sans"/>
        <family val="2"/>
      </rPr>
      <t>L</t>
    </r>
  </si>
  <si>
    <r>
      <rPr>
        <i/>
        <sz val="12"/>
        <color rgb="FF3A3A3A"/>
        <rFont val="Open Sans"/>
        <family val="2"/>
      </rPr>
      <t>(Tntal Nat)</t>
    </r>
  </si>
  <si>
    <r>
      <rPr>
        <sz val="12"/>
        <color rgb="FF0F0F0F"/>
        <rFont val="Open Sans"/>
        <family val="2"/>
      </rPr>
      <t>NLab</t>
    </r>
  </si>
  <si>
    <r>
      <rPr>
        <sz val="12"/>
        <color rgb="FF0F0F0F"/>
        <rFont val="Open Sans"/>
        <family val="2"/>
      </rPr>
      <t>NL</t>
    </r>
  </si>
  <si>
    <r>
      <rPr>
        <sz val="12"/>
        <color rgb="FF232323"/>
        <rFont val="Open Sans"/>
        <family val="2"/>
      </rPr>
      <t>Nat</t>
    </r>
  </si>
  <si>
    <r>
      <rPr>
        <sz val="12"/>
        <color rgb="FF232323"/>
        <rFont val="Open Sans"/>
        <family val="2"/>
      </rPr>
      <t>C</t>
    </r>
  </si>
  <si>
    <r>
      <rPr>
        <b/>
        <sz val="12"/>
        <color rgb="FF0F0F0F"/>
        <rFont val="Open Sans"/>
        <family val="2"/>
      </rPr>
      <t>UNITED KINGDOM</t>
    </r>
  </si>
  <si>
    <r>
      <rPr>
        <b/>
        <sz val="12"/>
        <color rgb="FF0F0F0F"/>
        <rFont val="Open Sans"/>
        <family val="2"/>
      </rPr>
      <t>Total</t>
    </r>
  </si>
  <si>
    <r>
      <rPr>
        <sz val="12"/>
        <color rgb="FF232323"/>
        <rFont val="Open Sans"/>
        <family val="2"/>
      </rPr>
      <t>Others</t>
    </r>
  </si>
  <si>
    <r>
      <rPr>
        <sz val="12"/>
        <color rgb="FF0F0F0F"/>
        <rFont val="Open Sans"/>
        <family val="2"/>
      </rPr>
      <t>ILP</t>
    </r>
  </si>
  <si>
    <r>
      <rPr>
        <sz val="12"/>
        <color rgb="FF0F0F0F"/>
        <rFont val="Open Sans"/>
        <family val="2"/>
      </rPr>
      <t>SNP</t>
    </r>
  </si>
  <si>
    <r>
      <rPr>
        <sz val="12"/>
        <color rgb="FF232323"/>
        <rFont val="Open Sans"/>
        <family val="2"/>
      </rPr>
      <t>Com</t>
    </r>
  </si>
  <si>
    <r>
      <rPr>
        <sz val="12"/>
        <color rgb="FF232323"/>
        <rFont val="Open Sans"/>
        <family val="2"/>
      </rPr>
      <t>L</t>
    </r>
  </si>
  <si>
    <r>
      <rPr>
        <i/>
        <sz val="12"/>
        <color rgb="FF3A3A3A"/>
        <rFont val="Open Sans"/>
        <family val="2"/>
      </rPr>
      <t>(Total Na</t>
    </r>
    <r>
      <rPr>
        <i/>
        <sz val="12"/>
        <color rgb="FF0F0F0F"/>
        <rFont val="Open Sans"/>
        <family val="2"/>
      </rPr>
      <t>t</t>
    </r>
    <r>
      <rPr>
        <i/>
        <sz val="12"/>
        <color rgb="FF3A3A3A"/>
        <rFont val="Open Sans"/>
        <family val="2"/>
      </rPr>
      <t>)</t>
    </r>
  </si>
  <si>
    <r>
      <rPr>
        <sz val="12"/>
        <color rgb="FF232323"/>
        <rFont val="Open Sans"/>
        <family val="2"/>
      </rPr>
      <t>NLab</t>
    </r>
  </si>
  <si>
    <r>
      <rPr>
        <sz val="12"/>
        <color rgb="FF3A3A3A"/>
        <rFont val="Open Sans"/>
        <family val="2"/>
      </rPr>
      <t>C</t>
    </r>
  </si>
  <si>
    <r>
      <rPr>
        <b/>
        <sz val="12"/>
        <color rgb="FF0F0F0F"/>
        <rFont val="Open Sans"/>
        <family val="2"/>
      </rPr>
      <t xml:space="preserve">GREAT </t>
    </r>
    <r>
      <rPr>
        <b/>
        <sz val="12"/>
        <rFont val="Open Sans"/>
        <family val="2"/>
      </rPr>
      <t>BRI</t>
    </r>
    <r>
      <rPr>
        <b/>
        <sz val="12"/>
        <color rgb="FF232323"/>
        <rFont val="Open Sans"/>
        <family val="2"/>
      </rPr>
      <t>TAI</t>
    </r>
    <r>
      <rPr>
        <b/>
        <sz val="12"/>
        <rFont val="Open Sans"/>
        <family val="2"/>
      </rPr>
      <t xml:space="preserve">N                                                                                                               </t>
    </r>
    <r>
      <rPr>
        <vertAlign val="subscript"/>
        <sz val="12"/>
        <color rgb="FF3131FF"/>
        <rFont val="Open Sans"/>
        <family val="2"/>
      </rPr>
      <t>....</t>
    </r>
  </si>
  <si>
    <r>
      <rPr>
        <b/>
        <sz val="12"/>
        <color rgb="FF4F4F4F"/>
        <rFont val="Open Sans"/>
        <family val="2"/>
      </rPr>
      <t>Total</t>
    </r>
  </si>
  <si>
    <r>
      <rPr>
        <sz val="12"/>
        <color rgb="FF3B3B3B"/>
        <rFont val="Open Sans"/>
        <family val="2"/>
      </rPr>
      <t>Rep</t>
    </r>
  </si>
  <si>
    <r>
      <rPr>
        <sz val="12"/>
        <color rgb="FF4F4F4F"/>
        <rFont val="Open Sans"/>
        <family val="2"/>
      </rPr>
      <t>N</t>
    </r>
  </si>
  <si>
    <r>
      <rPr>
        <i/>
        <sz val="12"/>
        <color rgb="FF4F4F4F"/>
        <rFont val="Open Sans"/>
        <family val="2"/>
      </rPr>
      <t xml:space="preserve">(Total </t>
    </r>
    <r>
      <rPr>
        <i/>
        <sz val="12"/>
        <color rgb="FF3B3B3B"/>
        <rFont val="Open Sans"/>
        <family val="2"/>
      </rPr>
      <t>Nat)</t>
    </r>
  </si>
  <si>
    <t>NORTHERN IRELAND</t>
  </si>
  <si>
    <r>
      <rPr>
        <sz val="12"/>
        <color rgb="FF3B3B3B"/>
        <rFont val="Open Sans"/>
        <family val="2"/>
      </rPr>
      <t>ILP</t>
    </r>
  </si>
  <si>
    <r>
      <rPr>
        <sz val="12"/>
        <color rgb="FF3B3B3B"/>
        <rFont val="Open Sans"/>
        <family val="2"/>
      </rPr>
      <t>NLab</t>
    </r>
  </si>
  <si>
    <r>
      <rPr>
        <sz val="12"/>
        <color rgb="FF3B3B3B"/>
        <rFont val="Open Sans"/>
        <family val="2"/>
      </rPr>
      <t>NL</t>
    </r>
  </si>
  <si>
    <r>
      <rPr>
        <sz val="12"/>
        <color rgb="FF4F4F4F"/>
        <rFont val="Open Sans"/>
        <family val="2"/>
      </rPr>
      <t>Nat</t>
    </r>
  </si>
  <si>
    <r>
      <rPr>
        <sz val="12"/>
        <color rgb="FF4F4F4F"/>
        <rFont val="Open Sans"/>
        <family val="2"/>
      </rPr>
      <t>L</t>
    </r>
  </si>
  <si>
    <r>
      <rPr>
        <sz val="12"/>
        <color rgb="FF3B3B3B"/>
        <rFont val="Open Sans"/>
        <family val="2"/>
      </rPr>
      <t>Nat</t>
    </r>
  </si>
  <si>
    <r>
      <rPr>
        <sz val="12"/>
        <color rgb="FF3B3B3B"/>
        <rFont val="Open Sans"/>
        <family val="2"/>
      </rPr>
      <t>JLP</t>
    </r>
  </si>
  <si>
    <t xml:space="preserve">Elected </t>
  </si>
  <si>
    <t>General Election 1935 (14 November)</t>
  </si>
  <si>
    <t>LarEest party</t>
  </si>
  <si>
    <t>3. Includes Coalition Liberal Party for 1918; National Liberal for 1922; and Independent Liberal for 1931. FiEures show Liberal/SDP Alliance vote for 1983-1987 and Liberal Democrat vote from 1992 onwards.</t>
  </si>
  <si>
    <t>4. 1918 fiEures include all of Ireland.</t>
  </si>
  <si>
    <t>Colin RallinEs and Michael Thrasher, British Electoral Facts 1832-2006</t>
  </si>
  <si>
    <t>House of Commons Library, RP10/36 Eeneral Election 2010</t>
  </si>
  <si>
    <t>CoC</t>
  </si>
  <si>
    <t xml:space="preserve">2019 - House of Commons Library data </t>
  </si>
  <si>
    <t>https://researchbriefings.parliament.uk/ResearchBriefing/Summary/CBP-8749</t>
  </si>
  <si>
    <t>P.66</t>
  </si>
  <si>
    <t xml:space="preserve">List of Tables </t>
  </si>
  <si>
    <t>Governments formed following General Elections</t>
  </si>
  <si>
    <t>2. 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t>
  </si>
  <si>
    <t>Table 15b. European Parliament election results: votes by party, 1979-2019</t>
  </si>
  <si>
    <t xml:space="preserve"> Table 18: Northern Ireland Assembly elections, 1998-2017</t>
  </si>
  <si>
    <t>Table 22: Women elected as UK MEPs</t>
  </si>
  <si>
    <t>Table 25: Estimated national equivalent share of vote at local elections in Great Britain</t>
  </si>
  <si>
    <t>Table 34: Voting for/against devolution in Wales</t>
  </si>
  <si>
    <t>Table 5: Women MPs elected at General Elections by party</t>
  </si>
  <si>
    <t>Table 6: Ages of Members of Parliament elected at General Elections</t>
  </si>
  <si>
    <t xml:space="preserve">Average age at election (Years) </t>
  </si>
  <si>
    <t>Table 8: Black and Minority Ethnic MPs elected at General Elections, 1987-2019</t>
  </si>
  <si>
    <t>Table 9: MPs entering House of Commons for first time at general elections, 1979-2019</t>
  </si>
  <si>
    <r>
      <t>Table 11a: Summary (Conservative, Labour, Scottish national</t>
    </r>
    <r>
      <rPr>
        <b/>
        <vertAlign val="superscript"/>
        <sz val="10"/>
        <rFont val="Open Sans"/>
        <family val="2"/>
      </rPr>
      <t>1</t>
    </r>
    <r>
      <rPr>
        <b/>
        <sz val="10"/>
        <rFont val="Open Sans"/>
        <family val="2"/>
      </rPr>
      <t xml:space="preserve"> and Liberal Democrat)</t>
    </r>
  </si>
  <si>
    <r>
      <t>Table 11a: Summary (Conservative, Labour, Scottish national</t>
    </r>
    <r>
      <rPr>
        <b/>
        <vertAlign val="superscript"/>
        <sz val="14"/>
        <color theme="0"/>
        <rFont val="Open Sans"/>
        <family val="2"/>
      </rPr>
      <t>1</t>
    </r>
    <r>
      <rPr>
        <b/>
        <sz val="14"/>
        <color theme="0"/>
        <rFont val="Open Sans"/>
        <family val="2"/>
      </rPr>
      <t xml:space="preserve"> and Liberal Democrat)</t>
    </r>
  </si>
  <si>
    <t>Table 11b: Main former occupation of Members of Parliament</t>
  </si>
  <si>
    <t>2017-19</t>
  </si>
  <si>
    <t>2017 -19</t>
  </si>
  <si>
    <r>
      <t>Table 14a: Parliamentary by-elections in Northern Ireland, 1922-1974</t>
    </r>
    <r>
      <rPr>
        <b/>
        <vertAlign val="superscript"/>
        <sz val="14"/>
        <color theme="0"/>
        <rFont val="Open Sans"/>
        <family val="2"/>
      </rPr>
      <t>1</t>
    </r>
  </si>
  <si>
    <t xml:space="preserve"> % of valid votes</t>
  </si>
  <si>
    <t>Table 30: EU referendum results by region</t>
  </si>
  <si>
    <t>Table 32: Change in voting for/against devolution in Scotland</t>
  </si>
  <si>
    <t>Change in Yes vote (% points)</t>
  </si>
  <si>
    <t>MPs occupations immeadiately prior to the election 2017</t>
  </si>
  <si>
    <t>UK MEPs elected at European Parliament elections by party, 1979-2019</t>
  </si>
  <si>
    <t>European Parliament election results: votes by party, 1979-2019</t>
  </si>
  <si>
    <t>Mayoral referendum results</t>
  </si>
  <si>
    <t>Table 33</t>
  </si>
  <si>
    <t>Table 35</t>
  </si>
  <si>
    <t>Table 36</t>
  </si>
  <si>
    <t>Table 21a &amp;b</t>
  </si>
  <si>
    <t>365-(649-365)</t>
  </si>
  <si>
    <t>Share of vote</t>
  </si>
  <si>
    <t>2019-July 2021 (current PM)</t>
  </si>
  <si>
    <t>Table 2: Turnout at UK General Elections, 1918-2021</t>
  </si>
  <si>
    <t>Table 3: Spoilt Ballot Papers in UK General Elections, 1964-2021</t>
  </si>
  <si>
    <t>Airdrie and Shotts</t>
  </si>
  <si>
    <t>Chesham and Amersham</t>
  </si>
  <si>
    <t>Batley and Spen</t>
  </si>
  <si>
    <t>SNP hold</t>
  </si>
  <si>
    <t>2019*</t>
  </si>
  <si>
    <t>19*</t>
  </si>
  <si>
    <r>
      <t xml:space="preserve">* Source: Sutton Trust, </t>
    </r>
    <r>
      <rPr>
        <i/>
        <sz val="9"/>
        <rFont val="Open Sans"/>
        <family val="2"/>
      </rPr>
      <t xml:space="preserve">Parlimanetary Privilege 2019: Educational Backgrounds of the new House of Commons </t>
    </r>
  </si>
  <si>
    <t>Table 10: Education of Members of Parliament 1951-2019</t>
  </si>
  <si>
    <t>9. EDUCATION OF MPS ELECTED IN GENERAL ELECTIONS 1979 TO 2019 (4 MAIN PARTIES)</t>
  </si>
  <si>
    <t>David Bulter, Dennis Kavanagh and others, The British General Election of... (1951-2015)</t>
  </si>
  <si>
    <r>
      <t xml:space="preserve">The Sutton Trust, Montacute, Dawood, </t>
    </r>
    <r>
      <rPr>
        <i/>
        <sz val="10"/>
        <rFont val="Open Sans"/>
        <family val="2"/>
      </rPr>
      <t xml:space="preserve">Parlimanetary Privilege 2019: Educational Backgrounds of </t>
    </r>
  </si>
  <si>
    <t xml:space="preserve">the new House of Commons </t>
  </si>
  <si>
    <t>updated on 26-07-21</t>
  </si>
  <si>
    <r>
      <t xml:space="preserve">House of Commons Library, RP10/50 </t>
    </r>
    <r>
      <rPr>
        <i/>
        <sz val="8"/>
        <rFont val="Open Sans"/>
        <family val="2"/>
      </rPr>
      <t>By-election results 2005-10</t>
    </r>
    <r>
      <rPr>
        <sz val="8"/>
        <rFont val="Open Sans"/>
        <family val="2"/>
      </rPr>
      <t xml:space="preserve">; SN05833 </t>
    </r>
    <r>
      <rPr>
        <i/>
        <sz val="8"/>
        <rFont val="Open Sans"/>
        <family val="2"/>
      </rPr>
      <t>By-elections since 2010 General Election</t>
    </r>
    <r>
      <rPr>
        <sz val="8"/>
        <rFont val="Open Sans"/>
        <family val="2"/>
      </rPr>
      <t xml:space="preserve">; CBP7417 </t>
    </r>
    <r>
      <rPr>
        <i/>
        <sz val="8"/>
        <rFont val="Open Sans"/>
        <family val="2"/>
      </rPr>
      <t>By-election results since the 2015 General Election</t>
    </r>
    <r>
      <rPr>
        <sz val="8"/>
        <rFont val="Open Sans"/>
        <family val="2"/>
      </rPr>
      <t>; CBP8280</t>
    </r>
  </si>
  <si>
    <r>
      <rPr>
        <i/>
        <sz val="8"/>
        <rFont val="Open Sans"/>
        <family val="2"/>
      </rPr>
      <t>By-elections in the 2017 Parliament</t>
    </r>
    <r>
      <rPr>
        <sz val="8"/>
        <rFont val="Open Sans"/>
        <family val="2"/>
      </rPr>
      <t xml:space="preserve">; CBP09225 </t>
    </r>
    <r>
      <rPr>
        <i/>
        <sz val="8"/>
        <rFont val="Open Sans"/>
        <family val="2"/>
      </rPr>
      <t>By-elections in the 2019 Parliament</t>
    </r>
  </si>
  <si>
    <t>2019-21</t>
  </si>
  <si>
    <t>Table 12: Summary of parliamentary by-elections in Great Britain, 1945-2021</t>
  </si>
  <si>
    <r>
      <t>Table 14b: Parliamentary by-elections in Northern Ireland, 1974-2021</t>
    </r>
    <r>
      <rPr>
        <b/>
        <vertAlign val="superscript"/>
        <sz val="14"/>
        <color theme="0"/>
        <rFont val="Open Sans"/>
        <family val="2"/>
      </rPr>
      <t>5</t>
    </r>
  </si>
  <si>
    <r>
      <t>House of Commons Library Briefing Paper CBP 9282 ,</t>
    </r>
    <r>
      <rPr>
        <i/>
        <sz val="8"/>
        <rFont val="Open Sans"/>
        <family val="2"/>
      </rPr>
      <t xml:space="preserve"> Welsh Parliament/ Senedd Cymru elections 2021</t>
    </r>
  </si>
  <si>
    <t>Table 16a: Assembly Members elected by party, 1999-2021</t>
  </si>
  <si>
    <t>Vote share %</t>
  </si>
  <si>
    <t>Seat %</t>
  </si>
  <si>
    <r>
      <t>House of Commons Library Research Paper CBP9230,</t>
    </r>
    <r>
      <rPr>
        <i/>
        <sz val="8"/>
        <rFont val="Open Sans"/>
        <family val="2"/>
      </rPr>
      <t xml:space="preserve"> Scottish Parliament Elections: 2021</t>
    </r>
  </si>
  <si>
    <t>Table 20a: Assembly seats won by party, 2000 to 2021</t>
  </si>
  <si>
    <t>Assembly seats won by party, 2000 to 2021</t>
  </si>
  <si>
    <t>Table 20b: Votes cast in London Assembly Elections, 2000-2021</t>
  </si>
  <si>
    <t>Table 21a: London Mayoral Elections, 2000-2021</t>
  </si>
  <si>
    <t>Table 21b: London Mayoral Elections, 2000-2021</t>
  </si>
  <si>
    <t>6 May 2021</t>
  </si>
  <si>
    <t>Shaun Bailey</t>
  </si>
  <si>
    <t>Luisa Porritt</t>
  </si>
  <si>
    <t>Niko Omilana</t>
  </si>
  <si>
    <t>Laurence Paul Fox</t>
  </si>
  <si>
    <t>The Reclaim Party</t>
  </si>
  <si>
    <t>2016-2021</t>
  </si>
  <si>
    <t>London Elects, Results 2021</t>
  </si>
  <si>
    <t>House of Commons Library Briefing Paper CBP-7598</t>
  </si>
  <si>
    <t>House of Commons Library Briefing Paper CBP-9231</t>
  </si>
  <si>
    <t>Northern Ireland Assembly elections 2017 CBP-7920</t>
  </si>
  <si>
    <t>4. House of Commons Library, Welsh Parliament elections 2021 CBP-9282; Scottish Parliament elections CBP-9230;</t>
  </si>
  <si>
    <t xml:space="preserve">2021 London Assembly member </t>
  </si>
  <si>
    <t>Gender</t>
  </si>
  <si>
    <t>Anne Clarke</t>
  </si>
  <si>
    <t>Krupesh Hirani</t>
  </si>
  <si>
    <t>Unmesh Desai</t>
  </si>
  <si>
    <t>Onkar Sahota</t>
  </si>
  <si>
    <t>Joanne McCartney</t>
  </si>
  <si>
    <t>Len Duvall</t>
  </si>
  <si>
    <t>Marina Ahmad</t>
  </si>
  <si>
    <t>Leonie Cooper</t>
  </si>
  <si>
    <t>Sam Moema</t>
  </si>
  <si>
    <t>Peter Timothy</t>
  </si>
  <si>
    <t>Neil Garratt</t>
  </si>
  <si>
    <t>Keith Prince</t>
  </si>
  <si>
    <t>Nicholas Rogers</t>
  </si>
  <si>
    <t>Tony Devenish</t>
  </si>
  <si>
    <t>Elly Baker</t>
  </si>
  <si>
    <t>Sakina Sheikh</t>
  </si>
  <si>
    <t>Emma Best</t>
  </si>
  <si>
    <t>Susan Hall</t>
  </si>
  <si>
    <t>Caroline Russell</t>
  </si>
  <si>
    <t>Zack Polanski</t>
  </si>
  <si>
    <t>Hina Bokhari</t>
  </si>
  <si>
    <t>F</t>
  </si>
  <si>
    <t>M</t>
  </si>
  <si>
    <t>Rallings and Thrasher, ~Brexit is changing voting patterns~ (Local Government Chronicle), 14 May 2021</t>
  </si>
  <si>
    <t xml:space="preserve">3. House of Commons Library, CBP-7596 Local Elections 2016; CBP-7975 Local Elections 2017;  CBP-8306 Local Elections 2018; </t>
  </si>
  <si>
    <t>CBP-8566 Local Elections 2019; CBP-9228 Local Elections 2021</t>
  </si>
  <si>
    <t xml:space="preserve">Notes: Local elections in 1979, 1997, 2001, 2005, 2010 and 2015 were held on same day as a general election, and in these years general election vote shares are shown in bold. </t>
  </si>
  <si>
    <t>1. Rallings and Thrasher, Local Elections Handbook, various</t>
  </si>
  <si>
    <t>2. Local Government Elections Centre</t>
  </si>
  <si>
    <t>3. The Sunday Times, 7 May 2017.</t>
  </si>
  <si>
    <t>‘Voters turned their backs on the main two parties’, LGC, 7 May 2019; Rallings and Thrasher, ‘Brexit is changing voting patterns’, 14 May 2021.</t>
  </si>
  <si>
    <t xml:space="preserve">4. Rallings and Thrasher, ‘Labour gains too low to boost Corbyn PM hopes’, Local Government Chronicle, 8 May 2018; </t>
  </si>
  <si>
    <t>Nik Johnson</t>
  </si>
  <si>
    <t>Tracy Brabin</t>
  </si>
  <si>
    <t>Source: House of Commons Library, Directly-elected mayors, May 2021</t>
  </si>
  <si>
    <t>Dan Norris</t>
  </si>
  <si>
    <t>Next</t>
  </si>
  <si>
    <t>Joanne Anderson</t>
  </si>
  <si>
    <t>Peter Taylor</t>
  </si>
  <si>
    <t>Damian Egan</t>
  </si>
  <si>
    <t>Guildford</t>
  </si>
  <si>
    <t>Newham (retain)</t>
  </si>
  <si>
    <t>Tower Hamlets (retain)</t>
  </si>
  <si>
    <t>Turnout 40.5%</t>
  </si>
  <si>
    <t>Turnout 27.7%</t>
  </si>
  <si>
    <t>Turnout 28.1%</t>
  </si>
  <si>
    <t>Sandy Hore-Ruthven</t>
  </si>
  <si>
    <t>Alastair Watson</t>
  </si>
  <si>
    <t>Caroline Gooch</t>
  </si>
  <si>
    <t>Sean Donnelly</t>
  </si>
  <si>
    <t>Robert Clarke</t>
  </si>
  <si>
    <t>Oska Shaw</t>
  </si>
  <si>
    <t>OTH</t>
  </si>
  <si>
    <t>James Hart</t>
  </si>
  <si>
    <t>Frank Calladine</t>
  </si>
  <si>
    <t>Andy Budden</t>
  </si>
  <si>
    <t>Joan Briggs</t>
  </si>
  <si>
    <t>Warren Draper</t>
  </si>
  <si>
    <t>Surjit Duhre</t>
  </si>
  <si>
    <t>Stephen Yip</t>
  </si>
  <si>
    <t>Katie Burgess</t>
  </si>
  <si>
    <t>Roger Bannister</t>
  </si>
  <si>
    <t>Steven Robinson</t>
  </si>
  <si>
    <t>Penny Remfry</t>
  </si>
  <si>
    <t>Jack Thomson</t>
  </si>
  <si>
    <t>Amie Saunders</t>
  </si>
  <si>
    <t>Wendy Olsen</t>
  </si>
  <si>
    <t>Stephen Ord</t>
  </si>
  <si>
    <t>Jack Overend</t>
  </si>
  <si>
    <t>Stuart Cremins</t>
  </si>
  <si>
    <t>Table 29a: Seats won in PCC elections by party, 2012, 2016 &amp; 2021</t>
  </si>
  <si>
    <t>2016-2021 change</t>
  </si>
  <si>
    <t xml:space="preserve">Note: excludes Greater Manchester </t>
  </si>
  <si>
    <t>Shaded in grey denotes no data available.</t>
  </si>
  <si>
    <t>Table 29c: Share of PCC election first preference votes and turnout by policing area, 2016</t>
  </si>
  <si>
    <t>Table 26: Council control by party immediately following elections, Great Britain, 2005-2021</t>
  </si>
  <si>
    <r>
      <rPr>
        <sz val="9"/>
        <rFont val="Open Sans"/>
        <family val="2"/>
      </rPr>
      <t>Note:  Age at the time of General election    
Source:  House of Commons Library, Members' Names Information Service;  House of Commons Library research and estimates</t>
    </r>
    <r>
      <rPr>
        <sz val="10"/>
        <rFont val="Open Sans"/>
        <family val="2"/>
      </rPr>
      <t xml:space="preserve">
</t>
    </r>
  </si>
  <si>
    <t>Table 7: Median age of Members of Parliament at General Elections, 1951-2019</t>
  </si>
  <si>
    <t>Table 29b: Share of PCC election first preference votes and turnout by policing area, 2012</t>
  </si>
  <si>
    <t>Table 29d: Share of PCC election first preference votes and turnout by policing area, 2021</t>
  </si>
  <si>
    <t>2018 and 2019 data collated by House of Commons Library; Rallings and Thrasher, “Voters turned their backs on the main two parties”, Local Government Chronicle, 7 May 2019, and "Brexit is changing voting patterns", Local Government Chronicle, 14 May 2021; BBC</t>
  </si>
  <si>
    <t>Rallings and Thrasher: "lack of action provided plenty of opportunity for spin", Local Government Chronicle, 9 May 2017;</t>
  </si>
  <si>
    <t>Sources: Colin Rallings and Michael Thrasher, Local Election Handbooks 2005-2017;</t>
  </si>
  <si>
    <r>
      <t>Table 1a: General Election Results, 1918-2019: UK</t>
    </r>
    <r>
      <rPr>
        <b/>
        <vertAlign val="superscript"/>
        <sz val="11"/>
        <color theme="0"/>
        <rFont val="Open Sans"/>
        <family val="2"/>
      </rPr>
      <t>1</t>
    </r>
  </si>
  <si>
    <r>
      <t>Table 1b: General Election Results, 1918-2019: UK</t>
    </r>
    <r>
      <rPr>
        <b/>
        <vertAlign val="superscript"/>
        <sz val="12"/>
        <color theme="0"/>
        <rFont val="Open Sans"/>
        <family val="2"/>
      </rPr>
      <t>1</t>
    </r>
  </si>
  <si>
    <r>
      <t>Table 1c: General Election Results, 1918-2019: GB</t>
    </r>
    <r>
      <rPr>
        <b/>
        <vertAlign val="superscript"/>
        <sz val="12"/>
        <color theme="0"/>
        <rFont val="Open Sans"/>
        <family val="2"/>
      </rPr>
      <t>1</t>
    </r>
  </si>
  <si>
    <r>
      <t>Table 1d: General Election Results, 1918-2019: GB</t>
    </r>
    <r>
      <rPr>
        <b/>
        <vertAlign val="superscript"/>
        <sz val="12"/>
        <color theme="0"/>
        <rFont val="Open Sans"/>
        <family val="2"/>
      </rPr>
      <t>1</t>
    </r>
  </si>
  <si>
    <r>
      <t>Table 1e: General Election Results, 1918-2019: England</t>
    </r>
    <r>
      <rPr>
        <b/>
        <vertAlign val="superscript"/>
        <sz val="12"/>
        <color theme="0"/>
        <rFont val="Open Sans"/>
        <family val="2"/>
      </rPr>
      <t>1</t>
    </r>
  </si>
  <si>
    <r>
      <t>Table 1f: General Election Results, 1918-2019: England</t>
    </r>
    <r>
      <rPr>
        <b/>
        <vertAlign val="superscript"/>
        <sz val="12"/>
        <color theme="0"/>
        <rFont val="Open Sans"/>
        <family val="2"/>
      </rPr>
      <t>1</t>
    </r>
  </si>
  <si>
    <r>
      <t>Table 1g: General Election Results, 1918-2019: Wales</t>
    </r>
    <r>
      <rPr>
        <b/>
        <vertAlign val="superscript"/>
        <sz val="12"/>
        <color theme="0"/>
        <rFont val="Open Sans"/>
        <family val="2"/>
      </rPr>
      <t>1</t>
    </r>
  </si>
  <si>
    <r>
      <t>Table 1h: General Election Results, 1918-2019: Wales</t>
    </r>
    <r>
      <rPr>
        <b/>
        <vertAlign val="superscript"/>
        <sz val="12"/>
        <color theme="0"/>
        <rFont val="Open Sans"/>
        <family val="2"/>
      </rPr>
      <t>1</t>
    </r>
  </si>
  <si>
    <r>
      <t>Table 1i: General Election Results, 1918-2019: Scotland</t>
    </r>
    <r>
      <rPr>
        <b/>
        <vertAlign val="superscript"/>
        <sz val="12"/>
        <color theme="0"/>
        <rFont val="Open Sans"/>
        <family val="2"/>
      </rPr>
      <t>1</t>
    </r>
  </si>
  <si>
    <r>
      <t>Table 1j: General Election Results, 1918-2019: Scotland</t>
    </r>
    <r>
      <rPr>
        <b/>
        <vertAlign val="superscript"/>
        <sz val="12"/>
        <color theme="0"/>
        <rFont val="Open Sans"/>
        <family val="2"/>
      </rPr>
      <t>1</t>
    </r>
  </si>
  <si>
    <r>
      <t>Table 1k: General Election Results, 1918-2019: Northern Ireland</t>
    </r>
    <r>
      <rPr>
        <b/>
        <vertAlign val="superscript"/>
        <sz val="12"/>
        <color theme="0"/>
        <rFont val="Open Sans"/>
        <family val="2"/>
      </rPr>
      <t>1</t>
    </r>
  </si>
  <si>
    <r>
      <t>Table 1l: General Election Results, 1918-2019: Northern Ireland</t>
    </r>
    <r>
      <rPr>
        <b/>
        <vertAlign val="superscript"/>
        <sz val="12"/>
        <color theme="0"/>
        <rFont val="Open Sans"/>
        <family val="2"/>
      </rPr>
      <t>1</t>
    </r>
  </si>
  <si>
    <t>Table 11c: 2017 MPs' occupation immediately prior the being elected</t>
  </si>
  <si>
    <t>Table 17: Scottish Parliament elections, 1999-2021</t>
  </si>
  <si>
    <t>Table 24: Party affiliation of councillors 1973-2021</t>
  </si>
  <si>
    <t>Next election</t>
  </si>
  <si>
    <t>Table 27a: Mayoral referendum results</t>
  </si>
  <si>
    <t>Table 28: Elected Metro Mayors as at July 2021</t>
  </si>
  <si>
    <t>Table 27b: Elected Local Authority Mayors as at July 2021</t>
  </si>
  <si>
    <t>Table 27c: Mayoral Elections</t>
  </si>
  <si>
    <t>Table 4: Postal Ballot Papers in UK Elections, 1945-2019</t>
  </si>
  <si>
    <t>Table 23: Women elected at elections to devolved legislatures and London Assembly</t>
  </si>
  <si>
    <t>2019 - https://www.electoralcommission.org.uk/who-we-are-and-what-we-do/elections-and-referendums/past-elections-and-referendums/uk-general-elections/report-overview-2019-uk-parliamentary-general-election#in-depth</t>
  </si>
  <si>
    <t>Table 27a</t>
  </si>
  <si>
    <t>Table 27b</t>
  </si>
  <si>
    <t>Table 27c</t>
  </si>
  <si>
    <t>Table 28</t>
  </si>
  <si>
    <t>Table 29d</t>
  </si>
  <si>
    <t>Share of PCC election first preference votes and turnout by policing area, 2021</t>
  </si>
  <si>
    <t>Estimated national equivalent share of vote at local elections: Great Britain, 1979-2021</t>
  </si>
  <si>
    <t>Council control by party immediately following elections, Great Britain, 2005-2021</t>
  </si>
  <si>
    <t>Women elected at elections to devolved parliaments and London Assembly, 1998-2021</t>
  </si>
  <si>
    <t>London Mayoral Elections, 2000-2021</t>
  </si>
  <si>
    <t>Votes cast in the London Assembly Elections, 2000-2021</t>
  </si>
  <si>
    <t>London Assembly seats won by party, 2000-2021</t>
  </si>
  <si>
    <t>Scottish Parliament Elections, 1999-2021</t>
  </si>
  <si>
    <t>National Assembly for Wales Elections, 1999-2021</t>
  </si>
  <si>
    <t>Parliamentary by-elections in Northern Ireland, 1974-2021</t>
  </si>
  <si>
    <t>Summary of parliamentary by-elections in Great Britain, 1945-2021</t>
  </si>
  <si>
    <t>Education of Members of Parliament 1951-2019</t>
  </si>
  <si>
    <t>Median age of Members of Parliament at General Elections, 1951-2019</t>
  </si>
  <si>
    <t>Age of MPs elected at 2019 General Election</t>
  </si>
  <si>
    <t>87-98</t>
  </si>
  <si>
    <t>74-75</t>
  </si>
  <si>
    <t>Number per constituency</t>
  </si>
  <si>
    <t>Gains and losses in Parliamentary by-elections</t>
  </si>
  <si>
    <t>Great Britian, 1945-50 to 2019-21</t>
  </si>
  <si>
    <t>1997-01</t>
  </si>
  <si>
    <t>Table 16: Senedd Cymru/Assembly for Wales elections, 1999-2021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</si>
</sst>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_-* #,##0.00_-;\-* #,##0.00_-;_-* &quot;-&quot;??_-;_-@_-"/>
    <numFmt numFmtId="165" formatCode="d\ mmm\ yyyy"/>
    <numFmt numFmtId="166" formatCode="0.0%"/>
    <numFmt numFmtId="167" formatCode="0.0"/>
    <numFmt numFmtId="168" formatCode="d\ mmmm"/>
    <numFmt numFmtId="169" formatCode="#,##0.0;\-#,##0.0"/>
    <numFmt numFmtId="170" formatCode="#,##0;\-#,##0;&quot;&quot;"/>
    <numFmt numFmtId="171" formatCode="#,##0.0"/>
    <numFmt numFmtId="172" formatCode="\+0.0%;\-0.0%;&quot;&quot;"/>
    <numFmt numFmtId="173" formatCode="_-* #,##0_-;\-* #,##0_-;_-* &quot;-&quot;??_-;_-@_-"/>
    <numFmt numFmtId="174" formatCode="\+#,##0;\-#,##0;&quot;&quot;"/>
    <numFmt numFmtId="175" formatCode="[$-F800]dddd\,\ mmmm\ dd\,\ yyyy"/>
    <numFmt numFmtId="176" formatCode="_-* #,##0.0_-;\-* #,##0.0_-;_-* &quot;-&quot;??_-;_-@_-"/>
    <numFmt numFmtId="177" formatCode="mmm\ yyyy"/>
    <numFmt numFmtId="178" formatCode="\+#,##0.0;\-#,##0.0;_-* &quot;-&quot;"/>
    <numFmt numFmtId="179" formatCode="\+#,##0.0;\-#,##0.0;&quot;&quot;"/>
    <numFmt numFmtId="180" formatCode="\+0.0%;\-0.0%"/>
    <numFmt numFmtId="181" formatCode="#,##0;\-#,##0\ "/>
    <numFmt numFmtId="182" formatCode="yyyy"/>
    <numFmt numFmtId="183" formatCode="0.000"/>
    <numFmt numFmtId="184" formatCode="\+0;\-0;0"/>
    <numFmt numFmtId="185" formatCode="#,##0_ ;\-#,##0\ "/>
    <numFmt numFmtId="186" formatCode="dd\ mmm\ yyyy"/>
    <numFmt numFmtId="187" formatCode="0_ ;\-0\ "/>
    <numFmt numFmtId="188" formatCode="#,##0.000;\-#,##0.000"/>
    <numFmt numFmtId="189" formatCode="#,##0.00000;\-#,##0.00000"/>
    <numFmt numFmtId="190" formatCode="#,##0.000000;\-#,##0.000000"/>
    <numFmt numFmtId="191" formatCode="0.000%"/>
    <numFmt numFmtId="192" formatCode="#,##0.0000000;\-#,##0.0000000"/>
    <numFmt numFmtId="193" formatCode="0.0000%"/>
    <numFmt numFmtId="194" formatCode="0.00000%"/>
    <numFmt numFmtId="195" formatCode="#,##0.000"/>
  </numFmts>
  <fonts count="234">
    <font>
      <sz val="10"/>
      <name val="Times New Roman"/>
    </font>
    <font>
      <sz val="9"/>
      <name val="Open Sans"/>
      <family val="2"/>
    </font>
    <font>
      <sz val="9"/>
      <color theme="1"/>
      <name val="Open Sans"/>
      <family val="2"/>
    </font>
    <font>
      <sz val="10"/>
      <name val="Times New Roman"/>
      <family val="1"/>
    </font>
    <font>
      <b/>
      <sz val="10"/>
      <name val="Times New Roman"/>
      <family val="1"/>
    </font>
    <font>
      <i/>
      <sz val="9"/>
      <name val="Times New Roman"/>
      <family val="1"/>
    </font>
    <font>
      <i/>
      <sz val="10"/>
      <name val="Times New Roman"/>
      <family val="1"/>
    </font>
    <font>
      <sz val="10"/>
      <name val="Times New Roman"/>
      <family val="1"/>
    </font>
    <font>
      <sz val="9"/>
      <name val="Times New Roman"/>
      <family val="1"/>
    </font>
    <font>
      <u/>
      <sz val="10"/>
      <color indexed="12"/>
      <name val="Times New Roman"/>
      <family val="1"/>
    </font>
    <font>
      <sz val="8"/>
      <name val="Times New Roman"/>
      <family val="1"/>
    </font>
    <font>
      <sz val="10"/>
      <name val="Arial"/>
      <family val="2"/>
    </font>
    <font>
      <sz val="8"/>
      <name val="Times New Roman"/>
      <family val="1"/>
    </font>
    <font>
      <i/>
      <sz val="8"/>
      <name val="Times New Roman"/>
      <family val="1"/>
    </font>
    <font>
      <b/>
      <sz val="14"/>
      <name val="Times New Roman"/>
      <family val="1"/>
    </font>
    <font>
      <sz val="9"/>
      <name val="Arial"/>
      <family val="2"/>
    </font>
    <font>
      <b/>
      <sz val="9"/>
      <name val="Arial"/>
      <family val="2"/>
    </font>
    <font>
      <sz val="8"/>
      <name val="Arial"/>
      <family val="2"/>
    </font>
    <font>
      <sz val="10"/>
      <name val="Arial"/>
      <family val="2"/>
    </font>
    <font>
      <b/>
      <sz val="10"/>
      <name val="Arial"/>
      <family val="2"/>
    </font>
    <font>
      <b/>
      <sz val="11"/>
      <name val="Arial"/>
      <family val="2"/>
    </font>
    <font>
      <sz val="9"/>
      <name val="Frutiger LT Std 45 Light"/>
      <family val="2"/>
    </font>
    <font>
      <b/>
      <sz val="9"/>
      <name val="Frutiger LT Std 45 Light"/>
      <family val="2"/>
    </font>
    <font>
      <vertAlign val="superscript"/>
      <sz val="9"/>
      <name val="Frutiger LT Std 45 Light"/>
      <family val="2"/>
    </font>
    <font>
      <sz val="10"/>
      <color indexed="8"/>
      <name val="Frutiger LT Std 45 Light"/>
      <family val="2"/>
    </font>
    <font>
      <sz val="10"/>
      <name val="Frutiger LT Std 45 Light"/>
      <family val="2"/>
    </font>
    <font>
      <b/>
      <sz val="10"/>
      <name val="Frutiger LT Std 45 Light"/>
      <family val="2"/>
    </font>
    <font>
      <sz val="10.5"/>
      <name val="Frutiger LT Std 45 Light"/>
      <family val="2"/>
    </font>
    <font>
      <sz val="8"/>
      <name val="Frutiger LT Std 45 Light"/>
      <family val="2"/>
    </font>
    <font>
      <i/>
      <sz val="8"/>
      <name val="Frutiger LT Std 45 Light"/>
      <family val="2"/>
    </font>
    <font>
      <b/>
      <sz val="11"/>
      <name val="Frutiger LT Std 45 Light"/>
      <family val="2"/>
    </font>
    <font>
      <b/>
      <vertAlign val="superscript"/>
      <sz val="11"/>
      <name val="Frutiger LT Std 45 Light"/>
      <family val="2"/>
    </font>
    <font>
      <sz val="9"/>
      <name val="Frutiger LT Std 55 Roman"/>
      <family val="2"/>
    </font>
    <font>
      <sz val="10"/>
      <name val="Frutiger LT Std 55 Roman"/>
      <family val="2"/>
    </font>
    <font>
      <i/>
      <sz val="9"/>
      <name val="Frutiger LT Std 45 Light"/>
      <family val="2"/>
    </font>
    <font>
      <b/>
      <sz val="8"/>
      <name val="Frutiger LT Std 45 Light"/>
      <family val="2"/>
    </font>
    <font>
      <i/>
      <sz val="10"/>
      <name val="Frutiger LT Std 55 Roman"/>
      <family val="2"/>
    </font>
    <font>
      <i/>
      <sz val="10"/>
      <name val="Frutiger LT Std 45 Light"/>
      <family val="2"/>
    </font>
    <font>
      <b/>
      <sz val="10"/>
      <name val="Frutiger LT Std 55 Roman"/>
      <family val="2"/>
    </font>
    <font>
      <sz val="11"/>
      <name val="Frutiger LT Std 55 Roman"/>
      <family val="2"/>
    </font>
    <font>
      <b/>
      <sz val="8"/>
      <name val="Frutiger LT Std 55 Roman"/>
      <family val="2"/>
    </font>
    <font>
      <sz val="8"/>
      <name val="Frutiger LT Std 55 Roman"/>
      <family val="2"/>
    </font>
    <font>
      <i/>
      <sz val="8"/>
      <name val="Frutiger LT Std 55 Roman"/>
      <family val="2"/>
    </font>
    <font>
      <b/>
      <sz val="12"/>
      <name val="Frutiger LT Std 45 Light"/>
      <family val="2"/>
    </font>
    <font>
      <b/>
      <sz val="13"/>
      <name val="Frutiger LT Std 45 Light"/>
      <family val="2"/>
    </font>
    <font>
      <vertAlign val="superscript"/>
      <sz val="10"/>
      <name val="Frutiger LT Std 45 Light"/>
      <family val="2"/>
    </font>
    <font>
      <i/>
      <sz val="9"/>
      <name val="Frutiger LT Std 55 Roman"/>
      <family val="2"/>
    </font>
    <font>
      <b/>
      <sz val="9"/>
      <name val="Frutiger LT Std 55 Roman"/>
      <family val="2"/>
    </font>
    <font>
      <u/>
      <sz val="9"/>
      <color indexed="12"/>
      <name val="Frutiger LT Std 45 Light"/>
      <family val="2"/>
    </font>
    <font>
      <i/>
      <sz val="8"/>
      <color indexed="8"/>
      <name val="Frutiger LT Std 55 Roman"/>
      <family val="2"/>
    </font>
    <font>
      <u/>
      <sz val="10"/>
      <color indexed="12"/>
      <name val="Frutiger LT Std 55 Roman"/>
      <family val="2"/>
    </font>
    <font>
      <i/>
      <sz val="11"/>
      <name val="Frutiger LT Std 45 Light"/>
      <family val="2"/>
    </font>
    <font>
      <b/>
      <sz val="9"/>
      <color indexed="9"/>
      <name val="Frutiger LT Std 45 Light"/>
      <family val="2"/>
    </font>
    <font>
      <u/>
      <sz val="10"/>
      <color indexed="12"/>
      <name val="Frutiger LT Std 45 Light"/>
      <family val="2"/>
    </font>
    <font>
      <i/>
      <sz val="8"/>
      <color indexed="8"/>
      <name val="Frutiger LT Std 45 Light"/>
      <family val="2"/>
    </font>
    <font>
      <b/>
      <sz val="11"/>
      <name val="Frutiger LT Std 55 Roman"/>
      <family val="2"/>
    </font>
    <font>
      <vertAlign val="superscript"/>
      <sz val="10"/>
      <name val="Frutiger LT Std 55 Roman"/>
      <family val="2"/>
    </font>
    <font>
      <sz val="7"/>
      <name val="Frutiger LT Std 45 Light"/>
      <family val="2"/>
    </font>
    <font>
      <sz val="8"/>
      <color indexed="8"/>
      <name val="Frutiger LT Std 55 Roman"/>
      <family val="2"/>
    </font>
    <font>
      <sz val="11"/>
      <name val="Frutiger LT Std 45 Light"/>
      <family val="2"/>
    </font>
    <font>
      <sz val="11"/>
      <color theme="1"/>
      <name val="Calibri"/>
      <family val="2"/>
      <scheme val="minor"/>
    </font>
    <font>
      <b/>
      <sz val="11"/>
      <color theme="3"/>
      <name val="Calibri"/>
      <family val="2"/>
      <scheme val="minor"/>
    </font>
    <font>
      <b/>
      <sz val="11"/>
      <color theme="1"/>
      <name val="Calibri"/>
      <family val="2"/>
      <scheme val="minor"/>
    </font>
    <font>
      <b/>
      <sz val="14"/>
      <color rgb="FF000000"/>
      <name val="Frutiger LT Std 45 Light"/>
      <family val="2"/>
    </font>
    <font>
      <sz val="9"/>
      <color theme="1"/>
      <name val="Frutiger LT Std 45 Light"/>
      <family val="2"/>
    </font>
    <font>
      <sz val="10"/>
      <color rgb="FFFF0000"/>
      <name val="Frutiger LT Std 45 Light"/>
      <family val="2"/>
    </font>
    <font>
      <b/>
      <sz val="10"/>
      <color rgb="FFFF0000"/>
      <name val="Frutiger LT Std 45 Light"/>
      <family val="2"/>
    </font>
    <font>
      <sz val="10"/>
      <color theme="1"/>
      <name val="Frutiger LT Std 55 Roman"/>
      <family val="2"/>
    </font>
    <font>
      <sz val="10"/>
      <color theme="1"/>
      <name val="Frutiger LT Std 45 Light"/>
      <family val="2"/>
    </font>
    <font>
      <b/>
      <sz val="10"/>
      <color theme="1"/>
      <name val="Frutiger LT Std 45 Light"/>
      <family val="2"/>
    </font>
    <font>
      <sz val="8"/>
      <color theme="1"/>
      <name val="Frutiger LT Std 45 Light"/>
      <family val="2"/>
    </font>
    <font>
      <b/>
      <sz val="9"/>
      <color theme="1"/>
      <name val="Frutiger LT Std 45 Light"/>
      <family val="2"/>
    </font>
    <font>
      <sz val="9"/>
      <color rgb="FF000000"/>
      <name val="Frutiger LT Std 45 Light"/>
      <family val="2"/>
    </font>
    <font>
      <sz val="9"/>
      <color theme="1"/>
      <name val="Frutiger LT Std 55 Roman"/>
      <family val="2"/>
    </font>
    <font>
      <sz val="8"/>
      <color theme="1"/>
      <name val="Frutiger LT Std 55 Roman"/>
      <family val="2"/>
    </font>
    <font>
      <i/>
      <sz val="9"/>
      <color theme="1"/>
      <name val="Frutiger LT Std 55 Roman"/>
      <family val="2"/>
    </font>
    <font>
      <i/>
      <sz val="8"/>
      <color theme="1"/>
      <name val="Frutiger LT Std 55 Roman"/>
      <family val="2"/>
    </font>
    <font>
      <b/>
      <sz val="9"/>
      <color theme="3"/>
      <name val="Frutiger LT Std 45 Light"/>
      <family val="2"/>
    </font>
    <font>
      <b/>
      <sz val="9"/>
      <color theme="0"/>
      <name val="Frutiger LT Std 45 Light"/>
      <family val="2"/>
    </font>
    <font>
      <sz val="9"/>
      <color theme="0"/>
      <name val="Frutiger LT Std 45 Light"/>
      <family val="2"/>
    </font>
    <font>
      <b/>
      <sz val="10"/>
      <color rgb="FF000000"/>
      <name val="Frutiger LT Std 45 Light"/>
      <family val="2"/>
    </font>
    <font>
      <b/>
      <sz val="10"/>
      <color theme="1"/>
      <name val="Frutiger LT Std 55 Roman"/>
      <family val="2"/>
    </font>
    <font>
      <b/>
      <sz val="9"/>
      <color theme="1"/>
      <name val="Frutiger LT Std 55 Roman"/>
      <family val="2"/>
    </font>
    <font>
      <b/>
      <sz val="21"/>
      <color theme="0"/>
      <name val="Frutiger LT Std 45 Light"/>
      <family val="2"/>
    </font>
    <font>
      <sz val="10"/>
      <color theme="1"/>
      <name val="Calibri"/>
      <family val="2"/>
      <scheme val="minor"/>
    </font>
    <font>
      <b/>
      <sz val="10"/>
      <color theme="0"/>
      <name val="Frutiger LT Std 45 Light"/>
      <family val="2"/>
    </font>
    <font>
      <b/>
      <sz val="11"/>
      <color rgb="FF000000"/>
      <name val="Frutiger LT Std 45 Light"/>
      <family val="2"/>
    </font>
    <font>
      <b/>
      <sz val="11"/>
      <color theme="0"/>
      <name val="Frutiger LT Std 45 Light"/>
      <family val="2"/>
    </font>
    <font>
      <sz val="11"/>
      <color theme="1"/>
      <name val="Frutiger LT Std 45 Light"/>
      <family val="2"/>
    </font>
    <font>
      <sz val="10"/>
      <name val="Open Sans"/>
      <family val="2"/>
    </font>
    <font>
      <b/>
      <sz val="10"/>
      <name val="Open Sans"/>
      <family val="2"/>
    </font>
    <font>
      <b/>
      <sz val="12"/>
      <color theme="0"/>
      <name val="Open Sans"/>
      <family val="2"/>
    </font>
    <font>
      <sz val="10"/>
      <color theme="0"/>
      <name val="Open Sans"/>
      <family val="2"/>
    </font>
    <font>
      <sz val="9"/>
      <name val="Open Sans"/>
      <family val="2"/>
    </font>
    <font>
      <i/>
      <sz val="8"/>
      <name val="Open Sans"/>
      <family val="2"/>
    </font>
    <font>
      <sz val="8"/>
      <name val="Open Sans"/>
      <family val="2"/>
    </font>
    <font>
      <b/>
      <sz val="11"/>
      <color theme="0"/>
      <name val="Open Sans"/>
      <family val="2"/>
    </font>
    <font>
      <b/>
      <sz val="10"/>
      <color indexed="9"/>
      <name val="Open Sans"/>
      <family val="2"/>
    </font>
    <font>
      <b/>
      <sz val="10"/>
      <color theme="1"/>
      <name val="Open Sans"/>
      <family val="2"/>
    </font>
    <font>
      <sz val="10"/>
      <color indexed="9"/>
      <name val="Open Sans"/>
      <family val="2"/>
    </font>
    <font>
      <i/>
      <sz val="10"/>
      <name val="Open Sans"/>
      <family val="2"/>
    </font>
    <font>
      <b/>
      <sz val="11"/>
      <name val="Open Sans"/>
      <family val="2"/>
    </font>
    <font>
      <b/>
      <sz val="10"/>
      <color theme="0"/>
      <name val="Open Sans"/>
      <family val="2"/>
    </font>
    <font>
      <i/>
      <sz val="9"/>
      <color theme="0"/>
      <name val="Open Sans"/>
      <family val="2"/>
    </font>
    <font>
      <i/>
      <sz val="9"/>
      <name val="Open Sans"/>
      <family val="2"/>
    </font>
    <font>
      <b/>
      <sz val="9"/>
      <name val="Open Sans"/>
      <family val="2"/>
    </font>
    <font>
      <b/>
      <sz val="9"/>
      <color indexed="9"/>
      <name val="Open Sans"/>
      <family val="2"/>
    </font>
    <font>
      <b/>
      <sz val="9"/>
      <color theme="1"/>
      <name val="Open Sans"/>
      <family val="2"/>
    </font>
    <font>
      <b/>
      <sz val="14"/>
      <color theme="0"/>
      <name val="Open Sans"/>
      <family val="2"/>
    </font>
    <font>
      <sz val="12"/>
      <color theme="0"/>
      <name val="Open Sans"/>
      <family val="2"/>
    </font>
    <font>
      <sz val="11"/>
      <name val="Open Sans"/>
      <family val="2"/>
    </font>
    <font>
      <b/>
      <sz val="14"/>
      <name val="Open Sans"/>
      <family val="2"/>
    </font>
    <font>
      <sz val="14"/>
      <name val="Open Sans"/>
      <family val="2"/>
    </font>
    <font>
      <sz val="12"/>
      <name val="Open Sans"/>
      <family val="2"/>
    </font>
    <font>
      <b/>
      <sz val="18"/>
      <color theme="0"/>
      <name val="Open Sans"/>
      <family val="2"/>
    </font>
    <font>
      <vertAlign val="superscript"/>
      <sz val="9"/>
      <name val="Open Sans"/>
      <family val="2"/>
    </font>
    <font>
      <sz val="9"/>
      <color theme="0"/>
      <name val="Open Sans"/>
      <family val="2"/>
    </font>
    <font>
      <b/>
      <vertAlign val="superscript"/>
      <sz val="9"/>
      <name val="Open Sans"/>
      <family val="2"/>
    </font>
    <font>
      <sz val="9"/>
      <color theme="1"/>
      <name val="Open Sans"/>
      <family val="2"/>
    </font>
    <font>
      <b/>
      <sz val="9"/>
      <color theme="0"/>
      <name val="Open Sans"/>
      <family val="2"/>
    </font>
    <font>
      <b/>
      <vertAlign val="superscript"/>
      <sz val="9"/>
      <color theme="0"/>
      <name val="Open Sans"/>
      <family val="2"/>
    </font>
    <font>
      <b/>
      <vertAlign val="superscript"/>
      <sz val="12"/>
      <color theme="0"/>
      <name val="Open Sans"/>
      <family val="2"/>
    </font>
    <font>
      <b/>
      <sz val="8"/>
      <name val="Open Sans"/>
      <family val="2"/>
    </font>
    <font>
      <sz val="11"/>
      <color theme="0"/>
      <name val="Open Sans"/>
      <family val="2"/>
    </font>
    <font>
      <b/>
      <i/>
      <sz val="9"/>
      <color theme="0"/>
      <name val="Open Sans"/>
      <family val="2"/>
    </font>
    <font>
      <b/>
      <i/>
      <sz val="9"/>
      <name val="Open Sans"/>
      <family val="2"/>
    </font>
    <font>
      <sz val="1"/>
      <name val="Open Sans"/>
      <family val="2"/>
    </font>
    <font>
      <i/>
      <sz val="9"/>
      <color theme="1"/>
      <name val="Open Sans"/>
      <family val="2"/>
    </font>
    <font>
      <sz val="10"/>
      <color theme="1"/>
      <name val="Open Sans"/>
      <family val="2"/>
    </font>
    <font>
      <u/>
      <sz val="10"/>
      <color indexed="12"/>
      <name val="Open Sans"/>
      <family val="2"/>
    </font>
    <font>
      <b/>
      <sz val="11.5"/>
      <color theme="0"/>
      <name val="Open Sans"/>
      <family val="2"/>
    </font>
    <font>
      <sz val="11.5"/>
      <name val="Open Sans"/>
      <family val="2"/>
    </font>
    <font>
      <b/>
      <sz val="11.5"/>
      <name val="Open Sans"/>
      <family val="2"/>
    </font>
    <font>
      <vertAlign val="superscript"/>
      <sz val="10"/>
      <name val="Open Sans"/>
      <family val="2"/>
    </font>
    <font>
      <sz val="6"/>
      <name val="Open Sans"/>
      <family val="2"/>
    </font>
    <font>
      <b/>
      <i/>
      <sz val="10"/>
      <name val="Open Sans"/>
      <family val="2"/>
    </font>
    <font>
      <b/>
      <vertAlign val="superscript"/>
      <sz val="10"/>
      <name val="Open Sans"/>
      <family val="2"/>
    </font>
    <font>
      <sz val="10"/>
      <color rgb="FFFF0000"/>
      <name val="Open Sans"/>
      <family val="2"/>
    </font>
    <font>
      <b/>
      <sz val="13"/>
      <name val="Open Sans"/>
      <family val="2"/>
    </font>
    <font>
      <sz val="9"/>
      <color rgb="FFFF0000"/>
      <name val="Open Sans"/>
      <family val="2"/>
    </font>
    <font>
      <vertAlign val="superscript"/>
      <sz val="8"/>
      <name val="Open Sans"/>
      <family val="2"/>
    </font>
    <font>
      <sz val="8"/>
      <color theme="1"/>
      <name val="Open Sans"/>
      <family val="2"/>
    </font>
    <font>
      <i/>
      <sz val="10"/>
      <color indexed="8"/>
      <name val="Open Sans"/>
      <family val="2"/>
    </font>
    <font>
      <sz val="10"/>
      <color indexed="8"/>
      <name val="Open Sans"/>
      <family val="2"/>
    </font>
    <font>
      <u/>
      <sz val="9"/>
      <color indexed="12"/>
      <name val="Open Sans"/>
      <family val="2"/>
    </font>
    <font>
      <sz val="9"/>
      <color rgb="FF000000"/>
      <name val="Open Sans"/>
      <family val="2"/>
    </font>
    <font>
      <i/>
      <sz val="9"/>
      <color rgb="FF000000"/>
      <name val="Open Sans"/>
      <family val="2"/>
    </font>
    <font>
      <b/>
      <sz val="9"/>
      <color rgb="FF000000"/>
      <name val="Open Sans"/>
      <family val="2"/>
    </font>
    <font>
      <b/>
      <i/>
      <sz val="9"/>
      <color rgb="FF000000"/>
      <name val="Open Sans"/>
      <family val="2"/>
    </font>
    <font>
      <i/>
      <sz val="8"/>
      <color indexed="8"/>
      <name val="Open Sans"/>
      <family val="2"/>
    </font>
    <font>
      <i/>
      <sz val="8"/>
      <color theme="1"/>
      <name val="Open Sans"/>
      <family val="2"/>
    </font>
    <font>
      <sz val="8"/>
      <color indexed="8"/>
      <name val="Open Sans"/>
      <family val="2"/>
    </font>
    <font>
      <sz val="7"/>
      <name val="Open Sans"/>
      <family val="2"/>
    </font>
    <font>
      <i/>
      <sz val="11"/>
      <name val="Open Sans"/>
      <family val="2"/>
    </font>
    <font>
      <b/>
      <sz val="6"/>
      <name val="Open Sans"/>
      <family val="2"/>
    </font>
    <font>
      <sz val="9"/>
      <color indexed="8"/>
      <name val="Open Sans"/>
      <family val="2"/>
    </font>
    <font>
      <b/>
      <sz val="9"/>
      <color indexed="8"/>
      <name val="Open Sans"/>
      <family val="2"/>
    </font>
    <font>
      <b/>
      <sz val="10.5"/>
      <color theme="0"/>
      <name val="Open Sans"/>
      <family val="2"/>
    </font>
    <font>
      <b/>
      <sz val="9"/>
      <color theme="3"/>
      <name val="Open Sans"/>
      <family val="2"/>
    </font>
    <font>
      <i/>
      <sz val="10"/>
      <color theme="1"/>
      <name val="Open Sans"/>
      <family val="2"/>
    </font>
    <font>
      <i/>
      <vertAlign val="superscript"/>
      <sz val="10"/>
      <color indexed="8"/>
      <name val="Open Sans"/>
      <family val="2"/>
    </font>
    <font>
      <i/>
      <sz val="7"/>
      <name val="Open Sans"/>
      <family val="2"/>
    </font>
    <font>
      <sz val="7.5"/>
      <color theme="1"/>
      <name val="Open Sans"/>
      <family val="2"/>
    </font>
    <font>
      <b/>
      <sz val="11"/>
      <color theme="1"/>
      <name val="Open Sans"/>
      <family val="2"/>
    </font>
    <font>
      <sz val="8"/>
      <color rgb="FFFF0000"/>
      <name val="Open Sans"/>
      <family val="2"/>
    </font>
    <font>
      <b/>
      <vertAlign val="superscript"/>
      <sz val="9"/>
      <name val="Frutiger LT Std 45 Light"/>
      <family val="2"/>
    </font>
    <font>
      <sz val="12"/>
      <color rgb="FFFF0000"/>
      <name val="Open Sans"/>
      <family val="2"/>
    </font>
    <font>
      <b/>
      <sz val="13"/>
      <color theme="0"/>
      <name val="Open Sans"/>
      <family val="2"/>
    </font>
    <font>
      <sz val="10"/>
      <color theme="0"/>
      <name val="Times New Roman"/>
      <family val="1"/>
    </font>
    <font>
      <sz val="9"/>
      <color theme="4"/>
      <name val="Frutiger LT Std 45 Light"/>
      <family val="2"/>
    </font>
    <font>
      <b/>
      <sz val="13"/>
      <color rgb="FFFFFFFF"/>
      <name val="Open Sans"/>
      <family val="2"/>
    </font>
    <font>
      <sz val="11"/>
      <color rgb="FFFFFFFF"/>
      <name val="Open Sans"/>
      <family val="2"/>
    </font>
    <font>
      <i/>
      <sz val="10"/>
      <color rgb="FFD50000"/>
      <name val="Times New Roman"/>
      <family val="1"/>
    </font>
    <font>
      <sz val="10"/>
      <color rgb="FF000000"/>
      <name val="Times New Roman"/>
      <family val="1"/>
    </font>
    <font>
      <sz val="10"/>
      <color rgb="FF000000"/>
      <name val="Open Sans"/>
      <family val="2"/>
    </font>
    <font>
      <sz val="10"/>
      <color rgb="FF000000"/>
      <name val="Times New Roman"/>
      <family val="1"/>
    </font>
    <font>
      <sz val="10"/>
      <color theme="9"/>
      <name val="Open Sans"/>
      <family val="2"/>
    </font>
    <font>
      <sz val="10"/>
      <color theme="9"/>
      <name val="Times New Roman"/>
      <family val="1"/>
    </font>
    <font>
      <b/>
      <sz val="10"/>
      <color rgb="FF000000"/>
      <name val="Open Sans"/>
      <family val="2"/>
    </font>
    <font>
      <i/>
      <sz val="10"/>
      <color rgb="FF000000"/>
      <name val="Open Sans"/>
      <family val="2"/>
    </font>
    <font>
      <b/>
      <sz val="10"/>
      <color rgb="FF000000"/>
      <name val="Times New Roman"/>
      <family val="1"/>
    </font>
    <font>
      <b/>
      <sz val="10"/>
      <color rgb="FFFF0000"/>
      <name val="Open Sans"/>
      <family val="2"/>
    </font>
    <font>
      <b/>
      <sz val="12"/>
      <color rgb="FF3F3F3D"/>
      <name val="Open Sans"/>
      <family val="2"/>
    </font>
    <font>
      <sz val="12"/>
      <color rgb="FF3F3F3D"/>
      <name val="Open Sans"/>
      <family val="2"/>
    </font>
    <font>
      <sz val="12"/>
      <color rgb="FF000000"/>
      <name val="Open Sans"/>
      <family val="2"/>
    </font>
    <font>
      <b/>
      <sz val="12"/>
      <name val="Open Sans"/>
      <family val="2"/>
    </font>
    <font>
      <sz val="12"/>
      <color rgb="FF5B5B5B"/>
      <name val="Open Sans"/>
      <family val="2"/>
    </font>
    <font>
      <i/>
      <sz val="12"/>
      <color rgb="FF3F3F3D"/>
      <name val="Open Sans"/>
      <family val="2"/>
    </font>
    <font>
      <i/>
      <sz val="12"/>
      <name val="Open Sans"/>
      <family val="2"/>
    </font>
    <font>
      <u/>
      <sz val="15"/>
      <name val="Open Sans"/>
      <family val="2"/>
    </font>
    <font>
      <u/>
      <sz val="12"/>
      <name val="Open Sans"/>
      <family val="2"/>
    </font>
    <font>
      <b/>
      <sz val="12"/>
      <color rgb="FF3B3B3B"/>
      <name val="Open Sans"/>
      <family val="2"/>
    </font>
    <font>
      <sz val="12"/>
      <color rgb="FF3B3B3B"/>
      <name val="Open Sans"/>
      <family val="2"/>
    </font>
    <font>
      <i/>
      <sz val="12"/>
      <color rgb="FF3B3B3B"/>
      <name val="Open Sans"/>
      <family val="2"/>
    </font>
    <font>
      <sz val="12"/>
      <color rgb="FF595959"/>
      <name val="Open Sans"/>
      <family val="2"/>
    </font>
    <font>
      <b/>
      <i/>
      <sz val="12"/>
      <name val="Open Sans"/>
      <family val="2"/>
    </font>
    <font>
      <b/>
      <i/>
      <sz val="12"/>
      <color rgb="FF3B3B3B"/>
      <name val="Open Sans"/>
      <family val="2"/>
    </font>
    <font>
      <sz val="12"/>
      <color rgb="FF525252"/>
      <name val="Open Sans"/>
      <family val="2"/>
    </font>
    <font>
      <b/>
      <sz val="12"/>
      <color rgb="FF3D3D3D"/>
      <name val="Open Sans"/>
      <family val="2"/>
    </font>
    <font>
      <sz val="12"/>
      <color rgb="FF3D3D3D"/>
      <name val="Open Sans"/>
      <family val="2"/>
    </font>
    <font>
      <i/>
      <sz val="12"/>
      <color rgb="FF3D3D3D"/>
      <name val="Open Sans"/>
      <family val="2"/>
    </font>
    <font>
      <i/>
      <sz val="12"/>
      <color rgb="FF595959"/>
      <name val="Open Sans"/>
      <family val="2"/>
    </font>
    <font>
      <i/>
      <sz val="12"/>
      <color rgb="FF5D5D5D"/>
      <name val="Open Sans"/>
      <family val="2"/>
    </font>
    <font>
      <b/>
      <sz val="16"/>
      <color rgb="FF3D3D3D"/>
      <name val="Open Sans"/>
      <family val="2"/>
    </font>
    <font>
      <sz val="12"/>
      <color theme="1"/>
      <name val="Open Sans"/>
      <family val="2"/>
    </font>
    <font>
      <b/>
      <sz val="12"/>
      <color theme="1"/>
      <name val="Open Sans"/>
      <family val="2"/>
    </font>
    <font>
      <sz val="12"/>
      <color rgb="FF4F4F4F"/>
      <name val="Open Sans"/>
      <family val="2"/>
    </font>
    <font>
      <b/>
      <sz val="12"/>
      <color rgb="FF4F4F4F"/>
      <name val="Open Sans"/>
      <family val="2"/>
    </font>
    <font>
      <i/>
      <sz val="12"/>
      <color theme="1"/>
      <name val="Open Sans"/>
      <family val="2"/>
    </font>
    <font>
      <b/>
      <sz val="12"/>
      <color rgb="FF000000"/>
      <name val="Open Sans"/>
      <family val="2"/>
    </font>
    <font>
      <sz val="12"/>
      <color rgb="FF232323"/>
      <name val="Open Sans"/>
      <family val="2"/>
    </font>
    <font>
      <sz val="12"/>
      <color rgb="FF0F0F0F"/>
      <name val="Open Sans"/>
      <family val="2"/>
    </font>
    <font>
      <sz val="12"/>
      <color rgb="FF3A3A3A"/>
      <name val="Open Sans"/>
      <family val="2"/>
    </font>
    <font>
      <b/>
      <sz val="12"/>
      <color rgb="FF0F0F0F"/>
      <name val="Open Sans"/>
      <family val="2"/>
    </font>
    <font>
      <i/>
      <sz val="12"/>
      <color rgb="FF3A3A3A"/>
      <name val="Open Sans"/>
      <family val="2"/>
    </font>
    <font>
      <i/>
      <sz val="12"/>
      <color rgb="FF0F0F0F"/>
      <name val="Open Sans"/>
      <family val="2"/>
    </font>
    <font>
      <b/>
      <sz val="12"/>
      <color rgb="FF232323"/>
      <name val="Open Sans"/>
      <family val="2"/>
    </font>
    <font>
      <vertAlign val="subscript"/>
      <sz val="12"/>
      <color rgb="FF3131FF"/>
      <name val="Open Sans"/>
      <family val="2"/>
    </font>
    <font>
      <i/>
      <sz val="12"/>
      <color rgb="FF4F4F4F"/>
      <name val="Open Sans"/>
      <family val="2"/>
    </font>
    <font>
      <b/>
      <vertAlign val="superscript"/>
      <sz val="14"/>
      <color theme="0"/>
      <name val="Open Sans"/>
      <family val="2"/>
    </font>
    <font>
      <b/>
      <sz val="16"/>
      <color theme="0"/>
      <name val="Open Sans"/>
      <family val="2"/>
    </font>
    <font>
      <sz val="9"/>
      <color rgb="FF00539F"/>
      <name val="Open Sans"/>
      <family val="2"/>
    </font>
    <font>
      <sz val="9"/>
      <color rgb="FFD50000"/>
      <name val="Open Sans"/>
      <family val="2"/>
    </font>
    <font>
      <sz val="9"/>
      <color rgb="FFFAA01A"/>
      <name val="Open Sans"/>
      <family val="2"/>
    </font>
    <font>
      <sz val="9"/>
      <color rgb="FF36845B"/>
      <name val="Open Sans"/>
      <family val="2"/>
    </font>
    <font>
      <sz val="9"/>
      <color rgb="FF4EA268"/>
      <name val="Open Sans"/>
      <family val="2"/>
    </font>
    <font>
      <sz val="9"/>
      <color theme="0" tint="-0.14999847407452621"/>
      <name val="Open Sans"/>
      <family val="2"/>
    </font>
    <font>
      <sz val="9"/>
      <color theme="0" tint="-0.34998626667073579"/>
      <name val="Open Sans"/>
      <family val="2"/>
    </font>
    <font>
      <sz val="11"/>
      <color theme="1"/>
      <name val="Open Sans"/>
      <family val="2"/>
    </font>
    <font>
      <u/>
      <sz val="14"/>
      <color indexed="12"/>
      <name val="Open Sans"/>
      <family val="2"/>
    </font>
    <font>
      <b/>
      <vertAlign val="superscript"/>
      <sz val="11"/>
      <color theme="0"/>
      <name val="Open Sans"/>
      <family val="2"/>
    </font>
    <font>
      <b/>
      <sz val="9"/>
      <color rgb="FFD50000"/>
      <name val="Open Sans"/>
      <family val="2"/>
    </font>
    <font>
      <sz val="14"/>
      <color theme="0"/>
      <name val="National-LFSN Semibd"/>
      <family val="2"/>
    </font>
    <font>
      <sz val="11"/>
      <color theme="0"/>
      <name val="National-LFSN Book"/>
      <family val="2"/>
    </font>
  </fonts>
  <fills count="74">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10"/>
        <bgColor indexed="64"/>
      </patternFill>
    </fill>
    <fill>
      <patternFill patternType="solid">
        <fgColor indexed="51"/>
        <bgColor indexed="64"/>
      </patternFill>
    </fill>
    <fill>
      <patternFill patternType="solid">
        <fgColor indexed="11"/>
        <bgColor indexed="64"/>
      </patternFill>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00FF"/>
        <bgColor indexed="64"/>
      </patternFill>
    </fill>
    <fill>
      <patternFill patternType="solid">
        <fgColor rgb="FF008000"/>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00"/>
        <bgColor indexed="64"/>
      </patternFill>
    </fill>
    <fill>
      <patternFill patternType="solid">
        <fgColor rgb="FFFF99FF"/>
        <bgColor indexed="64"/>
      </patternFill>
    </fill>
    <fill>
      <patternFill patternType="solid">
        <fgColor rgb="FF543A9C"/>
        <bgColor indexed="64"/>
      </patternFill>
    </fill>
    <fill>
      <patternFill patternType="solid">
        <fgColor rgb="FFBFBFBF"/>
        <bgColor rgb="FF000000"/>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indexed="64"/>
      </patternFill>
    </fill>
    <fill>
      <patternFill patternType="solid">
        <fgColor rgb="FFD0CECE"/>
        <bgColor indexed="64"/>
      </patternFill>
    </fill>
    <fill>
      <patternFill patternType="solid">
        <fgColor rgb="FF00FF00"/>
        <bgColor indexed="64"/>
      </patternFill>
    </fill>
    <fill>
      <patternFill patternType="solid">
        <fgColor rgb="FF70147A"/>
        <bgColor indexed="64"/>
      </patternFill>
    </fill>
    <fill>
      <patternFill patternType="solid">
        <fgColor rgb="FF000080"/>
        <bgColor indexed="64"/>
      </patternFill>
    </fill>
    <fill>
      <patternFill patternType="solid">
        <fgColor rgb="FF99CC00"/>
        <bgColor indexed="64"/>
      </patternFill>
    </fill>
    <fill>
      <patternFill patternType="solid">
        <fgColor rgb="FF99CCFF"/>
        <bgColor indexed="64"/>
      </patternFill>
    </fill>
    <fill>
      <patternFill patternType="solid">
        <fgColor rgb="FFCCFFCC"/>
        <bgColor indexed="64"/>
      </patternFill>
    </fill>
    <fill>
      <patternFill patternType="solid">
        <fgColor rgb="FFFF9600"/>
        <bgColor indexed="64"/>
      </patternFill>
    </fill>
    <fill>
      <patternFill patternType="solid">
        <fgColor theme="4" tint="0.79998168889431442"/>
        <bgColor theme="4" tint="0.79998168889431442"/>
      </patternFill>
    </fill>
    <fill>
      <patternFill patternType="solid">
        <fgColor rgb="FF666699"/>
        <bgColor indexed="64"/>
      </patternFill>
    </fill>
    <fill>
      <patternFill patternType="solid">
        <fgColor theme="9" tint="-0.249977111117893"/>
        <bgColor indexed="64"/>
      </patternFill>
    </fill>
    <fill>
      <patternFill patternType="solid">
        <fgColor rgb="FFEFEFFF"/>
        <bgColor indexed="64"/>
      </patternFill>
    </fill>
    <fill>
      <patternFill patternType="solid">
        <fgColor rgb="FFFFEBEB"/>
        <bgColor indexed="64"/>
      </patternFill>
    </fill>
    <fill>
      <patternFill patternType="solid">
        <fgColor rgb="FFFFFBEF"/>
        <bgColor indexed="64"/>
      </patternFill>
    </fill>
    <fill>
      <patternFill patternType="solid">
        <fgColor rgb="FFF9F9F9"/>
        <bgColor indexed="64"/>
      </patternFill>
    </fill>
    <fill>
      <patternFill patternType="solid">
        <fgColor rgb="FFFFC000"/>
        <bgColor indexed="64"/>
      </patternFill>
    </fill>
    <fill>
      <patternFill patternType="solid">
        <fgColor rgb="FF701478"/>
        <bgColor indexed="64"/>
      </patternFill>
    </fill>
    <fill>
      <patternFill patternType="solid">
        <fgColor rgb="FF9933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36845B"/>
        <bgColor indexed="64"/>
      </patternFill>
    </fill>
    <fill>
      <patternFill patternType="solid">
        <fgColor rgb="FF65FF65"/>
        <bgColor indexed="64"/>
      </patternFill>
    </fill>
    <fill>
      <patternFill patternType="solid">
        <fgColor theme="4"/>
        <bgColor indexed="64"/>
      </patternFill>
    </fill>
    <fill>
      <patternFill patternType="solid">
        <fgColor theme="5"/>
        <bgColor indexed="64"/>
      </patternFill>
    </fill>
    <fill>
      <patternFill patternType="solid">
        <fgColor rgb="FFD50000"/>
        <bgColor indexed="64"/>
      </patternFill>
    </fill>
    <fill>
      <patternFill patternType="solid">
        <fgColor rgb="FF00539F"/>
        <bgColor indexed="64"/>
      </patternFill>
    </fill>
    <fill>
      <patternFill patternType="solid">
        <fgColor rgb="FFFAA01A"/>
        <bgColor indexed="64"/>
      </patternFill>
    </fill>
    <fill>
      <patternFill patternType="solid">
        <fgColor rgb="FFFFF685"/>
        <bgColor indexed="64"/>
      </patternFill>
    </fill>
    <fill>
      <patternFill patternType="solid">
        <fgColor theme="6" tint="0.79998168889431442"/>
        <bgColor indexed="64"/>
      </patternFill>
    </fill>
    <fill>
      <patternFill patternType="solid">
        <fgColor theme="2"/>
        <bgColor indexed="64"/>
      </patternFill>
    </fill>
    <fill>
      <patternFill patternType="solid">
        <fgColor rgb="FF909090"/>
        <bgColor indexed="64"/>
      </patternFill>
    </fill>
    <fill>
      <patternFill patternType="solid">
        <fgColor rgb="FF348837"/>
        <bgColor indexed="64"/>
      </patternFill>
    </fill>
    <fill>
      <patternFill patternType="solid">
        <fgColor rgb="FFA1CDF0"/>
        <bgColor indexed="64"/>
      </patternFill>
    </fill>
    <fill>
      <patternFill patternType="solid">
        <fgColor rgb="FF4EA268"/>
        <bgColor indexed="64"/>
      </patternFill>
    </fill>
    <fill>
      <patternFill patternType="solid">
        <fgColor rgb="FFCC3300"/>
        <bgColor indexed="64"/>
      </patternFill>
    </fill>
    <fill>
      <patternFill patternType="solid">
        <fgColor rgb="FF02665F"/>
        <bgColor indexed="64"/>
      </patternFill>
    </fill>
    <fill>
      <patternFill patternType="solid">
        <fgColor theme="5" tint="0.79998168889431442"/>
        <bgColor indexed="64"/>
      </patternFill>
    </fill>
    <fill>
      <patternFill patternType="solid">
        <fgColor rgb="FF78B82A"/>
        <bgColor indexed="64"/>
      </patternFill>
    </fill>
    <fill>
      <patternFill patternType="solid">
        <fgColor rgb="FF722889"/>
        <bgColor indexed="64"/>
      </patternFill>
    </fill>
    <fill>
      <patternFill patternType="solid">
        <fgColor theme="6" tint="0.39997558519241921"/>
        <bgColor indexed="64"/>
      </patternFill>
    </fill>
    <fill>
      <patternFill patternType="solid">
        <fgColor rgb="FF00539F"/>
        <bgColor rgb="FF000000"/>
      </patternFill>
    </fill>
    <fill>
      <patternFill patternType="solid">
        <fgColor rgb="FFFAA01A"/>
        <bgColor rgb="FF000000"/>
      </patternFill>
    </fill>
    <fill>
      <patternFill patternType="solid">
        <fgColor rgb="FFD50000"/>
        <bgColor rgb="FF000000"/>
      </patternFill>
    </fill>
    <fill>
      <patternFill patternType="solid">
        <fgColor rgb="FF78B82A"/>
        <bgColor rgb="FF000000"/>
      </patternFill>
    </fill>
    <fill>
      <patternFill patternType="solid">
        <fgColor rgb="FF00B0F0"/>
        <bgColor indexed="64"/>
      </patternFill>
    </fill>
    <fill>
      <patternFill patternType="solid">
        <fgColor rgb="FFCDAF2D"/>
        <bgColor indexed="64"/>
      </patternFill>
    </fill>
    <fill>
      <patternFill patternType="solid">
        <fgColor rgb="FF7030A0"/>
        <bgColor indexed="64"/>
      </patternFill>
    </fill>
    <fill>
      <patternFill patternType="solid">
        <fgColor theme="1" tint="0.249977111117893"/>
        <bgColor indexed="64"/>
      </patternFill>
    </fill>
    <fill>
      <patternFill patternType="solid">
        <fgColor theme="4" tint="0.79998168889431442"/>
        <bgColor indexed="64"/>
      </patternFill>
    </fill>
  </fills>
  <borders count="4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right/>
      <top style="medium">
        <color indexed="64"/>
      </top>
      <bottom/>
      <diagonal/>
    </border>
    <border>
      <left style="medium">
        <color indexed="9"/>
      </left>
      <right style="medium">
        <color indexed="9"/>
      </right>
      <top/>
      <bottom/>
      <diagonal/>
    </border>
    <border>
      <left/>
      <right style="medium">
        <color indexed="9"/>
      </right>
      <top/>
      <bottom/>
      <diagonal/>
    </border>
    <border>
      <left/>
      <right style="thin">
        <color indexed="9"/>
      </right>
      <top/>
      <bottom/>
      <diagonal/>
    </border>
    <border>
      <left style="thin">
        <color indexed="9"/>
      </left>
      <right/>
      <top/>
      <bottom/>
      <diagonal/>
    </border>
    <border>
      <left/>
      <right/>
      <top/>
      <bottom style="medium">
        <color theme="4" tint="0.39997558519241921"/>
      </bottom>
      <diagonal/>
    </border>
    <border>
      <left/>
      <right/>
      <top style="thin">
        <color theme="4"/>
      </top>
      <bottom style="double">
        <color theme="4"/>
      </bottom>
      <diagonal/>
    </border>
    <border>
      <left style="thick">
        <color theme="0"/>
      </left>
      <right style="thick">
        <color theme="0"/>
      </right>
      <top style="thick">
        <color theme="0"/>
      </top>
      <bottom style="thick">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theme="0"/>
      </left>
      <right style="thick">
        <color theme="0"/>
      </right>
      <top/>
      <bottom/>
      <diagonal/>
    </border>
    <border>
      <left/>
      <right/>
      <top/>
      <bottom style="thin">
        <color indexed="9"/>
      </bottom>
      <diagonal/>
    </border>
    <border>
      <left/>
      <right/>
      <top style="thin">
        <color indexed="9"/>
      </top>
      <bottom style="thin">
        <color indexed="9"/>
      </bottom>
      <diagonal/>
    </border>
    <border>
      <left style="thin">
        <color indexed="9"/>
      </left>
      <right/>
      <top style="thin">
        <color indexed="9"/>
      </top>
      <bottom/>
      <diagonal/>
    </border>
    <border>
      <left style="thin">
        <color indexed="9"/>
      </left>
      <right/>
      <top/>
      <bottom style="thin">
        <color indexed="9"/>
      </bottom>
      <diagonal/>
    </border>
    <border>
      <left/>
      <right style="thin">
        <color indexed="9"/>
      </right>
      <top style="thin">
        <color indexed="9"/>
      </top>
      <bottom/>
      <diagonal/>
    </border>
    <border>
      <left/>
      <right style="thin">
        <color indexed="9"/>
      </right>
      <top/>
      <bottom style="thin">
        <color indexed="9"/>
      </bottom>
      <diagonal/>
    </border>
    <border>
      <left/>
      <right/>
      <top/>
      <bottom style="medium">
        <color theme="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thin">
        <color theme="4"/>
      </top>
      <bottom/>
      <diagonal/>
    </border>
    <border>
      <left/>
      <right style="medium">
        <color theme="0"/>
      </right>
      <top style="medium">
        <color theme="0"/>
      </top>
      <bottom style="medium">
        <color theme="0"/>
      </bottom>
      <diagonal/>
    </border>
    <border>
      <left style="thick">
        <color theme="5"/>
      </left>
      <right/>
      <top/>
      <bottom/>
      <diagonal/>
    </border>
    <border>
      <left/>
      <right/>
      <top/>
      <bottom style="thick">
        <color theme="5"/>
      </bottom>
      <diagonal/>
    </border>
    <border>
      <left style="thick">
        <color theme="0"/>
      </left>
      <right style="thick">
        <color theme="0"/>
      </right>
      <top/>
      <bottom style="thick">
        <color theme="0"/>
      </bottom>
      <diagonal/>
    </border>
    <border>
      <left/>
      <right/>
      <top/>
      <bottom style="thin">
        <color theme="5"/>
      </bottom>
      <diagonal/>
    </border>
    <border>
      <left/>
      <right/>
      <top style="thin">
        <color rgb="FF000000"/>
      </top>
      <bottom/>
      <diagonal/>
    </border>
    <border>
      <left/>
      <right/>
      <top/>
      <bottom style="thin">
        <color theme="5" tint="0.39997558519241921"/>
      </bottom>
      <diagonal/>
    </border>
  </borders>
  <cellStyleXfs count="36">
    <xf numFmtId="37" fontId="0" fillId="0" borderId="0"/>
    <xf numFmtId="180" fontId="3" fillId="0" borderId="0"/>
    <xf numFmtId="164" fontId="3" fillId="0" borderId="0"/>
    <xf numFmtId="164" fontId="11" fillId="0" borderId="0" applyFont="0" applyFill="0" applyBorder="0" applyAlignment="0" applyProtection="0"/>
    <xf numFmtId="0" fontId="8" fillId="0" borderId="0">
      <alignment horizontal="left"/>
    </xf>
    <xf numFmtId="0" fontId="61" fillId="0" borderId="15" applyNumberFormat="0" applyFill="0" applyAlignment="0" applyProtection="0"/>
    <xf numFmtId="0" fontId="9" fillId="0" borderId="0" applyNumberFormat="0" applyFill="0" applyBorder="0" applyAlignment="0" applyProtection="0">
      <alignment vertical="top"/>
      <protection locked="0"/>
    </xf>
    <xf numFmtId="0" fontId="18" fillId="0" borderId="0"/>
    <xf numFmtId="37"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7" fontId="3" fillId="0" borderId="0"/>
    <xf numFmtId="37" fontId="3" fillId="0" borderId="0"/>
    <xf numFmtId="0" fontId="11" fillId="0" borderId="0"/>
    <xf numFmtId="0" fontId="12" fillId="0" borderId="0"/>
    <xf numFmtId="0" fontId="14" fillId="0" borderId="0">
      <alignment horizontal="left" indent="3"/>
    </xf>
    <xf numFmtId="9" fontId="3" fillId="0" borderId="0" applyFont="0" applyFill="0" applyBorder="0" applyAlignment="0" applyProtection="0"/>
    <xf numFmtId="9" fontId="11" fillId="0" borderId="0" applyFont="0" applyFill="0" applyBorder="0" applyAlignment="0" applyProtection="0"/>
    <xf numFmtId="0" fontId="13" fillId="0" borderId="0" applyNumberFormat="0"/>
    <xf numFmtId="181" fontId="12" fillId="0" borderId="0" applyNumberFormat="0">
      <alignment horizontal="left"/>
    </xf>
    <xf numFmtId="0" fontId="4" fillId="0" borderId="0">
      <alignment horizontal="left"/>
    </xf>
    <xf numFmtId="0" fontId="62" fillId="0" borderId="16" applyNumberFormat="0" applyFill="0" applyAlignment="0" applyProtection="0"/>
    <xf numFmtId="0" fontId="173" fillId="0" borderId="0"/>
    <xf numFmtId="9" fontId="175" fillId="0" borderId="0" applyFont="0" applyFill="0" applyBorder="0" applyAlignment="0" applyProtection="0"/>
    <xf numFmtId="0" fontId="175" fillId="0" borderId="0"/>
    <xf numFmtId="164" fontId="175" fillId="0" borderId="0" applyFont="0" applyFill="0" applyBorder="0" applyAlignment="0" applyProtection="0"/>
    <xf numFmtId="0" fontId="175" fillId="0" borderId="0"/>
    <xf numFmtId="37" fontId="3" fillId="0" borderId="0"/>
    <xf numFmtId="0" fontId="175" fillId="0" borderId="0"/>
  </cellStyleXfs>
  <cellXfs count="3529">
    <xf numFmtId="37" fontId="0" fillId="0" borderId="0" xfId="0"/>
    <xf numFmtId="37" fontId="4" fillId="0" borderId="0" xfId="0" applyFont="1"/>
    <xf numFmtId="37" fontId="0" fillId="0" borderId="0" xfId="0" applyAlignment="1">
      <alignment horizontal="right"/>
    </xf>
    <xf numFmtId="37" fontId="5" fillId="0" borderId="0" xfId="0" applyFont="1" applyAlignment="1">
      <alignment horizontal="right"/>
    </xf>
    <xf numFmtId="3" fontId="0" fillId="0" borderId="0" xfId="0" applyNumberFormat="1" applyAlignment="1">
      <alignment horizontal="right"/>
    </xf>
    <xf numFmtId="167" fontId="0" fillId="0" borderId="0" xfId="0" applyNumberFormat="1" applyAlignment="1">
      <alignment horizontal="right"/>
    </xf>
    <xf numFmtId="1" fontId="0" fillId="0" borderId="0" xfId="0" applyNumberFormat="1" applyAlignment="1">
      <alignment horizontal="right"/>
    </xf>
    <xf numFmtId="37" fontId="5" fillId="0" borderId="0" xfId="0" applyFont="1" applyAlignment="1">
      <alignment horizontal="left"/>
    </xf>
    <xf numFmtId="37" fontId="6" fillId="0" borderId="0" xfId="0" applyFont="1"/>
    <xf numFmtId="3" fontId="7" fillId="0" borderId="0" xfId="0" applyNumberFormat="1" applyFont="1" applyAlignment="1">
      <alignment horizontal="right"/>
    </xf>
    <xf numFmtId="3" fontId="4" fillId="0" borderId="0" xfId="0" applyNumberFormat="1" applyFont="1" applyAlignment="1">
      <alignment horizontal="right"/>
    </xf>
    <xf numFmtId="1" fontId="4" fillId="0" borderId="0" xfId="0" applyNumberFormat="1" applyFont="1" applyAlignment="1">
      <alignment horizontal="right"/>
    </xf>
    <xf numFmtId="3" fontId="6" fillId="0" borderId="0" xfId="0" applyNumberFormat="1" applyFont="1" applyAlignment="1">
      <alignment horizontal="right"/>
    </xf>
    <xf numFmtId="166" fontId="0" fillId="0" borderId="0" xfId="23" applyNumberFormat="1" applyFont="1" applyAlignment="1">
      <alignment horizontal="right"/>
    </xf>
    <xf numFmtId="166" fontId="6" fillId="0" borderId="0" xfId="23" applyNumberFormat="1" applyFont="1" applyAlignment="1">
      <alignment horizontal="right"/>
    </xf>
    <xf numFmtId="166" fontId="4" fillId="0" borderId="0" xfId="23" applyNumberFormat="1" applyFont="1" applyAlignment="1">
      <alignment horizontal="right"/>
    </xf>
    <xf numFmtId="166" fontId="7" fillId="0" borderId="0" xfId="23" applyNumberFormat="1" applyFont="1" applyAlignment="1">
      <alignment horizontal="right"/>
    </xf>
    <xf numFmtId="37" fontId="8" fillId="0" borderId="0" xfId="0" applyFont="1"/>
    <xf numFmtId="166" fontId="3" fillId="0" borderId="0" xfId="23" applyNumberFormat="1" applyAlignment="1">
      <alignment horizontal="right"/>
    </xf>
    <xf numFmtId="37" fontId="7" fillId="0" borderId="0" xfId="0" applyFont="1"/>
    <xf numFmtId="1" fontId="7" fillId="0" borderId="0" xfId="0" applyNumberFormat="1" applyFont="1" applyAlignment="1">
      <alignment horizontal="right"/>
    </xf>
    <xf numFmtId="167" fontId="7" fillId="0" borderId="0" xfId="0" applyNumberFormat="1" applyFont="1" applyAlignment="1">
      <alignment horizontal="right"/>
    </xf>
    <xf numFmtId="37" fontId="7" fillId="0" borderId="0" xfId="0" applyFont="1" applyAlignment="1">
      <alignment horizontal="right"/>
    </xf>
    <xf numFmtId="37" fontId="15" fillId="0" borderId="0" xfId="0" applyFont="1"/>
    <xf numFmtId="37" fontId="16" fillId="0" borderId="0" xfId="0" applyFont="1"/>
    <xf numFmtId="37" fontId="15" fillId="0" borderId="1" xfId="0" applyFont="1" applyBorder="1"/>
    <xf numFmtId="37" fontId="16" fillId="0" borderId="1" xfId="0" applyFont="1" applyBorder="1"/>
    <xf numFmtId="37" fontId="16" fillId="0" borderId="0" xfId="0" applyFont="1" applyAlignment="1">
      <alignment horizontal="right"/>
    </xf>
    <xf numFmtId="37" fontId="15" fillId="0" borderId="0" xfId="0" applyNumberFormat="1" applyFont="1"/>
    <xf numFmtId="37" fontId="17" fillId="0" borderId="0" xfId="0" applyFont="1"/>
    <xf numFmtId="37" fontId="15" fillId="0" borderId="0" xfId="0" applyFont="1" applyBorder="1"/>
    <xf numFmtId="1" fontId="15" fillId="0" borderId="1" xfId="0" applyNumberFormat="1" applyFont="1" applyBorder="1" applyAlignment="1">
      <alignment horizontal="right"/>
    </xf>
    <xf numFmtId="37" fontId="16" fillId="0" borderId="0" xfId="0" applyFont="1" applyBorder="1"/>
    <xf numFmtId="1" fontId="15" fillId="0" borderId="0" xfId="0" applyNumberFormat="1" applyFont="1"/>
    <xf numFmtId="37" fontId="15" fillId="0" borderId="0" xfId="0" applyFont="1" applyBorder="1" applyAlignment="1">
      <alignment horizontal="right"/>
    </xf>
    <xf numFmtId="37" fontId="15" fillId="0" borderId="2" xfId="0" applyFont="1" applyBorder="1"/>
    <xf numFmtId="166" fontId="15" fillId="0" borderId="0" xfId="0" applyNumberFormat="1" applyFont="1" applyBorder="1"/>
    <xf numFmtId="0" fontId="15" fillId="0" borderId="0" xfId="17" applyNumberFormat="1" applyFont="1" applyBorder="1" applyAlignment="1">
      <alignment horizontal="right"/>
    </xf>
    <xf numFmtId="37" fontId="16" fillId="0" borderId="3" xfId="0" applyFont="1" applyBorder="1"/>
    <xf numFmtId="9" fontId="16" fillId="0" borderId="3" xfId="0" applyNumberFormat="1" applyFont="1" applyBorder="1"/>
    <xf numFmtId="0" fontId="15" fillId="0" borderId="0" xfId="17" applyFont="1" applyBorder="1"/>
    <xf numFmtId="37" fontId="11" fillId="0" borderId="0" xfId="0" applyFont="1"/>
    <xf numFmtId="37" fontId="17" fillId="0" borderId="0" xfId="0" applyNumberFormat="1" applyFont="1"/>
    <xf numFmtId="37" fontId="19" fillId="0" borderId="0" xfId="0" applyFont="1"/>
    <xf numFmtId="37" fontId="16" fillId="0" borderId="0" xfId="0" applyNumberFormat="1" applyFont="1"/>
    <xf numFmtId="37" fontId="16" fillId="0" borderId="2" xfId="0" applyNumberFormat="1" applyFont="1" applyBorder="1" applyAlignment="1">
      <alignment horizontal="center"/>
    </xf>
    <xf numFmtId="37" fontId="15" fillId="0" borderId="0" xfId="0" applyNumberFormat="1" applyFont="1" applyBorder="1" applyAlignment="1">
      <alignment horizontal="right" wrapText="1"/>
    </xf>
    <xf numFmtId="37" fontId="15" fillId="0" borderId="0" xfId="0" applyNumberFormat="1" applyFont="1" applyBorder="1"/>
    <xf numFmtId="37" fontId="15" fillId="0" borderId="1" xfId="0" applyNumberFormat="1" applyFont="1" applyBorder="1"/>
    <xf numFmtId="37" fontId="16" fillId="0" borderId="1" xfId="0" applyFont="1" applyBorder="1" applyAlignment="1">
      <alignment horizontal="right"/>
    </xf>
    <xf numFmtId="166" fontId="3" fillId="0" borderId="0" xfId="23" applyNumberFormat="1" applyFont="1" applyAlignment="1">
      <alignment horizontal="right"/>
    </xf>
    <xf numFmtId="37" fontId="4" fillId="0" borderId="0" xfId="8" applyFont="1"/>
    <xf numFmtId="3" fontId="3" fillId="0" borderId="0" xfId="8" applyNumberFormat="1" applyAlignment="1">
      <alignment horizontal="right"/>
    </xf>
    <xf numFmtId="167" fontId="3" fillId="0" borderId="0" xfId="8" applyNumberFormat="1" applyAlignment="1">
      <alignment horizontal="right"/>
    </xf>
    <xf numFmtId="1" fontId="3" fillId="0" borderId="0" xfId="8" applyNumberFormat="1" applyAlignment="1">
      <alignment horizontal="right"/>
    </xf>
    <xf numFmtId="37" fontId="3" fillId="0" borderId="0" xfId="8"/>
    <xf numFmtId="3" fontId="3" fillId="8" borderId="0" xfId="8" applyNumberFormat="1" applyFill="1" applyAlignment="1">
      <alignment horizontal="right"/>
    </xf>
    <xf numFmtId="167" fontId="3" fillId="8" borderId="0" xfId="8" applyNumberFormat="1" applyFill="1" applyAlignment="1">
      <alignment horizontal="right"/>
    </xf>
    <xf numFmtId="1" fontId="3" fillId="8" borderId="0" xfId="8" applyNumberFormat="1" applyFill="1" applyAlignment="1">
      <alignment horizontal="right"/>
    </xf>
    <xf numFmtId="3" fontId="4" fillId="8" borderId="0" xfId="8" applyNumberFormat="1" applyFont="1" applyFill="1" applyAlignment="1">
      <alignment horizontal="right"/>
    </xf>
    <xf numFmtId="166" fontId="4" fillId="8" borderId="0" xfId="23" applyNumberFormat="1" applyFont="1" applyFill="1" applyAlignment="1">
      <alignment horizontal="right"/>
    </xf>
    <xf numFmtId="1" fontId="4" fillId="8" borderId="0" xfId="8" applyNumberFormat="1" applyFont="1" applyFill="1" applyAlignment="1">
      <alignment horizontal="right"/>
    </xf>
    <xf numFmtId="37" fontId="3" fillId="0" borderId="0" xfId="8" applyFont="1"/>
    <xf numFmtId="166" fontId="3" fillId="8" borderId="0" xfId="23" applyNumberFormat="1" applyFont="1" applyFill="1" applyAlignment="1">
      <alignment horizontal="right"/>
    </xf>
    <xf numFmtId="3" fontId="3" fillId="8" borderId="0" xfId="8" applyNumberFormat="1" applyFont="1" applyFill="1" applyAlignment="1">
      <alignment horizontal="right"/>
    </xf>
    <xf numFmtId="1" fontId="3" fillId="8" borderId="0" xfId="8" applyNumberFormat="1" applyFont="1" applyFill="1" applyAlignment="1">
      <alignment horizontal="right"/>
    </xf>
    <xf numFmtId="167" fontId="3" fillId="8" borderId="0" xfId="8" applyNumberFormat="1" applyFont="1" applyFill="1" applyAlignment="1">
      <alignment horizontal="right"/>
    </xf>
    <xf numFmtId="37" fontId="6" fillId="0" borderId="0" xfId="8" applyFont="1"/>
    <xf numFmtId="3" fontId="6" fillId="0" borderId="0" xfId="8" applyNumberFormat="1" applyFont="1" applyAlignment="1">
      <alignment horizontal="right"/>
    </xf>
    <xf numFmtId="37" fontId="3" fillId="8" borderId="0" xfId="8" applyFont="1" applyFill="1" applyAlignment="1">
      <alignment horizontal="right"/>
    </xf>
    <xf numFmtId="3" fontId="6" fillId="8" borderId="0" xfId="8" applyNumberFormat="1" applyFont="1" applyFill="1" applyAlignment="1">
      <alignment horizontal="right"/>
    </xf>
    <xf numFmtId="166" fontId="3" fillId="8" borderId="0" xfId="23" applyNumberFormat="1" applyFill="1" applyAlignment="1">
      <alignment horizontal="right"/>
    </xf>
    <xf numFmtId="37" fontId="3" fillId="8" borderId="0" xfId="8" applyFill="1" applyAlignment="1">
      <alignment horizontal="right"/>
    </xf>
    <xf numFmtId="37" fontId="5" fillId="0" borderId="0" xfId="8" applyFont="1" applyAlignment="1">
      <alignment horizontal="right"/>
    </xf>
    <xf numFmtId="37" fontId="5" fillId="0" borderId="0" xfId="8" applyFont="1" applyAlignment="1">
      <alignment horizontal="left"/>
    </xf>
    <xf numFmtId="37" fontId="3" fillId="0" borderId="0" xfId="8" applyAlignment="1">
      <alignment horizontal="right"/>
    </xf>
    <xf numFmtId="3" fontId="4" fillId="0" borderId="0" xfId="8" applyNumberFormat="1" applyFont="1" applyAlignment="1">
      <alignment horizontal="right"/>
    </xf>
    <xf numFmtId="1" fontId="4" fillId="0" borderId="0" xfId="8" applyNumberFormat="1" applyFont="1" applyAlignment="1">
      <alignment horizontal="right"/>
    </xf>
    <xf numFmtId="3" fontId="3" fillId="0" borderId="0" xfId="8" applyNumberFormat="1" applyFont="1" applyAlignment="1">
      <alignment horizontal="right"/>
    </xf>
    <xf numFmtId="1" fontId="3" fillId="0" borderId="0" xfId="8" applyNumberFormat="1" applyFont="1" applyAlignment="1">
      <alignment horizontal="right"/>
    </xf>
    <xf numFmtId="167" fontId="3" fillId="0" borderId="0" xfId="8" applyNumberFormat="1" applyFont="1" applyAlignment="1">
      <alignment horizontal="right"/>
    </xf>
    <xf numFmtId="37" fontId="3" fillId="0" borderId="0" xfId="8" applyFont="1" applyAlignment="1">
      <alignment horizontal="right"/>
    </xf>
    <xf numFmtId="0" fontId="11" fillId="0" borderId="0" xfId="0" applyNumberFormat="1" applyFont="1"/>
    <xf numFmtId="0" fontId="0" fillId="0" borderId="0" xfId="0" applyNumberFormat="1"/>
    <xf numFmtId="14" fontId="0" fillId="0" borderId="0" xfId="0" applyNumberFormat="1"/>
    <xf numFmtId="0" fontId="0" fillId="0" borderId="0" xfId="0" applyNumberFormat="1" applyBorder="1"/>
    <xf numFmtId="0" fontId="11" fillId="0" borderId="0" xfId="0" applyNumberFormat="1" applyFont="1" applyBorder="1" applyAlignment="1">
      <alignment wrapText="1"/>
    </xf>
    <xf numFmtId="0" fontId="19" fillId="0" borderId="4" xfId="0" applyNumberFormat="1" applyFont="1" applyBorder="1" applyAlignment="1">
      <alignment wrapText="1"/>
    </xf>
    <xf numFmtId="0" fontId="19" fillId="0" borderId="5" xfId="0" applyNumberFormat="1" applyFont="1" applyBorder="1" applyAlignment="1">
      <alignment wrapText="1"/>
    </xf>
    <xf numFmtId="0" fontId="19" fillId="0" borderId="6" xfId="0" applyNumberFormat="1" applyFont="1" applyBorder="1" applyAlignment="1">
      <alignment wrapText="1"/>
    </xf>
    <xf numFmtId="0" fontId="11" fillId="0" borderId="5" xfId="0" applyNumberFormat="1" applyFont="1" applyBorder="1" applyAlignment="1">
      <alignment wrapText="1"/>
    </xf>
    <xf numFmtId="14" fontId="11" fillId="0" borderId="5" xfId="0" applyNumberFormat="1" applyFont="1" applyBorder="1" applyAlignment="1">
      <alignment wrapText="1"/>
    </xf>
    <xf numFmtId="167" fontId="11" fillId="0" borderId="0" xfId="0" applyNumberFormat="1" applyFont="1" applyBorder="1" applyAlignment="1">
      <alignment wrapText="1"/>
    </xf>
    <xf numFmtId="0" fontId="11" fillId="0" borderId="7" xfId="0" applyNumberFormat="1" applyFont="1" applyBorder="1" applyAlignment="1">
      <alignment wrapText="1"/>
    </xf>
    <xf numFmtId="14" fontId="11" fillId="0" borderId="5" xfId="0" applyNumberFormat="1" applyFont="1" applyBorder="1"/>
    <xf numFmtId="0" fontId="0" fillId="0" borderId="0" xfId="0" applyNumberFormat="1" applyAlignment="1">
      <alignment wrapText="1"/>
    </xf>
    <xf numFmtId="0" fontId="0" fillId="0" borderId="0" xfId="0" applyNumberFormat="1" applyBorder="1" applyAlignment="1">
      <alignment wrapText="1"/>
    </xf>
    <xf numFmtId="0" fontId="0" fillId="0" borderId="0" xfId="0" applyNumberFormat="1" applyAlignment="1"/>
    <xf numFmtId="14" fontId="0" fillId="0" borderId="0" xfId="0" applyNumberFormat="1" applyBorder="1"/>
    <xf numFmtId="167" fontId="0" fillId="0" borderId="0" xfId="0" applyNumberFormat="1" applyBorder="1"/>
    <xf numFmtId="37" fontId="20" fillId="0" borderId="0" xfId="0" applyNumberFormat="1" applyFont="1" applyBorder="1"/>
    <xf numFmtId="37" fontId="21" fillId="0" borderId="0" xfId="0" applyFont="1"/>
    <xf numFmtId="37" fontId="22" fillId="0" borderId="1" xfId="0" applyFont="1" applyBorder="1"/>
    <xf numFmtId="37" fontId="21" fillId="0" borderId="1" xfId="0" applyFont="1" applyBorder="1" applyAlignment="1">
      <alignment horizontal="right"/>
    </xf>
    <xf numFmtId="37" fontId="21" fillId="0" borderId="3" xfId="0" applyFont="1" applyBorder="1" applyAlignment="1">
      <alignment horizontal="right"/>
    </xf>
    <xf numFmtId="166" fontId="21" fillId="0" borderId="0" xfId="23" applyNumberFormat="1" applyFont="1"/>
    <xf numFmtId="1" fontId="21" fillId="0" borderId="0" xfId="0" applyNumberFormat="1" applyFont="1"/>
    <xf numFmtId="177" fontId="21" fillId="0" borderId="0" xfId="0" quotePrefix="1" applyNumberFormat="1" applyFont="1"/>
    <xf numFmtId="0" fontId="21" fillId="0" borderId="0" xfId="0" applyNumberFormat="1" applyFont="1"/>
    <xf numFmtId="166" fontId="21" fillId="0" borderId="0" xfId="0" applyNumberFormat="1" applyFont="1"/>
    <xf numFmtId="37" fontId="21" fillId="0" borderId="0" xfId="0" applyFont="1" applyBorder="1" applyAlignment="1">
      <alignment horizontal="right"/>
    </xf>
    <xf numFmtId="1" fontId="21" fillId="0" borderId="0" xfId="0" applyNumberFormat="1" applyFont="1" applyAlignment="1">
      <alignment horizontal="right"/>
    </xf>
    <xf numFmtId="37" fontId="21" fillId="0" borderId="0" xfId="0" applyNumberFormat="1" applyFont="1"/>
    <xf numFmtId="37" fontId="25" fillId="0" borderId="0" xfId="0" applyFont="1"/>
    <xf numFmtId="37" fontId="26" fillId="0" borderId="1" xfId="0" applyFont="1" applyBorder="1"/>
    <xf numFmtId="37" fontId="25" fillId="0" borderId="1" xfId="0" applyFont="1" applyBorder="1" applyAlignment="1">
      <alignment horizontal="right"/>
    </xf>
    <xf numFmtId="37" fontId="25" fillId="0" borderId="3" xfId="0" applyFont="1" applyBorder="1" applyAlignment="1">
      <alignment horizontal="right"/>
    </xf>
    <xf numFmtId="37" fontId="25" fillId="0" borderId="0" xfId="0" applyFont="1" applyBorder="1" applyAlignment="1">
      <alignment horizontal="right"/>
    </xf>
    <xf numFmtId="1" fontId="25" fillId="0" borderId="0" xfId="0" applyNumberFormat="1" applyFont="1" applyAlignment="1">
      <alignment horizontal="right"/>
    </xf>
    <xf numFmtId="37" fontId="25" fillId="0" borderId="0" xfId="0" applyNumberFormat="1" applyFont="1"/>
    <xf numFmtId="1" fontId="25" fillId="0" borderId="0" xfId="0" applyNumberFormat="1" applyFont="1"/>
    <xf numFmtId="1" fontId="25" fillId="0" borderId="0" xfId="0" quotePrefix="1" applyNumberFormat="1" applyFont="1"/>
    <xf numFmtId="37" fontId="27" fillId="0" borderId="0" xfId="0" applyFont="1"/>
    <xf numFmtId="0" fontId="21" fillId="0" borderId="0" xfId="0" applyNumberFormat="1" applyFont="1" applyBorder="1"/>
    <xf numFmtId="1" fontId="21" fillId="0" borderId="0" xfId="0" applyNumberFormat="1" applyFont="1" applyBorder="1" applyAlignment="1">
      <alignment horizontal="right"/>
    </xf>
    <xf numFmtId="0" fontId="21" fillId="0" borderId="1" xfId="0" applyNumberFormat="1" applyFont="1" applyBorder="1"/>
    <xf numFmtId="1" fontId="21" fillId="0" borderId="1" xfId="0" applyNumberFormat="1" applyFont="1" applyBorder="1" applyAlignment="1">
      <alignment horizontal="right"/>
    </xf>
    <xf numFmtId="37" fontId="28" fillId="0" borderId="0" xfId="0" applyFont="1"/>
    <xf numFmtId="37" fontId="28" fillId="0" borderId="0" xfId="0" applyFont="1" applyAlignment="1">
      <alignment wrapText="1"/>
    </xf>
    <xf numFmtId="37" fontId="30" fillId="0" borderId="0" xfId="0" applyFont="1"/>
    <xf numFmtId="37" fontId="63" fillId="0" borderId="0" xfId="0" applyFont="1" applyAlignment="1">
      <alignment horizontal="left" vertical="center" readingOrder="1"/>
    </xf>
    <xf numFmtId="37" fontId="21" fillId="0" borderId="0" xfId="0" applyFont="1" applyAlignment="1">
      <alignment horizontal="left" vertical="center" indent="2"/>
    </xf>
    <xf numFmtId="37" fontId="21" fillId="0" borderId="0" xfId="0" applyFont="1" applyAlignment="1">
      <alignment horizontal="left"/>
    </xf>
    <xf numFmtId="2" fontId="21" fillId="0" borderId="0" xfId="0" applyNumberFormat="1" applyFont="1"/>
    <xf numFmtId="1" fontId="21" fillId="0" borderId="0" xfId="0" applyNumberFormat="1" applyFont="1" applyAlignment="1">
      <alignment horizontal="left"/>
    </xf>
    <xf numFmtId="1" fontId="21" fillId="0" borderId="1" xfId="0" applyNumberFormat="1" applyFont="1" applyBorder="1" applyAlignment="1">
      <alignment horizontal="left"/>
    </xf>
    <xf numFmtId="37" fontId="21" fillId="0" borderId="1" xfId="0" applyFont="1" applyBorder="1"/>
    <xf numFmtId="37" fontId="21" fillId="0" borderId="1" xfId="0" applyNumberFormat="1" applyFont="1" applyBorder="1"/>
    <xf numFmtId="37" fontId="28" fillId="0" borderId="0" xfId="0" applyFont="1" applyAlignment="1">
      <alignment horizontal="left"/>
    </xf>
    <xf numFmtId="37" fontId="29" fillId="0" borderId="0" xfId="0" applyFont="1" applyAlignment="1">
      <alignment horizontal="left"/>
    </xf>
    <xf numFmtId="37" fontId="29" fillId="0" borderId="0" xfId="0" applyFont="1"/>
    <xf numFmtId="37" fontId="32" fillId="0" borderId="0" xfId="0" applyFont="1"/>
    <xf numFmtId="166" fontId="21" fillId="0" borderId="0" xfId="23" applyNumberFormat="1" applyFont="1" applyAlignment="1">
      <alignment horizontal="right"/>
    </xf>
    <xf numFmtId="37" fontId="21" fillId="0" borderId="0" xfId="0" applyFont="1" applyBorder="1"/>
    <xf numFmtId="37" fontId="22" fillId="0" borderId="0" xfId="0" applyFont="1" applyBorder="1"/>
    <xf numFmtId="166" fontId="21" fillId="0" borderId="0" xfId="23" applyNumberFormat="1" applyFont="1" applyBorder="1" applyAlignment="1">
      <alignment horizontal="right"/>
    </xf>
    <xf numFmtId="37" fontId="28" fillId="0" borderId="0" xfId="0" applyFont="1" applyBorder="1"/>
    <xf numFmtId="170" fontId="21" fillId="0" borderId="0" xfId="0" applyNumberFormat="1" applyFont="1"/>
    <xf numFmtId="37" fontId="29" fillId="0" borderId="0" xfId="0" applyFont="1" applyAlignment="1">
      <alignment horizontal="right"/>
    </xf>
    <xf numFmtId="37" fontId="33" fillId="0" borderId="0" xfId="0" applyFont="1"/>
    <xf numFmtId="166" fontId="25" fillId="0" borderId="0" xfId="23" applyNumberFormat="1" applyFont="1"/>
    <xf numFmtId="167" fontId="21" fillId="0" borderId="0" xfId="0" applyNumberFormat="1" applyFont="1"/>
    <xf numFmtId="37" fontId="28" fillId="0" borderId="0" xfId="0" applyFont="1" applyAlignment="1">
      <alignment horizontal="left" wrapText="1"/>
    </xf>
    <xf numFmtId="37" fontId="25" fillId="0" borderId="0" xfId="0" applyFont="1" applyBorder="1"/>
    <xf numFmtId="9" fontId="21" fillId="0" borderId="0" xfId="23" applyFont="1"/>
    <xf numFmtId="166" fontId="25" fillId="0" borderId="0" xfId="23" applyNumberFormat="1" applyFont="1" applyAlignment="1">
      <alignment horizontal="right"/>
    </xf>
    <xf numFmtId="37" fontId="21" fillId="0" borderId="0" xfId="0" applyNumberFormat="1" applyFont="1" applyAlignment="1">
      <alignment horizontal="right"/>
    </xf>
    <xf numFmtId="37" fontId="21" fillId="0" borderId="0" xfId="0" applyFont="1" applyFill="1" applyAlignment="1">
      <alignment horizontal="right"/>
    </xf>
    <xf numFmtId="37" fontId="21" fillId="0" borderId="0" xfId="0" applyFont="1" applyFill="1" applyBorder="1" applyAlignment="1">
      <alignment horizontal="right"/>
    </xf>
    <xf numFmtId="169" fontId="21" fillId="0" borderId="0" xfId="0" applyNumberFormat="1" applyFont="1" applyAlignment="1">
      <alignment horizontal="right"/>
    </xf>
    <xf numFmtId="166" fontId="64" fillId="0" borderId="0" xfId="0" applyNumberFormat="1" applyFont="1" applyAlignment="1">
      <alignment horizontal="right"/>
    </xf>
    <xf numFmtId="167" fontId="21" fillId="0" borderId="0" xfId="14" applyNumberFormat="1" applyFont="1" applyAlignment="1">
      <alignment horizontal="right"/>
    </xf>
    <xf numFmtId="170" fontId="21" fillId="0" borderId="0" xfId="0" applyNumberFormat="1" applyFont="1" applyAlignment="1">
      <alignment horizontal="right"/>
    </xf>
    <xf numFmtId="37" fontId="28" fillId="0" borderId="0" xfId="0" applyFont="1" applyAlignment="1">
      <alignment horizontal="right"/>
    </xf>
    <xf numFmtId="37" fontId="22" fillId="0" borderId="0" xfId="0" applyFont="1"/>
    <xf numFmtId="37" fontId="34" fillId="0" borderId="0" xfId="0" applyFont="1"/>
    <xf numFmtId="37" fontId="22" fillId="0" borderId="0" xfId="0" applyFont="1" applyBorder="1" applyAlignment="1">
      <alignment horizontal="left"/>
    </xf>
    <xf numFmtId="37" fontId="22" fillId="0" borderId="0" xfId="0" applyFont="1" applyBorder="1" applyAlignment="1">
      <alignment horizontal="center"/>
    </xf>
    <xf numFmtId="37" fontId="21" fillId="0" borderId="2" xfId="0" applyFont="1" applyBorder="1" applyAlignment="1">
      <alignment horizontal="right"/>
    </xf>
    <xf numFmtId="37" fontId="21" fillId="0" borderId="2" xfId="0" applyFont="1" applyBorder="1"/>
    <xf numFmtId="37" fontId="22" fillId="0" borderId="2" xfId="0" applyFont="1" applyBorder="1"/>
    <xf numFmtId="0" fontId="21" fillId="0" borderId="1" xfId="0" applyNumberFormat="1" applyFont="1" applyFill="1" applyBorder="1"/>
    <xf numFmtId="167" fontId="21" fillId="0" borderId="0" xfId="14" applyNumberFormat="1" applyFont="1"/>
    <xf numFmtId="166" fontId="64" fillId="0" borderId="0" xfId="23" applyNumberFormat="1" applyFont="1" applyAlignment="1">
      <alignment horizontal="right"/>
    </xf>
    <xf numFmtId="0" fontId="21" fillId="0" borderId="0" xfId="0" applyNumberFormat="1" applyFont="1" applyAlignment="1">
      <alignment horizontal="left"/>
    </xf>
    <xf numFmtId="0" fontId="3" fillId="0" borderId="0" xfId="2" applyNumberFormat="1"/>
    <xf numFmtId="0" fontId="21" fillId="0" borderId="0" xfId="0" applyNumberFormat="1" applyFont="1" applyBorder="1" applyAlignment="1">
      <alignment horizontal="left"/>
    </xf>
    <xf numFmtId="166" fontId="64" fillId="0" borderId="0" xfId="23" applyNumberFormat="1" applyFont="1" applyBorder="1" applyAlignment="1">
      <alignment horizontal="right"/>
    </xf>
    <xf numFmtId="37" fontId="26" fillId="0" borderId="0" xfId="0" applyFont="1"/>
    <xf numFmtId="166" fontId="21" fillId="0" borderId="0" xfId="0" applyNumberFormat="1" applyFont="1" applyAlignment="1">
      <alignment horizontal="right"/>
    </xf>
    <xf numFmtId="166" fontId="21" fillId="0" borderId="0" xfId="23" applyNumberFormat="1" applyFont="1" applyFill="1"/>
    <xf numFmtId="3" fontId="21" fillId="0" borderId="0" xfId="0" applyNumberFormat="1" applyFont="1"/>
    <xf numFmtId="3" fontId="21" fillId="0" borderId="0" xfId="0" applyNumberFormat="1" applyFont="1" applyFill="1" applyBorder="1"/>
    <xf numFmtId="37" fontId="22" fillId="0" borderId="2" xfId="0" applyFont="1" applyBorder="1" applyAlignment="1">
      <alignment horizontal="center"/>
    </xf>
    <xf numFmtId="0" fontId="25" fillId="0" borderId="0" xfId="0" applyNumberFormat="1" applyFont="1" applyBorder="1"/>
    <xf numFmtId="166" fontId="37" fillId="0" borderId="0" xfId="0" applyNumberFormat="1" applyFont="1" applyBorder="1"/>
    <xf numFmtId="0" fontId="25" fillId="0" borderId="0" xfId="0" applyNumberFormat="1" applyFont="1"/>
    <xf numFmtId="0" fontId="25" fillId="0" borderId="1" xfId="0" applyNumberFormat="1" applyFont="1" applyBorder="1"/>
    <xf numFmtId="37" fontId="33" fillId="0" borderId="0" xfId="8" applyFont="1"/>
    <xf numFmtId="37" fontId="33" fillId="0" borderId="0" xfId="8" applyFont="1" applyAlignment="1">
      <alignment horizontal="right"/>
    </xf>
    <xf numFmtId="37" fontId="38" fillId="0" borderId="0" xfId="8" applyFont="1"/>
    <xf numFmtId="37" fontId="33" fillId="0" borderId="3" xfId="8" applyFont="1" applyBorder="1" applyAlignment="1">
      <alignment horizontal="right"/>
    </xf>
    <xf numFmtId="0" fontId="33" fillId="0" borderId="1" xfId="8" applyNumberFormat="1" applyFont="1" applyBorder="1" applyAlignment="1">
      <alignment horizontal="right"/>
    </xf>
    <xf numFmtId="0" fontId="33" fillId="0" borderId="0" xfId="8" applyNumberFormat="1" applyFont="1"/>
    <xf numFmtId="37" fontId="33" fillId="0" borderId="0" xfId="8" applyFont="1" applyFill="1"/>
    <xf numFmtId="37" fontId="25" fillId="0" borderId="0" xfId="8" applyFont="1" applyAlignment="1">
      <alignment horizontal="right"/>
    </xf>
    <xf numFmtId="37" fontId="25" fillId="0" borderId="0" xfId="8" applyFont="1"/>
    <xf numFmtId="37" fontId="25" fillId="0" borderId="2" xfId="8" applyFont="1" applyBorder="1"/>
    <xf numFmtId="37" fontId="25" fillId="0" borderId="2" xfId="8" applyFont="1" applyBorder="1" applyAlignment="1">
      <alignment horizontal="right"/>
    </xf>
    <xf numFmtId="0" fontId="25" fillId="0" borderId="1" xfId="8" applyNumberFormat="1" applyFont="1" applyBorder="1"/>
    <xf numFmtId="0" fontId="25" fillId="0" borderId="1" xfId="8" applyNumberFormat="1" applyFont="1" applyBorder="1" applyAlignment="1">
      <alignment horizontal="right"/>
    </xf>
    <xf numFmtId="1" fontId="25" fillId="0" borderId="0" xfId="8" applyNumberFormat="1" applyFont="1"/>
    <xf numFmtId="1" fontId="25" fillId="0" borderId="0" xfId="8" applyNumberFormat="1" applyFont="1" applyAlignment="1">
      <alignment horizontal="right"/>
    </xf>
    <xf numFmtId="1" fontId="25" fillId="0" borderId="0" xfId="8" applyNumberFormat="1" applyFont="1" applyFill="1"/>
    <xf numFmtId="37" fontId="25" fillId="0" borderId="0" xfId="8" applyFont="1" applyBorder="1"/>
    <xf numFmtId="37" fontId="25" fillId="0" borderId="0" xfId="8" applyFont="1" applyFill="1" applyBorder="1"/>
    <xf numFmtId="1" fontId="25" fillId="0" borderId="0" xfId="8" applyNumberFormat="1" applyFont="1" applyBorder="1"/>
    <xf numFmtId="1" fontId="25" fillId="0" borderId="0" xfId="8" applyNumberFormat="1" applyFont="1" applyBorder="1" applyAlignment="1">
      <alignment horizontal="right"/>
    </xf>
    <xf numFmtId="37" fontId="25" fillId="9" borderId="0" xfId="8" applyFont="1" applyFill="1"/>
    <xf numFmtId="37" fontId="22" fillId="0" borderId="2" xfId="0" applyFont="1" applyBorder="1" applyAlignment="1">
      <alignment horizontal="right" wrapText="1"/>
    </xf>
    <xf numFmtId="37" fontId="22" fillId="0" borderId="2" xfId="0" applyFont="1" applyBorder="1" applyAlignment="1">
      <alignment horizontal="center" wrapText="1"/>
    </xf>
    <xf numFmtId="37" fontId="21" fillId="0" borderId="1" xfId="0" applyFont="1" applyFill="1" applyBorder="1" applyAlignment="1">
      <alignment horizontal="right"/>
    </xf>
    <xf numFmtId="37" fontId="21" fillId="0" borderId="0" xfId="0" applyFont="1" applyBorder="1" applyAlignment="1"/>
    <xf numFmtId="174" fontId="21" fillId="0" borderId="0" xfId="0" applyNumberFormat="1" applyFont="1" applyBorder="1" applyAlignment="1"/>
    <xf numFmtId="166" fontId="21" fillId="0" borderId="0" xfId="0" applyNumberFormat="1" applyFont="1" applyBorder="1" applyAlignment="1"/>
    <xf numFmtId="10" fontId="21" fillId="0" borderId="0" xfId="0" applyNumberFormat="1" applyFont="1"/>
    <xf numFmtId="37" fontId="21" fillId="0" borderId="0" xfId="0" applyFont="1" applyAlignment="1"/>
    <xf numFmtId="172" fontId="21" fillId="0" borderId="0" xfId="0" applyNumberFormat="1" applyFont="1" applyBorder="1" applyAlignment="1"/>
    <xf numFmtId="172" fontId="21" fillId="0" borderId="0" xfId="0" applyNumberFormat="1" applyFont="1" applyBorder="1" applyAlignment="1">
      <alignment horizontal="right"/>
    </xf>
    <xf numFmtId="37" fontId="21" fillId="8" borderId="0" xfId="0" applyFont="1" applyFill="1" applyBorder="1" applyAlignment="1">
      <alignment horizontal="right"/>
    </xf>
    <xf numFmtId="174" fontId="21" fillId="8" borderId="0" xfId="0" applyNumberFormat="1" applyFont="1" applyFill="1" applyBorder="1" applyAlignment="1"/>
    <xf numFmtId="172" fontId="21" fillId="8" borderId="0" xfId="0" applyNumberFormat="1" applyFont="1" applyFill="1" applyBorder="1" applyAlignment="1"/>
    <xf numFmtId="166" fontId="21" fillId="8" borderId="0" xfId="0" applyNumberFormat="1" applyFont="1" applyFill="1" applyBorder="1" applyAlignment="1"/>
    <xf numFmtId="37" fontId="25" fillId="0" borderId="0" xfId="0" applyFont="1" applyAlignment="1"/>
    <xf numFmtId="166" fontId="25" fillId="0" borderId="0" xfId="23" applyNumberFormat="1" applyFont="1" applyAlignment="1"/>
    <xf numFmtId="37" fontId="44" fillId="0" borderId="0" xfId="0" applyFont="1" applyAlignment="1"/>
    <xf numFmtId="37" fontId="26" fillId="0" borderId="0" xfId="0" applyFont="1" applyAlignment="1"/>
    <xf numFmtId="37" fontId="25" fillId="0" borderId="2" xfId="0" applyFont="1" applyBorder="1" applyAlignment="1"/>
    <xf numFmtId="37" fontId="25" fillId="0" borderId="2" xfId="0" applyFont="1" applyBorder="1"/>
    <xf numFmtId="37" fontId="25" fillId="0" borderId="3" xfId="0" applyFont="1" applyBorder="1"/>
    <xf numFmtId="37" fontId="25" fillId="0" borderId="1" xfId="0" applyFont="1" applyBorder="1" applyAlignment="1"/>
    <xf numFmtId="37" fontId="65" fillId="0" borderId="0" xfId="0" applyFont="1" applyBorder="1"/>
    <xf numFmtId="37" fontId="65" fillId="0" borderId="0" xfId="0" applyFont="1" applyAlignment="1"/>
    <xf numFmtId="37" fontId="25" fillId="0" borderId="0" xfId="0" applyFont="1" applyBorder="1" applyAlignment="1"/>
    <xf numFmtId="175" fontId="26" fillId="0" borderId="0" xfId="0" applyNumberFormat="1" applyFont="1" applyAlignment="1">
      <alignment horizontal="left"/>
    </xf>
    <xf numFmtId="14" fontId="25" fillId="0" borderId="0" xfId="0" applyNumberFormat="1" applyFont="1" applyAlignment="1">
      <alignment horizontal="left"/>
    </xf>
    <xf numFmtId="166" fontId="25" fillId="0" borderId="0" xfId="0" applyNumberFormat="1" applyFont="1" applyBorder="1"/>
    <xf numFmtId="172" fontId="25" fillId="0" borderId="0" xfId="0" applyNumberFormat="1" applyFont="1" applyBorder="1"/>
    <xf numFmtId="37" fontId="25" fillId="0" borderId="0" xfId="0" applyFont="1" applyAlignment="1">
      <alignment horizontal="right"/>
    </xf>
    <xf numFmtId="37" fontId="25" fillId="0" borderId="0" xfId="0" applyFont="1" applyFill="1" applyBorder="1" applyAlignment="1"/>
    <xf numFmtId="37" fontId="25" fillId="0" borderId="0" xfId="0" applyFont="1" applyFill="1" applyBorder="1"/>
    <xf numFmtId="172" fontId="25" fillId="0" borderId="0" xfId="0" applyNumberFormat="1" applyFont="1"/>
    <xf numFmtId="14" fontId="25" fillId="0" borderId="0" xfId="0" applyNumberFormat="1" applyFont="1" applyFill="1" applyAlignment="1">
      <alignment horizontal="left"/>
    </xf>
    <xf numFmtId="37" fontId="25" fillId="0" borderId="0" xfId="0" applyFont="1" applyFill="1" applyAlignment="1"/>
    <xf numFmtId="166" fontId="25" fillId="0" borderId="0" xfId="0" applyNumberFormat="1" applyFont="1" applyFill="1" applyAlignment="1">
      <alignment horizontal="right"/>
    </xf>
    <xf numFmtId="10" fontId="25" fillId="0" borderId="0" xfId="0" applyNumberFormat="1" applyFont="1" applyFill="1" applyBorder="1" applyAlignment="1">
      <alignment horizontal="right"/>
    </xf>
    <xf numFmtId="10" fontId="25" fillId="0" borderId="0" xfId="0" applyNumberFormat="1" applyFont="1" applyFill="1" applyAlignment="1">
      <alignment horizontal="right"/>
    </xf>
    <xf numFmtId="37" fontId="25" fillId="0" borderId="0" xfId="0" applyFont="1" applyFill="1" applyAlignment="1">
      <alignment horizontal="right"/>
    </xf>
    <xf numFmtId="166" fontId="25" fillId="0" borderId="0" xfId="0" applyNumberFormat="1" applyFont="1" applyFill="1" applyBorder="1"/>
    <xf numFmtId="37" fontId="25" fillId="0" borderId="0" xfId="0" applyFont="1" applyFill="1"/>
    <xf numFmtId="37" fontId="65" fillId="0" borderId="0" xfId="0" applyFont="1" applyFill="1" applyAlignment="1"/>
    <xf numFmtId="166" fontId="25" fillId="0" borderId="0" xfId="23" applyNumberFormat="1" applyFont="1" applyFill="1" applyAlignment="1"/>
    <xf numFmtId="37" fontId="25" fillId="0" borderId="0" xfId="0" applyFont="1" applyFill="1" applyBorder="1" applyAlignment="1">
      <alignment horizontal="right"/>
    </xf>
    <xf numFmtId="169" fontId="25" fillId="0" borderId="0" xfId="0" applyNumberFormat="1" applyFont="1" applyFill="1" applyBorder="1" applyAlignment="1"/>
    <xf numFmtId="172" fontId="25" fillId="0" borderId="0" xfId="0" applyNumberFormat="1" applyFont="1" applyFill="1" applyBorder="1"/>
    <xf numFmtId="37" fontId="65" fillId="0" borderId="0" xfId="0" applyFont="1" applyFill="1"/>
    <xf numFmtId="172" fontId="25" fillId="0" borderId="0" xfId="0" applyNumberFormat="1" applyFont="1" applyFill="1" applyAlignment="1"/>
    <xf numFmtId="172" fontId="25" fillId="0" borderId="0" xfId="0" applyNumberFormat="1" applyFont="1" applyFill="1" applyBorder="1" applyAlignment="1"/>
    <xf numFmtId="166" fontId="25" fillId="0" borderId="0" xfId="0" applyNumberFormat="1" applyFont="1" applyFill="1" applyBorder="1" applyAlignment="1"/>
    <xf numFmtId="37" fontId="25" fillId="0" borderId="0" xfId="0" applyFont="1" applyFill="1" applyBorder="1" applyAlignment="1">
      <alignment vertical="top"/>
    </xf>
    <xf numFmtId="166" fontId="25" fillId="0" borderId="0" xfId="0" applyNumberFormat="1" applyFont="1" applyFill="1" applyBorder="1" applyAlignment="1">
      <alignment vertical="top"/>
    </xf>
    <xf numFmtId="185" fontId="25" fillId="0" borderId="0" xfId="0" applyNumberFormat="1" applyFont="1" applyAlignment="1"/>
    <xf numFmtId="175" fontId="25" fillId="0" borderId="0" xfId="0" applyNumberFormat="1" applyFont="1" applyAlignment="1">
      <alignment horizontal="left"/>
    </xf>
    <xf numFmtId="37" fontId="25" fillId="0" borderId="0" xfId="0" applyFont="1" applyAlignment="1">
      <alignment vertical="top"/>
    </xf>
    <xf numFmtId="172" fontId="25" fillId="0" borderId="0" xfId="0" applyNumberFormat="1" applyFont="1" applyAlignment="1">
      <alignment vertical="top"/>
    </xf>
    <xf numFmtId="172" fontId="25" fillId="0" borderId="0" xfId="0" applyNumberFormat="1" applyFont="1" applyBorder="1" applyAlignment="1">
      <alignment vertical="top"/>
    </xf>
    <xf numFmtId="166" fontId="25" fillId="0" borderId="0" xfId="0" applyNumberFormat="1" applyFont="1" applyBorder="1" applyAlignment="1">
      <alignment vertical="top"/>
    </xf>
    <xf numFmtId="166" fontId="25" fillId="10" borderId="0" xfId="0" applyNumberFormat="1" applyFont="1" applyFill="1" applyBorder="1"/>
    <xf numFmtId="37" fontId="65" fillId="0" borderId="0" xfId="0" applyFont="1"/>
    <xf numFmtId="49" fontId="25" fillId="0" borderId="0" xfId="0" applyNumberFormat="1" applyFont="1" applyBorder="1" applyAlignment="1">
      <alignment horizontal="right"/>
    </xf>
    <xf numFmtId="37" fontId="25" fillId="0" borderId="0" xfId="0" applyNumberFormat="1" applyFont="1" applyAlignment="1"/>
    <xf numFmtId="37" fontId="25" fillId="0" borderId="0" xfId="0" applyNumberFormat="1" applyFont="1" applyFill="1" applyAlignment="1"/>
    <xf numFmtId="37" fontId="25" fillId="0" borderId="0" xfId="0" applyNumberFormat="1" applyFont="1" applyFill="1"/>
    <xf numFmtId="172" fontId="65" fillId="8" borderId="0" xfId="0" applyNumberFormat="1" applyFont="1" applyFill="1" applyBorder="1"/>
    <xf numFmtId="172" fontId="25" fillId="8" borderId="0" xfId="0" applyNumberFormat="1" applyFont="1" applyFill="1" applyBorder="1"/>
    <xf numFmtId="172" fontId="65" fillId="0" borderId="0" xfId="0" applyNumberFormat="1" applyFont="1" applyBorder="1" applyAlignment="1">
      <alignment wrapText="1"/>
    </xf>
    <xf numFmtId="172" fontId="65" fillId="0" borderId="0" xfId="0" applyNumberFormat="1" applyFont="1" applyFill="1" applyBorder="1"/>
    <xf numFmtId="37" fontId="66" fillId="0" borderId="0" xfId="0" applyFont="1" applyAlignment="1"/>
    <xf numFmtId="166" fontId="66" fillId="0" borderId="0" xfId="23" applyNumberFormat="1" applyFont="1" applyAlignment="1"/>
    <xf numFmtId="166" fontId="65" fillId="0" borderId="0" xfId="23" applyNumberFormat="1" applyFont="1" applyAlignment="1"/>
    <xf numFmtId="172" fontId="25" fillId="0" borderId="0" xfId="0" applyNumberFormat="1" applyFont="1" applyFill="1"/>
    <xf numFmtId="166" fontId="25" fillId="0" borderId="0" xfId="23" applyNumberFormat="1" applyFont="1" applyFill="1"/>
    <xf numFmtId="166" fontId="25" fillId="0" borderId="0" xfId="0" applyNumberFormat="1" applyFont="1" applyFill="1" applyBorder="1" applyAlignment="1">
      <alignment horizontal="right"/>
    </xf>
    <xf numFmtId="166" fontId="25" fillId="0" borderId="0" xfId="0" applyNumberFormat="1" applyFont="1" applyBorder="1" applyAlignment="1">
      <alignment horizontal="right"/>
    </xf>
    <xf numFmtId="37" fontId="25" fillId="0" borderId="0" xfId="0" applyNumberFormat="1" applyFont="1" applyFill="1" applyAlignment="1">
      <alignment wrapText="1"/>
    </xf>
    <xf numFmtId="37" fontId="37" fillId="0" borderId="0" xfId="0" applyNumberFormat="1" applyFont="1" applyAlignment="1">
      <alignment horizontal="right"/>
    </xf>
    <xf numFmtId="166" fontId="37" fillId="0" borderId="0" xfId="0" applyNumberFormat="1" applyFont="1" applyFill="1" applyBorder="1"/>
    <xf numFmtId="175" fontId="26" fillId="0" borderId="0" xfId="0" applyNumberFormat="1" applyFont="1" applyFill="1" applyAlignment="1">
      <alignment horizontal="left"/>
    </xf>
    <xf numFmtId="37" fontId="25" fillId="0" borderId="0" xfId="0" applyNumberFormat="1" applyFont="1" applyBorder="1"/>
    <xf numFmtId="175" fontId="25" fillId="0" borderId="0" xfId="0" applyNumberFormat="1" applyFont="1" applyFill="1" applyAlignment="1">
      <alignment horizontal="left"/>
    </xf>
    <xf numFmtId="37" fontId="25" fillId="0" borderId="0" xfId="0" applyNumberFormat="1" applyFont="1" applyBorder="1" applyAlignment="1"/>
    <xf numFmtId="37" fontId="25" fillId="0" borderId="0" xfId="0" applyNumberFormat="1" applyFont="1" applyBorder="1" applyAlignment="1">
      <alignment vertical="top"/>
    </xf>
    <xf numFmtId="166" fontId="25" fillId="0" borderId="0" xfId="23" applyNumberFormat="1" applyFont="1" applyBorder="1"/>
    <xf numFmtId="37" fontId="25" fillId="0" borderId="0" xfId="0" applyNumberFormat="1" applyFont="1" applyAlignment="1">
      <alignment vertical="top"/>
    </xf>
    <xf numFmtId="166" fontId="25" fillId="0" borderId="0" xfId="0" applyNumberFormat="1" applyFont="1" applyFill="1"/>
    <xf numFmtId="37" fontId="25" fillId="0" borderId="0" xfId="0" applyNumberFormat="1" applyFont="1" applyFill="1" applyBorder="1"/>
    <xf numFmtId="37" fontId="65" fillId="0" borderId="0" xfId="0" applyNumberFormat="1" applyFont="1" applyFill="1" applyAlignment="1"/>
    <xf numFmtId="49" fontId="25" fillId="0" borderId="0" xfId="0" applyNumberFormat="1" applyFont="1" applyFill="1" applyBorder="1" applyAlignment="1">
      <alignment horizontal="right"/>
    </xf>
    <xf numFmtId="0" fontId="25" fillId="8" borderId="0" xfId="19" applyNumberFormat="1" applyFont="1" applyFill="1" applyAlignment="1" applyProtection="1"/>
    <xf numFmtId="0" fontId="25" fillId="8" borderId="0" xfId="0" applyNumberFormat="1" applyFont="1" applyFill="1" applyAlignment="1"/>
    <xf numFmtId="0" fontId="25" fillId="8" borderId="0" xfId="0" applyNumberFormat="1" applyFont="1" applyFill="1"/>
    <xf numFmtId="0" fontId="25" fillId="8" borderId="0" xfId="7" applyFont="1" applyFill="1" applyAlignment="1"/>
    <xf numFmtId="0" fontId="25" fillId="0" borderId="0" xfId="0" applyNumberFormat="1" applyFont="1" applyFill="1" applyAlignment="1"/>
    <xf numFmtId="0" fontId="25" fillId="0" borderId="0" xfId="0" applyNumberFormat="1" applyFont="1" applyFill="1"/>
    <xf numFmtId="0" fontId="25" fillId="8" borderId="0" xfId="19" applyNumberFormat="1" applyFont="1" applyFill="1" applyBorder="1" applyAlignment="1" applyProtection="1"/>
    <xf numFmtId="166" fontId="25" fillId="8" borderId="0" xfId="0" applyNumberFormat="1" applyFont="1" applyFill="1" applyBorder="1" applyAlignment="1">
      <alignment horizontal="right"/>
    </xf>
    <xf numFmtId="166" fontId="25" fillId="8" borderId="0" xfId="0" applyNumberFormat="1" applyFont="1" applyFill="1" applyBorder="1"/>
    <xf numFmtId="166" fontId="25" fillId="8" borderId="0" xfId="19" applyNumberFormat="1" applyFont="1" applyFill="1" applyBorder="1" applyProtection="1"/>
    <xf numFmtId="166" fontId="25" fillId="8" borderId="0" xfId="7" applyNumberFormat="1" applyFont="1" applyFill="1" applyBorder="1"/>
    <xf numFmtId="166" fontId="25" fillId="8" borderId="0" xfId="7" applyNumberFormat="1" applyFont="1" applyFill="1"/>
    <xf numFmtId="166" fontId="25" fillId="0" borderId="0" xfId="19" applyNumberFormat="1" applyFont="1" applyFill="1" applyBorder="1" applyProtection="1"/>
    <xf numFmtId="37" fontId="25" fillId="10" borderId="0" xfId="0" applyNumberFormat="1" applyFont="1" applyFill="1"/>
    <xf numFmtId="37" fontId="65" fillId="10" borderId="0" xfId="0" applyFont="1" applyFill="1" applyAlignment="1"/>
    <xf numFmtId="166" fontId="25" fillId="0" borderId="0" xfId="19" applyNumberFormat="1" applyFont="1" applyFill="1" applyBorder="1" applyAlignment="1" applyProtection="1">
      <alignment horizontal="right"/>
    </xf>
    <xf numFmtId="166" fontId="25" fillId="0" borderId="0" xfId="7" applyNumberFormat="1" applyFont="1" applyFill="1" applyAlignment="1">
      <alignment horizontal="right"/>
    </xf>
    <xf numFmtId="0" fontId="25" fillId="8" borderId="0" xfId="0" applyNumberFormat="1" applyFont="1" applyFill="1" applyBorder="1" applyAlignment="1"/>
    <xf numFmtId="0" fontId="25" fillId="8" borderId="0" xfId="0" applyNumberFormat="1" applyFont="1" applyFill="1" applyBorder="1"/>
    <xf numFmtId="37" fontId="25" fillId="0" borderId="0" xfId="0" applyNumberFormat="1" applyFont="1" applyFill="1" applyAlignment="1">
      <alignment horizontal="right"/>
    </xf>
    <xf numFmtId="14" fontId="25" fillId="0" borderId="0" xfId="7" applyNumberFormat="1" applyFont="1" applyFill="1" applyAlignment="1"/>
    <xf numFmtId="166" fontId="25" fillId="8" borderId="0" xfId="19" applyNumberFormat="1" applyFont="1" applyFill="1" applyBorder="1" applyAlignment="1" applyProtection="1">
      <alignment horizontal="right"/>
    </xf>
    <xf numFmtId="166" fontId="25" fillId="8" borderId="0" xfId="7" applyNumberFormat="1" applyFont="1" applyFill="1" applyBorder="1" applyAlignment="1">
      <alignment horizontal="right"/>
    </xf>
    <xf numFmtId="166" fontId="37" fillId="0" borderId="9" xfId="0" applyNumberFormat="1" applyFont="1" applyFill="1" applyBorder="1" applyAlignment="1"/>
    <xf numFmtId="0" fontId="25" fillId="0" borderId="0" xfId="19" applyNumberFormat="1" applyFont="1" applyFill="1" applyBorder="1" applyAlignment="1" applyProtection="1"/>
    <xf numFmtId="166" fontId="25" fillId="0" borderId="0" xfId="23" applyNumberFormat="1" applyFont="1" applyFill="1" applyBorder="1"/>
    <xf numFmtId="37" fontId="28" fillId="0" borderId="0" xfId="0" applyNumberFormat="1" applyFont="1" applyAlignment="1">
      <alignment horizontal="left"/>
    </xf>
    <xf numFmtId="37" fontId="28" fillId="0" borderId="0" xfId="0" applyNumberFormat="1" applyFont="1" applyFill="1" applyAlignment="1"/>
    <xf numFmtId="37" fontId="28" fillId="0" borderId="0" xfId="0" applyFont="1" applyAlignment="1"/>
    <xf numFmtId="166" fontId="28" fillId="0" borderId="0" xfId="23" applyNumberFormat="1" applyFont="1" applyAlignment="1"/>
    <xf numFmtId="37" fontId="28" fillId="0" borderId="0" xfId="0" applyNumberFormat="1" applyFont="1" applyAlignment="1">
      <alignment horizontal="left" wrapText="1"/>
    </xf>
    <xf numFmtId="37" fontId="28" fillId="0" borderId="0" xfId="0" applyNumberFormat="1" applyFont="1" applyFill="1"/>
    <xf numFmtId="37" fontId="28" fillId="0" borderId="0" xfId="0" applyNumberFormat="1" applyFont="1" applyAlignment="1"/>
    <xf numFmtId="37" fontId="28" fillId="0" borderId="0" xfId="0" applyNumberFormat="1" applyFont="1"/>
    <xf numFmtId="172" fontId="28" fillId="0" borderId="0" xfId="0" applyNumberFormat="1" applyFont="1"/>
    <xf numFmtId="172" fontId="28" fillId="0" borderId="0" xfId="0" applyNumberFormat="1" applyFont="1" applyBorder="1"/>
    <xf numFmtId="172" fontId="28" fillId="0" borderId="0" xfId="0" applyNumberFormat="1" applyFont="1" applyFill="1" applyBorder="1"/>
    <xf numFmtId="37" fontId="28" fillId="0" borderId="0" xfId="0" applyNumberFormat="1" applyFont="1" applyBorder="1"/>
    <xf numFmtId="37" fontId="25" fillId="0" borderId="0" xfId="0" applyNumberFormat="1" applyFont="1" applyAlignment="1">
      <alignment horizontal="right"/>
    </xf>
    <xf numFmtId="172" fontId="25" fillId="0" borderId="0" xfId="0" applyNumberFormat="1" applyFont="1" applyAlignment="1"/>
    <xf numFmtId="14" fontId="33" fillId="0" borderId="0" xfId="0" applyNumberFormat="1" applyFont="1" applyFill="1" applyAlignment="1">
      <alignment horizontal="left"/>
    </xf>
    <xf numFmtId="37" fontId="33" fillId="0" borderId="0" xfId="0" applyNumberFormat="1" applyFont="1" applyFill="1" applyAlignment="1"/>
    <xf numFmtId="37" fontId="33" fillId="0" borderId="0" xfId="0" applyNumberFormat="1" applyFont="1" applyFill="1"/>
    <xf numFmtId="166" fontId="33" fillId="0" borderId="0" xfId="23" applyNumberFormat="1" applyFont="1" applyFill="1"/>
    <xf numFmtId="166" fontId="33" fillId="0" borderId="0" xfId="0" applyNumberFormat="1" applyFont="1" applyFill="1" applyAlignment="1">
      <alignment horizontal="right"/>
    </xf>
    <xf numFmtId="166" fontId="33" fillId="0" borderId="0" xfId="23" applyNumberFormat="1" applyFont="1"/>
    <xf numFmtId="166" fontId="33" fillId="0" borderId="0" xfId="23" applyNumberFormat="1" applyFont="1" applyFill="1" applyBorder="1"/>
    <xf numFmtId="37" fontId="33" fillId="0" borderId="0" xfId="0" applyFont="1" applyAlignment="1"/>
    <xf numFmtId="9" fontId="33" fillId="0" borderId="0" xfId="23" applyFont="1" applyFill="1"/>
    <xf numFmtId="172" fontId="33" fillId="8" borderId="0" xfId="0" applyNumberFormat="1" applyFont="1" applyFill="1" applyBorder="1" applyProtection="1"/>
    <xf numFmtId="166" fontId="33" fillId="8" borderId="0" xfId="0" applyNumberFormat="1" applyFont="1" applyFill="1" applyBorder="1" applyProtection="1"/>
    <xf numFmtId="172" fontId="36" fillId="8" borderId="0" xfId="0" applyNumberFormat="1" applyFont="1" applyFill="1" applyBorder="1" applyProtection="1"/>
    <xf numFmtId="172" fontId="33" fillId="0" borderId="0" xfId="0" applyNumberFormat="1" applyFont="1" applyBorder="1" applyProtection="1"/>
    <xf numFmtId="166" fontId="33" fillId="0" borderId="0" xfId="0" applyNumberFormat="1" applyFont="1" applyBorder="1" applyProtection="1"/>
    <xf numFmtId="172" fontId="36" fillId="0" borderId="0" xfId="0" applyNumberFormat="1" applyFont="1" applyBorder="1" applyProtection="1"/>
    <xf numFmtId="172" fontId="33" fillId="8" borderId="0" xfId="0" applyNumberFormat="1" applyFont="1" applyFill="1" applyBorder="1"/>
    <xf numFmtId="166" fontId="36" fillId="8" borderId="0" xfId="0" applyNumberFormat="1" applyFont="1" applyFill="1" applyBorder="1" applyProtection="1"/>
    <xf numFmtId="166" fontId="33" fillId="8" borderId="0" xfId="0" applyNumberFormat="1" applyFont="1" applyFill="1" applyBorder="1" applyAlignment="1" applyProtection="1"/>
    <xf numFmtId="166" fontId="33" fillId="2" borderId="0" xfId="23" applyNumberFormat="1" applyFont="1" applyFill="1" applyBorder="1"/>
    <xf numFmtId="166" fontId="33" fillId="0" borderId="0" xfId="23" applyNumberFormat="1" applyFont="1" applyAlignment="1"/>
    <xf numFmtId="172" fontId="33" fillId="8" borderId="0" xfId="0" applyNumberFormat="1" applyFont="1" applyFill="1" applyBorder="1" applyAlignment="1" applyProtection="1"/>
    <xf numFmtId="166" fontId="67" fillId="8" borderId="0" xfId="0" applyNumberFormat="1" applyFont="1" applyFill="1" applyBorder="1" applyProtection="1"/>
    <xf numFmtId="37" fontId="25" fillId="0" borderId="1" xfId="0" applyFont="1" applyBorder="1"/>
    <xf numFmtId="37" fontId="25" fillId="0" borderId="0" xfId="0" applyFont="1" applyAlignment="1">
      <alignment horizontal="left"/>
    </xf>
    <xf numFmtId="0" fontId="25" fillId="0" borderId="0" xfId="0" applyNumberFormat="1" applyFont="1" applyAlignment="1"/>
    <xf numFmtId="14" fontId="25" fillId="0" borderId="0" xfId="0" applyNumberFormat="1" applyFont="1" applyBorder="1" applyAlignment="1">
      <alignment horizontal="left"/>
    </xf>
    <xf numFmtId="37" fontId="25" fillId="0" borderId="2" xfId="0" applyFont="1" applyBorder="1" applyAlignment="1">
      <alignment horizontal="right"/>
    </xf>
    <xf numFmtId="172" fontId="25" fillId="0" borderId="0" xfId="0" applyNumberFormat="1" applyFont="1" applyBorder="1" applyAlignment="1">
      <alignment horizontal="right"/>
    </xf>
    <xf numFmtId="37" fontId="36" fillId="0" borderId="0" xfId="0" applyFont="1"/>
    <xf numFmtId="37" fontId="37" fillId="0" borderId="0" xfId="0" applyFont="1"/>
    <xf numFmtId="166" fontId="25" fillId="0" borderId="0" xfId="0" applyNumberFormat="1" applyFont="1" applyAlignment="1">
      <alignment horizontal="right"/>
    </xf>
    <xf numFmtId="187" fontId="25" fillId="0" borderId="1" xfId="0" applyNumberFormat="1" applyFont="1" applyBorder="1" applyAlignment="1">
      <alignment horizontal="right"/>
    </xf>
    <xf numFmtId="187" fontId="25" fillId="0" borderId="0" xfId="0" applyNumberFormat="1" applyFont="1" applyAlignment="1">
      <alignment horizontal="right"/>
    </xf>
    <xf numFmtId="37" fontId="37" fillId="0" borderId="0" xfId="0" applyFont="1" applyAlignment="1">
      <alignment horizontal="right"/>
    </xf>
    <xf numFmtId="37" fontId="26" fillId="0" borderId="0" xfId="0" applyFont="1" applyAlignment="1">
      <alignment horizontal="right"/>
    </xf>
    <xf numFmtId="187" fontId="33" fillId="0" borderId="1" xfId="0" applyNumberFormat="1" applyFont="1" applyBorder="1" applyAlignment="1">
      <alignment horizontal="right"/>
    </xf>
    <xf numFmtId="37" fontId="33" fillId="0" borderId="0" xfId="0" applyFont="1" applyFill="1" applyAlignment="1">
      <alignment horizontal="right"/>
    </xf>
    <xf numFmtId="37" fontId="36" fillId="0" borderId="0" xfId="0" applyFont="1" applyFill="1" applyBorder="1" applyAlignment="1">
      <alignment horizontal="right"/>
    </xf>
    <xf numFmtId="37" fontId="38" fillId="0" borderId="0" xfId="0" applyFont="1" applyAlignment="1">
      <alignment horizontal="right"/>
    </xf>
    <xf numFmtId="37" fontId="33" fillId="0" borderId="1" xfId="0" applyFont="1" applyBorder="1" applyAlignment="1">
      <alignment horizontal="right"/>
    </xf>
    <xf numFmtId="37" fontId="33" fillId="0" borderId="0" xfId="0" applyFont="1" applyFill="1" applyBorder="1" applyAlignment="1">
      <alignment horizontal="right"/>
    </xf>
    <xf numFmtId="37" fontId="21" fillId="0" borderId="0" xfId="0" applyFont="1" applyFill="1"/>
    <xf numFmtId="37" fontId="22" fillId="0" borderId="2" xfId="0" applyFont="1" applyFill="1" applyBorder="1" applyAlignment="1">
      <alignment horizontal="center"/>
    </xf>
    <xf numFmtId="0" fontId="21" fillId="0" borderId="1" xfId="0" applyNumberFormat="1" applyFont="1" applyFill="1" applyBorder="1" applyAlignment="1">
      <alignment horizontal="right"/>
    </xf>
    <xf numFmtId="1" fontId="21" fillId="0" borderId="1" xfId="0" applyNumberFormat="1" applyFont="1" applyFill="1" applyBorder="1" applyAlignment="1">
      <alignment horizontal="right"/>
    </xf>
    <xf numFmtId="0" fontId="21" fillId="0" borderId="0" xfId="0" applyNumberFormat="1" applyFont="1" applyFill="1" applyBorder="1" applyAlignment="1">
      <alignment horizontal="right"/>
    </xf>
    <xf numFmtId="1" fontId="21" fillId="0" borderId="0" xfId="0" applyNumberFormat="1" applyFont="1" applyFill="1" applyBorder="1" applyAlignment="1">
      <alignment horizontal="right"/>
    </xf>
    <xf numFmtId="37" fontId="22" fillId="0" borderId="0" xfId="0" applyFont="1" applyFill="1" applyBorder="1"/>
    <xf numFmtId="3" fontId="21" fillId="0" borderId="0" xfId="0" applyNumberFormat="1" applyFont="1" applyFill="1" applyAlignment="1">
      <alignment horizontal="right"/>
    </xf>
    <xf numFmtId="172" fontId="21" fillId="0" borderId="0" xfId="23" applyNumberFormat="1" applyFont="1" applyFill="1"/>
    <xf numFmtId="170" fontId="21" fillId="0" borderId="0" xfId="0" applyNumberFormat="1" applyFont="1" applyFill="1"/>
    <xf numFmtId="166" fontId="21" fillId="0" borderId="0" xfId="23" applyNumberFormat="1" applyFont="1" applyFill="1" applyAlignment="1">
      <alignment horizontal="right"/>
    </xf>
    <xf numFmtId="37" fontId="22" fillId="0" borderId="0" xfId="0" applyFont="1" applyFill="1"/>
    <xf numFmtId="3" fontId="34" fillId="0" borderId="0" xfId="0" applyNumberFormat="1" applyFont="1" applyFill="1"/>
    <xf numFmtId="37" fontId="34" fillId="0" borderId="0" xfId="0" applyFont="1" applyFill="1"/>
    <xf numFmtId="166" fontId="34" fillId="0" borderId="0" xfId="23" applyNumberFormat="1" applyFont="1" applyFill="1" applyBorder="1"/>
    <xf numFmtId="1" fontId="21" fillId="0" borderId="0" xfId="0" applyNumberFormat="1" applyFont="1" applyFill="1" applyBorder="1"/>
    <xf numFmtId="3" fontId="21" fillId="0" borderId="0" xfId="0" applyNumberFormat="1" applyFont="1" applyFill="1"/>
    <xf numFmtId="172" fontId="21" fillId="0" borderId="0" xfId="23" applyNumberFormat="1" applyFont="1"/>
    <xf numFmtId="37" fontId="30" fillId="0" borderId="0" xfId="0" applyNumberFormat="1" applyFont="1"/>
    <xf numFmtId="37" fontId="22" fillId="0" borderId="2" xfId="0" applyNumberFormat="1" applyFont="1" applyBorder="1" applyAlignment="1">
      <alignment horizontal="center"/>
    </xf>
    <xf numFmtId="37" fontId="21" fillId="0" borderId="0" xfId="0" applyNumberFormat="1" applyFont="1" applyBorder="1" applyAlignment="1">
      <alignment horizontal="right" wrapText="1"/>
    </xf>
    <xf numFmtId="37" fontId="22" fillId="0" borderId="0" xfId="0" applyNumberFormat="1" applyFont="1" applyBorder="1"/>
    <xf numFmtId="172" fontId="21" fillId="0" borderId="0" xfId="0" applyNumberFormat="1" applyFont="1" applyAlignment="1">
      <alignment horizontal="right"/>
    </xf>
    <xf numFmtId="170" fontId="21" fillId="0" borderId="0" xfId="0" applyNumberFormat="1" applyFont="1" applyFill="1" applyAlignment="1">
      <alignment horizontal="right"/>
    </xf>
    <xf numFmtId="3" fontId="21" fillId="0" borderId="0" xfId="0" applyNumberFormat="1" applyFont="1" applyAlignment="1">
      <alignment horizontal="right"/>
    </xf>
    <xf numFmtId="37" fontId="22" fillId="0" borderId="0" xfId="0" applyNumberFormat="1" applyFont="1"/>
    <xf numFmtId="37" fontId="34" fillId="0" borderId="0" xfId="0" applyNumberFormat="1" applyFont="1"/>
    <xf numFmtId="37" fontId="34" fillId="0" borderId="0" xfId="0" applyNumberFormat="1" applyFont="1" applyAlignment="1">
      <alignment horizontal="right"/>
    </xf>
    <xf numFmtId="3" fontId="34" fillId="0" borderId="0" xfId="0" applyNumberFormat="1" applyFont="1" applyAlignment="1">
      <alignment horizontal="right"/>
    </xf>
    <xf numFmtId="166" fontId="34" fillId="0" borderId="0" xfId="23" applyNumberFormat="1" applyFont="1" applyBorder="1" applyAlignment="1">
      <alignment horizontal="right"/>
    </xf>
    <xf numFmtId="3" fontId="21" fillId="0" borderId="0" xfId="0" applyNumberFormat="1" applyFont="1" applyBorder="1" applyAlignment="1">
      <alignment horizontal="right"/>
    </xf>
    <xf numFmtId="3" fontId="21" fillId="0" borderId="0" xfId="0" applyNumberFormat="1" applyFont="1" applyFill="1" applyBorder="1" applyAlignment="1">
      <alignment horizontal="right"/>
    </xf>
    <xf numFmtId="170" fontId="21" fillId="0" borderId="0" xfId="0" applyNumberFormat="1" applyFont="1" applyBorder="1" applyAlignment="1">
      <alignment horizontal="right"/>
    </xf>
    <xf numFmtId="3" fontId="21" fillId="0" borderId="0" xfId="23" applyNumberFormat="1" applyFont="1" applyBorder="1" applyAlignment="1">
      <alignment horizontal="right"/>
    </xf>
    <xf numFmtId="3" fontId="21" fillId="15" borderId="0" xfId="0" applyNumberFormat="1" applyFont="1" applyFill="1" applyBorder="1" applyAlignment="1">
      <alignment horizontal="right"/>
    </xf>
    <xf numFmtId="37" fontId="21" fillId="15" borderId="0" xfId="0" applyNumberFormat="1" applyFont="1" applyFill="1" applyAlignment="1">
      <alignment horizontal="right"/>
    </xf>
    <xf numFmtId="166" fontId="21" fillId="0" borderId="0" xfId="0" applyNumberFormat="1" applyFont="1" applyBorder="1" applyAlignment="1">
      <alignment horizontal="right"/>
    </xf>
    <xf numFmtId="172" fontId="21" fillId="0" borderId="0" xfId="0" applyNumberFormat="1" applyFont="1"/>
    <xf numFmtId="37" fontId="26" fillId="0" borderId="0" xfId="0" applyFont="1" applyFill="1"/>
    <xf numFmtId="0" fontId="21" fillId="0" borderId="0" xfId="0" applyNumberFormat="1" applyFont="1" applyFill="1"/>
    <xf numFmtId="170" fontId="21" fillId="0" borderId="0" xfId="0" applyNumberFormat="1" applyFont="1" applyFill="1" applyBorder="1"/>
    <xf numFmtId="170" fontId="21" fillId="0" borderId="0" xfId="0" applyNumberFormat="1" applyFont="1" applyFill="1" applyBorder="1" applyAlignment="1">
      <alignment horizontal="right"/>
    </xf>
    <xf numFmtId="166" fontId="64" fillId="0" borderId="0" xfId="0" applyNumberFormat="1" applyFont="1"/>
    <xf numFmtId="0" fontId="71" fillId="0" borderId="0" xfId="0" applyNumberFormat="1" applyFont="1" applyBorder="1" applyAlignment="1"/>
    <xf numFmtId="37" fontId="64" fillId="0" borderId="0" xfId="0" applyFont="1"/>
    <xf numFmtId="0" fontId="73" fillId="0" borderId="0" xfId="0" applyNumberFormat="1" applyFont="1"/>
    <xf numFmtId="37" fontId="32" fillId="0" borderId="0" xfId="8" applyFont="1" applyAlignment="1">
      <alignment horizontal="left"/>
    </xf>
    <xf numFmtId="37" fontId="32" fillId="0" borderId="0" xfId="8" applyFont="1"/>
    <xf numFmtId="37" fontId="32" fillId="0" borderId="0" xfId="8" applyFont="1" applyAlignment="1">
      <alignment horizontal="right"/>
    </xf>
    <xf numFmtId="37" fontId="33" fillId="0" borderId="0" xfId="8" applyFont="1" applyAlignment="1">
      <alignment horizontal="left"/>
    </xf>
    <xf numFmtId="0" fontId="38" fillId="0" borderId="0" xfId="8" applyNumberFormat="1" applyFont="1" applyAlignment="1">
      <alignment horizontal="left"/>
    </xf>
    <xf numFmtId="0" fontId="32" fillId="0" borderId="0" xfId="8" applyNumberFormat="1" applyFont="1"/>
    <xf numFmtId="0" fontId="32" fillId="0" borderId="0" xfId="8" applyNumberFormat="1" applyFont="1" applyAlignment="1">
      <alignment horizontal="right"/>
    </xf>
    <xf numFmtId="0" fontId="32" fillId="0" borderId="0" xfId="8" applyNumberFormat="1" applyFont="1" applyAlignment="1">
      <alignment horizontal="left"/>
    </xf>
    <xf numFmtId="0" fontId="32" fillId="0" borderId="2" xfId="8" applyNumberFormat="1" applyFont="1" applyBorder="1"/>
    <xf numFmtId="0" fontId="32" fillId="0" borderId="0" xfId="8" applyNumberFormat="1" applyFont="1" applyBorder="1"/>
    <xf numFmtId="0" fontId="32" fillId="0" borderId="1" xfId="8" applyNumberFormat="1" applyFont="1" applyBorder="1" applyAlignment="1">
      <alignment horizontal="right"/>
    </xf>
    <xf numFmtId="0" fontId="46" fillId="0" borderId="0" xfId="8" applyNumberFormat="1" applyFont="1" applyAlignment="1">
      <alignment horizontal="left"/>
    </xf>
    <xf numFmtId="37" fontId="32" fillId="0" borderId="0" xfId="8" applyNumberFormat="1" applyFont="1"/>
    <xf numFmtId="9" fontId="32" fillId="0" borderId="0" xfId="8" applyNumberFormat="1" applyFont="1"/>
    <xf numFmtId="9" fontId="32" fillId="0" borderId="0" xfId="8" applyNumberFormat="1" applyFont="1" applyAlignment="1">
      <alignment horizontal="right"/>
    </xf>
    <xf numFmtId="9" fontId="32" fillId="0" borderId="0" xfId="8" applyNumberFormat="1" applyFont="1" applyBorder="1"/>
    <xf numFmtId="0" fontId="32" fillId="0" borderId="1" xfId="8" applyNumberFormat="1" applyFont="1" applyBorder="1" applyAlignment="1">
      <alignment horizontal="left"/>
    </xf>
    <xf numFmtId="0" fontId="32" fillId="0" borderId="1" xfId="8" applyNumberFormat="1" applyFont="1" applyBorder="1"/>
    <xf numFmtId="0" fontId="41" fillId="0" borderId="0" xfId="8" applyNumberFormat="1" applyFont="1" applyAlignment="1">
      <alignment horizontal="left"/>
    </xf>
    <xf numFmtId="0" fontId="41" fillId="0" borderId="0" xfId="8" applyNumberFormat="1" applyFont="1"/>
    <xf numFmtId="0" fontId="41" fillId="0" borderId="0" xfId="8" applyNumberFormat="1" applyFont="1" applyAlignment="1">
      <alignment horizontal="right"/>
    </xf>
    <xf numFmtId="0" fontId="74" fillId="0" borderId="0" xfId="8" applyNumberFormat="1" applyFont="1" applyAlignment="1">
      <alignment horizontal="left"/>
    </xf>
    <xf numFmtId="0" fontId="74" fillId="0" borderId="0" xfId="8" applyNumberFormat="1" applyFont="1"/>
    <xf numFmtId="0" fontId="74" fillId="0" borderId="0" xfId="8" applyNumberFormat="1" applyFont="1" applyAlignment="1">
      <alignment horizontal="right"/>
    </xf>
    <xf numFmtId="0" fontId="73" fillId="0" borderId="0" xfId="8" applyNumberFormat="1" applyFont="1"/>
    <xf numFmtId="0" fontId="73" fillId="0" borderId="0" xfId="8" applyNumberFormat="1" applyFont="1" applyAlignment="1">
      <alignment horizontal="left"/>
    </xf>
    <xf numFmtId="0" fontId="73" fillId="0" borderId="2" xfId="8" applyNumberFormat="1" applyFont="1" applyBorder="1"/>
    <xf numFmtId="37" fontId="33" fillId="0" borderId="0" xfId="8" applyFont="1" applyFill="1" applyAlignment="1">
      <alignment horizontal="right"/>
    </xf>
    <xf numFmtId="0" fontId="73" fillId="0" borderId="1" xfId="8" applyNumberFormat="1" applyFont="1" applyBorder="1" applyAlignment="1">
      <alignment horizontal="right"/>
    </xf>
    <xf numFmtId="0" fontId="75" fillId="0" borderId="1" xfId="8" applyNumberFormat="1" applyFont="1" applyBorder="1" applyAlignment="1">
      <alignment horizontal="right"/>
    </xf>
    <xf numFmtId="0" fontId="73" fillId="0" borderId="0" xfId="8" applyNumberFormat="1" applyFont="1" applyAlignment="1">
      <alignment horizontal="right"/>
    </xf>
    <xf numFmtId="0" fontId="75" fillId="0" borderId="0" xfId="8" applyNumberFormat="1" applyFont="1" applyAlignment="1">
      <alignment horizontal="right"/>
    </xf>
    <xf numFmtId="9" fontId="75" fillId="0" borderId="0" xfId="8" applyNumberFormat="1" applyFont="1" applyAlignment="1">
      <alignment horizontal="right"/>
    </xf>
    <xf numFmtId="166" fontId="73" fillId="0" borderId="0" xfId="8" applyNumberFormat="1" applyFont="1"/>
    <xf numFmtId="0" fontId="73" fillId="0" borderId="1" xfId="8" applyNumberFormat="1" applyFont="1" applyBorder="1" applyAlignment="1">
      <alignment horizontal="left"/>
    </xf>
    <xf numFmtId="0" fontId="73" fillId="0" borderId="1" xfId="8" applyNumberFormat="1" applyFont="1" applyBorder="1"/>
    <xf numFmtId="37" fontId="41" fillId="0" borderId="0" xfId="8" applyFont="1"/>
    <xf numFmtId="37" fontId="50" fillId="0" borderId="0" xfId="6" applyNumberFormat="1" applyFont="1" applyAlignment="1" applyProtection="1">
      <alignment horizontal="left"/>
    </xf>
    <xf numFmtId="0" fontId="76" fillId="0" borderId="0" xfId="8" applyNumberFormat="1" applyFont="1" applyAlignment="1">
      <alignment horizontal="left"/>
    </xf>
    <xf numFmtId="0" fontId="76" fillId="0" borderId="0" xfId="8" applyNumberFormat="1" applyFont="1" applyAlignment="1">
      <alignment horizontal="right"/>
    </xf>
    <xf numFmtId="0" fontId="76" fillId="0" borderId="0" xfId="8" applyNumberFormat="1" applyFont="1"/>
    <xf numFmtId="0" fontId="21" fillId="0" borderId="0" xfId="20" applyFont="1"/>
    <xf numFmtId="37" fontId="51" fillId="0" borderId="0" xfId="18" applyFont="1" applyBorder="1" applyAlignment="1">
      <alignment horizontal="left"/>
    </xf>
    <xf numFmtId="37" fontId="21" fillId="0" borderId="0" xfId="18" applyFont="1" applyBorder="1"/>
    <xf numFmtId="37" fontId="22" fillId="0" borderId="0" xfId="18" applyFont="1" applyBorder="1"/>
    <xf numFmtId="0" fontId="21" fillId="0" borderId="0" xfId="20" applyFont="1" applyAlignment="1">
      <alignment horizontal="right"/>
    </xf>
    <xf numFmtId="0" fontId="21" fillId="0" borderId="0" xfId="20" applyFont="1" applyBorder="1" applyAlignment="1">
      <alignment horizontal="right"/>
    </xf>
    <xf numFmtId="37" fontId="22" fillId="0" borderId="0" xfId="18" applyFont="1" applyAlignment="1">
      <alignment horizontal="left"/>
    </xf>
    <xf numFmtId="0" fontId="22" fillId="0" borderId="0" xfId="18" applyNumberFormat="1" applyFont="1" applyAlignment="1">
      <alignment horizontal="left"/>
    </xf>
    <xf numFmtId="9" fontId="22" fillId="0" borderId="0" xfId="23" applyFont="1"/>
    <xf numFmtId="9" fontId="22" fillId="0" borderId="0" xfId="20" applyNumberFormat="1" applyFont="1" applyBorder="1" applyAlignment="1">
      <alignment horizontal="right"/>
    </xf>
    <xf numFmtId="0" fontId="21" fillId="0" borderId="0" xfId="18" applyNumberFormat="1" applyFont="1" applyAlignment="1">
      <alignment horizontal="left"/>
    </xf>
    <xf numFmtId="9" fontId="21" fillId="0" borderId="0" xfId="20" applyNumberFormat="1" applyFont="1" applyBorder="1" applyAlignment="1">
      <alignment horizontal="right"/>
    </xf>
    <xf numFmtId="0" fontId="21" fillId="0" borderId="0" xfId="18" applyNumberFormat="1" applyFont="1" applyBorder="1" applyAlignment="1">
      <alignment horizontal="left"/>
    </xf>
    <xf numFmtId="9" fontId="21" fillId="0" borderId="0" xfId="23" applyFont="1" applyBorder="1"/>
    <xf numFmtId="0" fontId="22" fillId="0" borderId="0" xfId="18" applyNumberFormat="1" applyFont="1" applyBorder="1" applyAlignment="1">
      <alignment horizontal="left"/>
    </xf>
    <xf numFmtId="9" fontId="22" fillId="0" borderId="0" xfId="23" applyFont="1" applyBorder="1"/>
    <xf numFmtId="0" fontId="21" fillId="0" borderId="1" xfId="18" applyNumberFormat="1" applyFont="1" applyBorder="1" applyAlignment="1">
      <alignment horizontal="left"/>
    </xf>
    <xf numFmtId="9" fontId="21" fillId="0" borderId="1" xfId="23" applyFont="1" applyBorder="1"/>
    <xf numFmtId="9" fontId="21" fillId="0" borderId="1" xfId="20" applyNumberFormat="1" applyFont="1" applyBorder="1" applyAlignment="1">
      <alignment horizontal="right"/>
    </xf>
    <xf numFmtId="37" fontId="21" fillId="0" borderId="0" xfId="18" applyFont="1" applyAlignment="1">
      <alignment horizontal="left"/>
    </xf>
    <xf numFmtId="37" fontId="21" fillId="0" borderId="0" xfId="18" applyFont="1"/>
    <xf numFmtId="9" fontId="34" fillId="0" borderId="0" xfId="23" applyFont="1"/>
    <xf numFmtId="9" fontId="21" fillId="0" borderId="0" xfId="23" applyFont="1" applyAlignment="1">
      <alignment horizontal="right"/>
    </xf>
    <xf numFmtId="37" fontId="53" fillId="0" borderId="0" xfId="6" applyNumberFormat="1" applyFont="1" applyAlignment="1" applyProtection="1"/>
    <xf numFmtId="37" fontId="26" fillId="0" borderId="0" xfId="0" applyFont="1" applyBorder="1"/>
    <xf numFmtId="37" fontId="25" fillId="0" borderId="10" xfId="0" applyFont="1" applyBorder="1"/>
    <xf numFmtId="37" fontId="25" fillId="0" borderId="0" xfId="0" applyFont="1" applyFill="1" applyBorder="1" applyAlignment="1">
      <alignment horizontal="left" wrapText="1"/>
    </xf>
    <xf numFmtId="37" fontId="25" fillId="0" borderId="0" xfId="0" applyFont="1" applyFill="1" applyBorder="1" applyAlignment="1">
      <alignment horizontal="right" wrapText="1"/>
    </xf>
    <xf numFmtId="37" fontId="25" fillId="0" borderId="1" xfId="0" applyFont="1" applyFill="1" applyBorder="1" applyAlignment="1">
      <alignment horizontal="left" wrapText="1"/>
    </xf>
    <xf numFmtId="37" fontId="25" fillId="0" borderId="1" xfId="0" applyFont="1" applyFill="1" applyBorder="1" applyAlignment="1">
      <alignment horizontal="right" wrapText="1"/>
    </xf>
    <xf numFmtId="37" fontId="25" fillId="0" borderId="0" xfId="0" applyFont="1" applyFill="1" applyAlignment="1">
      <alignment horizontal="left" wrapText="1"/>
    </xf>
    <xf numFmtId="37" fontId="25" fillId="0" borderId="0" xfId="0" applyFont="1" applyFill="1" applyAlignment="1">
      <alignment horizontal="right" wrapText="1"/>
    </xf>
    <xf numFmtId="165" fontId="25" fillId="0" borderId="0" xfId="0" applyNumberFormat="1" applyFont="1" applyFill="1" applyAlignment="1">
      <alignment horizontal="right" wrapText="1"/>
    </xf>
    <xf numFmtId="166" fontId="25" fillId="0" borderId="0" xfId="0" applyNumberFormat="1" applyFont="1" applyFill="1" applyAlignment="1">
      <alignment horizontal="right" wrapText="1"/>
    </xf>
    <xf numFmtId="165" fontId="25" fillId="0" borderId="0" xfId="0" applyNumberFormat="1" applyFont="1" applyFill="1" applyBorder="1" applyAlignment="1">
      <alignment horizontal="right" wrapText="1"/>
    </xf>
    <xf numFmtId="166" fontId="25" fillId="0" borderId="0" xfId="0" applyNumberFormat="1" applyFont="1" applyFill="1" applyBorder="1" applyAlignment="1">
      <alignment horizontal="right" wrapText="1"/>
    </xf>
    <xf numFmtId="37" fontId="24" fillId="0" borderId="0" xfId="0" applyFont="1" applyFill="1" applyAlignment="1">
      <alignment horizontal="left" wrapText="1"/>
    </xf>
    <xf numFmtId="37" fontId="24" fillId="0" borderId="0" xfId="0" applyFont="1" applyFill="1" applyAlignment="1">
      <alignment horizontal="right" wrapText="1"/>
    </xf>
    <xf numFmtId="3" fontId="25" fillId="0" borderId="0" xfId="0" applyNumberFormat="1" applyFont="1"/>
    <xf numFmtId="37" fontId="25" fillId="0" borderId="8" xfId="0" applyFont="1" applyFill="1" applyBorder="1" applyAlignment="1">
      <alignment horizontal="left" wrapText="1"/>
    </xf>
    <xf numFmtId="165" fontId="25" fillId="0" borderId="8" xfId="0" applyNumberFormat="1" applyFont="1" applyFill="1" applyBorder="1" applyAlignment="1">
      <alignment horizontal="right" wrapText="1"/>
    </xf>
    <xf numFmtId="37" fontId="25" fillId="0" borderId="8" xfId="0" applyFont="1" applyFill="1" applyBorder="1" applyAlignment="1">
      <alignment horizontal="right" wrapText="1"/>
    </xf>
    <xf numFmtId="166" fontId="25" fillId="0" borderId="8" xfId="0" applyNumberFormat="1" applyFont="1" applyFill="1" applyBorder="1" applyAlignment="1">
      <alignment horizontal="right" wrapText="1"/>
    </xf>
    <xf numFmtId="37" fontId="25" fillId="0" borderId="0" xfId="0" applyFont="1" applyAlignment="1">
      <alignment horizontal="left" wrapText="1"/>
    </xf>
    <xf numFmtId="37" fontId="25" fillId="0" borderId="0" xfId="0" applyFont="1" applyFill="1" applyBorder="1" applyAlignment="1" applyProtection="1">
      <protection locked="0"/>
    </xf>
    <xf numFmtId="37" fontId="25" fillId="0" borderId="0" xfId="0" applyFont="1" applyFill="1" applyBorder="1" applyAlignment="1" applyProtection="1">
      <alignment horizontal="left"/>
      <protection locked="0"/>
    </xf>
    <xf numFmtId="37" fontId="25" fillId="0" borderId="0" xfId="0" applyFont="1" applyBorder="1" applyAlignment="1">
      <alignment horizontal="left" wrapText="1"/>
    </xf>
    <xf numFmtId="37" fontId="26" fillId="0" borderId="0" xfId="0" applyFont="1" applyAlignment="1">
      <alignment horizontal="left" wrapText="1"/>
    </xf>
    <xf numFmtId="37" fontId="24" fillId="0" borderId="0" xfId="0" applyFont="1" applyFill="1" applyBorder="1" applyAlignment="1">
      <alignment horizontal="left" wrapText="1"/>
    </xf>
    <xf numFmtId="37" fontId="53" fillId="0" borderId="0" xfId="6" applyNumberFormat="1" applyFont="1" applyBorder="1" applyAlignment="1" applyProtection="1"/>
    <xf numFmtId="37" fontId="25" fillId="0" borderId="3" xfId="0" applyFont="1" applyFill="1" applyBorder="1" applyAlignment="1">
      <alignment horizontal="left" wrapText="1"/>
    </xf>
    <xf numFmtId="9" fontId="21" fillId="0" borderId="0" xfId="23" applyFont="1" applyFill="1" applyBorder="1"/>
    <xf numFmtId="37" fontId="26" fillId="0" borderId="1" xfId="0" applyFont="1" applyBorder="1" applyAlignment="1">
      <alignment wrapText="1"/>
    </xf>
    <xf numFmtId="37" fontId="71" fillId="0" borderId="2" xfId="28" applyNumberFormat="1" applyFont="1" applyBorder="1"/>
    <xf numFmtId="37" fontId="71" fillId="0" borderId="1" xfId="28" applyNumberFormat="1" applyFont="1" applyBorder="1"/>
    <xf numFmtId="37" fontId="64" fillId="0" borderId="1" xfId="28" applyNumberFormat="1" applyFont="1" applyBorder="1" applyAlignment="1">
      <alignment horizontal="right"/>
    </xf>
    <xf numFmtId="166" fontId="22" fillId="0" borderId="0" xfId="0" applyNumberFormat="1" applyFont="1" applyBorder="1" applyAlignment="1">
      <alignment horizontal="right"/>
    </xf>
    <xf numFmtId="37" fontId="77" fillId="0" borderId="0" xfId="5" applyNumberFormat="1" applyFont="1" applyBorder="1"/>
    <xf numFmtId="37" fontId="48" fillId="0" borderId="0" xfId="6" applyNumberFormat="1" applyFont="1" applyBorder="1" applyAlignment="1" applyProtection="1"/>
    <xf numFmtId="37" fontId="26" fillId="0" borderId="2" xfId="0" applyFont="1" applyBorder="1" applyAlignment="1">
      <alignment horizontal="center"/>
    </xf>
    <xf numFmtId="37" fontId="26" fillId="0" borderId="0" xfId="0" applyFont="1" applyFill="1" applyBorder="1"/>
    <xf numFmtId="166" fontId="26" fillId="0" borderId="0" xfId="0" applyNumberFormat="1" applyFont="1" applyAlignment="1">
      <alignment horizontal="right"/>
    </xf>
    <xf numFmtId="0" fontId="68" fillId="0" borderId="0" xfId="0" applyNumberFormat="1" applyFont="1" applyAlignment="1"/>
    <xf numFmtId="0" fontId="68" fillId="0" borderId="0" xfId="0" applyNumberFormat="1" applyFont="1" applyBorder="1" applyAlignment="1"/>
    <xf numFmtId="0" fontId="69" fillId="0" borderId="0" xfId="0" applyNumberFormat="1" applyFont="1" applyBorder="1" applyAlignment="1"/>
    <xf numFmtId="0" fontId="71" fillId="0" borderId="0" xfId="0" applyNumberFormat="1" applyFont="1" applyAlignment="1"/>
    <xf numFmtId="0" fontId="64" fillId="0" borderId="0" xfId="0" applyNumberFormat="1" applyFont="1" applyBorder="1" applyAlignment="1"/>
    <xf numFmtId="0" fontId="64" fillId="0" borderId="1" xfId="0" applyNumberFormat="1" applyFont="1" applyBorder="1" applyAlignment="1"/>
    <xf numFmtId="0" fontId="70" fillId="0" borderId="0" xfId="0" applyNumberFormat="1" applyFont="1" applyAlignment="1"/>
    <xf numFmtId="0" fontId="71" fillId="0" borderId="2" xfId="0" applyNumberFormat="1" applyFont="1" applyFill="1" applyBorder="1" applyAlignment="1">
      <alignment horizontal="center"/>
    </xf>
    <xf numFmtId="37" fontId="0" fillId="0" borderId="0" xfId="0" applyFill="1"/>
    <xf numFmtId="37" fontId="60" fillId="0" borderId="0" xfId="0" applyFont="1" applyFill="1"/>
    <xf numFmtId="37" fontId="3" fillId="0" borderId="0" xfId="0" applyFont="1" applyFill="1"/>
    <xf numFmtId="37" fontId="37" fillId="0" borderId="0" xfId="0" applyFont="1" applyAlignment="1">
      <alignment horizontal="left" vertical="center" indent="2"/>
    </xf>
    <xf numFmtId="37" fontId="74" fillId="0" borderId="0" xfId="0" applyFont="1"/>
    <xf numFmtId="37" fontId="74" fillId="0" borderId="2" xfId="0" applyFont="1" applyBorder="1"/>
    <xf numFmtId="37" fontId="74" fillId="0" borderId="0" xfId="0" applyFont="1" applyBorder="1"/>
    <xf numFmtId="37" fontId="74" fillId="0" borderId="1" xfId="0" applyFont="1" applyBorder="1"/>
    <xf numFmtId="37" fontId="74" fillId="0" borderId="0" xfId="0" applyFont="1" applyBorder="1" applyAlignment="1">
      <alignment horizontal="right"/>
    </xf>
    <xf numFmtId="3" fontId="74" fillId="0" borderId="0" xfId="0" applyNumberFormat="1" applyFont="1" applyBorder="1"/>
    <xf numFmtId="166" fontId="74" fillId="0" borderId="0" xfId="0" applyNumberFormat="1" applyFont="1" applyBorder="1" applyAlignment="1">
      <alignment horizontal="right"/>
    </xf>
    <xf numFmtId="166" fontId="74" fillId="0" borderId="0" xfId="0" applyNumberFormat="1" applyFont="1" applyBorder="1"/>
    <xf numFmtId="37" fontId="3" fillId="0" borderId="0" xfId="0" applyFont="1"/>
    <xf numFmtId="0" fontId="55" fillId="0" borderId="0" xfId="8" applyNumberFormat="1" applyFont="1"/>
    <xf numFmtId="0" fontId="39" fillId="0" borderId="0" xfId="8" applyNumberFormat="1" applyFont="1"/>
    <xf numFmtId="0" fontId="39" fillId="0" borderId="0" xfId="8" applyNumberFormat="1" applyFont="1" applyAlignment="1">
      <alignment horizontal="right"/>
    </xf>
    <xf numFmtId="0" fontId="33" fillId="0" borderId="2" xfId="8" applyNumberFormat="1" applyFont="1" applyBorder="1"/>
    <xf numFmtId="0" fontId="33" fillId="0" borderId="2" xfId="8" applyNumberFormat="1" applyFont="1" applyBorder="1" applyAlignment="1">
      <alignment horizontal="right"/>
    </xf>
    <xf numFmtId="0" fontId="33" fillId="0" borderId="0" xfId="8" applyNumberFormat="1" applyFont="1" applyBorder="1" applyAlignment="1">
      <alignment horizontal="right"/>
    </xf>
    <xf numFmtId="0" fontId="33" fillId="0" borderId="0" xfId="8" applyNumberFormat="1" applyFont="1" applyAlignment="1">
      <alignment horizontal="left"/>
    </xf>
    <xf numFmtId="166" fontId="36" fillId="0" borderId="0" xfId="8" applyNumberFormat="1" applyFont="1"/>
    <xf numFmtId="9" fontId="33" fillId="0" borderId="0" xfId="23" applyFont="1" applyAlignment="1">
      <alignment horizontal="right"/>
    </xf>
    <xf numFmtId="37" fontId="33" fillId="0" borderId="0" xfId="8" applyNumberFormat="1" applyFont="1"/>
    <xf numFmtId="37" fontId="33" fillId="0" borderId="0" xfId="8" applyNumberFormat="1" applyFont="1" applyFill="1"/>
    <xf numFmtId="0" fontId="33" fillId="0" borderId="0" xfId="8" applyNumberFormat="1" applyFont="1" applyAlignment="1">
      <alignment horizontal="right"/>
    </xf>
    <xf numFmtId="0" fontId="33" fillId="0" borderId="0" xfId="8" applyNumberFormat="1" applyFont="1" applyBorder="1" applyAlignment="1">
      <alignment horizontal="left"/>
    </xf>
    <xf numFmtId="0" fontId="33" fillId="0" borderId="0" xfId="8" applyNumberFormat="1" applyFont="1" applyBorder="1"/>
    <xf numFmtId="0" fontId="33" fillId="0" borderId="0" xfId="8" applyNumberFormat="1" applyFont="1" applyFill="1" applyBorder="1" applyAlignment="1">
      <alignment horizontal="left"/>
    </xf>
    <xf numFmtId="0" fontId="33" fillId="0" borderId="0" xfId="8" applyNumberFormat="1" applyFont="1" applyFill="1" applyBorder="1"/>
    <xf numFmtId="166" fontId="36" fillId="0" borderId="0" xfId="8" applyNumberFormat="1" applyFont="1" applyBorder="1"/>
    <xf numFmtId="0" fontId="33" fillId="0" borderId="8" xfId="8" applyNumberFormat="1" applyFont="1" applyBorder="1"/>
    <xf numFmtId="0" fontId="39" fillId="0" borderId="0" xfId="8" applyNumberFormat="1" applyFont="1" applyFill="1" applyBorder="1"/>
    <xf numFmtId="0" fontId="40" fillId="0" borderId="0" xfId="8" applyNumberFormat="1" applyFont="1" applyAlignment="1"/>
    <xf numFmtId="0" fontId="41" fillId="0" borderId="0" xfId="8" applyNumberFormat="1" applyFont="1" applyAlignment="1"/>
    <xf numFmtId="0" fontId="41" fillId="0" borderId="0" xfId="8" applyNumberFormat="1" applyFont="1" applyAlignment="1">
      <alignment horizontal="left" wrapText="1"/>
    </xf>
    <xf numFmtId="0" fontId="41" fillId="0" borderId="0" xfId="8" applyNumberFormat="1" applyFont="1" applyAlignment="1">
      <alignment wrapText="1"/>
    </xf>
    <xf numFmtId="9" fontId="39" fillId="0" borderId="0" xfId="23" applyFont="1"/>
    <xf numFmtId="37" fontId="39" fillId="0" borderId="0" xfId="8" applyFont="1"/>
    <xf numFmtId="17" fontId="33" fillId="0" borderId="0" xfId="8" applyNumberFormat="1" applyFont="1" applyAlignment="1">
      <alignment horizontal="left"/>
    </xf>
    <xf numFmtId="0" fontId="32" fillId="0" borderId="0" xfId="18" applyNumberFormat="1" applyFont="1" applyBorder="1" applyAlignment="1">
      <alignment horizontal="left"/>
    </xf>
    <xf numFmtId="9" fontId="32" fillId="0" borderId="0" xfId="23" applyFont="1" applyBorder="1"/>
    <xf numFmtId="9" fontId="32" fillId="0" borderId="0" xfId="20" applyNumberFormat="1" applyFont="1" applyBorder="1" applyAlignment="1">
      <alignment horizontal="right"/>
    </xf>
    <xf numFmtId="37" fontId="78" fillId="11" borderId="19" xfId="18" applyFont="1" applyFill="1" applyBorder="1" applyAlignment="1">
      <alignment horizontal="right"/>
    </xf>
    <xf numFmtId="37" fontId="78" fillId="14" borderId="19" xfId="18" applyFont="1" applyFill="1" applyBorder="1" applyAlignment="1">
      <alignment horizontal="right"/>
    </xf>
    <xf numFmtId="37" fontId="78" fillId="17" borderId="19" xfId="18" applyFont="1" applyFill="1" applyBorder="1" applyAlignment="1">
      <alignment horizontal="right"/>
    </xf>
    <xf numFmtId="0" fontId="78" fillId="21" borderId="19" xfId="20" applyFont="1" applyFill="1" applyBorder="1" applyAlignment="1">
      <alignment horizontal="right"/>
    </xf>
    <xf numFmtId="14" fontId="21" fillId="0" borderId="0" xfId="0" applyNumberFormat="1" applyFont="1"/>
    <xf numFmtId="188" fontId="21" fillId="0" borderId="0" xfId="0" applyNumberFormat="1" applyFont="1"/>
    <xf numFmtId="14" fontId="22" fillId="0" borderId="0" xfId="0" applyNumberFormat="1" applyFont="1"/>
    <xf numFmtId="2" fontId="22" fillId="0" borderId="0" xfId="0" applyNumberFormat="1" applyFont="1"/>
    <xf numFmtId="188" fontId="22" fillId="0" borderId="0" xfId="0" applyNumberFormat="1" applyFont="1"/>
    <xf numFmtId="37" fontId="80" fillId="0" borderId="0" xfId="0" applyFont="1" applyAlignment="1">
      <alignment horizontal="center" vertical="center" readingOrder="1"/>
    </xf>
    <xf numFmtId="9" fontId="21" fillId="0" borderId="0" xfId="23" applyNumberFormat="1" applyFont="1"/>
    <xf numFmtId="0" fontId="25" fillId="0" borderId="0" xfId="15" applyFont="1" applyBorder="1"/>
    <xf numFmtId="0" fontId="25" fillId="0" borderId="0" xfId="15" applyFont="1"/>
    <xf numFmtId="0" fontId="21" fillId="0" borderId="0" xfId="15" applyFont="1" applyBorder="1"/>
    <xf numFmtId="0" fontId="21" fillId="0" borderId="0" xfId="15" applyFont="1"/>
    <xf numFmtId="0" fontId="21" fillId="0" borderId="2" xfId="15" applyFont="1" applyBorder="1"/>
    <xf numFmtId="0" fontId="22" fillId="0" borderId="0" xfId="15" applyFont="1" applyBorder="1"/>
    <xf numFmtId="0" fontId="22" fillId="0" borderId="0" xfId="15" applyFont="1"/>
    <xf numFmtId="0" fontId="52" fillId="3" borderId="11" xfId="15" applyFont="1" applyFill="1" applyBorder="1" applyAlignment="1">
      <alignment horizontal="right"/>
    </xf>
    <xf numFmtId="0" fontId="52" fillId="4" borderId="11" xfId="15" applyFont="1" applyFill="1" applyBorder="1" applyAlignment="1">
      <alignment horizontal="right"/>
    </xf>
    <xf numFmtId="0" fontId="52" fillId="5" borderId="11" xfId="15" applyFont="1" applyFill="1" applyBorder="1" applyAlignment="1">
      <alignment horizontal="right"/>
    </xf>
    <xf numFmtId="0" fontId="52" fillId="6" borderId="11" xfId="15" applyFont="1" applyFill="1" applyBorder="1" applyAlignment="1">
      <alignment horizontal="right"/>
    </xf>
    <xf numFmtId="0" fontId="52" fillId="7" borderId="11" xfId="15" applyFont="1" applyFill="1" applyBorder="1" applyAlignment="1">
      <alignment horizontal="right"/>
    </xf>
    <xf numFmtId="3" fontId="21" fillId="0" borderId="0" xfId="15" applyNumberFormat="1" applyFont="1" applyAlignment="1">
      <alignment horizontal="right"/>
    </xf>
    <xf numFmtId="0" fontId="22" fillId="0" borderId="0" xfId="15" applyFont="1" applyBorder="1" applyAlignment="1">
      <alignment horizontal="right"/>
    </xf>
    <xf numFmtId="0" fontId="52" fillId="3" borderId="12" xfId="15" applyFont="1" applyFill="1" applyBorder="1" applyAlignment="1">
      <alignment horizontal="right"/>
    </xf>
    <xf numFmtId="0" fontId="52" fillId="21" borderId="11" xfId="15" applyFont="1" applyFill="1" applyBorder="1" applyAlignment="1">
      <alignment horizontal="right"/>
    </xf>
    <xf numFmtId="0" fontId="52" fillId="0" borderId="1" xfId="15" applyFont="1" applyFill="1" applyBorder="1" applyAlignment="1">
      <alignment horizontal="right"/>
    </xf>
    <xf numFmtId="3" fontId="21" fillId="0" borderId="0" xfId="15" applyNumberFormat="1" applyFont="1" applyFill="1" applyAlignment="1">
      <alignment horizontal="right"/>
    </xf>
    <xf numFmtId="0" fontId="22" fillId="0" borderId="1" xfId="15" applyFont="1" applyFill="1" applyBorder="1" applyAlignment="1">
      <alignment horizontal="right"/>
    </xf>
    <xf numFmtId="0" fontId="22" fillId="0" borderId="0" xfId="15" applyFont="1" applyFill="1" applyBorder="1" applyAlignment="1">
      <alignment horizontal="right"/>
    </xf>
    <xf numFmtId="0" fontId="21" fillId="0" borderId="0" xfId="15" applyFont="1" applyFill="1"/>
    <xf numFmtId="0" fontId="52" fillId="0" borderId="0" xfId="15" applyFont="1" applyFill="1" applyBorder="1" applyAlignment="1">
      <alignment horizontal="right"/>
    </xf>
    <xf numFmtId="9" fontId="79" fillId="0" borderId="0" xfId="23" applyFont="1" applyAlignment="1">
      <alignment horizontal="left"/>
    </xf>
    <xf numFmtId="0" fontId="22" fillId="0" borderId="0" xfId="15" applyFont="1" applyFill="1" applyAlignment="1">
      <alignment horizontal="right"/>
    </xf>
    <xf numFmtId="9" fontId="21" fillId="0" borderId="0" xfId="23" applyFont="1" applyAlignment="1">
      <alignment horizontal="left"/>
    </xf>
    <xf numFmtId="0" fontId="21" fillId="0" borderId="0" xfId="15" applyNumberFormat="1" applyFont="1" applyAlignment="1">
      <alignment horizontal="right"/>
    </xf>
    <xf numFmtId="3" fontId="21" fillId="0" borderId="0" xfId="15" applyNumberFormat="1" applyFont="1" applyBorder="1" applyAlignment="1">
      <alignment horizontal="right"/>
    </xf>
    <xf numFmtId="0" fontId="21" fillId="0" borderId="0" xfId="15" applyNumberFormat="1" applyFont="1" applyBorder="1" applyAlignment="1">
      <alignment horizontal="right"/>
    </xf>
    <xf numFmtId="3" fontId="21" fillId="0" borderId="0" xfId="15" applyNumberFormat="1" applyFont="1" applyBorder="1"/>
    <xf numFmtId="0" fontId="21" fillId="0" borderId="1" xfId="15" applyNumberFormat="1" applyFont="1" applyBorder="1" applyAlignment="1">
      <alignment horizontal="right"/>
    </xf>
    <xf numFmtId="0" fontId="25" fillId="0" borderId="0" xfId="15" applyNumberFormat="1" applyFont="1" applyBorder="1" applyAlignment="1">
      <alignment wrapText="1"/>
    </xf>
    <xf numFmtId="0" fontId="28" fillId="0" borderId="0" xfId="15" applyNumberFormat="1" applyFont="1" applyBorder="1" applyAlignment="1">
      <alignment wrapText="1"/>
    </xf>
    <xf numFmtId="0" fontId="28" fillId="0" borderId="0" xfId="15" applyFont="1" applyBorder="1"/>
    <xf numFmtId="0" fontId="57" fillId="0" borderId="0" xfId="15" applyNumberFormat="1" applyFont="1" applyBorder="1" applyAlignment="1">
      <alignment wrapText="1"/>
    </xf>
    <xf numFmtId="0" fontId="57" fillId="0" borderId="0" xfId="15" applyFont="1" applyBorder="1"/>
    <xf numFmtId="0" fontId="25" fillId="0" borderId="0" xfId="15" applyNumberFormat="1" applyFont="1" applyBorder="1" applyAlignment="1">
      <alignment horizontal="right"/>
    </xf>
    <xf numFmtId="0" fontId="28" fillId="0" borderId="0" xfId="15" applyNumberFormat="1" applyFont="1" applyBorder="1" applyAlignment="1">
      <alignment horizontal="right"/>
    </xf>
    <xf numFmtId="0" fontId="57" fillId="0" borderId="0" xfId="15" applyNumberFormat="1" applyFont="1" applyBorder="1" applyAlignment="1">
      <alignment horizontal="right"/>
    </xf>
    <xf numFmtId="0" fontId="57" fillId="0" borderId="0" xfId="15" applyFont="1"/>
    <xf numFmtId="3" fontId="21" fillId="0" borderId="0" xfId="15" applyNumberFormat="1" applyFont="1"/>
    <xf numFmtId="1" fontId="30" fillId="0" borderId="0" xfId="15" applyNumberFormat="1" applyFont="1" applyBorder="1" applyAlignment="1">
      <alignment horizontal="left"/>
    </xf>
    <xf numFmtId="1" fontId="21" fillId="0" borderId="0" xfId="15" applyNumberFormat="1" applyFont="1" applyBorder="1" applyAlignment="1">
      <alignment horizontal="left"/>
    </xf>
    <xf numFmtId="1" fontId="22" fillId="0" borderId="0" xfId="15" applyNumberFormat="1" applyFont="1" applyBorder="1" applyAlignment="1">
      <alignment horizontal="left"/>
    </xf>
    <xf numFmtId="1" fontId="21" fillId="0" borderId="0" xfId="15" applyNumberFormat="1" applyFont="1"/>
    <xf numFmtId="1" fontId="21" fillId="0" borderId="0" xfId="15" applyNumberFormat="1" applyFont="1" applyAlignment="1">
      <alignment horizontal="left"/>
    </xf>
    <xf numFmtId="1" fontId="22" fillId="0" borderId="0" xfId="15" applyNumberFormat="1" applyFont="1" applyAlignment="1">
      <alignment horizontal="left"/>
    </xf>
    <xf numFmtId="1" fontId="22" fillId="0" borderId="0" xfId="15" applyNumberFormat="1" applyFont="1" applyFill="1" applyAlignment="1">
      <alignment horizontal="left"/>
    </xf>
    <xf numFmtId="1" fontId="21" fillId="0" borderId="1" xfId="15" applyNumberFormat="1" applyFont="1" applyBorder="1" applyAlignment="1">
      <alignment horizontal="left"/>
    </xf>
    <xf numFmtId="1" fontId="25" fillId="0" borderId="0" xfId="15" applyNumberFormat="1" applyFont="1" applyBorder="1"/>
    <xf numFmtId="1" fontId="25" fillId="0" borderId="0" xfId="15" applyNumberFormat="1" applyFont="1" applyBorder="1" applyAlignment="1">
      <alignment horizontal="left"/>
    </xf>
    <xf numFmtId="1" fontId="37" fillId="0" borderId="0" xfId="15" applyNumberFormat="1" applyFont="1" applyBorder="1"/>
    <xf numFmtId="1" fontId="37" fillId="0" borderId="0" xfId="0" applyNumberFormat="1" applyFont="1"/>
    <xf numFmtId="1" fontId="25" fillId="0" borderId="0" xfId="15" applyNumberFormat="1" applyFont="1"/>
    <xf numFmtId="0" fontId="81" fillId="0" borderId="0" xfId="0" applyNumberFormat="1" applyFont="1"/>
    <xf numFmtId="0" fontId="67" fillId="0" borderId="0" xfId="0" applyNumberFormat="1" applyFont="1"/>
    <xf numFmtId="0" fontId="82" fillId="0" borderId="2" xfId="0" applyNumberFormat="1" applyFont="1" applyBorder="1" applyAlignment="1">
      <alignment horizontal="center"/>
    </xf>
    <xf numFmtId="0" fontId="82" fillId="0" borderId="0" xfId="0" applyNumberFormat="1" applyFont="1" applyBorder="1" applyAlignment="1"/>
    <xf numFmtId="0" fontId="73" fillId="0" borderId="1" xfId="0" applyNumberFormat="1" applyFont="1" applyBorder="1"/>
    <xf numFmtId="37" fontId="73" fillId="0" borderId="0" xfId="0" applyFont="1"/>
    <xf numFmtId="37" fontId="73" fillId="0" borderId="0" xfId="0" applyNumberFormat="1" applyFont="1"/>
    <xf numFmtId="0" fontId="82" fillId="0" borderId="0" xfId="0" applyNumberFormat="1" applyFont="1"/>
    <xf numFmtId="37" fontId="9" fillId="0" borderId="0" xfId="6" applyNumberFormat="1" applyAlignment="1" applyProtection="1"/>
    <xf numFmtId="14" fontId="26" fillId="8" borderId="0" xfId="0" applyNumberFormat="1" applyFont="1" applyFill="1" applyAlignment="1">
      <alignment horizontal="left"/>
    </xf>
    <xf numFmtId="37" fontId="25" fillId="8" borderId="0" xfId="0" applyNumberFormat="1" applyFont="1" applyFill="1" applyAlignment="1"/>
    <xf numFmtId="37" fontId="25" fillId="8" borderId="0" xfId="0" applyNumberFormat="1" applyFont="1" applyFill="1"/>
    <xf numFmtId="166" fontId="25" fillId="8" borderId="0" xfId="23" applyNumberFormat="1" applyFont="1" applyFill="1"/>
    <xf numFmtId="37" fontId="25" fillId="8" borderId="0" xfId="0" applyFont="1" applyFill="1" applyAlignment="1">
      <alignment horizontal="right"/>
    </xf>
    <xf numFmtId="166" fontId="25" fillId="8" borderId="0" xfId="23" applyNumberFormat="1" applyFont="1" applyFill="1" applyBorder="1"/>
    <xf numFmtId="0" fontId="64" fillId="0" borderId="0" xfId="23" applyNumberFormat="1" applyFont="1" applyFill="1"/>
    <xf numFmtId="37" fontId="68" fillId="0" borderId="0" xfId="0" applyFont="1"/>
    <xf numFmtId="37" fontId="25" fillId="0" borderId="0" xfId="0" applyNumberFormat="1" applyFont="1" applyFill="1" applyAlignment="1">
      <alignment horizontal="right" wrapText="1"/>
    </xf>
    <xf numFmtId="0" fontId="25" fillId="0" borderId="1" xfId="0" applyNumberFormat="1" applyFont="1" applyFill="1" applyBorder="1" applyAlignment="1">
      <alignment horizontal="right" wrapText="1"/>
    </xf>
    <xf numFmtId="0" fontId="25" fillId="0" borderId="0" xfId="0" applyNumberFormat="1" applyFont="1" applyFill="1" applyBorder="1" applyAlignment="1">
      <alignment horizontal="right" wrapText="1"/>
    </xf>
    <xf numFmtId="0" fontId="25" fillId="0" borderId="0" xfId="0" applyNumberFormat="1" applyFont="1" applyBorder="1" applyAlignment="1">
      <alignment horizontal="left" wrapText="1"/>
    </xf>
    <xf numFmtId="0" fontId="25" fillId="0" borderId="0" xfId="0" applyNumberFormat="1" applyFont="1" applyFill="1" applyBorder="1" applyAlignment="1" applyProtection="1">
      <protection locked="0"/>
    </xf>
    <xf numFmtId="166" fontId="25" fillId="0" borderId="0" xfId="23" applyNumberFormat="1" applyFont="1" applyFill="1" applyBorder="1" applyAlignment="1">
      <alignment horizontal="right" wrapText="1"/>
    </xf>
    <xf numFmtId="37" fontId="25" fillId="0" borderId="8" xfId="0" applyFont="1" applyBorder="1"/>
    <xf numFmtId="37" fontId="21" fillId="0" borderId="0" xfId="0" applyNumberFormat="1" applyFont="1" applyAlignment="1">
      <alignment wrapText="1"/>
    </xf>
    <xf numFmtId="37" fontId="15" fillId="0" borderId="0" xfId="0" applyNumberFormat="1" applyFont="1" applyAlignment="1">
      <alignment wrapText="1"/>
    </xf>
    <xf numFmtId="37" fontId="78" fillId="11" borderId="21" xfId="0" applyFont="1" applyFill="1" applyBorder="1"/>
    <xf numFmtId="37" fontId="78" fillId="14" borderId="21" xfId="0" applyFont="1" applyFill="1" applyBorder="1"/>
    <xf numFmtId="37" fontId="30" fillId="0" borderId="0" xfId="8" applyFont="1" applyAlignment="1"/>
    <xf numFmtId="37" fontId="64" fillId="0" borderId="0" xfId="8" applyFont="1"/>
    <xf numFmtId="37" fontId="64" fillId="0" borderId="0" xfId="8" applyFont="1" applyFill="1"/>
    <xf numFmtId="37" fontId="22" fillId="0" borderId="8" xfId="8" applyFont="1" applyBorder="1" applyAlignment="1"/>
    <xf numFmtId="37" fontId="64" fillId="0" borderId="8" xfId="8" applyFont="1" applyBorder="1"/>
    <xf numFmtId="37" fontId="64" fillId="0" borderId="8" xfId="8" applyFont="1" applyFill="1" applyBorder="1"/>
    <xf numFmtId="37" fontId="22" fillId="0" borderId="0" xfId="8" applyFont="1" applyBorder="1" applyAlignment="1"/>
    <xf numFmtId="37" fontId="64" fillId="0" borderId="0" xfId="8" applyFont="1" applyBorder="1"/>
    <xf numFmtId="37" fontId="64" fillId="0" borderId="0" xfId="8" applyFont="1" applyFill="1" applyBorder="1"/>
    <xf numFmtId="37" fontId="22" fillId="0" borderId="0" xfId="8" applyFont="1" applyAlignment="1"/>
    <xf numFmtId="37" fontId="71" fillId="10" borderId="0" xfId="8" applyFont="1" applyFill="1" applyBorder="1"/>
    <xf numFmtId="37" fontId="64" fillId="10" borderId="0" xfId="8" applyFont="1" applyFill="1" applyBorder="1"/>
    <xf numFmtId="37" fontId="71" fillId="0" borderId="0" xfId="8" applyFont="1" applyFill="1"/>
    <xf numFmtId="37" fontId="71" fillId="8" borderId="0" xfId="8" applyFont="1" applyFill="1"/>
    <xf numFmtId="37" fontId="64" fillId="8" borderId="0" xfId="8" applyFont="1" applyFill="1"/>
    <xf numFmtId="37" fontId="71" fillId="0" borderId="0" xfId="8" applyFont="1" applyBorder="1"/>
    <xf numFmtId="37" fontId="64" fillId="8" borderId="0" xfId="8" applyFont="1" applyFill="1" applyBorder="1"/>
    <xf numFmtId="0" fontId="64" fillId="8" borderId="0" xfId="23" applyNumberFormat="1" applyFont="1" applyFill="1"/>
    <xf numFmtId="37" fontId="71" fillId="0" borderId="0" xfId="8" applyFont="1"/>
    <xf numFmtId="0" fontId="64" fillId="8" borderId="0" xfId="8" applyNumberFormat="1" applyFont="1" applyFill="1"/>
    <xf numFmtId="166" fontId="71" fillId="0" borderId="0" xfId="23" applyNumberFormat="1" applyFont="1" applyFill="1"/>
    <xf numFmtId="166" fontId="71" fillId="8" borderId="0" xfId="23" applyNumberFormat="1" applyFont="1" applyFill="1"/>
    <xf numFmtId="166" fontId="71" fillId="0" borderId="0" xfId="23" applyNumberFormat="1" applyFont="1"/>
    <xf numFmtId="166" fontId="64" fillId="0" borderId="0" xfId="8" applyNumberFormat="1" applyFont="1" applyFill="1"/>
    <xf numFmtId="166" fontId="64" fillId="8" borderId="0" xfId="8" applyNumberFormat="1" applyFont="1" applyFill="1"/>
    <xf numFmtId="166" fontId="64" fillId="8" borderId="0" xfId="23" applyNumberFormat="1" applyFont="1" applyFill="1"/>
    <xf numFmtId="37" fontId="78" fillId="11" borderId="0" xfId="8" applyFont="1" applyFill="1" applyBorder="1"/>
    <xf numFmtId="37" fontId="79" fillId="11" borderId="0" xfId="8" applyFont="1" applyFill="1" applyBorder="1"/>
    <xf numFmtId="166" fontId="64" fillId="0" borderId="0" xfId="23" applyNumberFormat="1" applyFont="1"/>
    <xf numFmtId="37" fontId="78" fillId="14" borderId="0" xfId="8" applyFont="1" applyFill="1" applyBorder="1"/>
    <xf numFmtId="37" fontId="64" fillId="14" borderId="0" xfId="8" applyFont="1" applyFill="1" applyBorder="1"/>
    <xf numFmtId="37" fontId="71" fillId="17" borderId="0" xfId="8" applyFont="1" applyFill="1" applyBorder="1"/>
    <xf numFmtId="37" fontId="64" fillId="17" borderId="0" xfId="8" applyFont="1" applyFill="1" applyBorder="1"/>
    <xf numFmtId="37" fontId="78" fillId="12" borderId="0" xfId="8" applyFont="1" applyFill="1" applyBorder="1"/>
    <xf numFmtId="37" fontId="64" fillId="12" borderId="0" xfId="8" applyFont="1" applyFill="1" applyBorder="1"/>
    <xf numFmtId="166" fontId="64" fillId="0" borderId="0" xfId="8" applyNumberFormat="1" applyFont="1" applyFill="1" applyBorder="1"/>
    <xf numFmtId="166" fontId="64" fillId="8" borderId="0" xfId="8" applyNumberFormat="1" applyFont="1" applyFill="1" applyBorder="1"/>
    <xf numFmtId="166" fontId="64" fillId="8" borderId="0" xfId="23" applyNumberFormat="1" applyFont="1" applyFill="1" applyBorder="1"/>
    <xf numFmtId="37" fontId="78" fillId="27" borderId="0" xfId="8" applyFont="1" applyFill="1" applyBorder="1"/>
    <xf numFmtId="37" fontId="64" fillId="27" borderId="0" xfId="8" applyFont="1" applyFill="1" applyBorder="1"/>
    <xf numFmtId="166" fontId="64" fillId="0" borderId="0" xfId="23" applyNumberFormat="1" applyFont="1" applyFill="1"/>
    <xf numFmtId="173" fontId="3" fillId="0" borderId="0" xfId="2" applyNumberFormat="1"/>
    <xf numFmtId="37" fontId="83" fillId="8" borderId="0" xfId="0" applyFont="1" applyFill="1" applyAlignment="1">
      <alignment horizontal="left" vertical="center"/>
    </xf>
    <xf numFmtId="37" fontId="69" fillId="0" borderId="1" xfId="0" applyFont="1" applyBorder="1"/>
    <xf numFmtId="37" fontId="68" fillId="0" borderId="1" xfId="0" applyFont="1" applyBorder="1"/>
    <xf numFmtId="37" fontId="64" fillId="0" borderId="1" xfId="0" applyFont="1" applyBorder="1"/>
    <xf numFmtId="37" fontId="64" fillId="0" borderId="1" xfId="0" applyFont="1" applyBorder="1" applyAlignment="1">
      <alignment horizontal="right"/>
    </xf>
    <xf numFmtId="37" fontId="64" fillId="0" borderId="1" xfId="0" applyFont="1" applyBorder="1" applyAlignment="1">
      <alignment horizontal="right" wrapText="1"/>
    </xf>
    <xf numFmtId="37" fontId="64" fillId="0" borderId="0" xfId="0" applyFont="1" applyAlignment="1">
      <alignment horizontal="right"/>
    </xf>
    <xf numFmtId="173" fontId="64" fillId="0" borderId="0" xfId="2" applyNumberFormat="1" applyFont="1"/>
    <xf numFmtId="37" fontId="64" fillId="0" borderId="0" xfId="0" applyFont="1" applyAlignment="1">
      <alignment horizontal="left"/>
    </xf>
    <xf numFmtId="37" fontId="64" fillId="0" borderId="0" xfId="0" applyFont="1" applyBorder="1" applyAlignment="1">
      <alignment horizontal="left"/>
    </xf>
    <xf numFmtId="9" fontId="64" fillId="0" borderId="1" xfId="23" applyFont="1" applyBorder="1"/>
    <xf numFmtId="37" fontId="83" fillId="29" borderId="0" xfId="0" applyFont="1" applyFill="1" applyAlignment="1">
      <alignment horizontal="left" vertical="center"/>
    </xf>
    <xf numFmtId="173" fontId="64" fillId="8" borderId="0" xfId="2" applyNumberFormat="1" applyFont="1" applyFill="1"/>
    <xf numFmtId="37" fontId="83" fillId="30" borderId="0" xfId="0" applyFont="1" applyFill="1" applyAlignment="1">
      <alignment horizontal="left" vertical="center"/>
    </xf>
    <xf numFmtId="185" fontId="64" fillId="8" borderId="0" xfId="2" applyNumberFormat="1" applyFont="1" applyFill="1"/>
    <xf numFmtId="173" fontId="21" fillId="0" borderId="0" xfId="2" applyNumberFormat="1" applyFont="1"/>
    <xf numFmtId="37" fontId="83" fillId="32" borderId="0" xfId="0" applyFont="1" applyFill="1" applyAlignment="1">
      <alignment horizontal="left" vertical="center"/>
    </xf>
    <xf numFmtId="173" fontId="21" fillId="8" borderId="0" xfId="2" applyNumberFormat="1" applyFont="1" applyFill="1"/>
    <xf numFmtId="3" fontId="64" fillId="0" borderId="0" xfId="0" applyNumberFormat="1" applyFont="1"/>
    <xf numFmtId="37" fontId="71" fillId="0" borderId="0" xfId="0" applyFont="1" applyBorder="1"/>
    <xf numFmtId="0" fontId="73" fillId="22" borderId="0" xfId="8" applyNumberFormat="1" applyFont="1" applyFill="1" applyAlignment="1">
      <alignment horizontal="left"/>
    </xf>
    <xf numFmtId="0" fontId="73" fillId="22" borderId="0" xfId="8" applyNumberFormat="1" applyFont="1" applyFill="1" applyAlignment="1">
      <alignment horizontal="right"/>
    </xf>
    <xf numFmtId="9" fontId="75" fillId="22" borderId="0" xfId="8" applyNumberFormat="1" applyFont="1" applyFill="1" applyAlignment="1">
      <alignment horizontal="right"/>
    </xf>
    <xf numFmtId="0" fontId="73" fillId="22" borderId="0" xfId="8" applyNumberFormat="1" applyFont="1" applyFill="1"/>
    <xf numFmtId="166" fontId="73" fillId="22" borderId="0" xfId="8" applyNumberFormat="1" applyFont="1" applyFill="1"/>
    <xf numFmtId="0" fontId="73" fillId="0" borderId="0" xfId="8" applyNumberFormat="1" applyFont="1" applyBorder="1"/>
    <xf numFmtId="37" fontId="32" fillId="0" borderId="8" xfId="8" applyFont="1" applyBorder="1"/>
    <xf numFmtId="37" fontId="32" fillId="0" borderId="8" xfId="8" applyFont="1" applyBorder="1" applyAlignment="1">
      <alignment horizontal="right"/>
    </xf>
    <xf numFmtId="0" fontId="73" fillId="22" borderId="0" xfId="8" applyNumberFormat="1" applyFont="1" applyFill="1" applyBorder="1" applyAlignment="1">
      <alignment horizontal="left"/>
    </xf>
    <xf numFmtId="0" fontId="73" fillId="22" borderId="0" xfId="8" applyNumberFormat="1" applyFont="1" applyFill="1" applyBorder="1" applyAlignment="1">
      <alignment horizontal="right"/>
    </xf>
    <xf numFmtId="9" fontId="75" fillId="22" borderId="0" xfId="8" applyNumberFormat="1" applyFont="1" applyFill="1" applyBorder="1" applyAlignment="1">
      <alignment horizontal="right"/>
    </xf>
    <xf numFmtId="0" fontId="73" fillId="22" borderId="0" xfId="8" applyNumberFormat="1" applyFont="1" applyFill="1" applyBorder="1"/>
    <xf numFmtId="0" fontId="73" fillId="0" borderId="8" xfId="8" applyNumberFormat="1" applyFont="1" applyBorder="1" applyAlignment="1">
      <alignment horizontal="left"/>
    </xf>
    <xf numFmtId="0" fontId="73" fillId="0" borderId="8" xfId="8" applyNumberFormat="1" applyFont="1" applyBorder="1" applyAlignment="1">
      <alignment horizontal="right"/>
    </xf>
    <xf numFmtId="0" fontId="73" fillId="0" borderId="8" xfId="8" applyNumberFormat="1" applyFont="1" applyBorder="1"/>
    <xf numFmtId="9" fontId="21" fillId="0" borderId="0" xfId="20" applyNumberFormat="1" applyFont="1"/>
    <xf numFmtId="9" fontId="22" fillId="0" borderId="0" xfId="20" applyNumberFormat="1" applyFont="1"/>
    <xf numFmtId="0" fontId="21" fillId="0" borderId="0" xfId="18" applyNumberFormat="1" applyFont="1" applyFill="1" applyBorder="1" applyAlignment="1">
      <alignment horizontal="left"/>
    </xf>
    <xf numFmtId="0" fontId="21" fillId="0" borderId="0" xfId="20" applyFont="1" applyFill="1" applyBorder="1"/>
    <xf numFmtId="0" fontId="47" fillId="0" borderId="0" xfId="20" applyFont="1" applyFill="1" applyBorder="1"/>
    <xf numFmtId="0" fontId="47" fillId="0" borderId="0" xfId="18" applyNumberFormat="1" applyFont="1" applyFill="1" applyBorder="1" applyAlignment="1">
      <alignment horizontal="left"/>
    </xf>
    <xf numFmtId="9" fontId="47" fillId="0" borderId="0" xfId="23" applyFont="1" applyFill="1" applyBorder="1"/>
    <xf numFmtId="9" fontId="47" fillId="0" borderId="0" xfId="20" applyNumberFormat="1" applyFont="1" applyFill="1" applyBorder="1" applyAlignment="1">
      <alignment horizontal="right"/>
    </xf>
    <xf numFmtId="0" fontId="32" fillId="0" borderId="0" xfId="20" applyFont="1" applyFill="1" applyBorder="1"/>
    <xf numFmtId="37" fontId="22" fillId="17" borderId="21" xfId="0" applyFont="1" applyFill="1" applyBorder="1"/>
    <xf numFmtId="37" fontId="78" fillId="21" borderId="21" xfId="0" applyFont="1" applyFill="1" applyBorder="1"/>
    <xf numFmtId="37" fontId="22" fillId="0" borderId="21" xfId="0" applyFont="1" applyFill="1" applyBorder="1"/>
    <xf numFmtId="9" fontId="26" fillId="0" borderId="0" xfId="23" applyFont="1"/>
    <xf numFmtId="37" fontId="78" fillId="16" borderId="21" xfId="0" applyFont="1" applyFill="1" applyBorder="1"/>
    <xf numFmtId="37" fontId="22" fillId="26" borderId="21" xfId="0" applyFont="1" applyFill="1" applyBorder="1"/>
    <xf numFmtId="37" fontId="22" fillId="10" borderId="21" xfId="0" applyFont="1" applyFill="1" applyBorder="1"/>
    <xf numFmtId="37" fontId="21" fillId="0" borderId="0" xfId="0" applyFont="1" applyAlignment="1">
      <alignment vertical="center"/>
    </xf>
    <xf numFmtId="37" fontId="25" fillId="0" borderId="0" xfId="0" applyNumberFormat="1" applyFont="1" applyBorder="1" applyAlignment="1">
      <alignment horizontal="left"/>
    </xf>
    <xf numFmtId="14" fontId="25" fillId="0" borderId="8" xfId="0" applyNumberFormat="1" applyFont="1" applyBorder="1" applyAlignment="1">
      <alignment horizontal="left"/>
    </xf>
    <xf numFmtId="37" fontId="25" fillId="0" borderId="8" xfId="0" applyNumberFormat="1" applyFont="1" applyBorder="1" applyAlignment="1">
      <alignment horizontal="left"/>
    </xf>
    <xf numFmtId="37" fontId="25" fillId="0" borderId="8" xfId="0" applyNumberFormat="1" applyFont="1" applyBorder="1" applyAlignment="1"/>
    <xf numFmtId="37" fontId="25" fillId="0" borderId="8" xfId="0" applyNumberFormat="1" applyFont="1" applyBorder="1"/>
    <xf numFmtId="172" fontId="25" fillId="0" borderId="8" xfId="0" applyNumberFormat="1" applyFont="1" applyBorder="1"/>
    <xf numFmtId="172" fontId="25" fillId="0" borderId="8" xfId="0" applyNumberFormat="1" applyFont="1" applyFill="1" applyBorder="1"/>
    <xf numFmtId="166" fontId="25" fillId="0" borderId="8" xfId="0" applyNumberFormat="1" applyFont="1" applyBorder="1"/>
    <xf numFmtId="14" fontId="25" fillId="8" borderId="0" xfId="0" applyNumberFormat="1" applyFont="1" applyFill="1" applyBorder="1" applyAlignment="1">
      <alignment horizontal="left"/>
    </xf>
    <xf numFmtId="37" fontId="25" fillId="8" borderId="0" xfId="0" applyNumberFormat="1" applyFont="1" applyFill="1" applyBorder="1" applyAlignment="1"/>
    <xf numFmtId="37" fontId="25" fillId="8" borderId="0" xfId="0" applyNumberFormat="1" applyFont="1" applyFill="1" applyBorder="1"/>
    <xf numFmtId="172" fontId="25" fillId="8" borderId="0" xfId="0" applyNumberFormat="1" applyFont="1" applyFill="1" applyBorder="1" applyAlignment="1">
      <alignment horizontal="right"/>
    </xf>
    <xf numFmtId="37" fontId="0" fillId="11" borderId="17" xfId="0" applyFill="1" applyBorder="1"/>
    <xf numFmtId="37" fontId="84" fillId="0" borderId="0" xfId="0" applyFont="1"/>
    <xf numFmtId="37" fontId="0" fillId="14" borderId="17" xfId="0" applyFill="1" applyBorder="1"/>
    <xf numFmtId="37" fontId="0" fillId="40" borderId="17" xfId="0" applyFill="1" applyBorder="1"/>
    <xf numFmtId="37" fontId="0" fillId="10" borderId="17" xfId="0" applyFill="1" applyBorder="1"/>
    <xf numFmtId="37" fontId="0" fillId="26" borderId="17" xfId="0" applyFill="1" applyBorder="1"/>
    <xf numFmtId="37" fontId="0" fillId="41" borderId="17" xfId="0" applyFill="1" applyBorder="1"/>
    <xf numFmtId="37" fontId="0" fillId="12" borderId="17" xfId="0" applyFill="1" applyBorder="1"/>
    <xf numFmtId="37" fontId="0" fillId="32" borderId="17" xfId="0" applyFill="1" applyBorder="1"/>
    <xf numFmtId="37" fontId="0" fillId="42" borderId="17" xfId="0" applyFill="1" applyBorder="1"/>
    <xf numFmtId="37" fontId="0" fillId="29" borderId="17" xfId="0" applyFill="1" applyBorder="1"/>
    <xf numFmtId="37" fontId="0" fillId="28" borderId="17" xfId="0" applyFill="1" applyBorder="1"/>
    <xf numFmtId="37" fontId="0" fillId="30" borderId="17" xfId="0" applyFill="1" applyBorder="1"/>
    <xf numFmtId="37" fontId="0" fillId="31" borderId="17" xfId="0" applyFill="1" applyBorder="1"/>
    <xf numFmtId="37" fontId="0" fillId="43" borderId="17" xfId="0" applyFill="1" applyBorder="1"/>
    <xf numFmtId="37" fontId="0" fillId="0" borderId="17" xfId="0" applyBorder="1"/>
    <xf numFmtId="9" fontId="32" fillId="0" borderId="0" xfId="23" applyFont="1"/>
    <xf numFmtId="9" fontId="25" fillId="0" borderId="0" xfId="23" applyFont="1" applyFill="1" applyBorder="1" applyAlignment="1">
      <alignment horizontal="right" wrapText="1"/>
    </xf>
    <xf numFmtId="37" fontId="80" fillId="0" borderId="0" xfId="0" applyFont="1" applyAlignment="1">
      <alignment horizontal="left" vertical="center" readingOrder="1"/>
    </xf>
    <xf numFmtId="37" fontId="86" fillId="0" borderId="0" xfId="0" applyFont="1" applyAlignment="1">
      <alignment horizontal="left" vertical="center" readingOrder="1"/>
    </xf>
    <xf numFmtId="37" fontId="72" fillId="0" borderId="0" xfId="0" applyFont="1" applyBorder="1" applyAlignment="1">
      <alignment horizontal="left" wrapText="1"/>
    </xf>
    <xf numFmtId="3" fontId="72" fillId="0" borderId="0" xfId="0" applyNumberFormat="1" applyFont="1" applyBorder="1" applyAlignment="1">
      <alignment horizontal="right" wrapText="1"/>
    </xf>
    <xf numFmtId="3" fontId="64" fillId="0" borderId="0" xfId="0" applyNumberFormat="1" applyFont="1" applyBorder="1" applyAlignment="1">
      <alignment horizontal="right"/>
    </xf>
    <xf numFmtId="173" fontId="64" fillId="0" borderId="0" xfId="2" applyNumberFormat="1" applyFont="1" applyAlignment="1">
      <alignment horizontal="right"/>
    </xf>
    <xf numFmtId="3" fontId="64" fillId="0" borderId="0" xfId="0" applyNumberFormat="1" applyFont="1" applyAlignment="1">
      <alignment horizontal="right"/>
    </xf>
    <xf numFmtId="37" fontId="64" fillId="0" borderId="0" xfId="0" applyFont="1" applyBorder="1" applyAlignment="1">
      <alignment horizontal="right"/>
    </xf>
    <xf numFmtId="37" fontId="64" fillId="0" borderId="0" xfId="0" applyFont="1" applyBorder="1" applyAlignment="1"/>
    <xf numFmtId="37" fontId="64" fillId="43" borderId="0" xfId="0" applyFont="1" applyFill="1" applyAlignment="1">
      <alignment horizontal="right"/>
    </xf>
    <xf numFmtId="37" fontId="72" fillId="0" borderId="0" xfId="0" applyFont="1" applyBorder="1" applyAlignment="1">
      <alignment horizontal="left" vertical="center" wrapText="1"/>
    </xf>
    <xf numFmtId="10" fontId="64" fillId="0" borderId="0" xfId="0" applyNumberFormat="1" applyFont="1" applyAlignment="1">
      <alignment horizontal="right"/>
    </xf>
    <xf numFmtId="37" fontId="71" fillId="0" borderId="8" xfId="0" applyFont="1" applyBorder="1"/>
    <xf numFmtId="37" fontId="64" fillId="0" borderId="8" xfId="0" applyFont="1" applyBorder="1" applyAlignment="1">
      <alignment horizontal="right"/>
    </xf>
    <xf numFmtId="3" fontId="72" fillId="0" borderId="0" xfId="0" applyNumberFormat="1" applyFont="1" applyBorder="1" applyAlignment="1">
      <alignment horizontal="center" vertical="center" wrapText="1"/>
    </xf>
    <xf numFmtId="3" fontId="64" fillId="0" borderId="0" xfId="0" applyNumberFormat="1" applyFont="1" applyBorder="1" applyAlignment="1">
      <alignment horizontal="center" vertical="center"/>
    </xf>
    <xf numFmtId="173" fontId="64" fillId="0" borderId="0" xfId="2" applyNumberFormat="1" applyFont="1" applyAlignment="1">
      <alignment horizontal="center" vertical="center"/>
    </xf>
    <xf numFmtId="166" fontId="64" fillId="0" borderId="0" xfId="23" applyNumberFormat="1" applyFont="1" applyAlignment="1">
      <alignment horizontal="center" vertical="center"/>
    </xf>
    <xf numFmtId="3" fontId="64" fillId="0" borderId="0" xfId="0" applyNumberFormat="1" applyFont="1" applyAlignment="1">
      <alignment horizontal="center" vertical="center"/>
    </xf>
    <xf numFmtId="37" fontId="64" fillId="0" borderId="0" xfId="0" applyFont="1" applyAlignment="1">
      <alignment horizontal="center" vertical="center"/>
    </xf>
    <xf numFmtId="3" fontId="72" fillId="0" borderId="0" xfId="0" applyNumberFormat="1" applyFont="1" applyBorder="1" applyAlignment="1">
      <alignment horizontal="right" vertical="center" wrapText="1"/>
    </xf>
    <xf numFmtId="3" fontId="64" fillId="0" borderId="0" xfId="0" applyNumberFormat="1" applyFont="1" applyBorder="1" applyAlignment="1">
      <alignment horizontal="right" vertical="center"/>
    </xf>
    <xf numFmtId="173" fontId="64" fillId="0" borderId="0" xfId="2" applyNumberFormat="1" applyFont="1" applyAlignment="1">
      <alignment horizontal="right" vertical="center"/>
    </xf>
    <xf numFmtId="166" fontId="64" fillId="0" borderId="0" xfId="23" applyNumberFormat="1" applyFont="1" applyAlignment="1">
      <alignment horizontal="right" vertical="center"/>
    </xf>
    <xf numFmtId="3" fontId="64" fillId="0" borderId="0" xfId="0" applyNumberFormat="1" applyFont="1" applyAlignment="1">
      <alignment horizontal="right" vertical="center"/>
    </xf>
    <xf numFmtId="37" fontId="64" fillId="0" borderId="0" xfId="0" applyFont="1" applyAlignment="1">
      <alignment vertical="center"/>
    </xf>
    <xf numFmtId="37" fontId="72" fillId="0" borderId="8" xfId="0" applyFont="1" applyBorder="1" applyAlignment="1">
      <alignment horizontal="left" wrapText="1"/>
    </xf>
    <xf numFmtId="173" fontId="71" fillId="0" borderId="0" xfId="2" applyNumberFormat="1" applyFont="1" applyBorder="1" applyAlignment="1">
      <alignment horizontal="right"/>
    </xf>
    <xf numFmtId="3" fontId="72" fillId="0" borderId="8" xfId="0" applyNumberFormat="1" applyFont="1" applyBorder="1" applyAlignment="1">
      <alignment horizontal="right" wrapText="1"/>
    </xf>
    <xf numFmtId="3" fontId="64" fillId="0" borderId="8" xfId="0" applyNumberFormat="1" applyFont="1" applyBorder="1" applyAlignment="1">
      <alignment horizontal="right"/>
    </xf>
    <xf numFmtId="173" fontId="64" fillId="0" borderId="8" xfId="2" applyNumberFormat="1" applyFont="1" applyBorder="1" applyAlignment="1">
      <alignment horizontal="right"/>
    </xf>
    <xf numFmtId="166" fontId="71" fillId="0" borderId="0" xfId="23" applyNumberFormat="1" applyFont="1" applyBorder="1" applyAlignment="1">
      <alignment horizontal="right"/>
    </xf>
    <xf numFmtId="166" fontId="64" fillId="0" borderId="8" xfId="23" applyNumberFormat="1" applyFont="1" applyBorder="1" applyAlignment="1">
      <alignment horizontal="right"/>
    </xf>
    <xf numFmtId="3" fontId="71" fillId="0" borderId="0" xfId="0" applyNumberFormat="1" applyFont="1" applyBorder="1" applyAlignment="1">
      <alignment horizontal="right"/>
    </xf>
    <xf numFmtId="37" fontId="64" fillId="0" borderId="0" xfId="0" applyFont="1" applyFill="1" applyBorder="1" applyAlignment="1">
      <alignment horizontal="right"/>
    </xf>
    <xf numFmtId="173" fontId="64" fillId="0" borderId="0" xfId="2" applyNumberFormat="1" applyFont="1" applyFill="1"/>
    <xf numFmtId="166" fontId="0" fillId="0" borderId="0" xfId="0" applyNumberFormat="1"/>
    <xf numFmtId="173" fontId="21" fillId="0" borderId="0" xfId="2" applyNumberFormat="1" applyFont="1" applyFill="1"/>
    <xf numFmtId="166" fontId="68" fillId="0" borderId="0" xfId="0" applyNumberFormat="1" applyFont="1"/>
    <xf numFmtId="187" fontId="68" fillId="0" borderId="0" xfId="0" applyNumberFormat="1" applyFont="1"/>
    <xf numFmtId="187" fontId="0" fillId="0" borderId="0" xfId="0" applyNumberFormat="1"/>
    <xf numFmtId="10" fontId="21" fillId="0" borderId="0" xfId="23" applyNumberFormat="1" applyFont="1" applyAlignment="1">
      <alignment horizontal="right"/>
    </xf>
    <xf numFmtId="166" fontId="64" fillId="8" borderId="0" xfId="0" applyNumberFormat="1" applyFont="1" applyFill="1" applyAlignment="1">
      <alignment vertical="center"/>
    </xf>
    <xf numFmtId="9" fontId="0" fillId="0" borderId="0" xfId="23" applyFont="1"/>
    <xf numFmtId="10" fontId="0" fillId="0" borderId="0" xfId="23" applyNumberFormat="1" applyFont="1"/>
    <xf numFmtId="188" fontId="25" fillId="0" borderId="0" xfId="0" applyNumberFormat="1" applyFont="1"/>
    <xf numFmtId="0" fontId="64" fillId="0" borderId="0" xfId="23" applyNumberFormat="1" applyFont="1" applyAlignment="1">
      <alignment horizontal="right"/>
    </xf>
    <xf numFmtId="0" fontId="33" fillId="0" borderId="8" xfId="8" applyNumberFormat="1" applyFont="1" applyBorder="1" applyAlignment="1">
      <alignment horizontal="left"/>
    </xf>
    <xf numFmtId="0" fontId="35" fillId="0" borderId="0" xfId="15" applyFont="1" applyBorder="1"/>
    <xf numFmtId="37" fontId="0" fillId="0" borderId="0" xfId="0" applyAlignment="1">
      <alignment wrapText="1"/>
    </xf>
    <xf numFmtId="37" fontId="3" fillId="45" borderId="0" xfId="0" applyFont="1" applyFill="1"/>
    <xf numFmtId="37" fontId="0" fillId="45" borderId="0" xfId="0" applyFill="1"/>
    <xf numFmtId="37" fontId="85" fillId="45" borderId="0" xfId="0" applyFont="1" applyFill="1"/>
    <xf numFmtId="37" fontId="87" fillId="45" borderId="0" xfId="0" applyFont="1" applyFill="1" applyAlignment="1">
      <alignment vertical="center"/>
    </xf>
    <xf numFmtId="1" fontId="89" fillId="0" borderId="0" xfId="0" applyNumberFormat="1" applyFont="1" applyBorder="1"/>
    <xf numFmtId="15" fontId="89" fillId="0" borderId="0" xfId="0" applyNumberFormat="1" applyFont="1" applyBorder="1" applyAlignment="1">
      <alignment horizontal="left"/>
    </xf>
    <xf numFmtId="37" fontId="89" fillId="0" borderId="0" xfId="0" applyFont="1" applyBorder="1"/>
    <xf numFmtId="15" fontId="90" fillId="0" borderId="0" xfId="0" applyNumberFormat="1" applyFont="1" applyBorder="1" applyAlignment="1">
      <alignment horizontal="left"/>
    </xf>
    <xf numFmtId="9" fontId="89" fillId="0" borderId="0" xfId="24" applyFont="1" applyBorder="1"/>
    <xf numFmtId="37" fontId="92" fillId="47" borderId="0" xfId="0" applyFont="1" applyFill="1" applyBorder="1"/>
    <xf numFmtId="37" fontId="89" fillId="48" borderId="0" xfId="0" applyFont="1" applyFill="1" applyBorder="1" applyAlignment="1">
      <alignment horizontal="left" wrapText="1"/>
    </xf>
    <xf numFmtId="37" fontId="89" fillId="48" borderId="0" xfId="0" applyFont="1" applyFill="1" applyBorder="1" applyAlignment="1">
      <alignment horizontal="right" wrapText="1"/>
    </xf>
    <xf numFmtId="37" fontId="89" fillId="0" borderId="0" xfId="0" applyFont="1" applyBorder="1" applyAlignment="1">
      <alignment horizontal="right" vertical="top" wrapText="1"/>
    </xf>
    <xf numFmtId="37" fontId="90" fillId="0" borderId="0" xfId="0" applyFont="1" applyBorder="1" applyAlignment="1">
      <alignment horizontal="left"/>
    </xf>
    <xf numFmtId="37" fontId="90" fillId="0" borderId="0" xfId="0" applyFont="1" applyBorder="1" applyAlignment="1">
      <alignment horizontal="right"/>
    </xf>
    <xf numFmtId="37" fontId="89" fillId="0" borderId="0" xfId="0" applyFont="1" applyBorder="1" applyAlignment="1">
      <alignment horizontal="left"/>
    </xf>
    <xf numFmtId="167" fontId="89" fillId="0" borderId="0" xfId="0" applyNumberFormat="1" applyFont="1" applyBorder="1" applyAlignment="1">
      <alignment horizontal="right"/>
    </xf>
    <xf numFmtId="37" fontId="89" fillId="0" borderId="0" xfId="0" applyFont="1" applyBorder="1" applyAlignment="1">
      <alignment horizontal="right"/>
    </xf>
    <xf numFmtId="37" fontId="89" fillId="0" borderId="0" xfId="0" applyFont="1" applyFill="1" applyBorder="1" applyAlignment="1">
      <alignment horizontal="right"/>
    </xf>
    <xf numFmtId="166" fontId="89" fillId="0" borderId="0" xfId="24" applyNumberFormat="1" applyFont="1" applyBorder="1"/>
    <xf numFmtId="167" fontId="89" fillId="0" borderId="0" xfId="3" applyNumberFormat="1" applyFont="1" applyBorder="1" applyAlignment="1">
      <alignment horizontal="right"/>
    </xf>
    <xf numFmtId="37" fontId="89" fillId="0" borderId="0" xfId="0" applyFont="1" applyFill="1" applyBorder="1" applyAlignment="1">
      <alignment horizontal="left"/>
    </xf>
    <xf numFmtId="167" fontId="89" fillId="0" borderId="0" xfId="3" applyNumberFormat="1" applyFont="1" applyFill="1" applyBorder="1"/>
    <xf numFmtId="37" fontId="89" fillId="0" borderId="0" xfId="0" applyFont="1" applyFill="1" applyBorder="1"/>
    <xf numFmtId="10" fontId="89" fillId="0" borderId="0" xfId="24" applyNumberFormat="1" applyFont="1" applyBorder="1"/>
    <xf numFmtId="167" fontId="89" fillId="0" borderId="0" xfId="3" applyNumberFormat="1" applyFont="1" applyBorder="1"/>
    <xf numFmtId="37" fontId="89" fillId="48" borderId="0" xfId="0" applyFont="1" applyFill="1" applyBorder="1" applyAlignment="1">
      <alignment horizontal="left"/>
    </xf>
    <xf numFmtId="37" fontId="89" fillId="48" borderId="0" xfId="0" applyFont="1" applyFill="1" applyBorder="1"/>
    <xf numFmtId="37" fontId="94" fillId="0" borderId="0" xfId="0" applyFont="1" applyBorder="1" applyAlignment="1">
      <alignment horizontal="left" vertical="top"/>
    </xf>
    <xf numFmtId="37" fontId="89" fillId="0" borderId="0" xfId="0" applyFont="1" applyBorder="1" applyAlignment="1">
      <alignment horizontal="left" vertical="top" wrapText="1"/>
    </xf>
    <xf numFmtId="1" fontId="89" fillId="22" borderId="0" xfId="0" applyNumberFormat="1" applyFont="1" applyFill="1" applyBorder="1"/>
    <xf numFmtId="37" fontId="95" fillId="22" borderId="0" xfId="0" applyFont="1" applyFill="1" applyBorder="1" applyAlignment="1">
      <alignment horizontal="left"/>
    </xf>
    <xf numFmtId="37" fontId="89" fillId="22" borderId="0" xfId="0" applyFont="1" applyFill="1" applyBorder="1"/>
    <xf numFmtId="166" fontId="89" fillId="22" borderId="0" xfId="24" applyNumberFormat="1" applyFont="1" applyFill="1" applyBorder="1"/>
    <xf numFmtId="37" fontId="90" fillId="0" borderId="0" xfId="0" applyFont="1" applyFill="1" applyBorder="1" applyAlignment="1">
      <alignment horizontal="left"/>
    </xf>
    <xf numFmtId="1" fontId="89" fillId="0" borderId="0" xfId="0" applyNumberFormat="1" applyFont="1" applyFill="1" applyBorder="1"/>
    <xf numFmtId="37" fontId="90" fillId="0" borderId="0" xfId="0" applyFont="1" applyBorder="1"/>
    <xf numFmtId="167" fontId="89" fillId="0" borderId="0" xfId="0" applyNumberFormat="1" applyFont="1" applyFill="1" applyBorder="1" applyAlignment="1">
      <alignment horizontal="right"/>
    </xf>
    <xf numFmtId="167" fontId="89" fillId="0" borderId="0" xfId="3" applyNumberFormat="1" applyFont="1" applyFill="1" applyBorder="1" applyAlignment="1">
      <alignment horizontal="right"/>
    </xf>
    <xf numFmtId="0" fontId="89" fillId="0" borderId="0" xfId="2" applyNumberFormat="1" applyFont="1"/>
    <xf numFmtId="0" fontId="89" fillId="0" borderId="0" xfId="2" applyNumberFormat="1" applyFont="1" applyAlignment="1">
      <alignment horizontal="left"/>
    </xf>
    <xf numFmtId="0" fontId="89" fillId="0" borderId="0" xfId="2" applyNumberFormat="1" applyFont="1" applyFill="1"/>
    <xf numFmtId="37" fontId="90" fillId="0" borderId="0" xfId="0" applyFont="1" applyFill="1" applyBorder="1" applyAlignment="1">
      <alignment horizontal="right"/>
    </xf>
    <xf numFmtId="0" fontId="89" fillId="0" borderId="0" xfId="2" applyNumberFormat="1" applyFont="1" applyFill="1" applyAlignment="1">
      <alignment horizontal="left"/>
    </xf>
    <xf numFmtId="37" fontId="101" fillId="0" borderId="1" xfId="0" applyFont="1" applyFill="1" applyBorder="1" applyAlignment="1">
      <alignment horizontal="left"/>
    </xf>
    <xf numFmtId="37" fontId="92" fillId="0" borderId="1" xfId="0" applyFont="1" applyFill="1" applyBorder="1"/>
    <xf numFmtId="37" fontId="89" fillId="0" borderId="3" xfId="0" applyFont="1" applyFill="1" applyBorder="1" applyAlignment="1">
      <alignment horizontal="left" wrapText="1"/>
    </xf>
    <xf numFmtId="37" fontId="89" fillId="0" borderId="3" xfId="0" applyFont="1" applyFill="1" applyBorder="1" applyAlignment="1">
      <alignment horizontal="right" wrapText="1"/>
    </xf>
    <xf numFmtId="0" fontId="89" fillId="0" borderId="1" xfId="2" applyNumberFormat="1" applyFont="1" applyFill="1" applyBorder="1" applyAlignment="1">
      <alignment horizontal="left"/>
    </xf>
    <xf numFmtId="167" fontId="89" fillId="0" borderId="1" xfId="3" applyNumberFormat="1" applyFont="1" applyFill="1" applyBorder="1"/>
    <xf numFmtId="37" fontId="89" fillId="0" borderId="1" xfId="0" applyFont="1" applyFill="1" applyBorder="1"/>
    <xf numFmtId="37" fontId="90" fillId="0" borderId="0" xfId="0" applyFont="1"/>
    <xf numFmtId="37" fontId="89" fillId="0" borderId="0" xfId="0" applyFont="1"/>
    <xf numFmtId="1" fontId="89" fillId="0" borderId="0" xfId="0" applyNumberFormat="1" applyFont="1"/>
    <xf numFmtId="37" fontId="91" fillId="47" borderId="0" xfId="0" applyFont="1" applyFill="1" applyAlignment="1">
      <alignment horizontal="left"/>
    </xf>
    <xf numFmtId="37" fontId="92" fillId="47" borderId="0" xfId="0" applyFont="1" applyFill="1" applyAlignment="1">
      <alignment horizontal="left"/>
    </xf>
    <xf numFmtId="37" fontId="102" fillId="47" borderId="0" xfId="0" applyFont="1" applyFill="1"/>
    <xf numFmtId="37" fontId="92" fillId="47" borderId="0" xfId="0" applyFont="1" applyFill="1"/>
    <xf numFmtId="37" fontId="103" fillId="47" borderId="0" xfId="0" applyFont="1" applyFill="1" applyAlignment="1">
      <alignment horizontal="right"/>
    </xf>
    <xf numFmtId="1" fontId="104" fillId="0" borderId="0" xfId="0" applyNumberFormat="1" applyFont="1" applyAlignment="1">
      <alignment horizontal="right"/>
    </xf>
    <xf numFmtId="9" fontId="89" fillId="0" borderId="0" xfId="24" applyFont="1"/>
    <xf numFmtId="1" fontId="89" fillId="0" borderId="0" xfId="24" applyNumberFormat="1" applyFont="1"/>
    <xf numFmtId="1" fontId="89" fillId="53" borderId="0" xfId="0" applyNumberFormat="1" applyFont="1" applyFill="1"/>
    <xf numFmtId="9" fontId="89" fillId="53" borderId="0" xfId="24" applyFont="1" applyFill="1"/>
    <xf numFmtId="37" fontId="100" fillId="0" borderId="0" xfId="0" applyFont="1"/>
    <xf numFmtId="1" fontId="100" fillId="53" borderId="0" xfId="0" applyNumberFormat="1" applyFont="1" applyFill="1"/>
    <xf numFmtId="37" fontId="89" fillId="53" borderId="0" xfId="0" applyFont="1" applyFill="1"/>
    <xf numFmtId="37" fontId="99" fillId="0" borderId="30" xfId="0" applyFont="1" applyFill="1" applyBorder="1" applyAlignment="1">
      <alignment horizontal="center"/>
    </xf>
    <xf numFmtId="37" fontId="99" fillId="0" borderId="0" xfId="0" applyFont="1" applyFill="1" applyBorder="1" applyAlignment="1">
      <alignment horizontal="right"/>
    </xf>
    <xf numFmtId="9" fontId="89" fillId="0" borderId="0" xfId="0" applyNumberFormat="1" applyFont="1"/>
    <xf numFmtId="37" fontId="99" fillId="8" borderId="13" xfId="0" applyFont="1" applyFill="1" applyBorder="1" applyAlignment="1">
      <alignment horizontal="center" vertical="center"/>
    </xf>
    <xf numFmtId="37" fontId="100" fillId="8" borderId="0" xfId="0" applyFont="1" applyFill="1"/>
    <xf numFmtId="1" fontId="100" fillId="8" borderId="0" xfId="0" applyNumberFormat="1" applyFont="1" applyFill="1"/>
    <xf numFmtId="37" fontId="89" fillId="8" borderId="0" xfId="0" applyFont="1" applyFill="1"/>
    <xf numFmtId="1" fontId="100" fillId="0" borderId="0" xfId="0" applyNumberFormat="1" applyFont="1"/>
    <xf numFmtId="37" fontId="93" fillId="0" borderId="0" xfId="0" applyFont="1"/>
    <xf numFmtId="166" fontId="89" fillId="0" borderId="0" xfId="0" applyNumberFormat="1" applyFont="1"/>
    <xf numFmtId="0" fontId="89" fillId="48" borderId="0" xfId="0" applyNumberFormat="1" applyFont="1" applyFill="1" applyBorder="1"/>
    <xf numFmtId="37" fontId="90" fillId="0" borderId="8" xfId="0" applyFont="1" applyBorder="1"/>
    <xf numFmtId="37" fontId="89" fillId="0" borderId="8" xfId="0" applyFont="1" applyBorder="1"/>
    <xf numFmtId="37" fontId="89" fillId="0" borderId="0" xfId="0" applyFont="1" applyAlignment="1">
      <alignment horizontal="left"/>
    </xf>
    <xf numFmtId="37" fontId="90" fillId="0" borderId="0" xfId="0" applyFont="1" applyAlignment="1">
      <alignment horizontal="left"/>
    </xf>
    <xf numFmtId="37" fontId="99" fillId="4" borderId="0" xfId="0" applyFont="1" applyFill="1" applyBorder="1" applyAlignment="1">
      <alignment horizontal="right" vertical="top" wrapText="1"/>
    </xf>
    <xf numFmtId="37" fontId="99" fillId="3" borderId="0" xfId="0" applyFont="1" applyFill="1" applyBorder="1" applyAlignment="1">
      <alignment horizontal="right" vertical="top" wrapText="1"/>
    </xf>
    <xf numFmtId="37" fontId="99" fillId="5" borderId="0" xfId="0" applyFont="1" applyFill="1" applyBorder="1" applyAlignment="1">
      <alignment horizontal="right" vertical="top" wrapText="1"/>
    </xf>
    <xf numFmtId="37" fontId="89" fillId="0" borderId="0" xfId="0" applyFont="1" applyAlignment="1">
      <alignment horizontal="right" vertical="top" wrapText="1"/>
    </xf>
    <xf numFmtId="37" fontId="89" fillId="0" borderId="1" xfId="0" applyFont="1" applyBorder="1"/>
    <xf numFmtId="9" fontId="90" fillId="0" borderId="0" xfId="24" applyFont="1"/>
    <xf numFmtId="37" fontId="90" fillId="0" borderId="0" xfId="0" applyFont="1" applyBorder="1" applyAlignment="1">
      <alignment horizontal="centerContinuous"/>
    </xf>
    <xf numFmtId="37" fontId="105" fillId="0" borderId="8" xfId="0" applyFont="1" applyBorder="1"/>
    <xf numFmtId="37" fontId="93" fillId="0" borderId="8" xfId="0" applyFont="1" applyBorder="1"/>
    <xf numFmtId="37" fontId="105" fillId="0" borderId="0" xfId="0" applyFont="1"/>
    <xf numFmtId="37" fontId="105" fillId="0" borderId="0" xfId="0" applyFont="1" applyAlignment="1">
      <alignment horizontal="left"/>
    </xf>
    <xf numFmtId="37" fontId="93" fillId="0" borderId="0" xfId="0" applyFont="1" applyAlignment="1">
      <alignment horizontal="left"/>
    </xf>
    <xf numFmtId="37" fontId="106" fillId="3" borderId="0" xfId="0" applyFont="1" applyFill="1" applyBorder="1" applyAlignment="1">
      <alignment horizontal="right" vertical="top" wrapText="1"/>
    </xf>
    <xf numFmtId="37" fontId="106" fillId="4" borderId="0" xfId="0" applyFont="1" applyFill="1" applyBorder="1" applyAlignment="1">
      <alignment horizontal="right" vertical="top" wrapText="1"/>
    </xf>
    <xf numFmtId="37" fontId="106" fillId="5" borderId="0" xfId="0" applyFont="1" applyFill="1" applyBorder="1" applyAlignment="1">
      <alignment horizontal="right" vertical="top" wrapText="1"/>
    </xf>
    <xf numFmtId="37" fontId="107" fillId="10" borderId="0" xfId="0" applyFont="1" applyFill="1" applyBorder="1" applyAlignment="1">
      <alignment horizontal="right" vertical="top" wrapText="1"/>
    </xf>
    <xf numFmtId="37" fontId="105" fillId="0" borderId="0" xfId="0" applyFont="1" applyAlignment="1">
      <alignment horizontal="right" vertical="top" wrapText="1"/>
    </xf>
    <xf numFmtId="37" fontId="93" fillId="0" borderId="1" xfId="0" applyFont="1" applyBorder="1"/>
    <xf numFmtId="37" fontId="93" fillId="0" borderId="0" xfId="0" applyFont="1" applyBorder="1"/>
    <xf numFmtId="9" fontId="105" fillId="0" borderId="0" xfId="24" applyFont="1"/>
    <xf numFmtId="9" fontId="93" fillId="0" borderId="0" xfId="24" applyFont="1"/>
    <xf numFmtId="37" fontId="105" fillId="0" borderId="0" xfId="0" applyFont="1" applyBorder="1"/>
    <xf numFmtId="37" fontId="93" fillId="0" borderId="0" xfId="0" applyFont="1" applyFill="1" applyBorder="1"/>
    <xf numFmtId="37" fontId="95" fillId="0" borderId="0" xfId="0" applyFont="1"/>
    <xf numFmtId="37" fontId="108" fillId="47" borderId="0" xfId="0" applyFont="1" applyFill="1" applyAlignment="1">
      <alignment vertical="center"/>
    </xf>
    <xf numFmtId="37" fontId="109" fillId="47" borderId="0" xfId="0" applyFont="1" applyFill="1"/>
    <xf numFmtId="37" fontId="89" fillId="0" borderId="0" xfId="0" applyFont="1" applyFill="1"/>
    <xf numFmtId="37" fontId="91" fillId="48" borderId="0" xfId="0" applyFont="1" applyFill="1" applyAlignment="1">
      <alignment vertical="center"/>
    </xf>
    <xf numFmtId="37" fontId="109" fillId="48" borderId="0" xfId="0" applyFont="1" applyFill="1"/>
    <xf numFmtId="37" fontId="89" fillId="48" borderId="0" xfId="0" applyFont="1" applyFill="1"/>
    <xf numFmtId="37" fontId="107" fillId="52" borderId="0" xfId="0" applyFont="1" applyFill="1" applyBorder="1" applyAlignment="1">
      <alignment horizontal="right" vertical="top" wrapText="1"/>
    </xf>
    <xf numFmtId="37" fontId="106" fillId="48" borderId="0" xfId="0" applyFont="1" applyFill="1" applyBorder="1" applyAlignment="1">
      <alignment horizontal="right" vertical="top" wrapText="1"/>
    </xf>
    <xf numFmtId="37" fontId="107" fillId="48" borderId="0" xfId="0" applyFont="1" applyFill="1" applyBorder="1" applyAlignment="1">
      <alignment horizontal="right" vertical="top" wrapText="1"/>
    </xf>
    <xf numFmtId="37" fontId="101" fillId="0" borderId="0" xfId="0" applyFont="1" applyAlignment="1">
      <alignment vertical="center"/>
    </xf>
    <xf numFmtId="166" fontId="90" fillId="0" borderId="0" xfId="24" applyNumberFormat="1" applyFont="1"/>
    <xf numFmtId="37" fontId="110" fillId="0" borderId="0" xfId="0" applyFont="1" applyAlignment="1">
      <alignment vertical="center"/>
    </xf>
    <xf numFmtId="166" fontId="89" fillId="0" borderId="0" xfId="24" applyNumberFormat="1" applyFont="1"/>
    <xf numFmtId="37" fontId="91" fillId="0" borderId="0" xfId="0" applyFont="1" applyFill="1" applyAlignment="1">
      <alignment vertical="center"/>
    </xf>
    <xf numFmtId="37" fontId="109" fillId="0" borderId="0" xfId="0" applyFont="1" applyFill="1"/>
    <xf numFmtId="37" fontId="90" fillId="0" borderId="1" xfId="0" applyFont="1" applyBorder="1"/>
    <xf numFmtId="9" fontId="90" fillId="0" borderId="1" xfId="24" applyFont="1" applyBorder="1"/>
    <xf numFmtId="37" fontId="108" fillId="0" borderId="1" xfId="0" applyFont="1" applyFill="1" applyBorder="1" applyAlignment="1">
      <alignment vertical="center"/>
    </xf>
    <xf numFmtId="37" fontId="109" fillId="0" borderId="1" xfId="0" applyFont="1" applyFill="1" applyBorder="1"/>
    <xf numFmtId="37" fontId="106" fillId="0" borderId="1" xfId="0" applyFont="1" applyFill="1" applyBorder="1" applyAlignment="1">
      <alignment horizontal="right" vertical="top" wrapText="1"/>
    </xf>
    <xf numFmtId="37" fontId="107" fillId="0" borderId="1" xfId="0" applyFont="1" applyFill="1" applyBorder="1" applyAlignment="1">
      <alignment horizontal="right" vertical="top" wrapText="1"/>
    </xf>
    <xf numFmtId="172" fontId="21" fillId="8" borderId="8" xfId="0" applyNumberFormat="1" applyFont="1" applyFill="1" applyBorder="1" applyAlignment="1"/>
    <xf numFmtId="166" fontId="21" fillId="8" borderId="8" xfId="0" applyNumberFormat="1" applyFont="1" applyFill="1" applyBorder="1" applyAlignment="1"/>
    <xf numFmtId="37" fontId="21" fillId="44" borderId="0" xfId="0" applyFont="1" applyFill="1"/>
    <xf numFmtId="172" fontId="21" fillId="44" borderId="0" xfId="0" applyNumberFormat="1" applyFont="1" applyFill="1" applyBorder="1" applyAlignment="1"/>
    <xf numFmtId="166" fontId="21" fillId="44" borderId="0" xfId="0" applyNumberFormat="1" applyFont="1" applyFill="1" applyBorder="1" applyAlignment="1"/>
    <xf numFmtId="37" fontId="21" fillId="44" borderId="1" xfId="0" applyFont="1" applyFill="1" applyBorder="1"/>
    <xf numFmtId="0" fontId="21" fillId="0" borderId="0" xfId="20" applyFont="1" applyFill="1"/>
    <xf numFmtId="0" fontId="22" fillId="0" borderId="0" xfId="18" applyNumberFormat="1" applyFont="1" applyFill="1" applyAlignment="1">
      <alignment horizontal="left"/>
    </xf>
    <xf numFmtId="37" fontId="111" fillId="0" borderId="0" xfId="8" applyFont="1" applyBorder="1"/>
    <xf numFmtId="37" fontId="111" fillId="8" borderId="0" xfId="8" applyFont="1" applyFill="1" applyBorder="1"/>
    <xf numFmtId="37" fontId="112" fillId="0" borderId="0" xfId="8" applyFont="1" applyBorder="1"/>
    <xf numFmtId="37" fontId="112" fillId="8" borderId="0" xfId="8" applyFont="1" applyFill="1" applyBorder="1"/>
    <xf numFmtId="37" fontId="112" fillId="48" borderId="0" xfId="8" applyFont="1" applyFill="1" applyBorder="1"/>
    <xf numFmtId="37" fontId="108" fillId="47" borderId="0" xfId="8" applyFont="1" applyFill="1" applyBorder="1"/>
    <xf numFmtId="37" fontId="114" fillId="47" borderId="0" xfId="8" applyFont="1" applyFill="1" applyBorder="1"/>
    <xf numFmtId="0" fontId="93" fillId="0" borderId="0" xfId="0" applyNumberFormat="1" applyFont="1"/>
    <xf numFmtId="0" fontId="93" fillId="0" borderId="0" xfId="0" applyNumberFormat="1" applyFont="1" applyAlignment="1"/>
    <xf numFmtId="14" fontId="93" fillId="0" borderId="0" xfId="0" applyNumberFormat="1" applyFont="1" applyBorder="1" applyAlignment="1">
      <alignment horizontal="left" vertical="center" wrapText="1"/>
    </xf>
    <xf numFmtId="1" fontId="115" fillId="0" borderId="0" xfId="0" applyNumberFormat="1" applyFont="1" applyBorder="1" applyAlignment="1">
      <alignment horizontal="left" vertical="center" wrapText="1"/>
    </xf>
    <xf numFmtId="0" fontId="116" fillId="0" borderId="19" xfId="0" applyNumberFormat="1" applyFont="1" applyBorder="1"/>
    <xf numFmtId="1" fontId="93" fillId="0" borderId="0" xfId="0" applyNumberFormat="1" applyFont="1" applyAlignment="1">
      <alignment horizontal="right"/>
    </xf>
    <xf numFmtId="14" fontId="93" fillId="0" borderId="0" xfId="0" applyNumberFormat="1" applyFont="1" applyAlignment="1">
      <alignment horizontal="left" vertical="center" wrapText="1"/>
    </xf>
    <xf numFmtId="1" fontId="115" fillId="0" borderId="0" xfId="0" applyNumberFormat="1" applyFont="1" applyAlignment="1">
      <alignment horizontal="left" vertical="center" wrapText="1"/>
    </xf>
    <xf numFmtId="0" fontId="116" fillId="0" borderId="17" xfId="0" applyNumberFormat="1" applyFont="1" applyBorder="1"/>
    <xf numFmtId="1" fontId="115" fillId="0" borderId="24" xfId="0" applyNumberFormat="1" applyFont="1" applyBorder="1" applyAlignment="1">
      <alignment horizontal="left" vertical="center" wrapText="1"/>
    </xf>
    <xf numFmtId="0" fontId="116" fillId="0" borderId="28" xfId="0" applyNumberFormat="1" applyFont="1" applyBorder="1"/>
    <xf numFmtId="0" fontId="93" fillId="0" borderId="0" xfId="0" applyNumberFormat="1" applyFont="1" applyBorder="1"/>
    <xf numFmtId="14" fontId="93" fillId="0" borderId="20" xfId="0" applyNumberFormat="1" applyFont="1" applyBorder="1" applyAlignment="1">
      <alignment horizontal="left" vertical="center" wrapText="1"/>
    </xf>
    <xf numFmtId="1" fontId="115" fillId="0" borderId="22" xfId="0" applyNumberFormat="1" applyFont="1" applyBorder="1" applyAlignment="1">
      <alignment horizontal="left" vertical="center" wrapText="1"/>
    </xf>
    <xf numFmtId="0" fontId="93" fillId="0" borderId="21" xfId="0" applyNumberFormat="1" applyFont="1" applyBorder="1"/>
    <xf numFmtId="1" fontId="93" fillId="0" borderId="21" xfId="0" applyNumberFormat="1" applyFont="1" applyBorder="1" applyAlignment="1">
      <alignment horizontal="right"/>
    </xf>
    <xf numFmtId="37" fontId="93" fillId="0" borderId="21" xfId="0" applyFont="1" applyBorder="1"/>
    <xf numFmtId="37" fontId="93" fillId="0" borderId="22" xfId="0" applyFont="1" applyBorder="1"/>
    <xf numFmtId="14" fontId="93" fillId="0" borderId="23" xfId="0" applyNumberFormat="1" applyFont="1" applyBorder="1" applyAlignment="1">
      <alignment horizontal="left" vertical="center" wrapText="1"/>
    </xf>
    <xf numFmtId="1" fontId="93" fillId="0" borderId="0" xfId="0" applyNumberFormat="1" applyFont="1" applyBorder="1" applyAlignment="1">
      <alignment horizontal="right"/>
    </xf>
    <xf numFmtId="37" fontId="93" fillId="0" borderId="24" xfId="0" applyFont="1" applyBorder="1"/>
    <xf numFmtId="1" fontId="93" fillId="0" borderId="0" xfId="0" applyNumberFormat="1" applyFont="1" applyBorder="1" applyAlignment="1">
      <alignment horizontal="left"/>
    </xf>
    <xf numFmtId="37" fontId="95" fillId="0" borderId="23" xfId="0" applyFont="1" applyBorder="1"/>
    <xf numFmtId="37" fontId="95" fillId="0" borderId="0" xfId="0" applyFont="1" applyBorder="1"/>
    <xf numFmtId="0" fontId="95" fillId="0" borderId="0" xfId="0" applyNumberFormat="1" applyFont="1" applyBorder="1"/>
    <xf numFmtId="37" fontId="95" fillId="0" borderId="24" xfId="0" applyFont="1" applyBorder="1"/>
    <xf numFmtId="37" fontId="95" fillId="0" borderId="0" xfId="0" applyFont="1" applyBorder="1" applyAlignment="1">
      <alignment wrapText="1"/>
    </xf>
    <xf numFmtId="37" fontId="95" fillId="0" borderId="24" xfId="0" applyFont="1" applyBorder="1" applyAlignment="1">
      <alignment wrapText="1"/>
    </xf>
    <xf numFmtId="37" fontId="93" fillId="0" borderId="23" xfId="0" applyFont="1" applyBorder="1"/>
    <xf numFmtId="37" fontId="93" fillId="0" borderId="25" xfId="0" applyFont="1" applyBorder="1"/>
    <xf numFmtId="37" fontId="93" fillId="0" borderId="26" xfId="0" applyFont="1" applyBorder="1"/>
    <xf numFmtId="0" fontId="93" fillId="0" borderId="26" xfId="0" applyNumberFormat="1" applyFont="1" applyBorder="1"/>
    <xf numFmtId="37" fontId="93" fillId="0" borderId="27" xfId="0" applyFont="1" applyBorder="1"/>
    <xf numFmtId="37" fontId="111" fillId="0" borderId="0" xfId="0" applyFont="1" applyAlignment="1">
      <alignment wrapText="1"/>
    </xf>
    <xf numFmtId="14" fontId="93" fillId="48" borderId="0" xfId="0" applyNumberFormat="1" applyFont="1" applyFill="1" applyBorder="1" applyAlignment="1">
      <alignment horizontal="left" vertical="center" wrapText="1"/>
    </xf>
    <xf numFmtId="1" fontId="115" fillId="48" borderId="0" xfId="0" applyNumberFormat="1" applyFont="1" applyFill="1" applyBorder="1" applyAlignment="1">
      <alignment horizontal="left" vertical="center" wrapText="1"/>
    </xf>
    <xf numFmtId="0" fontId="93" fillId="48" borderId="0" xfId="0" applyNumberFormat="1" applyFont="1" applyFill="1" applyBorder="1"/>
    <xf numFmtId="37" fontId="93" fillId="48" borderId="0" xfId="0" applyFont="1" applyFill="1" applyBorder="1"/>
    <xf numFmtId="0" fontId="93" fillId="48" borderId="0" xfId="0" applyNumberFormat="1" applyFont="1" applyFill="1" applyBorder="1" applyAlignment="1">
      <alignment wrapText="1"/>
    </xf>
    <xf numFmtId="0" fontId="93" fillId="48" borderId="0" xfId="0" applyNumberFormat="1" applyFont="1" applyFill="1" applyBorder="1" applyAlignment="1">
      <alignment horizontal="right"/>
    </xf>
    <xf numFmtId="37" fontId="25" fillId="54" borderId="0" xfId="0" applyFont="1" applyFill="1"/>
    <xf numFmtId="37" fontId="26" fillId="54" borderId="0" xfId="0" applyFont="1" applyFill="1"/>
    <xf numFmtId="37" fontId="89" fillId="50" borderId="18" xfId="0" applyFont="1" applyFill="1" applyBorder="1"/>
    <xf numFmtId="37" fontId="89" fillId="49" borderId="18" xfId="0" applyFont="1" applyFill="1" applyBorder="1"/>
    <xf numFmtId="37" fontId="89" fillId="51" borderId="18" xfId="0" applyFont="1" applyFill="1" applyBorder="1"/>
    <xf numFmtId="37" fontId="89" fillId="55" borderId="18" xfId="0" applyFont="1" applyFill="1" applyBorder="1"/>
    <xf numFmtId="37" fontId="89" fillId="45" borderId="18" xfId="0" applyFont="1" applyFill="1" applyBorder="1"/>
    <xf numFmtId="37" fontId="101" fillId="0" borderId="0" xfId="0" applyFont="1"/>
    <xf numFmtId="37" fontId="93" fillId="0" borderId="0" xfId="0" applyFont="1" applyFill="1"/>
    <xf numFmtId="2" fontId="93" fillId="0" borderId="0" xfId="0" applyNumberFormat="1" applyFont="1"/>
    <xf numFmtId="37" fontId="93" fillId="48" borderId="0" xfId="0" applyFont="1" applyFill="1" applyAlignment="1">
      <alignment horizontal="left"/>
    </xf>
    <xf numFmtId="37" fontId="93" fillId="48" borderId="0" xfId="0" applyFont="1" applyFill="1"/>
    <xf numFmtId="37" fontId="105" fillId="48" borderId="0" xfId="0" applyFont="1" applyFill="1" applyBorder="1"/>
    <xf numFmtId="37" fontId="93" fillId="48" borderId="0" xfId="0" applyFont="1" applyFill="1" applyBorder="1" applyAlignment="1">
      <alignment horizontal="right"/>
    </xf>
    <xf numFmtId="37" fontId="105" fillId="0" borderId="0" xfId="0" applyFont="1" applyFill="1" applyBorder="1"/>
    <xf numFmtId="37" fontId="93" fillId="0" borderId="0" xfId="0" applyFont="1" applyFill="1" applyBorder="1" applyAlignment="1">
      <alignment horizontal="right"/>
    </xf>
    <xf numFmtId="37" fontId="93" fillId="48" borderId="0" xfId="0" applyFont="1" applyFill="1" applyBorder="1" applyAlignment="1">
      <alignment horizontal="left"/>
    </xf>
    <xf numFmtId="37" fontId="93" fillId="0" borderId="0" xfId="0" applyFont="1" applyBorder="1" applyAlignment="1">
      <alignment horizontal="right"/>
    </xf>
    <xf numFmtId="1" fontId="93" fillId="0" borderId="0" xfId="0" applyNumberFormat="1" applyFont="1" applyAlignment="1">
      <alignment horizontal="left"/>
    </xf>
    <xf numFmtId="37" fontId="115" fillId="0" borderId="0" xfId="0" applyFont="1" applyAlignment="1">
      <alignment horizontal="left"/>
    </xf>
    <xf numFmtId="37" fontId="93" fillId="0" borderId="0" xfId="0" applyFont="1" applyAlignment="1">
      <alignment horizontal="right"/>
    </xf>
    <xf numFmtId="166" fontId="93" fillId="0" borderId="0" xfId="23" applyNumberFormat="1" applyFont="1" applyFill="1" applyBorder="1" applyAlignment="1">
      <alignment horizontal="right"/>
    </xf>
    <xf numFmtId="39" fontId="93" fillId="0" borderId="0" xfId="0" applyNumberFormat="1" applyFont="1"/>
    <xf numFmtId="166" fontId="93" fillId="0" borderId="0" xfId="23" applyNumberFormat="1" applyFont="1"/>
    <xf numFmtId="37" fontId="93" fillId="0" borderId="0" xfId="0" applyNumberFormat="1" applyFont="1" applyBorder="1"/>
    <xf numFmtId="166" fontId="93" fillId="0" borderId="0" xfId="23" applyNumberFormat="1" applyFont="1" applyAlignment="1">
      <alignment horizontal="right"/>
    </xf>
    <xf numFmtId="166" fontId="93" fillId="0" borderId="0" xfId="23" applyNumberFormat="1" applyFont="1" applyFill="1"/>
    <xf numFmtId="37" fontId="93" fillId="0" borderId="0" xfId="0" applyNumberFormat="1" applyFont="1" applyFill="1" applyBorder="1" applyAlignment="1">
      <alignment horizontal="right"/>
    </xf>
    <xf numFmtId="37" fontId="93" fillId="0" borderId="0" xfId="0" applyFont="1" applyFill="1" applyAlignment="1">
      <alignment horizontal="right"/>
    </xf>
    <xf numFmtId="37" fontId="93" fillId="0" borderId="0" xfId="0" applyNumberFormat="1" applyFont="1" applyFill="1" applyBorder="1"/>
    <xf numFmtId="9" fontId="93" fillId="0" borderId="0" xfId="23" applyFont="1" applyFill="1" applyBorder="1"/>
    <xf numFmtId="1" fontId="93" fillId="0" borderId="0" xfId="0" applyNumberFormat="1" applyFont="1"/>
    <xf numFmtId="37" fontId="104" fillId="0" borderId="0" xfId="0" applyFont="1" applyAlignment="1">
      <alignment horizontal="left"/>
    </xf>
    <xf numFmtId="37" fontId="104" fillId="0" borderId="0" xfId="0" applyFont="1"/>
    <xf numFmtId="37" fontId="101" fillId="0" borderId="0" xfId="0" applyFont="1" applyBorder="1"/>
    <xf numFmtId="1" fontId="93" fillId="0" borderId="0" xfId="0" applyNumberFormat="1" applyFont="1" applyBorder="1"/>
    <xf numFmtId="39" fontId="93" fillId="0" borderId="0" xfId="0" applyNumberFormat="1" applyFont="1" applyBorder="1"/>
    <xf numFmtId="166" fontId="93" fillId="0" borderId="0" xfId="23" applyNumberFormat="1" applyFont="1" applyBorder="1"/>
    <xf numFmtId="9" fontId="93" fillId="0" borderId="0" xfId="23" applyNumberFormat="1" applyFont="1" applyBorder="1"/>
    <xf numFmtId="170" fontId="93" fillId="0" borderId="0" xfId="0" applyNumberFormat="1" applyFont="1" applyBorder="1"/>
    <xf numFmtId="9" fontId="93" fillId="0" borderId="0" xfId="23" applyFont="1" applyBorder="1"/>
    <xf numFmtId="37" fontId="95" fillId="0" borderId="0" xfId="0" applyFont="1" applyBorder="1" applyAlignment="1">
      <alignment horizontal="left"/>
    </xf>
    <xf numFmtId="37" fontId="93" fillId="0" borderId="0" xfId="0" applyFont="1" applyBorder="1" applyAlignment="1">
      <alignment horizontal="left"/>
    </xf>
    <xf numFmtId="37" fontId="94" fillId="0" borderId="0" xfId="0" applyFont="1" applyBorder="1"/>
    <xf numFmtId="37" fontId="119" fillId="50" borderId="18" xfId="0" applyFont="1" applyFill="1" applyBorder="1" applyAlignment="1">
      <alignment horizontal="right"/>
    </xf>
    <xf numFmtId="37" fontId="119" fillId="49" borderId="18" xfId="0" applyFont="1" applyFill="1" applyBorder="1" applyAlignment="1">
      <alignment horizontal="right"/>
    </xf>
    <xf numFmtId="37" fontId="105" fillId="51" borderId="18" xfId="0" applyFont="1" applyFill="1" applyBorder="1" applyAlignment="1">
      <alignment horizontal="right"/>
    </xf>
    <xf numFmtId="37" fontId="93" fillId="8" borderId="0" xfId="0" applyFont="1" applyFill="1" applyAlignment="1">
      <alignment horizontal="right"/>
    </xf>
    <xf numFmtId="37" fontId="93" fillId="8" borderId="0" xfId="0" applyFont="1" applyFill="1"/>
    <xf numFmtId="2" fontId="93" fillId="0" borderId="0" xfId="11" applyNumberFormat="1" applyFont="1" applyAlignment="1"/>
    <xf numFmtId="37" fontId="93" fillId="8" borderId="0" xfId="0" applyFont="1" applyFill="1" applyBorder="1" applyAlignment="1">
      <alignment horizontal="right"/>
    </xf>
    <xf numFmtId="37" fontId="93" fillId="8" borderId="0" xfId="0" applyFont="1" applyFill="1" applyBorder="1"/>
    <xf numFmtId="166" fontId="93" fillId="0" borderId="0" xfId="23" applyNumberFormat="1" applyFont="1" applyBorder="1" applyAlignment="1">
      <alignment horizontal="right"/>
    </xf>
    <xf numFmtId="167" fontId="93" fillId="0" borderId="0" xfId="0" applyNumberFormat="1" applyFont="1" applyBorder="1"/>
    <xf numFmtId="166" fontId="93" fillId="8" borderId="0" xfId="23" applyNumberFormat="1" applyFont="1" applyFill="1" applyBorder="1"/>
    <xf numFmtId="167" fontId="93" fillId="0" borderId="0" xfId="0" applyNumberFormat="1" applyFont="1" applyBorder="1" applyAlignment="1">
      <alignment horizontal="right"/>
    </xf>
    <xf numFmtId="37" fontId="119" fillId="56" borderId="18" xfId="0" applyFont="1" applyFill="1" applyBorder="1" applyAlignment="1">
      <alignment horizontal="right"/>
    </xf>
    <xf numFmtId="1" fontId="93" fillId="48" borderId="0" xfId="0" applyNumberFormat="1" applyFont="1" applyFill="1" applyBorder="1" applyAlignment="1">
      <alignment horizontal="left"/>
    </xf>
    <xf numFmtId="37" fontId="93" fillId="48" borderId="0" xfId="0" applyNumberFormat="1" applyFont="1" applyFill="1" applyBorder="1"/>
    <xf numFmtId="1" fontId="93" fillId="48" borderId="0" xfId="0" applyNumberFormat="1" applyFont="1" applyFill="1" applyBorder="1"/>
    <xf numFmtId="170" fontId="93" fillId="48" borderId="0" xfId="0" applyNumberFormat="1" applyFont="1" applyFill="1" applyBorder="1"/>
    <xf numFmtId="37" fontId="119" fillId="55" borderId="18" xfId="0" applyFont="1" applyFill="1" applyBorder="1" applyAlignment="1">
      <alignment horizontal="right"/>
    </xf>
    <xf numFmtId="166" fontId="93" fillId="0" borderId="0" xfId="23" applyNumberFormat="1" applyFont="1" applyFill="1" applyBorder="1"/>
    <xf numFmtId="37" fontId="93" fillId="47" borderId="0" xfId="0" applyFont="1" applyFill="1"/>
    <xf numFmtId="37" fontId="101" fillId="47" borderId="0" xfId="0" applyFont="1" applyFill="1"/>
    <xf numFmtId="37" fontId="101" fillId="0" borderId="0" xfId="0" applyFont="1" applyFill="1"/>
    <xf numFmtId="37" fontId="93" fillId="0" borderId="0" xfId="0" applyFont="1" applyBorder="1" applyAlignment="1">
      <alignment horizontal="center"/>
    </xf>
    <xf numFmtId="37" fontId="105" fillId="0" borderId="0" xfId="0" applyFont="1" applyBorder="1" applyAlignment="1">
      <alignment horizontal="right"/>
    </xf>
    <xf numFmtId="37" fontId="105" fillId="0" borderId="0" xfId="0" applyFont="1" applyAlignment="1">
      <alignment horizontal="right"/>
    </xf>
    <xf numFmtId="37" fontId="93" fillId="0" borderId="0" xfId="0" applyFont="1" applyBorder="1" applyAlignment="1">
      <alignment horizontal="right" wrapText="1"/>
    </xf>
    <xf numFmtId="37" fontId="105" fillId="0" borderId="0" xfId="0" applyFont="1" applyBorder="1" applyAlignment="1">
      <alignment horizontal="right" wrapText="1"/>
    </xf>
    <xf numFmtId="166" fontId="93" fillId="0" borderId="0" xfId="0" applyNumberFormat="1" applyFont="1" applyAlignment="1">
      <alignment horizontal="right"/>
    </xf>
    <xf numFmtId="166" fontId="105" fillId="0" borderId="0" xfId="0" applyNumberFormat="1" applyFont="1" applyAlignment="1">
      <alignment horizontal="right"/>
    </xf>
    <xf numFmtId="182" fontId="93" fillId="0" borderId="0" xfId="0" applyNumberFormat="1" applyFont="1" applyBorder="1" applyAlignment="1">
      <alignment horizontal="left"/>
    </xf>
    <xf numFmtId="166" fontId="93" fillId="0" borderId="0" xfId="0" applyNumberFormat="1" applyFont="1" applyFill="1" applyBorder="1"/>
    <xf numFmtId="166" fontId="105" fillId="0" borderId="0" xfId="0" applyNumberFormat="1" applyFont="1" applyFill="1" applyBorder="1"/>
    <xf numFmtId="9" fontId="105" fillId="0" borderId="0" xfId="0" applyNumberFormat="1" applyFont="1" applyFill="1" applyBorder="1"/>
    <xf numFmtId="0" fontId="93" fillId="0" borderId="0" xfId="0" applyNumberFormat="1" applyFont="1" applyBorder="1" applyAlignment="1">
      <alignment horizontal="left"/>
    </xf>
    <xf numFmtId="182" fontId="93" fillId="0" borderId="0" xfId="0" applyNumberFormat="1" applyFont="1" applyBorder="1"/>
    <xf numFmtId="166" fontId="95" fillId="0" borderId="0" xfId="0" applyNumberFormat="1" applyFont="1" applyFill="1" applyBorder="1"/>
    <xf numFmtId="166" fontId="122" fillId="0" borderId="0" xfId="0" applyNumberFormat="1" applyFont="1" applyFill="1" applyBorder="1"/>
    <xf numFmtId="37" fontId="115" fillId="0" borderId="0" xfId="0" applyFont="1" applyBorder="1" applyAlignment="1">
      <alignment horizontal="left"/>
    </xf>
    <xf numFmtId="166" fontId="93" fillId="0" borderId="0" xfId="0" applyNumberFormat="1" applyFont="1" applyBorder="1" applyAlignment="1">
      <alignment horizontal="right"/>
    </xf>
    <xf numFmtId="166" fontId="105" fillId="0" borderId="0" xfId="0" applyNumberFormat="1" applyFont="1" applyBorder="1" applyAlignment="1">
      <alignment horizontal="right"/>
    </xf>
    <xf numFmtId="9" fontId="105" fillId="0" borderId="0" xfId="0" applyNumberFormat="1" applyFont="1" applyBorder="1" applyAlignment="1">
      <alignment horizontal="right"/>
    </xf>
    <xf numFmtId="39" fontId="105" fillId="0" borderId="0" xfId="0" applyNumberFormat="1" applyFont="1" applyBorder="1"/>
    <xf numFmtId="166" fontId="105" fillId="0" borderId="0" xfId="23" applyNumberFormat="1" applyFont="1" applyFill="1" applyBorder="1"/>
    <xf numFmtId="9" fontId="105" fillId="0" borderId="0" xfId="23" applyNumberFormat="1" applyFont="1" applyFill="1" applyBorder="1"/>
    <xf numFmtId="182" fontId="93" fillId="0" borderId="0" xfId="0" quotePrefix="1" applyNumberFormat="1" applyFont="1" applyBorder="1" applyAlignment="1">
      <alignment horizontal="left"/>
    </xf>
    <xf numFmtId="37" fontId="104" fillId="0" borderId="0" xfId="0" applyFont="1" applyBorder="1" applyAlignment="1">
      <alignment horizontal="right"/>
    </xf>
    <xf numFmtId="37" fontId="104" fillId="0" borderId="0" xfId="0" applyFont="1" applyBorder="1" applyAlignment="1">
      <alignment horizontal="left"/>
    </xf>
    <xf numFmtId="37" fontId="104" fillId="0" borderId="0" xfId="0" applyFont="1" applyBorder="1"/>
    <xf numFmtId="37" fontId="105" fillId="47" borderId="0" xfId="0" applyFont="1" applyFill="1" applyBorder="1"/>
    <xf numFmtId="37" fontId="93" fillId="47" borderId="0" xfId="0" applyFont="1" applyFill="1" applyBorder="1"/>
    <xf numFmtId="37" fontId="93" fillId="48" borderId="0" xfId="0" applyFont="1" applyFill="1" applyBorder="1" applyAlignment="1">
      <alignment horizontal="right" wrapText="1"/>
    </xf>
    <xf numFmtId="37" fontId="105" fillId="48" borderId="0" xfId="0" applyFont="1" applyFill="1" applyBorder="1" applyAlignment="1">
      <alignment horizontal="right" wrapText="1"/>
    </xf>
    <xf numFmtId="37" fontId="91" fillId="47" borderId="0" xfId="0" applyFont="1" applyFill="1" applyBorder="1"/>
    <xf numFmtId="37" fontId="116" fillId="47" borderId="0" xfId="0" applyFont="1" applyFill="1" applyBorder="1"/>
    <xf numFmtId="37" fontId="116" fillId="47" borderId="0" xfId="0" applyFont="1" applyFill="1" applyBorder="1" applyAlignment="1">
      <alignment horizontal="right"/>
    </xf>
    <xf numFmtId="37" fontId="119" fillId="47" borderId="0" xfId="0" applyFont="1" applyFill="1" applyBorder="1" applyAlignment="1">
      <alignment horizontal="right"/>
    </xf>
    <xf numFmtId="182" fontId="93" fillId="48" borderId="0" xfId="0" applyNumberFormat="1" applyFont="1" applyFill="1" applyBorder="1"/>
    <xf numFmtId="166" fontId="93" fillId="48" borderId="0" xfId="0" applyNumberFormat="1" applyFont="1" applyFill="1" applyBorder="1"/>
    <xf numFmtId="166" fontId="105" fillId="48" borderId="0" xfId="0" applyNumberFormat="1" applyFont="1" applyFill="1" applyBorder="1"/>
    <xf numFmtId="9" fontId="104" fillId="0" borderId="0" xfId="23" applyFont="1" applyBorder="1" applyAlignment="1">
      <alignment horizontal="right" wrapText="1"/>
    </xf>
    <xf numFmtId="10" fontId="93" fillId="0" borderId="0" xfId="0" applyNumberFormat="1" applyFont="1"/>
    <xf numFmtId="3" fontId="93" fillId="0" borderId="0" xfId="0" applyNumberFormat="1" applyFont="1" applyBorder="1"/>
    <xf numFmtId="0" fontId="93" fillId="0" borderId="0" xfId="0" applyNumberFormat="1" applyFont="1" applyAlignment="1">
      <alignment horizontal="right"/>
    </xf>
    <xf numFmtId="37" fontId="93" fillId="0" borderId="0" xfId="0" applyFont="1" applyBorder="1" applyAlignment="1">
      <alignment horizontal="left" vertical="top" wrapText="1"/>
    </xf>
    <xf numFmtId="37" fontId="93" fillId="0" borderId="0" xfId="0" applyFont="1" applyBorder="1" applyAlignment="1">
      <alignment vertical="top" wrapText="1"/>
    </xf>
    <xf numFmtId="37" fontId="104" fillId="0" borderId="0" xfId="0" applyFont="1" applyBorder="1" applyAlignment="1">
      <alignment horizontal="right" wrapText="1"/>
    </xf>
    <xf numFmtId="9" fontId="93" fillId="0" borderId="0" xfId="0" applyNumberFormat="1" applyFont="1" applyBorder="1"/>
    <xf numFmtId="37" fontId="93" fillId="0" borderId="0" xfId="0" applyFont="1" applyBorder="1" applyAlignment="1">
      <alignment wrapText="1"/>
    </xf>
    <xf numFmtId="3" fontId="105" fillId="0" borderId="0" xfId="0" applyNumberFormat="1" applyFont="1" applyBorder="1"/>
    <xf numFmtId="10" fontId="104" fillId="0" borderId="0" xfId="23" applyNumberFormat="1" applyFont="1" applyBorder="1"/>
    <xf numFmtId="10" fontId="93" fillId="0" borderId="0" xfId="0" applyNumberFormat="1" applyFont="1" applyBorder="1"/>
    <xf numFmtId="10" fontId="93" fillId="0" borderId="0" xfId="0" applyNumberFormat="1" applyFont="1" applyBorder="1" applyAlignment="1">
      <alignment horizontal="right"/>
    </xf>
    <xf numFmtId="37" fontId="93" fillId="0" borderId="0" xfId="0" applyNumberFormat="1" applyFont="1" applyBorder="1" applyAlignment="1">
      <alignment horizontal="right"/>
    </xf>
    <xf numFmtId="10" fontId="93" fillId="0" borderId="0" xfId="23" applyNumberFormat="1" applyFont="1" applyBorder="1"/>
    <xf numFmtId="0" fontId="93" fillId="0" borderId="0" xfId="0" applyNumberFormat="1" applyFont="1" applyBorder="1" applyAlignment="1">
      <alignment horizontal="right"/>
    </xf>
    <xf numFmtId="37" fontId="104" fillId="48" borderId="0" xfId="0" applyFont="1" applyFill="1" applyBorder="1"/>
    <xf numFmtId="37" fontId="104" fillId="48" borderId="0" xfId="0" applyFont="1" applyFill="1" applyBorder="1" applyAlignment="1">
      <alignment horizontal="right" wrapText="1"/>
    </xf>
    <xf numFmtId="37" fontId="119" fillId="47" borderId="0" xfId="0" applyFont="1" applyFill="1" applyBorder="1"/>
    <xf numFmtId="37" fontId="103" fillId="47" borderId="0" xfId="0" applyFont="1" applyFill="1" applyBorder="1"/>
    <xf numFmtId="37" fontId="124" fillId="47" borderId="0" xfId="0" applyFont="1" applyFill="1" applyBorder="1"/>
    <xf numFmtId="37" fontId="91" fillId="47" borderId="0" xfId="0" applyFont="1" applyFill="1" applyBorder="1" applyAlignment="1">
      <alignment horizontal="left"/>
    </xf>
    <xf numFmtId="37" fontId="125" fillId="0" borderId="0" xfId="0" applyFont="1" applyBorder="1"/>
    <xf numFmtId="166" fontId="104" fillId="0" borderId="0" xfId="0" applyNumberFormat="1" applyFont="1" applyBorder="1"/>
    <xf numFmtId="166" fontId="93" fillId="0" borderId="0" xfId="0" applyNumberFormat="1" applyFont="1" applyBorder="1"/>
    <xf numFmtId="166" fontId="104" fillId="0" borderId="0" xfId="23" applyNumberFormat="1" applyFont="1" applyBorder="1"/>
    <xf numFmtId="4" fontId="93" fillId="0" borderId="0" xfId="0" applyNumberFormat="1" applyFont="1" applyBorder="1"/>
    <xf numFmtId="3" fontId="93" fillId="0" borderId="0" xfId="0" applyNumberFormat="1" applyFont="1" applyFill="1" applyBorder="1"/>
    <xf numFmtId="37" fontId="93" fillId="48" borderId="0" xfId="0" applyFont="1" applyFill="1" applyBorder="1" applyAlignment="1">
      <alignment horizontal="right" wrapText="1"/>
    </xf>
    <xf numFmtId="37" fontId="104" fillId="48" borderId="0" xfId="0" applyFont="1" applyFill="1" applyBorder="1" applyAlignment="1">
      <alignment horizontal="right"/>
    </xf>
    <xf numFmtId="37" fontId="96" fillId="47" borderId="0" xfId="0" applyFont="1" applyFill="1" applyBorder="1"/>
    <xf numFmtId="0" fontId="90" fillId="0" borderId="0" xfId="0" applyNumberFormat="1" applyFont="1"/>
    <xf numFmtId="0" fontId="93" fillId="0" borderId="0" xfId="0" applyNumberFormat="1" applyFont="1" applyFill="1" applyBorder="1" applyAlignment="1">
      <alignment horizontal="left"/>
    </xf>
    <xf numFmtId="0" fontId="93" fillId="0" borderId="0" xfId="0" applyNumberFormat="1" applyFont="1" applyFill="1" applyBorder="1"/>
    <xf numFmtId="0" fontId="89" fillId="0" borderId="0" xfId="0" applyNumberFormat="1" applyFont="1" applyBorder="1"/>
    <xf numFmtId="166" fontId="100" fillId="0" borderId="0" xfId="0" applyNumberFormat="1" applyFont="1" applyBorder="1"/>
    <xf numFmtId="0" fontId="90" fillId="0" borderId="0" xfId="0" applyNumberFormat="1" applyFont="1" applyBorder="1"/>
    <xf numFmtId="0" fontId="105" fillId="0" borderId="0" xfId="0" applyNumberFormat="1" applyFont="1" applyBorder="1"/>
    <xf numFmtId="0" fontId="93" fillId="8" borderId="0" xfId="0" applyNumberFormat="1" applyFont="1" applyFill="1" applyBorder="1"/>
    <xf numFmtId="0" fontId="115" fillId="0" borderId="0" xfId="0" applyNumberFormat="1" applyFont="1" applyBorder="1" applyAlignment="1">
      <alignment horizontal="left"/>
    </xf>
    <xf numFmtId="0" fontId="95" fillId="0" borderId="0" xfId="0" applyNumberFormat="1" applyFont="1" applyBorder="1" applyAlignment="1"/>
    <xf numFmtId="0" fontId="95" fillId="0" borderId="0" xfId="0" applyNumberFormat="1" applyFont="1" applyBorder="1" applyAlignment="1">
      <alignment horizontal="left"/>
    </xf>
    <xf numFmtId="0" fontId="95" fillId="0" borderId="0" xfId="0" applyNumberFormat="1" applyFont="1" applyBorder="1" applyAlignment="1">
      <alignment horizontal="left" wrapText="1"/>
    </xf>
    <xf numFmtId="0" fontId="93" fillId="47" borderId="0" xfId="0" applyNumberFormat="1" applyFont="1" applyFill="1" applyBorder="1"/>
    <xf numFmtId="0" fontId="96" fillId="47" borderId="0" xfId="0" applyNumberFormat="1" applyFont="1" applyFill="1" applyBorder="1"/>
    <xf numFmtId="0" fontId="118" fillId="0" borderId="0" xfId="0" applyNumberFormat="1" applyFont="1" applyBorder="1"/>
    <xf numFmtId="0" fontId="128" fillId="0" borderId="0" xfId="0" applyNumberFormat="1" applyFont="1" applyBorder="1"/>
    <xf numFmtId="37" fontId="110" fillId="0" borderId="0" xfId="0" applyFont="1" applyBorder="1"/>
    <xf numFmtId="37" fontId="110" fillId="0" borderId="0" xfId="0" applyFont="1" applyBorder="1" applyAlignment="1">
      <alignment horizontal="right"/>
    </xf>
    <xf numFmtId="0" fontId="89" fillId="0" borderId="0" xfId="0" applyNumberFormat="1" applyFont="1" applyBorder="1" applyAlignment="1">
      <alignment horizontal="right"/>
    </xf>
    <xf numFmtId="37" fontId="89" fillId="0" borderId="0" xfId="0" applyNumberFormat="1" applyFont="1" applyBorder="1" applyAlignment="1">
      <alignment horizontal="right"/>
    </xf>
    <xf numFmtId="37" fontId="95" fillId="0" borderId="0" xfId="0" applyFont="1" applyBorder="1" applyAlignment="1">
      <alignment horizontal="right"/>
    </xf>
    <xf numFmtId="37" fontId="96" fillId="50" borderId="37" xfId="0" applyFont="1" applyFill="1" applyBorder="1"/>
    <xf numFmtId="37" fontId="96" fillId="59" borderId="37" xfId="0" applyFont="1" applyFill="1" applyBorder="1"/>
    <xf numFmtId="37" fontId="89" fillId="48" borderId="0" xfId="0" applyFont="1" applyFill="1" applyBorder="1" applyAlignment="1">
      <alignment horizontal="right"/>
    </xf>
    <xf numFmtId="37" fontId="110" fillId="48" borderId="0" xfId="0" applyFont="1" applyFill="1" applyBorder="1"/>
    <xf numFmtId="0" fontId="90" fillId="0" borderId="0" xfId="0" applyNumberFormat="1" applyFont="1" applyAlignment="1">
      <alignment horizontal="left"/>
    </xf>
    <xf numFmtId="0" fontId="89" fillId="0" borderId="0" xfId="0" applyNumberFormat="1" applyFont="1"/>
    <xf numFmtId="0" fontId="90" fillId="0" borderId="0" xfId="0" applyNumberFormat="1" applyFont="1" applyAlignment="1">
      <alignment horizontal="right"/>
    </xf>
    <xf numFmtId="0" fontId="89" fillId="0" borderId="0" xfId="0" applyNumberFormat="1" applyFont="1" applyBorder="1" applyAlignment="1">
      <alignment horizontal="left"/>
    </xf>
    <xf numFmtId="0" fontId="90" fillId="0" borderId="0" xfId="0" applyNumberFormat="1" applyFont="1" applyBorder="1" applyAlignment="1">
      <alignment horizontal="right"/>
    </xf>
    <xf numFmtId="0" fontId="90" fillId="0" borderId="0" xfId="0" applyNumberFormat="1" applyFont="1" applyBorder="1" applyAlignment="1">
      <alignment horizontal="left"/>
    </xf>
    <xf numFmtId="9" fontId="89" fillId="0" borderId="0" xfId="0" applyNumberFormat="1" applyFont="1" applyBorder="1"/>
    <xf numFmtId="9" fontId="89" fillId="0" borderId="0" xfId="23" applyNumberFormat="1" applyFont="1" applyBorder="1"/>
    <xf numFmtId="9" fontId="90" fillId="0" borderId="0" xfId="23" applyNumberFormat="1" applyFont="1" applyBorder="1" applyAlignment="1">
      <alignment horizontal="right"/>
    </xf>
    <xf numFmtId="0" fontId="89" fillId="0" borderId="0" xfId="0" applyNumberFormat="1" applyFont="1" applyAlignment="1">
      <alignment horizontal="left"/>
    </xf>
    <xf numFmtId="37" fontId="129" fillId="0" borderId="0" xfId="6" applyNumberFormat="1" applyFont="1" applyAlignment="1" applyProtection="1"/>
    <xf numFmtId="9" fontId="89" fillId="0" borderId="0" xfId="23" applyFont="1"/>
    <xf numFmtId="9" fontId="89" fillId="0" borderId="0" xfId="23" applyFont="1" applyAlignment="1">
      <alignment wrapText="1"/>
    </xf>
    <xf numFmtId="9" fontId="90" fillId="0" borderId="0" xfId="0" applyNumberFormat="1" applyFont="1" applyBorder="1" applyAlignment="1">
      <alignment horizontal="right"/>
    </xf>
    <xf numFmtId="37" fontId="129" fillId="0" borderId="0" xfId="6" applyNumberFormat="1" applyFont="1" applyBorder="1" applyAlignment="1" applyProtection="1"/>
    <xf numFmtId="0" fontId="89" fillId="48" borderId="0" xfId="0" applyNumberFormat="1" applyFont="1" applyFill="1" applyBorder="1" applyAlignment="1">
      <alignment horizontal="left"/>
    </xf>
    <xf numFmtId="0" fontId="90" fillId="48" borderId="0" xfId="0" applyNumberFormat="1" applyFont="1" applyFill="1" applyBorder="1" applyAlignment="1"/>
    <xf numFmtId="0" fontId="90" fillId="48" borderId="0" xfId="0" applyNumberFormat="1" applyFont="1" applyFill="1" applyBorder="1"/>
    <xf numFmtId="0" fontId="90" fillId="48" borderId="0" xfId="0" applyNumberFormat="1" applyFont="1" applyFill="1" applyBorder="1" applyAlignment="1">
      <alignment horizontal="right"/>
    </xf>
    <xf numFmtId="0" fontId="90" fillId="48" borderId="0" xfId="0" applyNumberFormat="1" applyFont="1" applyFill="1" applyBorder="1" applyAlignment="1">
      <alignment horizontal="center"/>
    </xf>
    <xf numFmtId="0" fontId="92" fillId="48" borderId="0" xfId="0" applyNumberFormat="1" applyFont="1" applyFill="1" applyBorder="1"/>
    <xf numFmtId="0" fontId="130" fillId="47" borderId="0" xfId="0" applyNumberFormat="1" applyFont="1" applyFill="1" applyBorder="1" applyAlignment="1">
      <alignment horizontal="left"/>
    </xf>
    <xf numFmtId="0" fontId="131" fillId="47" borderId="0" xfId="0" applyNumberFormat="1" applyFont="1" applyFill="1" applyBorder="1"/>
    <xf numFmtId="0" fontId="132" fillId="47" borderId="0" xfId="0" applyNumberFormat="1" applyFont="1" applyFill="1" applyBorder="1"/>
    <xf numFmtId="0" fontId="132" fillId="47" borderId="0" xfId="0" applyNumberFormat="1" applyFont="1" applyFill="1" applyBorder="1" applyAlignment="1">
      <alignment horizontal="right"/>
    </xf>
    <xf numFmtId="0" fontId="90" fillId="48" borderId="0" xfId="0" applyNumberFormat="1" applyFont="1" applyFill="1" applyBorder="1" applyAlignment="1">
      <alignment horizontal="left"/>
    </xf>
    <xf numFmtId="0" fontId="89" fillId="48" borderId="0" xfId="0" applyNumberFormat="1" applyFont="1" applyFill="1" applyBorder="1" applyAlignment="1">
      <alignment horizontal="center"/>
    </xf>
    <xf numFmtId="1" fontId="89" fillId="0" borderId="0" xfId="0" applyNumberFormat="1" applyFont="1" applyBorder="1" applyAlignment="1"/>
    <xf numFmtId="9" fontId="90" fillId="0" borderId="0" xfId="0" applyNumberFormat="1" applyFont="1" applyBorder="1"/>
    <xf numFmtId="0" fontId="89" fillId="0" borderId="0" xfId="0" applyNumberFormat="1" applyFont="1" applyBorder="1" applyAlignment="1"/>
    <xf numFmtId="9" fontId="89" fillId="0" borderId="0" xfId="0" applyNumberFormat="1" applyFont="1" applyBorder="1" applyAlignment="1">
      <alignment horizontal="right"/>
    </xf>
    <xf numFmtId="9" fontId="89" fillId="0" borderId="0" xfId="23" applyFont="1" applyBorder="1" applyAlignment="1">
      <alignment horizontal="right"/>
    </xf>
    <xf numFmtId="166" fontId="89" fillId="0" borderId="0" xfId="23" applyNumberFormat="1" applyFont="1" applyBorder="1"/>
    <xf numFmtId="37" fontId="89" fillId="47" borderId="0" xfId="0" applyFont="1" applyFill="1" applyBorder="1"/>
    <xf numFmtId="49" fontId="93" fillId="0" borderId="0" xfId="0" applyNumberFormat="1" applyFont="1" applyBorder="1" applyAlignment="1">
      <alignment horizontal="right"/>
    </xf>
    <xf numFmtId="49" fontId="105" fillId="0" borderId="0" xfId="0" applyNumberFormat="1" applyFont="1" applyBorder="1" applyAlignment="1">
      <alignment horizontal="right"/>
    </xf>
    <xf numFmtId="37" fontId="105" fillId="0" borderId="0" xfId="0" applyNumberFormat="1" applyFont="1" applyBorder="1" applyAlignment="1">
      <alignment horizontal="right"/>
    </xf>
    <xf numFmtId="37" fontId="105" fillId="0" borderId="0" xfId="0" applyNumberFormat="1" applyFont="1" applyFill="1" applyBorder="1" applyAlignment="1">
      <alignment horizontal="right"/>
    </xf>
    <xf numFmtId="37" fontId="105" fillId="0" borderId="0" xfId="0" applyNumberFormat="1" applyFont="1" applyBorder="1"/>
    <xf numFmtId="1" fontId="100" fillId="0" borderId="0" xfId="0" applyNumberFormat="1" applyFont="1" applyFill="1" applyBorder="1"/>
    <xf numFmtId="166" fontId="134" fillId="0" borderId="0" xfId="23" applyNumberFormat="1" applyFont="1" applyBorder="1"/>
    <xf numFmtId="49" fontId="93" fillId="48" borderId="0" xfId="0" applyNumberFormat="1" applyFont="1" applyFill="1" applyBorder="1" applyAlignment="1">
      <alignment horizontal="right"/>
    </xf>
    <xf numFmtId="37" fontId="89" fillId="0" borderId="0" xfId="8" applyFont="1" applyBorder="1"/>
    <xf numFmtId="37" fontId="89" fillId="0" borderId="0" xfId="8" applyFont="1" applyBorder="1" applyAlignment="1">
      <alignment horizontal="right"/>
    </xf>
    <xf numFmtId="49" fontId="89" fillId="0" borderId="0" xfId="8" applyNumberFormat="1" applyFont="1" applyBorder="1" applyAlignment="1">
      <alignment horizontal="right"/>
    </xf>
    <xf numFmtId="37" fontId="135" fillId="0" borderId="0" xfId="8" applyFont="1" applyFill="1" applyBorder="1"/>
    <xf numFmtId="37" fontId="135" fillId="0" borderId="0" xfId="8" applyFont="1" applyBorder="1"/>
    <xf numFmtId="1" fontId="89" fillId="0" borderId="0" xfId="8" applyNumberFormat="1" applyFont="1" applyBorder="1"/>
    <xf numFmtId="1" fontId="89" fillId="0" borderId="0" xfId="8" applyNumberFormat="1" applyFont="1" applyBorder="1" applyAlignment="1">
      <alignment horizontal="right"/>
    </xf>
    <xf numFmtId="37" fontId="89" fillId="0" borderId="0" xfId="8" applyFont="1" applyFill="1" applyBorder="1"/>
    <xf numFmtId="37" fontId="90" fillId="0" borderId="0" xfId="8" applyFont="1" applyBorder="1"/>
    <xf numFmtId="0" fontId="89" fillId="0" borderId="0" xfId="8" applyNumberFormat="1" applyFont="1" applyBorder="1" applyAlignment="1">
      <alignment horizontal="right"/>
    </xf>
    <xf numFmtId="37" fontId="90" fillId="0" borderId="0" xfId="8" applyFont="1" applyFill="1" applyBorder="1"/>
    <xf numFmtId="0" fontId="89" fillId="0" borderId="0" xfId="8" applyNumberFormat="1" applyFont="1" applyBorder="1"/>
    <xf numFmtId="167" fontId="89" fillId="0" borderId="0" xfId="8" applyNumberFormat="1" applyFont="1" applyBorder="1"/>
    <xf numFmtId="9" fontId="89" fillId="0" borderId="0" xfId="23" applyFont="1" applyBorder="1"/>
    <xf numFmtId="167" fontId="89" fillId="0" borderId="0" xfId="8" applyNumberFormat="1" applyFont="1" applyBorder="1" applyAlignment="1">
      <alignment horizontal="right"/>
    </xf>
    <xf numFmtId="37" fontId="90" fillId="0" borderId="0" xfId="8" applyFont="1" applyBorder="1" applyAlignment="1">
      <alignment horizontal="right"/>
    </xf>
    <xf numFmtId="1" fontId="90" fillId="0" borderId="0" xfId="8" applyNumberFormat="1" applyFont="1" applyBorder="1"/>
    <xf numFmtId="1" fontId="89" fillId="0" borderId="0" xfId="8" applyNumberFormat="1" applyFont="1" applyFill="1" applyBorder="1"/>
    <xf numFmtId="37" fontId="89" fillId="9" borderId="0" xfId="8" applyFont="1" applyFill="1" applyBorder="1"/>
    <xf numFmtId="37" fontId="89" fillId="48" borderId="0" xfId="8" applyFont="1" applyFill="1" applyBorder="1"/>
    <xf numFmtId="37" fontId="89" fillId="48" borderId="0" xfId="8" applyFont="1" applyFill="1" applyBorder="1" applyAlignment="1">
      <alignment horizontal="right"/>
    </xf>
    <xf numFmtId="49" fontId="89" fillId="48" borderId="0" xfId="8" applyNumberFormat="1" applyFont="1" applyFill="1" applyBorder="1" applyAlignment="1">
      <alignment horizontal="right"/>
    </xf>
    <xf numFmtId="37" fontId="109" fillId="47" borderId="0" xfId="8" applyFont="1" applyFill="1" applyBorder="1"/>
    <xf numFmtId="37" fontId="109" fillId="47" borderId="0" xfId="8" applyFont="1" applyFill="1" applyBorder="1" applyAlignment="1">
      <alignment horizontal="right"/>
    </xf>
    <xf numFmtId="0" fontId="89" fillId="48" borderId="0" xfId="8" applyNumberFormat="1" applyFont="1" applyFill="1" applyBorder="1" applyAlignment="1">
      <alignment horizontal="right"/>
    </xf>
    <xf numFmtId="37" fontId="90" fillId="48" borderId="0" xfId="8" applyFont="1" applyFill="1" applyBorder="1"/>
    <xf numFmtId="37" fontId="90" fillId="48" borderId="0" xfId="8" applyFont="1" applyFill="1" applyBorder="1" applyAlignment="1">
      <alignment horizontal="right"/>
    </xf>
    <xf numFmtId="37" fontId="135" fillId="48" borderId="0" xfId="8" applyFont="1" applyFill="1" applyBorder="1"/>
    <xf numFmtId="1" fontId="89" fillId="48" borderId="0" xfId="8" applyNumberFormat="1" applyFont="1" applyFill="1" applyBorder="1"/>
    <xf numFmtId="37" fontId="93" fillId="0" borderId="0" xfId="0" applyFont="1" applyBorder="1" applyAlignment="1"/>
    <xf numFmtId="37" fontId="93" fillId="0" borderId="0" xfId="0" applyFont="1" applyFill="1" applyBorder="1" applyAlignment="1"/>
    <xf numFmtId="174" fontId="93" fillId="0" borderId="0" xfId="0" applyNumberFormat="1" applyFont="1" applyBorder="1" applyAlignment="1"/>
    <xf numFmtId="166" fontId="93" fillId="0" borderId="0" xfId="0" applyNumberFormat="1" applyFont="1" applyBorder="1" applyAlignment="1"/>
    <xf numFmtId="37" fontId="93" fillId="0" borderId="0" xfId="0" applyFont="1" applyAlignment="1"/>
    <xf numFmtId="172" fontId="93" fillId="0" borderId="0" xfId="0" applyNumberFormat="1" applyFont="1" applyBorder="1" applyAlignment="1"/>
    <xf numFmtId="172" fontId="93" fillId="0" borderId="0" xfId="0" applyNumberFormat="1" applyFont="1" applyBorder="1" applyAlignment="1">
      <alignment horizontal="right"/>
    </xf>
    <xf numFmtId="37" fontId="93" fillId="8" borderId="0" xfId="0" applyFont="1" applyFill="1" applyBorder="1" applyAlignment="1"/>
    <xf numFmtId="174" fontId="93" fillId="8" borderId="0" xfId="0" applyNumberFormat="1" applyFont="1" applyFill="1" applyBorder="1" applyAlignment="1"/>
    <xf numFmtId="172" fontId="93" fillId="8" borderId="0" xfId="0" applyNumberFormat="1" applyFont="1" applyFill="1" applyBorder="1" applyAlignment="1"/>
    <xf numFmtId="166" fontId="93" fillId="8" borderId="0" xfId="0" applyNumberFormat="1" applyFont="1" applyFill="1" applyBorder="1" applyAlignment="1"/>
    <xf numFmtId="174" fontId="93" fillId="8" borderId="0" xfId="0" applyNumberFormat="1" applyFont="1" applyFill="1" applyBorder="1" applyAlignment="1">
      <alignment horizontal="right"/>
    </xf>
    <xf numFmtId="184" fontId="93" fillId="8" borderId="0" xfId="0" applyNumberFormat="1" applyFont="1" applyFill="1" applyBorder="1" applyAlignment="1">
      <alignment horizontal="right"/>
    </xf>
    <xf numFmtId="172" fontId="93" fillId="8" borderId="0" xfId="0" applyNumberFormat="1" applyFont="1" applyFill="1" applyBorder="1" applyAlignment="1">
      <alignment horizontal="right"/>
    </xf>
    <xf numFmtId="37" fontId="93" fillId="48" borderId="0" xfId="0" applyFont="1" applyFill="1" applyBorder="1" applyAlignment="1">
      <alignment horizontal="center"/>
    </xf>
    <xf numFmtId="37" fontId="93" fillId="48" borderId="0" xfId="0" applyFont="1" applyFill="1" applyBorder="1" applyAlignment="1">
      <alignment horizontal="center" wrapText="1"/>
    </xf>
    <xf numFmtId="37" fontId="89" fillId="0" borderId="0" xfId="0" applyFont="1" applyBorder="1" applyAlignment="1"/>
    <xf numFmtId="172" fontId="89" fillId="0" borderId="0" xfId="0" applyNumberFormat="1" applyFont="1" applyBorder="1" applyAlignment="1">
      <alignment horizontal="right"/>
    </xf>
    <xf numFmtId="172" fontId="89" fillId="0" borderId="0" xfId="0" applyNumberFormat="1" applyFont="1" applyBorder="1"/>
    <xf numFmtId="166" fontId="89" fillId="0" borderId="0" xfId="0" applyNumberFormat="1" applyFont="1" applyBorder="1"/>
    <xf numFmtId="37" fontId="89" fillId="0" borderId="0" xfId="0" applyFont="1" applyFill="1" applyBorder="1" applyAlignment="1"/>
    <xf numFmtId="172" fontId="89" fillId="0" borderId="0" xfId="0" applyNumberFormat="1" applyFont="1" applyFill="1" applyBorder="1" applyAlignment="1">
      <alignment horizontal="right"/>
    </xf>
    <xf numFmtId="166" fontId="89" fillId="0" borderId="0" xfId="0" applyNumberFormat="1" applyFont="1" applyFill="1" applyBorder="1"/>
    <xf numFmtId="172" fontId="89" fillId="0" borderId="0" xfId="0" applyNumberFormat="1" applyFont="1" applyFill="1" applyBorder="1" applyAlignment="1"/>
    <xf numFmtId="172" fontId="89" fillId="0" borderId="0" xfId="0" applyNumberFormat="1" applyFont="1" applyFill="1" applyBorder="1"/>
    <xf numFmtId="166" fontId="89" fillId="0" borderId="0" xfId="0" applyNumberFormat="1" applyFont="1" applyFill="1" applyBorder="1" applyAlignment="1"/>
    <xf numFmtId="37" fontId="89" fillId="0" borderId="0" xfId="0" applyFont="1" applyFill="1" applyBorder="1" applyAlignment="1">
      <alignment vertical="top"/>
    </xf>
    <xf numFmtId="166" fontId="89" fillId="0" borderId="0" xfId="0" applyNumberFormat="1" applyFont="1" applyFill="1" applyBorder="1" applyAlignment="1">
      <alignment vertical="top"/>
    </xf>
    <xf numFmtId="172" fontId="89" fillId="0" borderId="0" xfId="0" applyNumberFormat="1" applyFont="1" applyBorder="1" applyAlignment="1">
      <alignment vertical="top"/>
    </xf>
    <xf numFmtId="166" fontId="89" fillId="0" borderId="0" xfId="0" applyNumberFormat="1" applyFont="1" applyBorder="1" applyAlignment="1">
      <alignment vertical="top"/>
    </xf>
    <xf numFmtId="166" fontId="89" fillId="8" borderId="0" xfId="0" applyNumberFormat="1" applyFont="1" applyFill="1" applyBorder="1"/>
    <xf numFmtId="49" fontId="89" fillId="0" borderId="0" xfId="0" applyNumberFormat="1" applyFont="1" applyBorder="1" applyAlignment="1">
      <alignment horizontal="right"/>
    </xf>
    <xf numFmtId="166" fontId="89" fillId="0" borderId="0" xfId="0" applyNumberFormat="1" applyFont="1" applyFill="1" applyBorder="1" applyAlignment="1">
      <alignment horizontal="right"/>
    </xf>
    <xf numFmtId="166" fontId="89" fillId="0" borderId="0" xfId="0" applyNumberFormat="1" applyFont="1" applyBorder="1" applyAlignment="1">
      <alignment horizontal="right"/>
    </xf>
    <xf numFmtId="172" fontId="100" fillId="0" borderId="0" xfId="0" applyNumberFormat="1" applyFont="1" applyFill="1" applyBorder="1"/>
    <xf numFmtId="166" fontId="100" fillId="0" borderId="0" xfId="0" applyNumberFormat="1" applyFont="1" applyFill="1" applyBorder="1"/>
    <xf numFmtId="37" fontId="89" fillId="0" borderId="0" xfId="0" applyNumberFormat="1" applyFont="1" applyBorder="1"/>
    <xf numFmtId="37" fontId="89" fillId="0" borderId="0" xfId="0" applyNumberFormat="1" applyFont="1" applyBorder="1" applyAlignment="1"/>
    <xf numFmtId="37" fontId="89" fillId="0" borderId="0" xfId="0" applyNumberFormat="1" applyFont="1" applyBorder="1" applyAlignment="1">
      <alignment vertical="top"/>
    </xf>
    <xf numFmtId="37" fontId="89" fillId="0" borderId="0" xfId="0" applyNumberFormat="1" applyFont="1" applyFill="1" applyBorder="1"/>
    <xf numFmtId="0" fontId="89" fillId="8" borderId="0" xfId="19" applyNumberFormat="1" applyFont="1" applyFill="1" applyBorder="1" applyAlignment="1" applyProtection="1"/>
    <xf numFmtId="172" fontId="89" fillId="8" borderId="0" xfId="0" applyNumberFormat="1" applyFont="1" applyFill="1" applyBorder="1" applyAlignment="1">
      <alignment horizontal="right"/>
    </xf>
    <xf numFmtId="172" fontId="89" fillId="8" borderId="0" xfId="19" applyNumberFormat="1" applyFont="1" applyFill="1" applyBorder="1" applyProtection="1"/>
    <xf numFmtId="172" fontId="89" fillId="8" borderId="0" xfId="7" applyNumberFormat="1" applyFont="1" applyFill="1" applyBorder="1"/>
    <xf numFmtId="172" fontId="89" fillId="0" borderId="0" xfId="19" applyNumberFormat="1" applyFont="1" applyFill="1" applyBorder="1" applyProtection="1"/>
    <xf numFmtId="172" fontId="89" fillId="0" borderId="0" xfId="19" applyNumberFormat="1" applyFont="1" applyFill="1" applyBorder="1" applyAlignment="1" applyProtection="1">
      <alignment horizontal="right"/>
    </xf>
    <xf numFmtId="0" fontId="89" fillId="8" borderId="0" xfId="0" applyNumberFormat="1" applyFont="1" applyFill="1" applyBorder="1" applyAlignment="1"/>
    <xf numFmtId="0" fontId="89" fillId="8" borderId="0" xfId="0" applyNumberFormat="1" applyFont="1" applyFill="1" applyBorder="1"/>
    <xf numFmtId="172" fontId="89" fillId="8" borderId="0" xfId="19" applyNumberFormat="1" applyFont="1" applyFill="1" applyBorder="1" applyAlignment="1" applyProtection="1">
      <alignment horizontal="right"/>
    </xf>
    <xf numFmtId="172" fontId="89" fillId="8" borderId="0" xfId="7" applyNumberFormat="1" applyFont="1" applyFill="1" applyBorder="1" applyAlignment="1">
      <alignment horizontal="right"/>
    </xf>
    <xf numFmtId="166" fontId="89" fillId="0" borderId="0" xfId="19" applyNumberFormat="1" applyFont="1" applyFill="1" applyBorder="1" applyAlignment="1" applyProtection="1">
      <alignment horizontal="right"/>
    </xf>
    <xf numFmtId="0" fontId="89" fillId="0" borderId="0" xfId="19" applyNumberFormat="1" applyFont="1" applyFill="1" applyBorder="1" applyAlignment="1" applyProtection="1"/>
    <xf numFmtId="166" fontId="89" fillId="0" borderId="0" xfId="23" applyNumberFormat="1" applyFont="1" applyFill="1" applyBorder="1"/>
    <xf numFmtId="172" fontId="89" fillId="8" borderId="0" xfId="0" applyNumberFormat="1" applyFont="1" applyFill="1" applyBorder="1" applyProtection="1"/>
    <xf numFmtId="166" fontId="89" fillId="8" borderId="0" xfId="0" applyNumberFormat="1" applyFont="1" applyFill="1" applyBorder="1" applyProtection="1"/>
    <xf numFmtId="37" fontId="89" fillId="8" borderId="0" xfId="0" applyFont="1" applyFill="1" applyBorder="1" applyAlignment="1"/>
    <xf numFmtId="37" fontId="89" fillId="8" borderId="0" xfId="0" applyFont="1" applyFill="1" applyBorder="1"/>
    <xf numFmtId="172" fontId="89" fillId="0" borderId="0" xfId="0" applyNumberFormat="1" applyFont="1" applyBorder="1" applyProtection="1"/>
    <xf numFmtId="166" fontId="89" fillId="0" borderId="0" xfId="0" applyNumberFormat="1" applyFont="1" applyBorder="1" applyProtection="1"/>
    <xf numFmtId="172" fontId="89" fillId="8" borderId="0" xfId="0" applyNumberFormat="1" applyFont="1" applyFill="1" applyBorder="1" applyAlignment="1" applyProtection="1"/>
    <xf numFmtId="172" fontId="89" fillId="2" borderId="0" xfId="23" applyNumberFormat="1" applyFont="1" applyFill="1" applyBorder="1"/>
    <xf numFmtId="166" fontId="89" fillId="2" borderId="0" xfId="23" applyNumberFormat="1" applyFont="1" applyFill="1" applyBorder="1"/>
    <xf numFmtId="166" fontId="128" fillId="8" borderId="0" xfId="0" applyNumberFormat="1" applyFont="1" applyFill="1" applyBorder="1" applyProtection="1"/>
    <xf numFmtId="14" fontId="89" fillId="0" borderId="0" xfId="0" applyNumberFormat="1" applyFont="1" applyBorder="1" applyAlignment="1">
      <alignment horizontal="left"/>
    </xf>
    <xf numFmtId="37" fontId="89" fillId="0" borderId="0" xfId="0" applyNumberFormat="1" applyFont="1" applyBorder="1" applyAlignment="1">
      <alignment horizontal="left"/>
    </xf>
    <xf numFmtId="166" fontId="89" fillId="0" borderId="0" xfId="23" applyNumberFormat="1" applyFont="1" applyBorder="1" applyAlignment="1">
      <alignment horizontal="right"/>
    </xf>
    <xf numFmtId="172" fontId="95" fillId="0" borderId="0" xfId="0" applyNumberFormat="1" applyFont="1" applyBorder="1"/>
    <xf numFmtId="172" fontId="95" fillId="0" borderId="0" xfId="0" applyNumberFormat="1" applyFont="1" applyFill="1" applyBorder="1"/>
    <xf numFmtId="37" fontId="95" fillId="0" borderId="0" xfId="0" applyNumberFormat="1" applyFont="1" applyBorder="1"/>
    <xf numFmtId="37" fontId="137" fillId="0" borderId="0" xfId="0" applyFont="1" applyBorder="1" applyAlignment="1"/>
    <xf numFmtId="37" fontId="138" fillId="0" borderId="0" xfId="0" applyFont="1" applyBorder="1" applyAlignment="1"/>
    <xf numFmtId="37" fontId="90" fillId="0" borderId="0" xfId="0" applyFont="1" applyBorder="1" applyAlignment="1"/>
    <xf numFmtId="14" fontId="89" fillId="0" borderId="0" xfId="0" applyNumberFormat="1" applyFont="1" applyFill="1" applyBorder="1" applyAlignment="1">
      <alignment horizontal="left"/>
    </xf>
    <xf numFmtId="166" fontId="89" fillId="0" borderId="0" xfId="23" applyNumberFormat="1" applyFont="1" applyBorder="1" applyAlignment="1"/>
    <xf numFmtId="175" fontId="89" fillId="0" borderId="0" xfId="0" applyNumberFormat="1" applyFont="1" applyBorder="1" applyAlignment="1">
      <alignment horizontal="left"/>
    </xf>
    <xf numFmtId="37" fontId="89" fillId="0" borderId="0" xfId="0" applyFont="1" applyBorder="1" applyAlignment="1">
      <alignment vertical="top"/>
    </xf>
    <xf numFmtId="37" fontId="89" fillId="0" borderId="0" xfId="0" applyNumberFormat="1" applyFont="1" applyFill="1" applyBorder="1" applyAlignment="1"/>
    <xf numFmtId="172" fontId="89" fillId="0" borderId="0" xfId="23" applyNumberFormat="1" applyFont="1" applyFill="1" applyBorder="1"/>
    <xf numFmtId="172" fontId="89" fillId="0" borderId="0" xfId="23" applyNumberFormat="1" applyFont="1" applyBorder="1"/>
    <xf numFmtId="37" fontId="89" fillId="0" borderId="0" xfId="0" applyNumberFormat="1" applyFont="1" applyFill="1" applyBorder="1" applyAlignment="1">
      <alignment wrapText="1"/>
    </xf>
    <xf numFmtId="172" fontId="100" fillId="0" borderId="0" xfId="0" applyNumberFormat="1" applyFont="1" applyBorder="1" applyAlignment="1">
      <alignment horizontal="right"/>
    </xf>
    <xf numFmtId="175" fontId="89" fillId="0" borderId="0" xfId="0" applyNumberFormat="1" applyFont="1" applyFill="1" applyBorder="1" applyAlignment="1">
      <alignment horizontal="left"/>
    </xf>
    <xf numFmtId="0" fontId="89" fillId="8" borderId="0" xfId="7" applyFont="1" applyFill="1" applyBorder="1" applyAlignment="1"/>
    <xf numFmtId="0" fontId="89" fillId="0" borderId="0" xfId="0" applyNumberFormat="1" applyFont="1" applyFill="1" applyBorder="1" applyAlignment="1"/>
    <xf numFmtId="0" fontId="89" fillId="0" borderId="0" xfId="0" applyNumberFormat="1" applyFont="1" applyFill="1" applyBorder="1"/>
    <xf numFmtId="172" fontId="89" fillId="0" borderId="0" xfId="7" applyNumberFormat="1" applyFont="1" applyFill="1" applyBorder="1" applyAlignment="1">
      <alignment horizontal="right"/>
    </xf>
    <xf numFmtId="14" fontId="89" fillId="0" borderId="0" xfId="7" applyNumberFormat="1" applyFont="1" applyFill="1" applyBorder="1" applyAlignment="1"/>
    <xf numFmtId="37" fontId="89" fillId="8" borderId="0" xfId="0" applyNumberFormat="1" applyFont="1" applyFill="1" applyBorder="1" applyAlignment="1"/>
    <xf numFmtId="37" fontId="89" fillId="8" borderId="0" xfId="0" applyNumberFormat="1" applyFont="1" applyFill="1" applyBorder="1"/>
    <xf numFmtId="172" fontId="89" fillId="8" borderId="0" xfId="23" applyNumberFormat="1" applyFont="1" applyFill="1" applyBorder="1"/>
    <xf numFmtId="166" fontId="89" fillId="8" borderId="0" xfId="23" applyNumberFormat="1" applyFont="1" applyFill="1" applyBorder="1"/>
    <xf numFmtId="37" fontId="89" fillId="10" borderId="0" xfId="0" applyFont="1" applyFill="1" applyBorder="1" applyAlignment="1"/>
    <xf numFmtId="14" fontId="90" fillId="0" borderId="0" xfId="0" applyNumberFormat="1" applyFont="1" applyFill="1" applyBorder="1" applyAlignment="1">
      <alignment horizontal="left"/>
    </xf>
    <xf numFmtId="37" fontId="95" fillId="0" borderId="0" xfId="0" applyFont="1" applyBorder="1" applyAlignment="1"/>
    <xf numFmtId="37" fontId="95" fillId="0" borderId="0" xfId="0" applyNumberFormat="1" applyFont="1" applyBorder="1" applyAlignment="1">
      <alignment horizontal="left"/>
    </xf>
    <xf numFmtId="172" fontId="95" fillId="0" borderId="0" xfId="0" applyNumberFormat="1" applyFont="1" applyBorder="1" applyAlignment="1">
      <alignment horizontal="left"/>
    </xf>
    <xf numFmtId="169" fontId="95" fillId="0" borderId="0" xfId="0" applyNumberFormat="1" applyFont="1" applyBorder="1"/>
    <xf numFmtId="37" fontId="95" fillId="0" borderId="0" xfId="0" applyNumberFormat="1" applyFont="1" applyBorder="1" applyAlignment="1">
      <alignment horizontal="left" wrapText="1"/>
    </xf>
    <xf numFmtId="172" fontId="95" fillId="0" borderId="0" xfId="0" applyNumberFormat="1" applyFont="1" applyBorder="1" applyAlignment="1">
      <alignment horizontal="left" wrapText="1"/>
    </xf>
    <xf numFmtId="37" fontId="95" fillId="0" borderId="0" xfId="0" applyNumberFormat="1" applyFont="1" applyBorder="1" applyAlignment="1"/>
    <xf numFmtId="166" fontId="95" fillId="0" borderId="0" xfId="23" applyNumberFormat="1" applyFont="1" applyBorder="1"/>
    <xf numFmtId="172" fontId="89" fillId="0" borderId="0" xfId="0" applyNumberFormat="1" applyFont="1" applyBorder="1" applyAlignment="1"/>
    <xf numFmtId="37" fontId="116" fillId="50" borderId="18" xfId="0" applyFont="1" applyFill="1" applyBorder="1" applyAlignment="1">
      <alignment horizontal="right"/>
    </xf>
    <xf numFmtId="37" fontId="116" fillId="49" borderId="18" xfId="0" applyFont="1" applyFill="1" applyBorder="1" applyAlignment="1">
      <alignment horizontal="right"/>
    </xf>
    <xf numFmtId="37" fontId="93" fillId="51" borderId="18" xfId="0" applyFont="1" applyFill="1" applyBorder="1" applyAlignment="1">
      <alignment horizontal="right"/>
    </xf>
    <xf numFmtId="37" fontId="93" fillId="48" borderId="18" xfId="0" applyFont="1" applyFill="1" applyBorder="1" applyAlignment="1">
      <alignment horizontal="right"/>
    </xf>
    <xf numFmtId="37" fontId="116" fillId="55" borderId="18" xfId="0" applyFont="1" applyFill="1" applyBorder="1" applyAlignment="1">
      <alignment horizontal="right"/>
    </xf>
    <xf numFmtId="37" fontId="105" fillId="48" borderId="0" xfId="0" applyFont="1" applyFill="1" applyBorder="1" applyAlignment="1">
      <alignment horizontal="right"/>
    </xf>
    <xf numFmtId="37" fontId="89" fillId="48" borderId="0" xfId="0" applyFont="1" applyFill="1" applyBorder="1" applyAlignment="1"/>
    <xf numFmtId="172" fontId="89" fillId="48" borderId="0" xfId="0" applyNumberFormat="1" applyFont="1" applyFill="1" applyBorder="1"/>
    <xf numFmtId="172" fontId="89" fillId="48" borderId="0" xfId="0" applyNumberFormat="1" applyFont="1" applyFill="1" applyBorder="1" applyAlignment="1">
      <alignment wrapText="1"/>
    </xf>
    <xf numFmtId="37" fontId="91" fillId="47" borderId="0" xfId="0" applyFont="1" applyFill="1" applyBorder="1" applyAlignment="1"/>
    <xf numFmtId="37" fontId="92" fillId="47" borderId="0" xfId="0" applyFont="1" applyFill="1" applyBorder="1" applyAlignment="1"/>
    <xf numFmtId="172" fontId="92" fillId="47" borderId="0" xfId="0" applyNumberFormat="1" applyFont="1" applyFill="1" applyBorder="1"/>
    <xf numFmtId="14" fontId="89" fillId="48" borderId="0" xfId="0" applyNumberFormat="1" applyFont="1" applyFill="1" applyBorder="1" applyAlignment="1">
      <alignment horizontal="left"/>
    </xf>
    <xf numFmtId="37" fontId="89" fillId="48" borderId="0" xfId="0" applyNumberFormat="1" applyFont="1" applyFill="1" applyBorder="1" applyAlignment="1">
      <alignment horizontal="left"/>
    </xf>
    <xf numFmtId="37" fontId="89" fillId="48" borderId="0" xfId="0" applyNumberFormat="1" applyFont="1" applyFill="1" applyBorder="1" applyAlignment="1"/>
    <xf numFmtId="37" fontId="89" fillId="48" borderId="0" xfId="0" applyNumberFormat="1" applyFont="1" applyFill="1" applyBorder="1"/>
    <xf numFmtId="172" fontId="89" fillId="48" borderId="0" xfId="0" applyNumberFormat="1" applyFont="1" applyFill="1" applyBorder="1" applyAlignment="1">
      <alignment horizontal="right"/>
    </xf>
    <xf numFmtId="166" fontId="89" fillId="48" borderId="0" xfId="23" applyNumberFormat="1" applyFont="1" applyFill="1" applyBorder="1"/>
    <xf numFmtId="37" fontId="100" fillId="0" borderId="0" xfId="0" applyFont="1" applyBorder="1"/>
    <xf numFmtId="3" fontId="93" fillId="0" borderId="0" xfId="0" applyNumberFormat="1" applyFont="1" applyFill="1" applyAlignment="1">
      <alignment horizontal="right"/>
    </xf>
    <xf numFmtId="3" fontId="93" fillId="0" borderId="0" xfId="0" applyNumberFormat="1" applyFont="1" applyFill="1" applyBorder="1" applyAlignment="1">
      <alignment horizontal="right"/>
    </xf>
    <xf numFmtId="3" fontId="93" fillId="0" borderId="0" xfId="2" applyNumberFormat="1" applyFont="1" applyFill="1" applyBorder="1"/>
    <xf numFmtId="3" fontId="93" fillId="0" borderId="0" xfId="2" applyNumberFormat="1" applyFont="1" applyBorder="1"/>
    <xf numFmtId="3" fontId="93" fillId="0" borderId="0" xfId="2" applyNumberFormat="1" applyFont="1" applyBorder="1" applyAlignment="1">
      <alignment horizontal="right"/>
    </xf>
    <xf numFmtId="3" fontId="139" fillId="0" borderId="0" xfId="0" applyNumberFormat="1" applyFont="1" applyBorder="1"/>
    <xf numFmtId="37" fontId="139" fillId="0" borderId="0" xfId="0" applyFont="1" applyBorder="1"/>
    <xf numFmtId="9" fontId="116" fillId="0" borderId="0" xfId="0" applyNumberFormat="1" applyFont="1" applyBorder="1"/>
    <xf numFmtId="3" fontId="95" fillId="0" borderId="0" xfId="0" applyNumberFormat="1" applyFont="1" applyFill="1" applyBorder="1" applyAlignment="1">
      <alignment horizontal="right"/>
    </xf>
    <xf numFmtId="3" fontId="93" fillId="0" borderId="0" xfId="0" applyNumberFormat="1" applyFont="1" applyBorder="1" applyAlignment="1">
      <alignment horizontal="center"/>
    </xf>
    <xf numFmtId="185" fontId="93" fillId="0" borderId="0" xfId="0" applyNumberFormat="1" applyFont="1" applyBorder="1"/>
    <xf numFmtId="37" fontId="105" fillId="61" borderId="0" xfId="0" applyFont="1" applyFill="1" applyBorder="1"/>
    <xf numFmtId="37" fontId="93" fillId="61" borderId="0" xfId="0" applyFont="1" applyFill="1" applyBorder="1"/>
    <xf numFmtId="37" fontId="139" fillId="61" borderId="0" xfId="0" applyFont="1" applyFill="1" applyBorder="1"/>
    <xf numFmtId="37" fontId="105" fillId="8" borderId="0" xfId="0" applyFont="1" applyFill="1"/>
    <xf numFmtId="3" fontId="93" fillId="8" borderId="0" xfId="0" applyNumberFormat="1" applyFont="1" applyFill="1" applyBorder="1"/>
    <xf numFmtId="3" fontId="105" fillId="8" borderId="0" xfId="0" applyNumberFormat="1" applyFont="1" applyFill="1" applyBorder="1" applyAlignment="1">
      <alignment horizontal="right"/>
    </xf>
    <xf numFmtId="37" fontId="93" fillId="0" borderId="0" xfId="0" applyFont="1" applyAlignment="1">
      <alignment vertical="center"/>
    </xf>
    <xf numFmtId="3" fontId="93" fillId="22" borderId="0" xfId="2" applyNumberFormat="1" applyFont="1" applyFill="1" applyBorder="1"/>
    <xf numFmtId="3" fontId="93" fillId="22" borderId="0" xfId="0" applyNumberFormat="1" applyFont="1" applyFill="1" applyBorder="1" applyAlignment="1">
      <alignment horizontal="right"/>
    </xf>
    <xf numFmtId="3" fontId="93" fillId="22" borderId="0" xfId="2" applyNumberFormat="1" applyFont="1" applyFill="1" applyBorder="1" applyAlignment="1">
      <alignment horizontal="right"/>
    </xf>
    <xf numFmtId="3" fontId="93" fillId="22" borderId="0" xfId="0" applyNumberFormat="1" applyFont="1" applyFill="1" applyBorder="1"/>
    <xf numFmtId="9" fontId="93" fillId="0" borderId="0" xfId="23" applyFont="1" applyAlignment="1">
      <alignment horizontal="right"/>
    </xf>
    <xf numFmtId="37" fontId="105" fillId="8" borderId="0" xfId="0" applyFont="1" applyFill="1" applyBorder="1"/>
    <xf numFmtId="37" fontId="93" fillId="22" borderId="0" xfId="0" applyFont="1" applyFill="1" applyBorder="1"/>
    <xf numFmtId="37" fontId="104" fillId="8" borderId="0" xfId="0" applyFont="1" applyFill="1" applyBorder="1"/>
    <xf numFmtId="3" fontId="93" fillId="8" borderId="0" xfId="0" applyNumberFormat="1" applyFont="1" applyFill="1" applyBorder="1" applyAlignment="1">
      <alignment horizontal="right"/>
    </xf>
    <xf numFmtId="37" fontId="139" fillId="8" borderId="0" xfId="0" applyFont="1" applyFill="1" applyBorder="1"/>
    <xf numFmtId="37" fontId="105" fillId="22" borderId="0" xfId="0" applyFont="1" applyFill="1" applyBorder="1"/>
    <xf numFmtId="9" fontId="116" fillId="22" borderId="0" xfId="0" applyNumberFormat="1" applyFont="1" applyFill="1" applyBorder="1" applyAlignment="1">
      <alignment horizontal="center" vertical="center"/>
    </xf>
    <xf numFmtId="9" fontId="116" fillId="8" borderId="0" xfId="0" applyNumberFormat="1" applyFont="1" applyFill="1" applyBorder="1" applyAlignment="1">
      <alignment horizontal="center" vertical="center"/>
    </xf>
    <xf numFmtId="9" fontId="93" fillId="22" borderId="0" xfId="0" applyNumberFormat="1" applyFont="1" applyFill="1" applyBorder="1" applyAlignment="1">
      <alignment horizontal="right" vertical="center"/>
    </xf>
    <xf numFmtId="9" fontId="93" fillId="8" borderId="0" xfId="0" applyNumberFormat="1" applyFont="1" applyFill="1" applyBorder="1" applyAlignment="1">
      <alignment horizontal="right" vertical="center"/>
    </xf>
    <xf numFmtId="166" fontId="93" fillId="22" borderId="0" xfId="0" applyNumberFormat="1" applyFont="1" applyFill="1" applyBorder="1" applyAlignment="1">
      <alignment horizontal="right" vertical="center"/>
    </xf>
    <xf numFmtId="166" fontId="93" fillId="8" borderId="0" xfId="0" applyNumberFormat="1" applyFont="1" applyFill="1" applyBorder="1" applyAlignment="1">
      <alignment horizontal="right" vertical="center"/>
    </xf>
    <xf numFmtId="37" fontId="93" fillId="22" borderId="0" xfId="0" applyFont="1" applyFill="1" applyBorder="1" applyAlignment="1">
      <alignment horizontal="right" vertical="center"/>
    </xf>
    <xf numFmtId="37" fontId="93" fillId="0" borderId="0" xfId="0" applyFont="1" applyBorder="1" applyAlignment="1">
      <alignment horizontal="right" vertical="center"/>
    </xf>
    <xf numFmtId="9" fontId="93" fillId="22" borderId="0" xfId="0" applyNumberFormat="1" applyFont="1" applyFill="1" applyBorder="1"/>
    <xf numFmtId="166" fontId="93" fillId="22" borderId="0" xfId="0" applyNumberFormat="1" applyFont="1" applyFill="1" applyBorder="1"/>
    <xf numFmtId="37" fontId="93" fillId="0" borderId="0" xfId="0" applyFont="1" applyFill="1" applyBorder="1" applyAlignment="1">
      <alignment horizontal="center"/>
    </xf>
    <xf numFmtId="0" fontId="93" fillId="0" borderId="0" xfId="0" applyNumberFormat="1" applyFont="1" applyFill="1" applyBorder="1" applyAlignment="1">
      <alignment horizontal="right"/>
    </xf>
    <xf numFmtId="1" fontId="93" fillId="0" borderId="0" xfId="0" applyNumberFormat="1" applyFont="1" applyFill="1" applyBorder="1" applyAlignment="1">
      <alignment horizontal="right"/>
    </xf>
    <xf numFmtId="37" fontId="119" fillId="8" borderId="0" xfId="0" applyFont="1" applyFill="1" applyBorder="1"/>
    <xf numFmtId="3" fontId="93" fillId="0" borderId="0" xfId="0" applyNumberFormat="1" applyFont="1" applyAlignment="1">
      <alignment horizontal="right"/>
    </xf>
    <xf numFmtId="166" fontId="104" fillId="0" borderId="0" xfId="23" applyNumberFormat="1" applyFont="1" applyFill="1" applyBorder="1" applyAlignment="1">
      <alignment horizontal="right"/>
    </xf>
    <xf numFmtId="166" fontId="105" fillId="0" borderId="0" xfId="23" applyNumberFormat="1" applyFont="1" applyFill="1" applyAlignment="1">
      <alignment horizontal="right"/>
    </xf>
    <xf numFmtId="172" fontId="93" fillId="0" borderId="0" xfId="23" applyNumberFormat="1" applyFont="1" applyFill="1" applyBorder="1" applyAlignment="1">
      <alignment horizontal="right"/>
    </xf>
    <xf numFmtId="3" fontId="93" fillId="0" borderId="0" xfId="3" applyNumberFormat="1" applyFont="1" applyBorder="1" applyAlignment="1">
      <alignment horizontal="right"/>
    </xf>
    <xf numFmtId="170" fontId="93" fillId="0" borderId="0" xfId="0" applyNumberFormat="1" applyFont="1" applyFill="1" applyBorder="1" applyAlignment="1">
      <alignment horizontal="right"/>
    </xf>
    <xf numFmtId="9" fontId="93" fillId="0" borderId="0" xfId="23" applyNumberFormat="1" applyFont="1" applyFill="1" applyBorder="1" applyAlignment="1">
      <alignment horizontal="right"/>
    </xf>
    <xf numFmtId="1" fontId="93" fillId="8" borderId="0" xfId="0" applyNumberFormat="1" applyFont="1" applyFill="1" applyBorder="1" applyAlignment="1">
      <alignment horizontal="right"/>
    </xf>
    <xf numFmtId="1" fontId="105" fillId="0" borderId="0" xfId="0" applyNumberFormat="1" applyFont="1" applyFill="1" applyBorder="1" applyAlignment="1">
      <alignment horizontal="right"/>
    </xf>
    <xf numFmtId="9" fontId="105" fillId="0" borderId="0" xfId="23" applyNumberFormat="1" applyFont="1" applyBorder="1"/>
    <xf numFmtId="9" fontId="105" fillId="0" borderId="0" xfId="0" applyNumberFormat="1" applyFont="1" applyBorder="1"/>
    <xf numFmtId="3" fontId="93" fillId="0" borderId="0" xfId="0" applyNumberFormat="1" applyFont="1" applyBorder="1" applyAlignment="1">
      <alignment horizontal="right"/>
    </xf>
    <xf numFmtId="3" fontId="104" fillId="0" borderId="0" xfId="0" applyNumberFormat="1" applyFont="1" applyFill="1" applyBorder="1" applyAlignment="1">
      <alignment horizontal="right"/>
    </xf>
    <xf numFmtId="37" fontId="104" fillId="0" borderId="0" xfId="0" applyFont="1" applyFill="1" applyBorder="1" applyAlignment="1">
      <alignment horizontal="right"/>
    </xf>
    <xf numFmtId="37" fontId="104" fillId="0" borderId="0" xfId="0" applyFont="1" applyFill="1" applyBorder="1"/>
    <xf numFmtId="170" fontId="93" fillId="0" borderId="0" xfId="0" applyNumberFormat="1" applyFont="1" applyFill="1" applyBorder="1"/>
    <xf numFmtId="1" fontId="93" fillId="0" borderId="0" xfId="0" applyNumberFormat="1" applyFont="1" applyFill="1" applyBorder="1"/>
    <xf numFmtId="166" fontId="93" fillId="0" borderId="0" xfId="0" applyNumberFormat="1" applyFont="1" applyFill="1" applyBorder="1" applyAlignment="1">
      <alignment horizontal="right"/>
    </xf>
    <xf numFmtId="166" fontId="105" fillId="0" borderId="0" xfId="0" applyNumberFormat="1" applyFont="1" applyFill="1" applyBorder="1" applyAlignment="1">
      <alignment horizontal="right"/>
    </xf>
    <xf numFmtId="166" fontId="105" fillId="0" borderId="0" xfId="0" applyNumberFormat="1" applyFont="1" applyFill="1" applyBorder="1" applyAlignment="1"/>
    <xf numFmtId="170" fontId="105" fillId="0" borderId="0" xfId="0" applyNumberFormat="1" applyFont="1" applyFill="1" applyBorder="1" applyAlignment="1">
      <alignment horizontal="right"/>
    </xf>
    <xf numFmtId="166" fontId="105" fillId="0" borderId="0" xfId="23" applyNumberFormat="1" applyFont="1" applyFill="1" applyBorder="1" applyAlignment="1">
      <alignment horizontal="right"/>
    </xf>
    <xf numFmtId="172" fontId="93" fillId="0" borderId="0" xfId="23" applyNumberFormat="1" applyFont="1" applyBorder="1"/>
    <xf numFmtId="37" fontId="119" fillId="14" borderId="0" xfId="0" applyFont="1" applyFill="1" applyBorder="1"/>
    <xf numFmtId="37" fontId="105" fillId="26" borderId="0" xfId="0" applyFont="1" applyFill="1" applyBorder="1"/>
    <xf numFmtId="37" fontId="119" fillId="11" borderId="0" xfId="0" applyFont="1" applyFill="1" applyBorder="1"/>
    <xf numFmtId="37" fontId="119" fillId="27" borderId="0" xfId="0" applyFont="1" applyFill="1" applyBorder="1"/>
    <xf numFmtId="37" fontId="105" fillId="17" borderId="0" xfId="0" applyFont="1" applyFill="1" applyBorder="1"/>
    <xf numFmtId="37" fontId="119" fillId="21" borderId="0" xfId="0" applyFont="1" applyFill="1" applyBorder="1"/>
    <xf numFmtId="1" fontId="93" fillId="48" borderId="0" xfId="0" applyNumberFormat="1" applyFont="1" applyFill="1" applyBorder="1" applyAlignment="1">
      <alignment horizontal="right"/>
    </xf>
    <xf numFmtId="9" fontId="93" fillId="48" borderId="0" xfId="23" applyNumberFormat="1" applyFont="1" applyFill="1" applyBorder="1"/>
    <xf numFmtId="37" fontId="119" fillId="49" borderId="18" xfId="0" applyFont="1" applyFill="1" applyBorder="1"/>
    <xf numFmtId="37" fontId="119" fillId="56" borderId="18" xfId="0" applyFont="1" applyFill="1" applyBorder="1"/>
    <xf numFmtId="37" fontId="119" fillId="50" borderId="18" xfId="0" applyFont="1" applyFill="1" applyBorder="1"/>
    <xf numFmtId="37" fontId="119" fillId="63" borderId="18" xfId="0" applyFont="1" applyFill="1" applyBorder="1"/>
    <xf numFmtId="37" fontId="105" fillId="51" borderId="18" xfId="0" applyFont="1" applyFill="1" applyBorder="1"/>
    <xf numFmtId="37" fontId="119" fillId="55" borderId="18" xfId="0" applyFont="1" applyFill="1" applyBorder="1"/>
    <xf numFmtId="37" fontId="93" fillId="0" borderId="0" xfId="0" applyNumberFormat="1" applyFont="1" applyBorder="1" applyAlignment="1">
      <alignment horizontal="right" wrapText="1"/>
    </xf>
    <xf numFmtId="166" fontId="105" fillId="0" borderId="0" xfId="23" applyNumberFormat="1" applyFont="1" applyAlignment="1">
      <alignment horizontal="right"/>
    </xf>
    <xf numFmtId="166" fontId="104" fillId="0" borderId="0" xfId="23" applyNumberFormat="1" applyFont="1" applyBorder="1" applyAlignment="1">
      <alignment horizontal="right"/>
    </xf>
    <xf numFmtId="3" fontId="93" fillId="0" borderId="0" xfId="23" applyNumberFormat="1" applyFont="1" applyBorder="1" applyAlignment="1">
      <alignment horizontal="right"/>
    </xf>
    <xf numFmtId="3" fontId="105" fillId="0" borderId="0" xfId="0" applyNumberFormat="1" applyFont="1" applyBorder="1" applyAlignment="1">
      <alignment horizontal="right"/>
    </xf>
    <xf numFmtId="170" fontId="93" fillId="0" borderId="0" xfId="0" applyNumberFormat="1" applyFont="1" applyBorder="1" applyAlignment="1">
      <alignment horizontal="right"/>
    </xf>
    <xf numFmtId="37" fontId="101" fillId="0" borderId="0" xfId="0" applyNumberFormat="1" applyFont="1" applyBorder="1"/>
    <xf numFmtId="37" fontId="105" fillId="0" borderId="0" xfId="0" applyNumberFormat="1" applyFont="1" applyBorder="1" applyAlignment="1">
      <alignment horizontal="center"/>
    </xf>
    <xf numFmtId="37" fontId="105" fillId="10" borderId="0" xfId="0" applyFont="1" applyFill="1" applyBorder="1"/>
    <xf numFmtId="170" fontId="105" fillId="0" borderId="0" xfId="0" applyNumberFormat="1" applyFont="1" applyBorder="1" applyAlignment="1">
      <alignment horizontal="right"/>
    </xf>
    <xf numFmtId="9" fontId="105" fillId="0" borderId="0" xfId="23" applyNumberFormat="1" applyFont="1" applyBorder="1" applyAlignment="1">
      <alignment horizontal="right"/>
    </xf>
    <xf numFmtId="166" fontId="105" fillId="0" borderId="0" xfId="23" applyNumberFormat="1" applyFont="1" applyBorder="1" applyAlignment="1">
      <alignment horizontal="right"/>
    </xf>
    <xf numFmtId="9" fontId="105" fillId="0" borderId="0" xfId="23" applyFont="1" applyBorder="1"/>
    <xf numFmtId="37" fontId="104" fillId="0" borderId="0" xfId="0" applyNumberFormat="1" applyFont="1" applyBorder="1"/>
    <xf numFmtId="37" fontId="104" fillId="0" borderId="0" xfId="0" applyNumberFormat="1" applyFont="1" applyBorder="1" applyAlignment="1">
      <alignment horizontal="right"/>
    </xf>
    <xf numFmtId="37" fontId="119" fillId="0" borderId="18" xfId="0" applyFont="1" applyFill="1" applyBorder="1"/>
    <xf numFmtId="37" fontId="119" fillId="62" borderId="18" xfId="0" applyFont="1" applyFill="1" applyBorder="1"/>
    <xf numFmtId="37" fontId="107" fillId="52" borderId="18" xfId="0" applyFont="1" applyFill="1" applyBorder="1"/>
    <xf numFmtId="37" fontId="93" fillId="48" borderId="0" xfId="0" applyNumberFormat="1" applyFont="1" applyFill="1" applyBorder="1" applyAlignment="1">
      <alignment horizontal="center"/>
    </xf>
    <xf numFmtId="37" fontId="93" fillId="48" borderId="0" xfId="0" applyNumberFormat="1" applyFont="1" applyFill="1" applyBorder="1" applyAlignment="1">
      <alignment horizontal="right" wrapText="1"/>
    </xf>
    <xf numFmtId="37" fontId="118" fillId="0" borderId="0" xfId="0" applyNumberFormat="1" applyFont="1" applyBorder="1"/>
    <xf numFmtId="37" fontId="93" fillId="61" borderId="0" xfId="0" applyNumberFormat="1" applyFont="1" applyFill="1" applyBorder="1"/>
    <xf numFmtId="37" fontId="105" fillId="61" borderId="0" xfId="0" applyNumberFormat="1" applyFont="1" applyFill="1" applyBorder="1"/>
    <xf numFmtId="37" fontId="93" fillId="61" borderId="0" xfId="0" applyNumberFormat="1" applyFont="1" applyFill="1" applyBorder="1" applyAlignment="1">
      <alignment horizontal="right"/>
    </xf>
    <xf numFmtId="170" fontId="105" fillId="61" borderId="0" xfId="0" applyNumberFormat="1" applyFont="1" applyFill="1" applyBorder="1" applyAlignment="1">
      <alignment horizontal="right"/>
    </xf>
    <xf numFmtId="166" fontId="105" fillId="61" borderId="0" xfId="23" applyNumberFormat="1" applyFont="1" applyFill="1" applyBorder="1" applyAlignment="1">
      <alignment horizontal="right"/>
    </xf>
    <xf numFmtId="37" fontId="104" fillId="61" borderId="0" xfId="0" applyNumberFormat="1" applyFont="1" applyFill="1" applyBorder="1"/>
    <xf numFmtId="37" fontId="104" fillId="61" borderId="0" xfId="0" applyNumberFormat="1" applyFont="1" applyFill="1" applyBorder="1" applyAlignment="1">
      <alignment horizontal="right"/>
    </xf>
    <xf numFmtId="3" fontId="104" fillId="61" borderId="0" xfId="0" applyNumberFormat="1" applyFont="1" applyFill="1" applyBorder="1" applyAlignment="1">
      <alignment horizontal="right"/>
    </xf>
    <xf numFmtId="37" fontId="105" fillId="22" borderId="0" xfId="0" applyFont="1" applyFill="1" applyBorder="1" applyAlignment="1">
      <alignment horizontal="right"/>
    </xf>
    <xf numFmtId="1" fontId="93" fillId="22" borderId="0" xfId="0" applyNumberFormat="1" applyFont="1" applyFill="1" applyBorder="1" applyAlignment="1">
      <alignment horizontal="right"/>
    </xf>
    <xf numFmtId="37" fontId="93" fillId="22" borderId="0" xfId="0" applyFont="1" applyFill="1" applyBorder="1" applyAlignment="1">
      <alignment horizontal="right"/>
    </xf>
    <xf numFmtId="37" fontId="104" fillId="22" borderId="0" xfId="0" applyFont="1" applyFill="1" applyBorder="1"/>
    <xf numFmtId="37" fontId="140" fillId="0" borderId="0" xfId="0" applyFont="1" applyBorder="1" applyAlignment="1">
      <alignment horizontal="left"/>
    </xf>
    <xf numFmtId="0" fontId="107" fillId="0" borderId="0" xfId="0" applyNumberFormat="1" applyFont="1" applyBorder="1" applyAlignment="1"/>
    <xf numFmtId="37" fontId="118" fillId="0" borderId="0" xfId="0" applyFont="1"/>
    <xf numFmtId="37" fontId="128" fillId="0" borderId="0" xfId="0" applyFont="1" applyBorder="1"/>
    <xf numFmtId="0" fontId="98" fillId="0" borderId="0" xfId="0" applyNumberFormat="1" applyFont="1" applyBorder="1"/>
    <xf numFmtId="0" fontId="107" fillId="0" borderId="0" xfId="0" applyNumberFormat="1" applyFont="1" applyBorder="1" applyAlignment="1">
      <alignment horizontal="center"/>
    </xf>
    <xf numFmtId="37" fontId="98" fillId="0" borderId="0" xfId="0" applyFont="1" applyBorder="1"/>
    <xf numFmtId="37" fontId="118" fillId="0" borderId="0" xfId="0" applyFont="1" applyBorder="1"/>
    <xf numFmtId="0" fontId="107" fillId="0" borderId="0" xfId="0" applyNumberFormat="1" applyFont="1" applyBorder="1"/>
    <xf numFmtId="0" fontId="118" fillId="48" borderId="0" xfId="0" applyNumberFormat="1" applyFont="1" applyFill="1" applyBorder="1"/>
    <xf numFmtId="37" fontId="128" fillId="48" borderId="0" xfId="0" applyFont="1" applyFill="1" applyBorder="1"/>
    <xf numFmtId="37" fontId="98" fillId="48" borderId="0" xfId="0" applyFont="1" applyFill="1" applyBorder="1" applyAlignment="1">
      <alignment horizontal="center"/>
    </xf>
    <xf numFmtId="0" fontId="128" fillId="48" borderId="0" xfId="0" applyNumberFormat="1" applyFont="1" applyFill="1" applyBorder="1"/>
    <xf numFmtId="166" fontId="118" fillId="0" borderId="0" xfId="0" applyNumberFormat="1" applyFont="1" applyBorder="1"/>
    <xf numFmtId="0" fontId="141" fillId="0" borderId="0" xfId="0" applyNumberFormat="1" applyFont="1" applyBorder="1"/>
    <xf numFmtId="3" fontId="128" fillId="0" borderId="0" xfId="0" applyNumberFormat="1" applyFont="1" applyBorder="1"/>
    <xf numFmtId="10" fontId="128" fillId="0" borderId="0" xfId="0" applyNumberFormat="1" applyFont="1" applyBorder="1"/>
    <xf numFmtId="37" fontId="128" fillId="0" borderId="0" xfId="0" applyNumberFormat="1" applyFont="1" applyBorder="1"/>
    <xf numFmtId="1" fontId="105" fillId="48" borderId="0" xfId="0" applyNumberFormat="1" applyFont="1" applyFill="1" applyBorder="1" applyAlignment="1">
      <alignment horizontal="right"/>
    </xf>
    <xf numFmtId="37" fontId="93" fillId="48" borderId="0" xfId="0" applyNumberFormat="1" applyFont="1" applyFill="1" applyBorder="1" applyAlignment="1">
      <alignment horizontal="right"/>
    </xf>
    <xf numFmtId="0" fontId="91" fillId="47" borderId="0" xfId="0" applyNumberFormat="1" applyFont="1" applyFill="1" applyBorder="1"/>
    <xf numFmtId="0" fontId="128" fillId="47" borderId="0" xfId="0" applyNumberFormat="1" applyFont="1" applyFill="1" applyBorder="1"/>
    <xf numFmtId="37" fontId="119" fillId="63" borderId="36" xfId="0" applyFont="1" applyFill="1" applyBorder="1"/>
    <xf numFmtId="37" fontId="119" fillId="21" borderId="18" xfId="0" applyFont="1" applyFill="1" applyBorder="1"/>
    <xf numFmtId="0" fontId="119" fillId="34" borderId="18" xfId="0" applyNumberFormat="1" applyFont="1" applyFill="1" applyBorder="1"/>
    <xf numFmtId="37" fontId="105" fillId="0" borderId="0" xfId="0" applyFont="1" applyBorder="1" applyAlignment="1"/>
    <xf numFmtId="3" fontId="93" fillId="0" borderId="0" xfId="0" applyNumberFormat="1" applyFont="1" applyFill="1" applyBorder="1" applyAlignment="1"/>
    <xf numFmtId="169" fontId="104" fillId="0" borderId="0" xfId="0" applyNumberFormat="1" applyFont="1" applyFill="1" applyBorder="1" applyAlignment="1">
      <alignment horizontal="right"/>
    </xf>
    <xf numFmtId="167" fontId="104" fillId="0" borderId="0" xfId="0" applyNumberFormat="1" applyFont="1" applyFill="1" applyBorder="1" applyAlignment="1">
      <alignment horizontal="right"/>
    </xf>
    <xf numFmtId="37" fontId="105" fillId="0" borderId="0" xfId="0" applyFont="1" applyFill="1" applyBorder="1" applyAlignment="1"/>
    <xf numFmtId="3" fontId="105" fillId="0" borderId="0" xfId="0" applyNumberFormat="1" applyFont="1" applyFill="1" applyBorder="1" applyAlignment="1"/>
    <xf numFmtId="167" fontId="125" fillId="0" borderId="0" xfId="0" applyNumberFormat="1" applyFont="1" applyFill="1" applyBorder="1" applyAlignment="1">
      <alignment horizontal="right"/>
    </xf>
    <xf numFmtId="167" fontId="93" fillId="0" borderId="0" xfId="0" applyNumberFormat="1" applyFont="1" applyFill="1" applyBorder="1" applyAlignment="1">
      <alignment horizontal="right"/>
    </xf>
    <xf numFmtId="169" fontId="104" fillId="0" borderId="0" xfId="0" applyNumberFormat="1" applyFont="1" applyBorder="1" applyAlignment="1">
      <alignment horizontal="right"/>
    </xf>
    <xf numFmtId="169" fontId="125" fillId="0" borderId="0" xfId="0" applyNumberFormat="1" applyFont="1" applyBorder="1" applyAlignment="1">
      <alignment horizontal="right"/>
    </xf>
    <xf numFmtId="37" fontId="105" fillId="0" borderId="0" xfId="0" applyFont="1" applyBorder="1" applyAlignment="1">
      <alignment horizontal="center" vertical="center" wrapText="1"/>
    </xf>
    <xf numFmtId="37" fontId="144" fillId="0" borderId="0" xfId="6" applyNumberFormat="1" applyFont="1" applyBorder="1" applyAlignment="1" applyProtection="1">
      <alignment wrapText="1"/>
    </xf>
    <xf numFmtId="169" fontId="125" fillId="0" borderId="0" xfId="0" applyNumberFormat="1" applyFont="1" applyFill="1" applyBorder="1" applyAlignment="1">
      <alignment horizontal="right"/>
    </xf>
    <xf numFmtId="9" fontId="93" fillId="0" borderId="0" xfId="0" applyNumberFormat="1" applyFont="1" applyFill="1" applyBorder="1" applyAlignment="1"/>
    <xf numFmtId="0" fontId="145" fillId="0" borderId="0" xfId="0" applyNumberFormat="1" applyFont="1" applyBorder="1" applyAlignment="1"/>
    <xf numFmtId="3" fontId="145" fillId="0" borderId="0" xfId="0" applyNumberFormat="1" applyFont="1" applyBorder="1"/>
    <xf numFmtId="167" fontId="146" fillId="0" borderId="0" xfId="0" applyNumberFormat="1" applyFont="1" applyBorder="1"/>
    <xf numFmtId="3" fontId="93" fillId="0" borderId="0" xfId="0" applyNumberFormat="1" applyFont="1" applyBorder="1" applyAlignment="1"/>
    <xf numFmtId="3" fontId="147" fillId="0" borderId="0" xfId="0" applyNumberFormat="1" applyFont="1" applyBorder="1"/>
    <xf numFmtId="167" fontId="148" fillId="0" borderId="0" xfId="0" applyNumberFormat="1" applyFont="1" applyBorder="1"/>
    <xf numFmtId="169" fontId="93" fillId="0" borderId="0" xfId="0" applyNumberFormat="1" applyFont="1" applyBorder="1" applyAlignment="1"/>
    <xf numFmtId="37" fontId="93" fillId="0" borderId="0" xfId="0" applyNumberFormat="1" applyFont="1" applyBorder="1" applyAlignment="1"/>
    <xf numFmtId="37" fontId="107" fillId="0" borderId="0" xfId="0" applyFont="1" applyBorder="1"/>
    <xf numFmtId="3" fontId="107" fillId="0" borderId="0" xfId="0" applyNumberFormat="1" applyFont="1" applyBorder="1"/>
    <xf numFmtId="37" fontId="93" fillId="0" borderId="0" xfId="0" applyFont="1" applyBorder="1" applyAlignment="1">
      <alignment horizontal="center" vertical="top" wrapText="1"/>
    </xf>
    <xf numFmtId="37" fontId="93" fillId="0" borderId="0" xfId="0" applyFont="1" applyBorder="1" applyAlignment="1">
      <alignment horizontal="right" vertical="top"/>
    </xf>
    <xf numFmtId="37" fontId="93" fillId="18" borderId="0" xfId="0" applyFont="1" applyFill="1" applyBorder="1" applyAlignment="1"/>
    <xf numFmtId="37" fontId="93" fillId="19" borderId="0" xfId="0" applyFont="1" applyFill="1" applyBorder="1" applyAlignment="1"/>
    <xf numFmtId="0" fontId="145" fillId="20" borderId="0" xfId="0" applyNumberFormat="1" applyFont="1" applyFill="1" applyBorder="1" applyAlignment="1"/>
    <xf numFmtId="37" fontId="118" fillId="35" borderId="0" xfId="0" applyFont="1" applyFill="1" applyBorder="1"/>
    <xf numFmtId="37" fontId="118" fillId="13" borderId="0" xfId="0" applyFont="1" applyFill="1" applyBorder="1"/>
    <xf numFmtId="37" fontId="118" fillId="8" borderId="0" xfId="0" applyFont="1" applyFill="1" applyBorder="1"/>
    <xf numFmtId="166" fontId="105" fillId="0" borderId="0" xfId="0" applyNumberFormat="1" applyFont="1" applyBorder="1" applyAlignment="1"/>
    <xf numFmtId="37" fontId="93" fillId="0" borderId="38" xfId="0" applyFont="1" applyBorder="1" applyAlignment="1"/>
    <xf numFmtId="37" fontId="93" fillId="48" borderId="0" xfId="0" applyFont="1" applyFill="1" applyBorder="1" applyAlignment="1"/>
    <xf numFmtId="37" fontId="119" fillId="47" borderId="0" xfId="0" applyFont="1" applyFill="1" applyBorder="1" applyAlignment="1"/>
    <xf numFmtId="37" fontId="93" fillId="62" borderId="0" xfId="0" applyFont="1" applyFill="1" applyBorder="1" applyAlignment="1"/>
    <xf numFmtId="37" fontId="93" fillId="51" borderId="0" xfId="0" applyFont="1" applyFill="1" applyBorder="1" applyAlignment="1"/>
    <xf numFmtId="37" fontId="93" fillId="49" borderId="0" xfId="0" applyFont="1" applyFill="1" applyBorder="1" applyAlignment="1"/>
    <xf numFmtId="37" fontId="93" fillId="50" borderId="0" xfId="0" applyFont="1" applyFill="1" applyBorder="1" applyAlignment="1"/>
    <xf numFmtId="37" fontId="93" fillId="63" borderId="0" xfId="0" applyFont="1" applyFill="1" applyBorder="1" applyAlignment="1"/>
    <xf numFmtId="37" fontId="93" fillId="64" borderId="0" xfId="0" applyFont="1" applyFill="1" applyBorder="1" applyAlignment="1"/>
    <xf numFmtId="37" fontId="93" fillId="53" borderId="0" xfId="0" applyFont="1" applyFill="1" applyBorder="1" applyAlignment="1"/>
    <xf numFmtId="37" fontId="93" fillId="10" borderId="0" xfId="0" applyFont="1" applyFill="1" applyBorder="1" applyAlignment="1">
      <alignment horizontal="right"/>
    </xf>
    <xf numFmtId="169" fontId="104" fillId="61" borderId="0" xfId="0" applyNumberFormat="1" applyFont="1" applyFill="1" applyBorder="1" applyAlignment="1">
      <alignment horizontal="right"/>
    </xf>
    <xf numFmtId="37" fontId="93" fillId="61" borderId="0" xfId="0" applyFont="1" applyFill="1" applyBorder="1" applyAlignment="1"/>
    <xf numFmtId="37" fontId="93" fillId="61" borderId="0" xfId="0" applyFont="1" applyFill="1" applyBorder="1" applyAlignment="1">
      <alignment horizontal="right"/>
    </xf>
    <xf numFmtId="37" fontId="105" fillId="48" borderId="0" xfId="0" applyFont="1" applyFill="1" applyBorder="1" applyAlignment="1"/>
    <xf numFmtId="166" fontId="105" fillId="48" borderId="0" xfId="0" applyNumberFormat="1" applyFont="1" applyFill="1" applyBorder="1" applyAlignment="1"/>
    <xf numFmtId="169" fontId="104" fillId="48" borderId="0" xfId="0" applyNumberFormat="1" applyFont="1" applyFill="1" applyBorder="1" applyAlignment="1">
      <alignment horizontal="right"/>
    </xf>
    <xf numFmtId="49" fontId="105" fillId="61" borderId="0" xfId="0" applyNumberFormat="1" applyFont="1" applyFill="1" applyBorder="1" applyAlignment="1"/>
    <xf numFmtId="49" fontId="105" fillId="53" borderId="0" xfId="0" applyNumberFormat="1" applyFont="1" applyFill="1" applyBorder="1" applyAlignment="1"/>
    <xf numFmtId="37" fontId="105" fillId="53" borderId="0" xfId="0" applyFont="1" applyFill="1" applyBorder="1" applyAlignment="1"/>
    <xf numFmtId="37" fontId="93" fillId="53" borderId="0" xfId="0" applyFont="1" applyFill="1" applyBorder="1" applyAlignment="1">
      <alignment horizontal="right"/>
    </xf>
    <xf numFmtId="37" fontId="104" fillId="53" borderId="0" xfId="0" applyFont="1" applyFill="1" applyBorder="1" applyAlignment="1">
      <alignment horizontal="right"/>
    </xf>
    <xf numFmtId="0" fontId="145" fillId="65" borderId="0" xfId="0" applyNumberFormat="1" applyFont="1" applyFill="1" applyBorder="1" applyAlignment="1"/>
    <xf numFmtId="0" fontId="145" fillId="66" borderId="0" xfId="0" applyNumberFormat="1" applyFont="1" applyFill="1" applyBorder="1" applyAlignment="1"/>
    <xf numFmtId="0" fontId="145" fillId="67" borderId="0" xfId="0" applyNumberFormat="1" applyFont="1" applyFill="1" applyBorder="1" applyAlignment="1"/>
    <xf numFmtId="0" fontId="145" fillId="68" borderId="0" xfId="0" applyNumberFormat="1" applyFont="1" applyFill="1" applyBorder="1" applyAlignment="1"/>
    <xf numFmtId="37" fontId="93" fillId="69" borderId="0" xfId="0" applyFont="1" applyFill="1" applyBorder="1" applyAlignment="1"/>
    <xf numFmtId="37" fontId="118" fillId="69" borderId="0" xfId="0" applyFont="1" applyFill="1" applyBorder="1"/>
    <xf numFmtId="37" fontId="118" fillId="0" borderId="0" xfId="0" applyFont="1" applyFill="1" applyBorder="1"/>
    <xf numFmtId="37" fontId="118" fillId="62" borderId="0" xfId="0" applyFont="1" applyFill="1" applyBorder="1"/>
    <xf numFmtId="9" fontId="93" fillId="61" borderId="0" xfId="0" applyNumberFormat="1" applyFont="1" applyFill="1" applyBorder="1" applyAlignment="1"/>
    <xf numFmtId="0" fontId="93" fillId="0" borderId="0" xfId="8" applyNumberFormat="1" applyFont="1" applyBorder="1"/>
    <xf numFmtId="0" fontId="93" fillId="0" borderId="0" xfId="8" applyNumberFormat="1" applyFont="1" applyBorder="1" applyAlignment="1">
      <alignment horizontal="right"/>
    </xf>
    <xf numFmtId="0" fontId="93" fillId="0" borderId="0" xfId="8" applyNumberFormat="1" applyFont="1" applyBorder="1" applyAlignment="1">
      <alignment horizontal="left"/>
    </xf>
    <xf numFmtId="9" fontId="93" fillId="0" borderId="0" xfId="8" applyNumberFormat="1" applyFont="1" applyBorder="1"/>
    <xf numFmtId="0" fontId="118" fillId="0" borderId="0" xfId="8" applyNumberFormat="1" applyFont="1" applyBorder="1"/>
    <xf numFmtId="0" fontId="118" fillId="22" borderId="0" xfId="8" applyNumberFormat="1" applyFont="1" applyFill="1" applyBorder="1" applyAlignment="1">
      <alignment horizontal="left"/>
    </xf>
    <xf numFmtId="0" fontId="118" fillId="22" borderId="0" xfId="8" applyNumberFormat="1" applyFont="1" applyFill="1" applyBorder="1" applyAlignment="1">
      <alignment horizontal="right"/>
    </xf>
    <xf numFmtId="9" fontId="127" fillId="22" borderId="0" xfId="8" applyNumberFormat="1" applyFont="1" applyFill="1" applyBorder="1" applyAlignment="1">
      <alignment horizontal="right"/>
    </xf>
    <xf numFmtId="0" fontId="118" fillId="22" borderId="0" xfId="8" applyNumberFormat="1" applyFont="1" applyFill="1" applyBorder="1"/>
    <xf numFmtId="37" fontId="93" fillId="0" borderId="0" xfId="8" applyFont="1" applyBorder="1" applyAlignment="1">
      <alignment horizontal="left"/>
    </xf>
    <xf numFmtId="37" fontId="93" fillId="0" borderId="0" xfId="8" applyFont="1" applyBorder="1"/>
    <xf numFmtId="37" fontId="93" fillId="0" borderId="0" xfId="8" applyFont="1" applyBorder="1" applyAlignment="1">
      <alignment horizontal="right"/>
    </xf>
    <xf numFmtId="37" fontId="89" fillId="0" borderId="0" xfId="8" applyFont="1" applyBorder="1" applyAlignment="1">
      <alignment horizontal="left"/>
    </xf>
    <xf numFmtId="0" fontId="90" fillId="0" borderId="0" xfId="8" applyNumberFormat="1" applyFont="1" applyBorder="1" applyAlignment="1">
      <alignment horizontal="left"/>
    </xf>
    <xf numFmtId="0" fontId="104" fillId="0" borderId="0" xfId="8" applyNumberFormat="1" applyFont="1" applyBorder="1" applyAlignment="1">
      <alignment horizontal="left"/>
    </xf>
    <xf numFmtId="37" fontId="93" fillId="0" borderId="0" xfId="8" applyNumberFormat="1" applyFont="1" applyBorder="1"/>
    <xf numFmtId="9" fontId="93" fillId="0" borderId="0" xfId="8" applyNumberFormat="1" applyFont="1" applyBorder="1" applyAlignment="1">
      <alignment horizontal="right"/>
    </xf>
    <xf numFmtId="0" fontId="95" fillId="0" borderId="0" xfId="8" applyNumberFormat="1" applyFont="1" applyBorder="1" applyAlignment="1">
      <alignment horizontal="left"/>
    </xf>
    <xf numFmtId="0" fontId="95" fillId="0" borderId="0" xfId="8" applyNumberFormat="1" applyFont="1" applyBorder="1"/>
    <xf numFmtId="0" fontId="95" fillId="0" borderId="0" xfId="8" applyNumberFormat="1" applyFont="1" applyBorder="1" applyAlignment="1">
      <alignment horizontal="right"/>
    </xf>
    <xf numFmtId="0" fontId="141" fillId="0" borderId="0" xfId="8" applyNumberFormat="1" applyFont="1" applyBorder="1" applyAlignment="1">
      <alignment horizontal="left"/>
    </xf>
    <xf numFmtId="0" fontId="141" fillId="0" borderId="0" xfId="8" applyNumberFormat="1" applyFont="1" applyBorder="1"/>
    <xf numFmtId="0" fontId="141" fillId="0" borderId="0" xfId="8" applyNumberFormat="1" applyFont="1" applyBorder="1" applyAlignment="1">
      <alignment horizontal="right"/>
    </xf>
    <xf numFmtId="0" fontId="118" fillId="0" borderId="0" xfId="8" applyNumberFormat="1" applyFont="1" applyBorder="1" applyAlignment="1">
      <alignment horizontal="left"/>
    </xf>
    <xf numFmtId="37" fontId="89" fillId="0" borderId="0" xfId="8" applyFont="1" applyFill="1" applyBorder="1" applyAlignment="1">
      <alignment horizontal="right"/>
    </xf>
    <xf numFmtId="0" fontId="118" fillId="0" borderId="0" xfId="8" applyNumberFormat="1" applyFont="1" applyBorder="1" applyAlignment="1">
      <alignment horizontal="right"/>
    </xf>
    <xf numFmtId="0" fontId="127" fillId="0" borderId="0" xfId="8" applyNumberFormat="1" applyFont="1" applyBorder="1" applyAlignment="1">
      <alignment horizontal="right"/>
    </xf>
    <xf numFmtId="166" fontId="118" fillId="22" borderId="0" xfId="8" applyNumberFormat="1" applyFont="1" applyFill="1" applyBorder="1"/>
    <xf numFmtId="166" fontId="118" fillId="0" borderId="0" xfId="8" applyNumberFormat="1" applyFont="1" applyBorder="1"/>
    <xf numFmtId="9" fontId="127" fillId="0" borderId="0" xfId="8" applyNumberFormat="1" applyFont="1" applyBorder="1" applyAlignment="1">
      <alignment horizontal="right"/>
    </xf>
    <xf numFmtId="9" fontId="127" fillId="0" borderId="0" xfId="23" applyFont="1" applyBorder="1" applyAlignment="1">
      <alignment horizontal="right"/>
    </xf>
    <xf numFmtId="0" fontId="150" fillId="0" borderId="0" xfId="8" applyNumberFormat="1" applyFont="1" applyBorder="1" applyAlignment="1">
      <alignment horizontal="left"/>
    </xf>
    <xf numFmtId="0" fontId="150" fillId="0" borderId="0" xfId="8" applyNumberFormat="1" applyFont="1" applyBorder="1" applyAlignment="1">
      <alignment horizontal="right"/>
    </xf>
    <xf numFmtId="0" fontId="150" fillId="0" borderId="0" xfId="8" applyNumberFormat="1" applyFont="1" applyBorder="1"/>
    <xf numFmtId="37" fontId="95" fillId="0" borderId="0" xfId="8" applyFont="1" applyBorder="1"/>
    <xf numFmtId="37" fontId="129" fillId="0" borderId="0" xfId="6" applyNumberFormat="1" applyFont="1" applyBorder="1" applyAlignment="1" applyProtection="1">
      <alignment horizontal="left"/>
    </xf>
    <xf numFmtId="0" fontId="93" fillId="48" borderId="0" xfId="8" applyNumberFormat="1" applyFont="1" applyFill="1" applyBorder="1" applyAlignment="1">
      <alignment horizontal="left"/>
    </xf>
    <xf numFmtId="0" fontId="93" fillId="48" borderId="0" xfId="8" applyNumberFormat="1" applyFont="1" applyFill="1" applyBorder="1"/>
    <xf numFmtId="0" fontId="93" fillId="48" borderId="0" xfId="8" applyNumberFormat="1" applyFont="1" applyFill="1" applyBorder="1" applyAlignment="1">
      <alignment horizontal="right"/>
    </xf>
    <xf numFmtId="0" fontId="123" fillId="47" borderId="0" xfId="8" applyNumberFormat="1" applyFont="1" applyFill="1" applyBorder="1" applyAlignment="1">
      <alignment horizontal="left"/>
    </xf>
    <xf numFmtId="0" fontId="123" fillId="47" borderId="0" xfId="8" applyNumberFormat="1" applyFont="1" applyFill="1" applyBorder="1"/>
    <xf numFmtId="0" fontId="91" fillId="47" borderId="0" xfId="8" applyNumberFormat="1" applyFont="1" applyFill="1" applyBorder="1" applyAlignment="1">
      <alignment horizontal="left"/>
    </xf>
    <xf numFmtId="0" fontId="123" fillId="48" borderId="0" xfId="8" applyNumberFormat="1" applyFont="1" applyFill="1" applyBorder="1" applyAlignment="1">
      <alignment horizontal="left"/>
    </xf>
    <xf numFmtId="0" fontId="123" fillId="48" borderId="0" xfId="8" applyNumberFormat="1" applyFont="1" applyFill="1" applyBorder="1"/>
    <xf numFmtId="0" fontId="118" fillId="48" borderId="0" xfId="8" applyNumberFormat="1" applyFont="1" applyFill="1" applyBorder="1" applyAlignment="1">
      <alignment horizontal="left"/>
    </xf>
    <xf numFmtId="0" fontId="118" fillId="48" borderId="0" xfId="8" applyNumberFormat="1" applyFont="1" applyFill="1" applyBorder="1"/>
    <xf numFmtId="0" fontId="118" fillId="48" borderId="0" xfId="8" applyNumberFormat="1" applyFont="1" applyFill="1" applyBorder="1" applyAlignment="1">
      <alignment horizontal="right"/>
    </xf>
    <xf numFmtId="0" fontId="127" fillId="48" borderId="0" xfId="8" applyNumberFormat="1" applyFont="1" applyFill="1" applyBorder="1" applyAlignment="1">
      <alignment horizontal="right"/>
    </xf>
    <xf numFmtId="37" fontId="96" fillId="47" borderId="0" xfId="8" applyFont="1" applyFill="1" applyBorder="1"/>
    <xf numFmtId="37" fontId="116" fillId="47" borderId="0" xfId="8" applyFont="1" applyFill="1" applyBorder="1"/>
    <xf numFmtId="37" fontId="116" fillId="47" borderId="0" xfId="8" applyFont="1" applyFill="1" applyBorder="1" applyAlignment="1">
      <alignment horizontal="right"/>
    </xf>
    <xf numFmtId="9" fontId="105" fillId="0" borderId="0" xfId="23" applyFont="1" applyFill="1" applyBorder="1"/>
    <xf numFmtId="9" fontId="90" fillId="0" borderId="0" xfId="23" applyFont="1" applyBorder="1"/>
    <xf numFmtId="1" fontId="101" fillId="0" borderId="0" xfId="15" applyNumberFormat="1" applyFont="1" applyBorder="1" applyAlignment="1">
      <alignment horizontal="left"/>
    </xf>
    <xf numFmtId="0" fontId="89" fillId="0" borderId="0" xfId="15" applyFont="1" applyBorder="1"/>
    <xf numFmtId="0" fontId="89" fillId="0" borderId="0" xfId="15" applyFont="1" applyBorder="1" applyAlignment="1">
      <alignment horizontal="left"/>
    </xf>
    <xf numFmtId="0" fontId="89" fillId="8" borderId="0" xfId="15" applyFont="1" applyFill="1" applyBorder="1" applyAlignment="1">
      <alignment horizontal="left"/>
    </xf>
    <xf numFmtId="0" fontId="89" fillId="0" borderId="0" xfId="15" applyFont="1"/>
    <xf numFmtId="1" fontId="93" fillId="0" borderId="0" xfId="15" applyNumberFormat="1" applyFont="1" applyBorder="1" applyAlignment="1">
      <alignment horizontal="left"/>
    </xf>
    <xf numFmtId="0" fontId="93" fillId="0" borderId="0" xfId="15" applyFont="1" applyBorder="1"/>
    <xf numFmtId="0" fontId="93" fillId="0" borderId="0" xfId="15" applyFont="1" applyBorder="1" applyAlignment="1">
      <alignment horizontal="left"/>
    </xf>
    <xf numFmtId="0" fontId="93" fillId="8" borderId="0" xfId="15" applyFont="1" applyFill="1" applyBorder="1" applyAlignment="1">
      <alignment horizontal="left"/>
    </xf>
    <xf numFmtId="0" fontId="93" fillId="0" borderId="0" xfId="15" applyFont="1"/>
    <xf numFmtId="0" fontId="93" fillId="0" borderId="0" xfId="15" applyFont="1" applyAlignment="1">
      <alignment horizontal="left"/>
    </xf>
    <xf numFmtId="0" fontId="105" fillId="0" borderId="0" xfId="15" applyFont="1" applyFill="1" applyBorder="1" applyAlignment="1">
      <alignment horizontal="right"/>
    </xf>
    <xf numFmtId="0" fontId="93" fillId="0" borderId="0" xfId="15" applyFont="1" applyFill="1"/>
    <xf numFmtId="0" fontId="106" fillId="0" borderId="0" xfId="15" applyFont="1" applyFill="1" applyBorder="1" applyAlignment="1">
      <alignment horizontal="right"/>
    </xf>
    <xf numFmtId="0" fontId="105" fillId="0" borderId="0" xfId="15" applyFont="1" applyFill="1" applyBorder="1" applyAlignment="1">
      <alignment horizontal="left"/>
    </xf>
    <xf numFmtId="3" fontId="93" fillId="0" borderId="0" xfId="15" applyNumberFormat="1" applyFont="1" applyBorder="1" applyAlignment="1">
      <alignment horizontal="right"/>
    </xf>
    <xf numFmtId="0" fontId="93" fillId="0" borderId="0" xfId="15" applyNumberFormat="1" applyFont="1" applyBorder="1" applyAlignment="1">
      <alignment horizontal="right"/>
    </xf>
    <xf numFmtId="3" fontId="93" fillId="0" borderId="0" xfId="15" applyNumberFormat="1" applyFont="1" applyBorder="1"/>
    <xf numFmtId="0" fontId="93" fillId="8" borderId="0" xfId="15" applyNumberFormat="1" applyFont="1" applyFill="1" applyBorder="1" applyAlignment="1">
      <alignment horizontal="left"/>
    </xf>
    <xf numFmtId="1" fontId="89" fillId="0" borderId="0" xfId="15" applyNumberFormat="1" applyFont="1" applyBorder="1"/>
    <xf numFmtId="0" fontId="89" fillId="0" borderId="0" xfId="15" applyNumberFormat="1" applyFont="1" applyBorder="1" applyAlignment="1">
      <alignment wrapText="1"/>
    </xf>
    <xf numFmtId="0" fontId="95" fillId="0" borderId="0" xfId="15" applyNumberFormat="1" applyFont="1" applyBorder="1" applyAlignment="1">
      <alignment wrapText="1"/>
    </xf>
    <xf numFmtId="0" fontId="95" fillId="0" borderId="0" xfId="15" applyNumberFormat="1" applyFont="1" applyBorder="1" applyAlignment="1">
      <alignment horizontal="left" wrapText="1"/>
    </xf>
    <xf numFmtId="0" fontId="95" fillId="0" borderId="0" xfId="15" applyFont="1" applyBorder="1" applyAlignment="1">
      <alignment horizontal="left"/>
    </xf>
    <xf numFmtId="0" fontId="95" fillId="8" borderId="0" xfId="15" applyFont="1" applyFill="1" applyBorder="1" applyAlignment="1">
      <alignment horizontal="left"/>
    </xf>
    <xf numFmtId="0" fontId="152" fillId="0" borderId="0" xfId="15" applyNumberFormat="1" applyFont="1" applyBorder="1" applyAlignment="1">
      <alignment horizontal="left" wrapText="1"/>
    </xf>
    <xf numFmtId="0" fontId="152" fillId="8" borderId="0" xfId="15" applyNumberFormat="1" applyFont="1" applyFill="1" applyBorder="1" applyAlignment="1">
      <alignment horizontal="left" wrapText="1"/>
    </xf>
    <xf numFmtId="0" fontId="152" fillId="0" borderId="0" xfId="15" applyFont="1" applyBorder="1"/>
    <xf numFmtId="1" fontId="89" fillId="0" borderId="0" xfId="15" applyNumberFormat="1" applyFont="1" applyBorder="1" applyAlignment="1">
      <alignment horizontal="left"/>
    </xf>
    <xf numFmtId="0" fontId="89" fillId="0" borderId="0" xfId="15" applyNumberFormat="1" applyFont="1" applyBorder="1" applyAlignment="1">
      <alignment horizontal="right"/>
    </xf>
    <xf numFmtId="0" fontId="95" fillId="0" borderId="0" xfId="15" applyNumberFormat="1" applyFont="1" applyBorder="1" applyAlignment="1">
      <alignment horizontal="right"/>
    </xf>
    <xf numFmtId="0" fontId="95" fillId="0" borderId="0" xfId="15" applyNumberFormat="1" applyFont="1" applyBorder="1" applyAlignment="1">
      <alignment horizontal="left"/>
    </xf>
    <xf numFmtId="0" fontId="95" fillId="8" borderId="0" xfId="15" applyNumberFormat="1" applyFont="1" applyFill="1" applyBorder="1" applyAlignment="1">
      <alignment horizontal="left"/>
    </xf>
    <xf numFmtId="0" fontId="152" fillId="0" borderId="0" xfId="15" applyNumberFormat="1" applyFont="1" applyBorder="1" applyAlignment="1">
      <alignment horizontal="left"/>
    </xf>
    <xf numFmtId="0" fontId="152" fillId="8" borderId="0" xfId="15" applyNumberFormat="1" applyFont="1" applyFill="1" applyBorder="1" applyAlignment="1">
      <alignment horizontal="left"/>
    </xf>
    <xf numFmtId="1" fontId="100" fillId="0" borderId="0" xfId="15" applyNumberFormat="1" applyFont="1" applyBorder="1"/>
    <xf numFmtId="0" fontId="95" fillId="0" borderId="0" xfId="15" applyFont="1" applyBorder="1"/>
    <xf numFmtId="0" fontId="152" fillId="0" borderId="0" xfId="15" applyFont="1" applyBorder="1" applyAlignment="1">
      <alignment horizontal="left"/>
    </xf>
    <xf numFmtId="0" fontId="152" fillId="8" borderId="0" xfId="15" applyFont="1" applyFill="1" applyBorder="1" applyAlignment="1">
      <alignment horizontal="left"/>
    </xf>
    <xf numFmtId="1" fontId="89" fillId="0" borderId="0" xfId="15" applyNumberFormat="1" applyFont="1"/>
    <xf numFmtId="0" fontId="152" fillId="0" borderId="0" xfId="15" applyFont="1"/>
    <xf numFmtId="1" fontId="105" fillId="0" borderId="0" xfId="15" applyNumberFormat="1" applyFont="1" applyBorder="1" applyAlignment="1">
      <alignment horizontal="left"/>
    </xf>
    <xf numFmtId="1" fontId="93" fillId="0" borderId="0" xfId="15" applyNumberFormat="1" applyFont="1" applyBorder="1"/>
    <xf numFmtId="1" fontId="105" fillId="0" borderId="0" xfId="15" applyNumberFormat="1" applyFont="1" applyFill="1" applyBorder="1" applyAlignment="1">
      <alignment horizontal="left"/>
    </xf>
    <xf numFmtId="3" fontId="93" fillId="0" borderId="0" xfId="15" applyNumberFormat="1" applyFont="1" applyFill="1" applyBorder="1" applyAlignment="1">
      <alignment horizontal="right"/>
    </xf>
    <xf numFmtId="0" fontId="93" fillId="0" borderId="0" xfId="15" applyFont="1" applyFill="1" applyBorder="1"/>
    <xf numFmtId="9" fontId="93" fillId="8" borderId="0" xfId="23" applyFont="1" applyFill="1" applyBorder="1" applyAlignment="1">
      <alignment horizontal="left"/>
    </xf>
    <xf numFmtId="166" fontId="93" fillId="8" borderId="0" xfId="23" applyNumberFormat="1" applyFont="1" applyFill="1" applyBorder="1" applyAlignment="1">
      <alignment horizontal="left"/>
    </xf>
    <xf numFmtId="9" fontId="93" fillId="36" borderId="0" xfId="23" applyFont="1" applyFill="1" applyBorder="1" applyAlignment="1">
      <alignment horizontal="left"/>
    </xf>
    <xf numFmtId="9" fontId="93" fillId="37" borderId="0" xfId="23" applyFont="1" applyFill="1" applyBorder="1" applyAlignment="1">
      <alignment horizontal="left"/>
    </xf>
    <xf numFmtId="9" fontId="93" fillId="38" borderId="0" xfId="23" applyFont="1" applyFill="1" applyBorder="1" applyAlignment="1">
      <alignment horizontal="left"/>
    </xf>
    <xf numFmtId="9" fontId="93" fillId="39" borderId="0" xfId="23" applyNumberFormat="1" applyFont="1" applyFill="1" applyBorder="1" applyAlignment="1">
      <alignment horizontal="left"/>
    </xf>
    <xf numFmtId="9" fontId="93" fillId="39" borderId="0" xfId="23" applyFont="1" applyFill="1" applyBorder="1" applyAlignment="1">
      <alignment horizontal="left"/>
    </xf>
    <xf numFmtId="1" fontId="100" fillId="0" borderId="0" xfId="0" applyNumberFormat="1" applyFont="1" applyBorder="1"/>
    <xf numFmtId="1" fontId="105" fillId="48" borderId="0" xfId="15" applyNumberFormat="1" applyFont="1" applyFill="1" applyBorder="1" applyAlignment="1">
      <alignment horizontal="left"/>
    </xf>
    <xf numFmtId="1" fontId="93" fillId="48" borderId="0" xfId="15" applyNumberFormat="1" applyFont="1" applyFill="1" applyBorder="1" applyAlignment="1">
      <alignment horizontal="left"/>
    </xf>
    <xf numFmtId="0" fontId="93" fillId="48" borderId="0" xfId="15" applyFont="1" applyFill="1" applyBorder="1"/>
    <xf numFmtId="1" fontId="108" fillId="47" borderId="0" xfId="15" applyNumberFormat="1" applyFont="1" applyFill="1" applyBorder="1"/>
    <xf numFmtId="0" fontId="119" fillId="47" borderId="0" xfId="15" applyFont="1" applyFill="1" applyBorder="1"/>
    <xf numFmtId="0" fontId="119" fillId="47" borderId="0" xfId="15" applyFont="1" applyFill="1" applyBorder="1" applyAlignment="1">
      <alignment horizontal="left"/>
    </xf>
    <xf numFmtId="0" fontId="89" fillId="48" borderId="0" xfId="15" applyFont="1" applyFill="1" applyBorder="1"/>
    <xf numFmtId="0" fontId="93" fillId="48" borderId="0" xfId="15" applyNumberFormat="1" applyFont="1" applyFill="1" applyBorder="1" applyAlignment="1">
      <alignment horizontal="right"/>
    </xf>
    <xf numFmtId="9" fontId="93" fillId="48" borderId="0" xfId="23" applyFont="1" applyFill="1" applyBorder="1" applyAlignment="1">
      <alignment horizontal="left"/>
    </xf>
    <xf numFmtId="0" fontId="93" fillId="48" borderId="0" xfId="15" applyNumberFormat="1" applyFont="1" applyFill="1" applyBorder="1" applyAlignment="1">
      <alignment horizontal="left"/>
    </xf>
    <xf numFmtId="0" fontId="105" fillId="48" borderId="0" xfId="15" applyFont="1" applyFill="1" applyBorder="1" applyAlignment="1">
      <alignment horizontal="left"/>
    </xf>
    <xf numFmtId="3" fontId="93" fillId="48" borderId="0" xfId="15" applyNumberFormat="1" applyFont="1" applyFill="1" applyBorder="1" applyAlignment="1">
      <alignment horizontal="right"/>
    </xf>
    <xf numFmtId="0" fontId="93" fillId="48" borderId="0" xfId="15" applyFont="1" applyFill="1" applyBorder="1" applyAlignment="1">
      <alignment horizontal="left"/>
    </xf>
    <xf numFmtId="0" fontId="106" fillId="48" borderId="0" xfId="15" applyFont="1" applyFill="1" applyBorder="1" applyAlignment="1">
      <alignment horizontal="left"/>
    </xf>
    <xf numFmtId="166" fontId="93" fillId="53" borderId="0" xfId="23" applyNumberFormat="1" applyFont="1" applyFill="1" applyBorder="1" applyAlignment="1">
      <alignment horizontal="left"/>
    </xf>
    <xf numFmtId="9" fontId="93" fillId="53" borderId="0" xfId="23" applyFont="1" applyFill="1" applyBorder="1" applyAlignment="1">
      <alignment horizontal="left"/>
    </xf>
    <xf numFmtId="37" fontId="119" fillId="63" borderId="18" xfId="0" applyFont="1" applyFill="1" applyBorder="1" applyAlignment="1">
      <alignment horizontal="right"/>
    </xf>
    <xf numFmtId="0" fontId="93" fillId="0" borderId="0" xfId="20" applyFont="1"/>
    <xf numFmtId="37" fontId="104" fillId="0" borderId="0" xfId="18" applyFont="1" applyBorder="1" applyAlignment="1">
      <alignment horizontal="left"/>
    </xf>
    <xf numFmtId="37" fontId="90" fillId="0" borderId="0" xfId="18" applyFont="1" applyBorder="1" applyAlignment="1">
      <alignment horizontal="left" wrapText="1"/>
    </xf>
    <xf numFmtId="0" fontId="93" fillId="0" borderId="0" xfId="20" applyFont="1" applyBorder="1"/>
    <xf numFmtId="37" fontId="93" fillId="0" borderId="0" xfId="18" applyFont="1" applyBorder="1"/>
    <xf numFmtId="0" fontId="93" fillId="0" borderId="0" xfId="20" applyFont="1" applyAlignment="1">
      <alignment horizontal="right"/>
    </xf>
    <xf numFmtId="0" fontId="105" fillId="0" borderId="0" xfId="20" applyFont="1"/>
    <xf numFmtId="37" fontId="105" fillId="0" borderId="0" xfId="18" applyFont="1" applyBorder="1" applyAlignment="1">
      <alignment horizontal="left"/>
    </xf>
    <xf numFmtId="37" fontId="93" fillId="0" borderId="0" xfId="18" applyFont="1" applyBorder="1" applyAlignment="1">
      <alignment horizontal="right"/>
    </xf>
    <xf numFmtId="0" fontId="93" fillId="0" borderId="0" xfId="20" applyFont="1" applyBorder="1" applyAlignment="1">
      <alignment horizontal="right"/>
    </xf>
    <xf numFmtId="9" fontId="105" fillId="0" borderId="0" xfId="20" applyNumberFormat="1" applyFont="1" applyBorder="1" applyAlignment="1">
      <alignment horizontal="right"/>
    </xf>
    <xf numFmtId="9" fontId="93" fillId="0" borderId="0" xfId="20" applyNumberFormat="1" applyFont="1" applyBorder="1" applyAlignment="1">
      <alignment horizontal="right"/>
    </xf>
    <xf numFmtId="0" fontId="93" fillId="0" borderId="0" xfId="18" applyNumberFormat="1" applyFont="1" applyBorder="1" applyAlignment="1">
      <alignment horizontal="left"/>
    </xf>
    <xf numFmtId="0" fontId="105" fillId="0" borderId="0" xfId="18" applyNumberFormat="1" applyFont="1" applyBorder="1" applyAlignment="1">
      <alignment horizontal="left"/>
    </xf>
    <xf numFmtId="0" fontId="95" fillId="0" borderId="0" xfId="20" applyFont="1"/>
    <xf numFmtId="0" fontId="105" fillId="0" borderId="0" xfId="20" applyFont="1" applyBorder="1"/>
    <xf numFmtId="9" fontId="93" fillId="0" borderId="0" xfId="20" applyNumberFormat="1" applyFont="1" applyBorder="1"/>
    <xf numFmtId="9" fontId="105" fillId="0" borderId="0" xfId="20" applyNumberFormat="1" applyFont="1" applyBorder="1"/>
    <xf numFmtId="37" fontId="95" fillId="0" borderId="0" xfId="18" applyFont="1" applyBorder="1" applyAlignment="1">
      <alignment horizontal="left"/>
    </xf>
    <xf numFmtId="37" fontId="95" fillId="0" borderId="0" xfId="18" applyFont="1" applyBorder="1"/>
    <xf numFmtId="0" fontId="95" fillId="0" borderId="0" xfId="20" applyFont="1" applyBorder="1"/>
    <xf numFmtId="0" fontId="93" fillId="48" borderId="0" xfId="20" applyFont="1" applyFill="1" applyBorder="1"/>
    <xf numFmtId="37" fontId="93" fillId="48" borderId="0" xfId="18" applyFont="1" applyFill="1" applyBorder="1"/>
    <xf numFmtId="37" fontId="105" fillId="48" borderId="0" xfId="18" applyFont="1" applyFill="1" applyBorder="1"/>
    <xf numFmtId="0" fontId="93" fillId="48" borderId="0" xfId="20" applyFont="1" applyFill="1" applyBorder="1" applyAlignment="1">
      <alignment horizontal="right"/>
    </xf>
    <xf numFmtId="37" fontId="105" fillId="48" borderId="0" xfId="18" applyFont="1" applyFill="1" applyBorder="1" applyAlignment="1">
      <alignment horizontal="left"/>
    </xf>
    <xf numFmtId="37" fontId="93" fillId="48" borderId="0" xfId="18" applyFont="1" applyFill="1" applyBorder="1" applyAlignment="1">
      <alignment horizontal="right"/>
    </xf>
    <xf numFmtId="0" fontId="93" fillId="48" borderId="0" xfId="20" applyFont="1" applyFill="1"/>
    <xf numFmtId="9" fontId="93" fillId="48" borderId="0" xfId="23" applyFont="1" applyFill="1" applyBorder="1"/>
    <xf numFmtId="37" fontId="105" fillId="52" borderId="18" xfId="0" applyFont="1" applyFill="1" applyBorder="1"/>
    <xf numFmtId="37" fontId="90" fillId="0" borderId="0" xfId="0" applyFont="1" applyFill="1" applyBorder="1"/>
    <xf numFmtId="9" fontId="90" fillId="0" borderId="0" xfId="23" applyFont="1" applyFill="1" applyBorder="1"/>
    <xf numFmtId="37" fontId="105" fillId="0" borderId="18" xfId="0" applyFont="1" applyFill="1" applyBorder="1"/>
    <xf numFmtId="37" fontId="90" fillId="61" borderId="0" xfId="0" applyFont="1" applyFill="1" applyBorder="1"/>
    <xf numFmtId="0" fontId="89" fillId="61" borderId="0" xfId="0" applyNumberFormat="1" applyFont="1" applyFill="1" applyBorder="1"/>
    <xf numFmtId="37" fontId="89" fillId="0" borderId="0" xfId="0" applyFont="1" applyFill="1" applyBorder="1" applyAlignment="1">
      <alignment horizontal="left" wrapText="1"/>
    </xf>
    <xf numFmtId="37" fontId="89" fillId="0" borderId="0" xfId="0" applyFont="1" applyFill="1" applyBorder="1" applyAlignment="1">
      <alignment horizontal="right" wrapText="1"/>
    </xf>
    <xf numFmtId="165" fontId="89" fillId="0" borderId="0" xfId="0" applyNumberFormat="1" applyFont="1" applyFill="1" applyBorder="1" applyAlignment="1">
      <alignment horizontal="right" wrapText="1"/>
    </xf>
    <xf numFmtId="166" fontId="89" fillId="0" borderId="0" xfId="0" applyNumberFormat="1" applyFont="1" applyFill="1" applyBorder="1" applyAlignment="1">
      <alignment horizontal="right" wrapText="1"/>
    </xf>
    <xf numFmtId="37" fontId="89" fillId="0" borderId="0" xfId="0" applyFont="1" applyFill="1" applyBorder="1" applyAlignment="1" applyProtection="1">
      <protection locked="0"/>
    </xf>
    <xf numFmtId="37" fontId="89" fillId="0" borderId="0" xfId="0" applyFont="1" applyFill="1" applyBorder="1" applyAlignment="1" applyProtection="1">
      <alignment horizontal="left"/>
      <protection locked="0"/>
    </xf>
    <xf numFmtId="37" fontId="143" fillId="0" borderId="0" xfId="0" applyFont="1" applyFill="1" applyBorder="1" applyAlignment="1">
      <alignment horizontal="left" wrapText="1"/>
    </xf>
    <xf numFmtId="37" fontId="143" fillId="0" borderId="0" xfId="0" applyFont="1" applyFill="1" applyBorder="1" applyAlignment="1">
      <alignment horizontal="right" wrapText="1"/>
    </xf>
    <xf numFmtId="3" fontId="89" fillId="0" borderId="0" xfId="0" applyNumberFormat="1" applyFont="1" applyBorder="1"/>
    <xf numFmtId="37" fontId="89" fillId="0" borderId="0" xfId="0" applyFont="1" applyBorder="1" applyAlignment="1">
      <alignment horizontal="left" wrapText="1"/>
    </xf>
    <xf numFmtId="37" fontId="93" fillId="10" borderId="0" xfId="0" applyFont="1" applyFill="1" applyBorder="1"/>
    <xf numFmtId="37" fontId="105" fillId="0" borderId="0" xfId="0" applyFont="1" applyBorder="1" applyAlignment="1">
      <alignment horizontal="left"/>
    </xf>
    <xf numFmtId="37" fontId="105" fillId="0" borderId="0" xfId="0" applyFont="1" applyFill="1" applyBorder="1" applyAlignment="1">
      <alignment horizontal="left" wrapText="1"/>
    </xf>
    <xf numFmtId="0" fontId="105" fillId="10" borderId="0" xfId="0" applyNumberFormat="1" applyFont="1" applyFill="1" applyBorder="1" applyAlignment="1">
      <alignment horizontal="left"/>
    </xf>
    <xf numFmtId="0" fontId="105" fillId="10" borderId="0" xfId="0" applyNumberFormat="1" applyFont="1" applyFill="1" applyBorder="1"/>
    <xf numFmtId="37" fontId="105" fillId="10" borderId="0" xfId="0" applyFont="1" applyFill="1" applyBorder="1" applyAlignment="1">
      <alignment horizontal="right" wrapText="1"/>
    </xf>
    <xf numFmtId="37" fontId="93" fillId="0" borderId="0" xfId="0" applyFont="1" applyFill="1" applyBorder="1" applyAlignment="1">
      <alignment horizontal="left" wrapText="1"/>
    </xf>
    <xf numFmtId="0" fontId="93" fillId="10" borderId="0" xfId="0" applyNumberFormat="1" applyFont="1" applyFill="1" applyBorder="1"/>
    <xf numFmtId="37" fontId="93" fillId="10" borderId="0" xfId="0" applyFont="1" applyFill="1" applyBorder="1" applyAlignment="1">
      <alignment horizontal="right" wrapText="1"/>
    </xf>
    <xf numFmtId="37" fontId="107" fillId="0" borderId="0" xfId="0" applyFont="1" applyFill="1"/>
    <xf numFmtId="37" fontId="118" fillId="0" borderId="0" xfId="0" applyFont="1" applyFill="1"/>
    <xf numFmtId="165" fontId="93" fillId="10" borderId="0" xfId="0" applyNumberFormat="1" applyFont="1" applyFill="1" applyBorder="1" applyAlignment="1">
      <alignment horizontal="right" wrapText="1"/>
    </xf>
    <xf numFmtId="166" fontId="93" fillId="10" borderId="0" xfId="0" applyNumberFormat="1" applyFont="1" applyFill="1" applyBorder="1" applyAlignment="1">
      <alignment horizontal="right" wrapText="1"/>
    </xf>
    <xf numFmtId="37" fontId="107" fillId="0" borderId="0" xfId="0" applyFont="1" applyFill="1" applyBorder="1" applyAlignment="1">
      <alignment horizontal="left"/>
    </xf>
    <xf numFmtId="37" fontId="118" fillId="0" borderId="0" xfId="0" applyFont="1" applyFill="1" applyBorder="1" applyAlignment="1">
      <alignment horizontal="left"/>
    </xf>
    <xf numFmtId="0" fontId="93" fillId="10" borderId="0" xfId="0" applyNumberFormat="1" applyFont="1" applyFill="1" applyBorder="1" applyAlignment="1">
      <alignment horizontal="right"/>
    </xf>
    <xf numFmtId="3" fontId="93" fillId="10" borderId="0" xfId="0" applyNumberFormat="1" applyFont="1" applyFill="1" applyBorder="1" applyAlignment="1">
      <alignment horizontal="right"/>
    </xf>
    <xf numFmtId="0" fontId="105" fillId="0" borderId="0" xfId="0" applyNumberFormat="1" applyFont="1" applyFill="1" applyBorder="1" applyAlignment="1">
      <alignment horizontal="left"/>
    </xf>
    <xf numFmtId="0" fontId="105" fillId="8" borderId="0" xfId="0" applyNumberFormat="1" applyFont="1" applyFill="1" applyBorder="1" applyAlignment="1">
      <alignment horizontal="left"/>
    </xf>
    <xf numFmtId="0" fontId="93" fillId="8" borderId="0" xfId="0" applyNumberFormat="1" applyFont="1" applyFill="1" applyBorder="1" applyAlignment="1">
      <alignment horizontal="left"/>
    </xf>
    <xf numFmtId="37" fontId="93" fillId="10" borderId="0" xfId="0" applyFont="1" applyFill="1" applyBorder="1" applyAlignment="1">
      <alignment horizontal="left"/>
    </xf>
    <xf numFmtId="37" fontId="107" fillId="8" borderId="0" xfId="0" applyFont="1" applyFill="1" applyBorder="1" applyAlignment="1">
      <alignment horizontal="left"/>
    </xf>
    <xf numFmtId="37" fontId="118" fillId="8" borderId="0" xfId="0" applyFont="1" applyFill="1" applyBorder="1" applyAlignment="1">
      <alignment horizontal="left"/>
    </xf>
    <xf numFmtId="37" fontId="116" fillId="8" borderId="0" xfId="0" applyFont="1" applyFill="1" applyBorder="1" applyAlignment="1">
      <alignment horizontal="center"/>
    </xf>
    <xf numFmtId="0" fontId="93" fillId="8" borderId="0" xfId="0" applyNumberFormat="1" applyFont="1" applyFill="1" applyBorder="1" applyAlignment="1">
      <alignment horizontal="right"/>
    </xf>
    <xf numFmtId="165" fontId="93" fillId="8" borderId="0" xfId="0" applyNumberFormat="1" applyFont="1" applyFill="1" applyBorder="1" applyAlignment="1">
      <alignment horizontal="right" wrapText="1"/>
    </xf>
    <xf numFmtId="166" fontId="93" fillId="8" borderId="0" xfId="0" applyNumberFormat="1" applyFont="1" applyFill="1" applyBorder="1" applyAlignment="1">
      <alignment horizontal="right" wrapText="1"/>
    </xf>
    <xf numFmtId="37" fontId="93" fillId="0" borderId="0" xfId="0" applyFont="1" applyFill="1" applyBorder="1" applyAlignment="1">
      <alignment horizontal="right" wrapText="1"/>
    </xf>
    <xf numFmtId="165" fontId="93" fillId="0" borderId="0" xfId="0" applyNumberFormat="1" applyFont="1" applyFill="1" applyBorder="1" applyAlignment="1">
      <alignment horizontal="right" wrapText="1"/>
    </xf>
    <xf numFmtId="166" fontId="93" fillId="0" borderId="0" xfId="0" applyNumberFormat="1" applyFont="1" applyFill="1" applyBorder="1" applyAlignment="1">
      <alignment horizontal="right" wrapText="1"/>
    </xf>
    <xf numFmtId="37" fontId="93" fillId="0" borderId="0" xfId="0" applyFont="1" applyFill="1" applyBorder="1" applyAlignment="1">
      <alignment horizontal="left"/>
    </xf>
    <xf numFmtId="0" fontId="105" fillId="0" borderId="0" xfId="7" applyFont="1"/>
    <xf numFmtId="37" fontId="93" fillId="0" borderId="0" xfId="0" applyFont="1" applyFill="1" applyBorder="1" applyAlignment="1" applyProtection="1">
      <protection locked="0"/>
    </xf>
    <xf numFmtId="0" fontId="105" fillId="0" borderId="0" xfId="0" applyNumberFormat="1" applyFont="1" applyBorder="1" applyAlignment="1">
      <alignment horizontal="right"/>
    </xf>
    <xf numFmtId="0" fontId="93" fillId="0" borderId="0" xfId="7" applyFont="1"/>
    <xf numFmtId="37" fontId="116" fillId="0" borderId="0" xfId="0" applyFont="1" applyBorder="1" applyAlignment="1">
      <alignment horizontal="center"/>
    </xf>
    <xf numFmtId="0" fontId="105" fillId="10" borderId="0" xfId="0" applyNumberFormat="1" applyFont="1" applyFill="1" applyBorder="1" applyAlignment="1">
      <alignment horizontal="right"/>
    </xf>
    <xf numFmtId="37" fontId="107" fillId="0" borderId="0" xfId="0" applyFont="1" applyFill="1" applyBorder="1"/>
    <xf numFmtId="37" fontId="116" fillId="40" borderId="0" xfId="0" applyFont="1" applyFill="1" applyBorder="1" applyAlignment="1">
      <alignment horizontal="center"/>
    </xf>
    <xf numFmtId="166" fontId="105" fillId="0" borderId="0" xfId="0" applyNumberFormat="1" applyFont="1" applyFill="1" applyBorder="1" applyAlignment="1">
      <alignment horizontal="left" wrapText="1"/>
    </xf>
    <xf numFmtId="166" fontId="93" fillId="0" borderId="0" xfId="0" applyNumberFormat="1" applyFont="1" applyFill="1" applyBorder="1" applyAlignment="1">
      <alignment horizontal="left" wrapText="1"/>
    </xf>
    <xf numFmtId="37" fontId="116" fillId="14" borderId="0" xfId="0" applyFont="1" applyFill="1" applyBorder="1" applyAlignment="1">
      <alignment horizontal="center"/>
    </xf>
    <xf numFmtId="37" fontId="154" fillId="0" borderId="0" xfId="0" applyFont="1" applyFill="1" applyBorder="1" applyAlignment="1">
      <alignment horizontal="left" vertical="top" wrapText="1"/>
    </xf>
    <xf numFmtId="37" fontId="116" fillId="13" borderId="0" xfId="0" applyFont="1" applyFill="1" applyBorder="1" applyAlignment="1">
      <alignment horizontal="center"/>
    </xf>
    <xf numFmtId="37" fontId="155" fillId="0" borderId="0" xfId="0" applyFont="1" applyFill="1" applyBorder="1" applyAlignment="1">
      <alignment horizontal="left" wrapText="1"/>
    </xf>
    <xf numFmtId="37" fontId="116" fillId="11" borderId="0" xfId="0" applyFont="1" applyFill="1" applyBorder="1" applyAlignment="1">
      <alignment horizontal="center"/>
    </xf>
    <xf numFmtId="37" fontId="155" fillId="10" borderId="0" xfId="0" applyFont="1" applyFill="1" applyBorder="1" applyAlignment="1">
      <alignment horizontal="right" wrapText="1"/>
    </xf>
    <xf numFmtId="37" fontId="155" fillId="0" borderId="0" xfId="0" applyFont="1" applyFill="1" applyBorder="1" applyAlignment="1">
      <alignment horizontal="right" wrapText="1"/>
    </xf>
    <xf numFmtId="0" fontId="105" fillId="0" borderId="0" xfId="7" applyFont="1" applyBorder="1"/>
    <xf numFmtId="0" fontId="93" fillId="0" borderId="0" xfId="7" applyFont="1" applyBorder="1"/>
    <xf numFmtId="37" fontId="116" fillId="0" borderId="0" xfId="0" applyFont="1" applyFill="1" applyBorder="1" applyAlignment="1">
      <alignment horizontal="center"/>
    </xf>
    <xf numFmtId="37" fontId="116" fillId="48" borderId="0" xfId="0" applyFont="1" applyFill="1" applyBorder="1" applyAlignment="1">
      <alignment horizontal="center"/>
    </xf>
    <xf numFmtId="0" fontId="93" fillId="48" borderId="0" xfId="0" applyNumberFormat="1" applyFont="1" applyFill="1" applyBorder="1" applyAlignment="1">
      <alignment horizontal="left"/>
    </xf>
    <xf numFmtId="37" fontId="93" fillId="48" borderId="0" xfId="0" applyFont="1" applyFill="1" applyBorder="1" applyAlignment="1">
      <alignment horizontal="left" wrapText="1"/>
    </xf>
    <xf numFmtId="37" fontId="93" fillId="47" borderId="0" xfId="0" applyFont="1" applyFill="1" applyBorder="1" applyAlignment="1">
      <alignment horizontal="left"/>
    </xf>
    <xf numFmtId="37" fontId="116" fillId="47" borderId="0" xfId="0" applyFont="1" applyFill="1" applyBorder="1" applyAlignment="1">
      <alignment horizontal="center"/>
    </xf>
    <xf numFmtId="37" fontId="119" fillId="50" borderId="18" xfId="0" applyFont="1" applyFill="1" applyBorder="1" applyAlignment="1">
      <alignment horizontal="center"/>
    </xf>
    <xf numFmtId="37" fontId="107" fillId="48" borderId="0" xfId="0" applyFont="1" applyFill="1" applyBorder="1" applyAlignment="1">
      <alignment horizontal="left"/>
    </xf>
    <xf numFmtId="37" fontId="118" fillId="48" borderId="0" xfId="0" applyFont="1" applyFill="1" applyBorder="1" applyAlignment="1">
      <alignment horizontal="left"/>
    </xf>
    <xf numFmtId="165" fontId="93" fillId="48" borderId="0" xfId="0" applyNumberFormat="1" applyFont="1" applyFill="1" applyBorder="1" applyAlignment="1">
      <alignment horizontal="right" wrapText="1"/>
    </xf>
    <xf numFmtId="3" fontId="93" fillId="48" borderId="0" xfId="0" applyNumberFormat="1" applyFont="1" applyFill="1" applyBorder="1" applyAlignment="1">
      <alignment horizontal="right"/>
    </xf>
    <xf numFmtId="166" fontId="93" fillId="48" borderId="0" xfId="0" applyNumberFormat="1" applyFont="1" applyFill="1" applyBorder="1" applyAlignment="1">
      <alignment horizontal="right" wrapText="1"/>
    </xf>
    <xf numFmtId="37" fontId="119" fillId="0" borderId="0" xfId="0" applyFont="1" applyFill="1" applyBorder="1" applyAlignment="1">
      <alignment horizontal="center"/>
    </xf>
    <xf numFmtId="0" fontId="105" fillId="0" borderId="0" xfId="7" applyFont="1" applyFill="1" applyBorder="1"/>
    <xf numFmtId="0" fontId="105" fillId="48" borderId="0" xfId="0" applyNumberFormat="1" applyFont="1" applyFill="1" applyBorder="1" applyAlignment="1">
      <alignment horizontal="left"/>
    </xf>
    <xf numFmtId="0" fontId="105" fillId="0" borderId="0" xfId="9" applyFont="1" applyBorder="1" applyAlignment="1"/>
    <xf numFmtId="10" fontId="107" fillId="0" borderId="0" xfId="9" applyNumberFormat="1" applyFont="1" applyBorder="1"/>
    <xf numFmtId="0" fontId="93" fillId="0" borderId="0" xfId="9" applyFont="1" applyBorder="1"/>
    <xf numFmtId="0" fontId="118" fillId="0" borderId="0" xfId="9" applyFont="1" applyBorder="1"/>
    <xf numFmtId="3" fontId="93" fillId="0" borderId="0" xfId="9" applyNumberFormat="1" applyFont="1" applyBorder="1" applyAlignment="1">
      <alignment horizontal="right"/>
    </xf>
    <xf numFmtId="167" fontId="93" fillId="0" borderId="0" xfId="9" applyNumberFormat="1" applyFont="1" applyBorder="1" applyAlignment="1">
      <alignment horizontal="right"/>
    </xf>
    <xf numFmtId="171" fontId="93" fillId="0" borderId="0" xfId="9" applyNumberFormat="1" applyFont="1" applyBorder="1" applyAlignment="1">
      <alignment horizontal="right"/>
    </xf>
    <xf numFmtId="0" fontId="105" fillId="0" borderId="0" xfId="9" applyFont="1" applyBorder="1"/>
    <xf numFmtId="167" fontId="93" fillId="0" borderId="0" xfId="9" applyNumberFormat="1" applyFont="1" applyBorder="1" applyAlignment="1">
      <alignment horizontal="right" wrapText="1"/>
    </xf>
    <xf numFmtId="3" fontId="93" fillId="0" borderId="0" xfId="9" applyNumberFormat="1" applyFont="1" applyBorder="1" applyAlignment="1">
      <alignment horizontal="right" wrapText="1"/>
    </xf>
    <xf numFmtId="10" fontId="107" fillId="0" borderId="0" xfId="9" applyNumberFormat="1" applyFont="1" applyFill="1" applyBorder="1"/>
    <xf numFmtId="0" fontId="107" fillId="0" borderId="0" xfId="9" applyFont="1" applyBorder="1"/>
    <xf numFmtId="171" fontId="93" fillId="0" borderId="0" xfId="9" applyNumberFormat="1" applyFont="1" applyBorder="1" applyAlignment="1">
      <alignment horizontal="right" wrapText="1"/>
    </xf>
    <xf numFmtId="0" fontId="105" fillId="0" borderId="0" xfId="9" applyFont="1" applyAlignment="1">
      <alignment horizontal="left"/>
    </xf>
    <xf numFmtId="10" fontId="118" fillId="0" borderId="0" xfId="9" applyNumberFormat="1" applyFont="1" applyFill="1" applyBorder="1"/>
    <xf numFmtId="0" fontId="93" fillId="0" borderId="0" xfId="9" applyFont="1"/>
    <xf numFmtId="0" fontId="118" fillId="0" borderId="0" xfId="9" applyFont="1"/>
    <xf numFmtId="3" fontId="93" fillId="0" borderId="0" xfId="9" applyNumberFormat="1" applyFont="1" applyAlignment="1">
      <alignment horizontal="right"/>
    </xf>
    <xf numFmtId="167" fontId="93" fillId="0" borderId="0" xfId="9" applyNumberFormat="1" applyFont="1" applyAlignment="1">
      <alignment horizontal="right"/>
    </xf>
    <xf numFmtId="171" fontId="93" fillId="0" borderId="0" xfId="9" applyNumberFormat="1" applyFont="1" applyAlignment="1">
      <alignment horizontal="right"/>
    </xf>
    <xf numFmtId="0" fontId="105" fillId="0" borderId="0" xfId="9" applyFont="1" applyAlignment="1"/>
    <xf numFmtId="0" fontId="105" fillId="0" borderId="0" xfId="9" applyFont="1"/>
    <xf numFmtId="0" fontId="107" fillId="0" borderId="0" xfId="9" applyFont="1" applyAlignment="1"/>
    <xf numFmtId="3" fontId="105" fillId="0" borderId="0" xfId="9" applyNumberFormat="1" applyFont="1" applyAlignment="1">
      <alignment horizontal="right"/>
    </xf>
    <xf numFmtId="167" fontId="105" fillId="0" borderId="0" xfId="9" applyNumberFormat="1" applyFont="1" applyAlignment="1">
      <alignment horizontal="right"/>
    </xf>
    <xf numFmtId="166" fontId="105" fillId="0" borderId="0" xfId="23" applyNumberFormat="1" applyFont="1"/>
    <xf numFmtId="0" fontId="105" fillId="0" borderId="0" xfId="23" applyNumberFormat="1" applyFont="1" applyAlignment="1">
      <alignment horizontal="right"/>
    </xf>
    <xf numFmtId="0" fontId="93" fillId="0" borderId="0" xfId="9" applyFont="1" applyAlignment="1"/>
    <xf numFmtId="3" fontId="93" fillId="0" borderId="0" xfId="9" applyNumberFormat="1" applyFont="1"/>
    <xf numFmtId="0" fontId="93" fillId="0" borderId="0" xfId="23" applyNumberFormat="1" applyFont="1" applyAlignment="1">
      <alignment horizontal="right"/>
    </xf>
    <xf numFmtId="167" fontId="93" fillId="0" borderId="0" xfId="19" applyNumberFormat="1" applyFont="1" applyAlignment="1">
      <alignment horizontal="right"/>
    </xf>
    <xf numFmtId="1" fontId="93" fillId="0" borderId="0" xfId="9" applyNumberFormat="1" applyFont="1" applyAlignment="1">
      <alignment horizontal="right"/>
    </xf>
    <xf numFmtId="3" fontId="105" fillId="0" borderId="0" xfId="9" applyNumberFormat="1" applyFont="1"/>
    <xf numFmtId="0" fontId="93" fillId="0" borderId="0" xfId="9" applyFont="1" applyAlignment="1">
      <alignment horizontal="right"/>
    </xf>
    <xf numFmtId="0" fontId="93" fillId="0" borderId="0" xfId="9" applyFont="1" applyBorder="1" applyAlignment="1"/>
    <xf numFmtId="3" fontId="105" fillId="0" borderId="0" xfId="9" applyNumberFormat="1" applyFont="1" applyBorder="1" applyAlignment="1">
      <alignment horizontal="right" wrapText="1"/>
    </xf>
    <xf numFmtId="167" fontId="105" fillId="0" borderId="0" xfId="9" applyNumberFormat="1" applyFont="1" applyBorder="1" applyAlignment="1">
      <alignment horizontal="right" wrapText="1"/>
    </xf>
    <xf numFmtId="3" fontId="93" fillId="0" borderId="0" xfId="9" applyNumberFormat="1" applyFont="1" applyBorder="1" applyAlignment="1"/>
    <xf numFmtId="3" fontId="93" fillId="0" borderId="0" xfId="9" applyNumberFormat="1" applyFont="1" applyBorder="1"/>
    <xf numFmtId="3" fontId="105" fillId="0" borderId="0" xfId="9" applyNumberFormat="1" applyFont="1" applyBorder="1" applyAlignment="1"/>
    <xf numFmtId="3" fontId="105" fillId="0" borderId="0" xfId="9" applyNumberFormat="1" applyFont="1" applyBorder="1"/>
    <xf numFmtId="3" fontId="105" fillId="0" borderId="0" xfId="9" applyNumberFormat="1" applyFont="1" applyBorder="1" applyAlignment="1">
      <alignment horizontal="right"/>
    </xf>
    <xf numFmtId="167" fontId="105" fillId="0" borderId="0" xfId="9" applyNumberFormat="1" applyFont="1" applyBorder="1" applyAlignment="1">
      <alignment horizontal="right"/>
    </xf>
    <xf numFmtId="0" fontId="105" fillId="0" borderId="0" xfId="23" applyNumberFormat="1" applyFont="1" applyBorder="1" applyAlignment="1">
      <alignment horizontal="right"/>
    </xf>
    <xf numFmtId="0" fontId="93" fillId="0" borderId="0" xfId="23" applyNumberFormat="1" applyFont="1" applyBorder="1" applyAlignment="1">
      <alignment horizontal="right"/>
    </xf>
    <xf numFmtId="0" fontId="105" fillId="0" borderId="0" xfId="9" applyFont="1" applyBorder="1" applyAlignment="1">
      <alignment wrapText="1"/>
    </xf>
    <xf numFmtId="166" fontId="105" fillId="0" borderId="0" xfId="23" applyNumberFormat="1" applyFont="1" applyBorder="1" applyAlignment="1">
      <alignment horizontal="right" wrapText="1"/>
    </xf>
    <xf numFmtId="0" fontId="105" fillId="0" borderId="0" xfId="23" applyNumberFormat="1" applyFont="1" applyBorder="1" applyAlignment="1">
      <alignment horizontal="right" wrapText="1"/>
    </xf>
    <xf numFmtId="0" fontId="93" fillId="0" borderId="0" xfId="9" applyFont="1" applyBorder="1" applyAlignment="1">
      <alignment wrapText="1"/>
    </xf>
    <xf numFmtId="166" fontId="93" fillId="0" borderId="0" xfId="23" applyNumberFormat="1" applyFont="1" applyBorder="1" applyAlignment="1">
      <alignment horizontal="right" wrapText="1"/>
    </xf>
    <xf numFmtId="0" fontId="93" fillId="0" borderId="0" xfId="23" applyNumberFormat="1" applyFont="1" applyBorder="1" applyAlignment="1">
      <alignment horizontal="right" wrapText="1"/>
    </xf>
    <xf numFmtId="1" fontId="93" fillId="0" borderId="0" xfId="9" applyNumberFormat="1" applyFont="1" applyBorder="1" applyAlignment="1">
      <alignment horizontal="right"/>
    </xf>
    <xf numFmtId="0" fontId="93" fillId="0" borderId="0" xfId="9" applyFont="1" applyBorder="1" applyAlignment="1">
      <alignment horizontal="right" wrapText="1"/>
    </xf>
    <xf numFmtId="167" fontId="105" fillId="0" borderId="0" xfId="23" applyNumberFormat="1" applyFont="1" applyBorder="1" applyAlignment="1">
      <alignment horizontal="right" wrapText="1"/>
    </xf>
    <xf numFmtId="167" fontId="93" fillId="0" borderId="0" xfId="23" applyNumberFormat="1" applyFont="1" applyBorder="1" applyAlignment="1">
      <alignment horizontal="right" wrapText="1"/>
    </xf>
    <xf numFmtId="10" fontId="118" fillId="0" borderId="0" xfId="0" applyNumberFormat="1" applyFont="1" applyFill="1" applyBorder="1"/>
    <xf numFmtId="10" fontId="107" fillId="0" borderId="0" xfId="0" applyNumberFormat="1" applyFont="1" applyFill="1" applyBorder="1"/>
    <xf numFmtId="173" fontId="105" fillId="0" borderId="0" xfId="2" applyNumberFormat="1" applyFont="1" applyBorder="1" applyAlignment="1">
      <alignment horizontal="right" wrapText="1"/>
    </xf>
    <xf numFmtId="176" fontId="105" fillId="0" borderId="0" xfId="2" applyNumberFormat="1" applyFont="1" applyBorder="1" applyAlignment="1">
      <alignment horizontal="right"/>
    </xf>
    <xf numFmtId="173" fontId="105" fillId="0" borderId="0" xfId="2" applyNumberFormat="1" applyFont="1" applyBorder="1" applyAlignment="1">
      <alignment horizontal="right"/>
    </xf>
    <xf numFmtId="166" fontId="105" fillId="0" borderId="0" xfId="23" applyNumberFormat="1" applyFont="1" applyBorder="1"/>
    <xf numFmtId="173" fontId="93" fillId="0" borderId="0" xfId="2" applyNumberFormat="1" applyFont="1" applyBorder="1" applyAlignment="1">
      <alignment horizontal="right" wrapText="1"/>
    </xf>
    <xf numFmtId="176" fontId="93" fillId="0" borderId="0" xfId="2" applyNumberFormat="1" applyFont="1" applyBorder="1" applyAlignment="1">
      <alignment horizontal="right"/>
    </xf>
    <xf numFmtId="3" fontId="93" fillId="0" borderId="0" xfId="0" applyNumberFormat="1" applyFont="1" applyBorder="1" applyAlignment="1">
      <alignment horizontal="right" wrapText="1"/>
    </xf>
    <xf numFmtId="37" fontId="105" fillId="0" borderId="0" xfId="0" applyFont="1" applyAlignment="1"/>
    <xf numFmtId="175" fontId="156" fillId="0" borderId="0" xfId="16" applyNumberFormat="1" applyFont="1" applyFill="1" applyAlignment="1">
      <alignment horizontal="left" vertical="center"/>
    </xf>
    <xf numFmtId="10" fontId="118" fillId="0" borderId="0" xfId="16" applyNumberFormat="1" applyFont="1" applyFill="1" applyBorder="1" applyAlignment="1">
      <alignment vertical="center"/>
    </xf>
    <xf numFmtId="0" fontId="93" fillId="0" borderId="0" xfId="16" applyFont="1" applyFill="1" applyAlignment="1">
      <alignment vertical="center"/>
    </xf>
    <xf numFmtId="0" fontId="93" fillId="0" borderId="0" xfId="16" applyFont="1" applyFill="1" applyAlignment="1">
      <alignment horizontal="right" vertical="center"/>
    </xf>
    <xf numFmtId="0" fontId="93" fillId="0" borderId="0" xfId="16" applyFont="1" applyAlignment="1">
      <alignment horizontal="right" vertical="center" wrapText="1"/>
    </xf>
    <xf numFmtId="15" fontId="156" fillId="0" borderId="0" xfId="16" applyNumberFormat="1" applyFont="1" applyFill="1" applyAlignment="1">
      <alignment horizontal="left" vertical="center"/>
    </xf>
    <xf numFmtId="0" fontId="156" fillId="0" borderId="0" xfId="16" applyFont="1" applyFill="1" applyAlignment="1">
      <alignment horizontal="left" vertical="center"/>
    </xf>
    <xf numFmtId="10" fontId="107" fillId="0" borderId="0" xfId="16" applyNumberFormat="1" applyFont="1" applyFill="1" applyBorder="1" applyAlignment="1">
      <alignment vertical="center"/>
    </xf>
    <xf numFmtId="0" fontId="156" fillId="0" borderId="0" xfId="16" applyFont="1" applyFill="1" applyAlignment="1">
      <alignment vertical="center" wrapText="1"/>
    </xf>
    <xf numFmtId="0" fontId="156" fillId="0" borderId="0" xfId="16" applyFont="1" applyFill="1" applyAlignment="1">
      <alignment horizontal="left" vertical="center" wrapText="1"/>
    </xf>
    <xf numFmtId="3" fontId="156" fillId="0" borderId="0" xfId="16" applyNumberFormat="1" applyFont="1" applyFill="1" applyAlignment="1">
      <alignment horizontal="right" vertical="center"/>
    </xf>
    <xf numFmtId="166" fontId="156" fillId="0" borderId="0" xfId="16" applyNumberFormat="1" applyFont="1" applyFill="1" applyAlignment="1">
      <alignment horizontal="right" vertical="center" wrapText="1"/>
    </xf>
    <xf numFmtId="3" fontId="105" fillId="0" borderId="0" xfId="16" applyNumberFormat="1" applyFont="1" applyAlignment="1">
      <alignment horizontal="right" vertical="center" wrapText="1"/>
    </xf>
    <xf numFmtId="166" fontId="156" fillId="0" borderId="0" xfId="16" applyNumberFormat="1" applyFont="1" applyFill="1" applyAlignment="1">
      <alignment horizontal="right" vertical="center"/>
    </xf>
    <xf numFmtId="0" fontId="155" fillId="0" borderId="0" xfId="16" applyFont="1" applyFill="1" applyAlignment="1">
      <alignment horizontal="left" vertical="center"/>
    </xf>
    <xf numFmtId="0" fontId="155" fillId="0" borderId="0" xfId="16" applyFont="1" applyFill="1" applyAlignment="1">
      <alignment vertical="center" wrapText="1"/>
    </xf>
    <xf numFmtId="0" fontId="155" fillId="0" borderId="0" xfId="16" applyFont="1" applyFill="1" applyAlignment="1">
      <alignment horizontal="left" vertical="center" wrapText="1"/>
    </xf>
    <xf numFmtId="3" fontId="155" fillId="0" borderId="0" xfId="16" applyNumberFormat="1" applyFont="1" applyFill="1" applyAlignment="1">
      <alignment horizontal="right" vertical="center"/>
    </xf>
    <xf numFmtId="166" fontId="155" fillId="0" borderId="0" xfId="16" applyNumberFormat="1" applyFont="1" applyFill="1" applyAlignment="1">
      <alignment horizontal="right" vertical="center" wrapText="1"/>
    </xf>
    <xf numFmtId="3" fontId="93" fillId="0" borderId="0" xfId="16" applyNumberFormat="1" applyFont="1" applyAlignment="1">
      <alignment horizontal="right" vertical="center" wrapText="1"/>
    </xf>
    <xf numFmtId="166" fontId="155" fillId="0" borderId="0" xfId="16" applyNumberFormat="1" applyFont="1" applyFill="1" applyAlignment="1">
      <alignment horizontal="right" vertical="center"/>
    </xf>
    <xf numFmtId="0" fontId="105" fillId="0" borderId="0" xfId="16" applyFont="1" applyFill="1" applyAlignment="1">
      <alignment vertical="center"/>
    </xf>
    <xf numFmtId="0" fontId="155" fillId="0" borderId="0" xfId="16" applyFont="1" applyFill="1" applyAlignment="1">
      <alignment horizontal="right" vertical="center" wrapText="1"/>
    </xf>
    <xf numFmtId="1" fontId="155" fillId="0" borderId="0" xfId="16" applyNumberFormat="1" applyFont="1" applyFill="1" applyAlignment="1">
      <alignment horizontal="right" vertical="center"/>
    </xf>
    <xf numFmtId="10" fontId="155" fillId="0" borderId="0" xfId="16" applyNumberFormat="1" applyFont="1" applyFill="1" applyAlignment="1">
      <alignment horizontal="right" vertical="center" wrapText="1"/>
    </xf>
    <xf numFmtId="183" fontId="155" fillId="0" borderId="0" xfId="16" applyNumberFormat="1" applyFont="1" applyFill="1" applyAlignment="1">
      <alignment horizontal="right" vertical="center"/>
    </xf>
    <xf numFmtId="0" fontId="105" fillId="0" borderId="0" xfId="16" applyFont="1" applyFill="1" applyBorder="1" applyAlignment="1">
      <alignment vertical="center"/>
    </xf>
    <xf numFmtId="0" fontId="93" fillId="0" borderId="0" xfId="16" applyFont="1" applyFill="1" applyBorder="1" applyAlignment="1">
      <alignment vertical="center"/>
    </xf>
    <xf numFmtId="0" fontId="107" fillId="0" borderId="0" xfId="9" applyFont="1" applyBorder="1" applyAlignment="1"/>
    <xf numFmtId="3" fontId="155" fillId="0" borderId="0" xfId="16" applyNumberFormat="1" applyFont="1" applyFill="1" applyBorder="1" applyAlignment="1">
      <alignment horizontal="right" vertical="center"/>
    </xf>
    <xf numFmtId="3" fontId="93" fillId="0" borderId="0" xfId="16" applyNumberFormat="1" applyFont="1" applyBorder="1" applyAlignment="1">
      <alignment horizontal="right" vertical="center" wrapText="1"/>
    </xf>
    <xf numFmtId="0" fontId="105" fillId="0" borderId="0" xfId="0" applyNumberFormat="1" applyFont="1" applyBorder="1" applyAlignment="1"/>
    <xf numFmtId="0" fontId="93" fillId="0" borderId="0" xfId="0" applyNumberFormat="1" applyFont="1" applyBorder="1" applyAlignment="1"/>
    <xf numFmtId="37" fontId="105" fillId="0" borderId="0" xfId="19" applyFont="1" applyAlignment="1"/>
    <xf numFmtId="10" fontId="118" fillId="0" borderId="0" xfId="19" applyNumberFormat="1" applyFont="1" applyFill="1" applyBorder="1"/>
    <xf numFmtId="37" fontId="105" fillId="0" borderId="0" xfId="19" applyFont="1"/>
    <xf numFmtId="3" fontId="105" fillId="0" borderId="0" xfId="19" applyNumberFormat="1" applyFont="1" applyAlignment="1">
      <alignment horizontal="right"/>
    </xf>
    <xf numFmtId="166" fontId="105" fillId="0" borderId="0" xfId="19" applyNumberFormat="1" applyFont="1" applyAlignment="1">
      <alignment horizontal="right"/>
    </xf>
    <xf numFmtId="37" fontId="93" fillId="0" borderId="0" xfId="19" applyFont="1" applyAlignment="1"/>
    <xf numFmtId="37" fontId="93" fillId="0" borderId="0" xfId="19" applyFont="1"/>
    <xf numFmtId="3" fontId="93" fillId="0" borderId="0" xfId="19" applyNumberFormat="1" applyFont="1" applyAlignment="1">
      <alignment horizontal="right"/>
    </xf>
    <xf numFmtId="166" fontId="93" fillId="0" borderId="0" xfId="19" applyNumberFormat="1" applyFont="1" applyAlignment="1">
      <alignment horizontal="right"/>
    </xf>
    <xf numFmtId="10" fontId="107" fillId="0" borderId="0" xfId="19" applyNumberFormat="1" applyFont="1" applyFill="1" applyBorder="1"/>
    <xf numFmtId="37" fontId="93" fillId="0" borderId="0" xfId="19" applyFont="1" applyAlignment="1">
      <alignment horizontal="right"/>
    </xf>
    <xf numFmtId="37" fontId="93" fillId="0" borderId="0" xfId="19" applyFont="1" applyBorder="1"/>
    <xf numFmtId="37" fontId="93" fillId="0" borderId="0" xfId="19" applyFont="1" applyBorder="1" applyAlignment="1"/>
    <xf numFmtId="3" fontId="93" fillId="0" borderId="0" xfId="19" applyNumberFormat="1" applyFont="1" applyBorder="1" applyAlignment="1">
      <alignment horizontal="right"/>
    </xf>
    <xf numFmtId="15" fontId="105" fillId="0" borderId="0" xfId="9" applyNumberFormat="1" applyFont="1" applyBorder="1" applyAlignment="1"/>
    <xf numFmtId="175" fontId="105" fillId="0" borderId="0" xfId="0" applyNumberFormat="1" applyFont="1" applyAlignment="1">
      <alignment horizontal="left"/>
    </xf>
    <xf numFmtId="37" fontId="105" fillId="0" borderId="0" xfId="19" applyFont="1" applyBorder="1" applyAlignment="1"/>
    <xf numFmtId="37" fontId="105" fillId="0" borderId="0" xfId="19" applyFont="1" applyBorder="1"/>
    <xf numFmtId="3" fontId="105" fillId="0" borderId="0" xfId="0" applyNumberFormat="1" applyFont="1" applyAlignment="1">
      <alignment horizontal="right"/>
    </xf>
    <xf numFmtId="3" fontId="105" fillId="0" borderId="0" xfId="19" applyNumberFormat="1" applyFont="1" applyBorder="1" applyAlignment="1">
      <alignment horizontal="right"/>
    </xf>
    <xf numFmtId="166" fontId="105" fillId="0" borderId="0" xfId="19" applyNumberFormat="1" applyFont="1" applyBorder="1" applyAlignment="1">
      <alignment horizontal="right"/>
    </xf>
    <xf numFmtId="166" fontId="93" fillId="0" borderId="0" xfId="19" applyNumberFormat="1" applyFont="1" applyBorder="1" applyAlignment="1">
      <alignment horizontal="right"/>
    </xf>
    <xf numFmtId="0" fontId="106" fillId="0" borderId="0" xfId="0" applyNumberFormat="1" applyFont="1"/>
    <xf numFmtId="0" fontId="105" fillId="0" borderId="0" xfId="0" applyNumberFormat="1" applyFont="1" applyFill="1" applyBorder="1" applyAlignment="1"/>
    <xf numFmtId="0" fontId="105" fillId="0" borderId="0" xfId="0" applyNumberFormat="1" applyFont="1" applyFill="1" applyBorder="1"/>
    <xf numFmtId="3" fontId="105" fillId="0" borderId="0" xfId="0" applyNumberFormat="1" applyFont="1" applyFill="1" applyBorder="1" applyAlignment="1">
      <alignment horizontal="right"/>
    </xf>
    <xf numFmtId="0" fontId="93" fillId="0" borderId="0" xfId="0" applyNumberFormat="1" applyFont="1" applyFill="1" applyBorder="1" applyAlignment="1"/>
    <xf numFmtId="0" fontId="105" fillId="0" borderId="0" xfId="0" applyNumberFormat="1" applyFont="1" applyAlignment="1"/>
    <xf numFmtId="167" fontId="105" fillId="0" borderId="0" xfId="0" applyNumberFormat="1" applyFont="1" applyFill="1" applyBorder="1" applyAlignment="1">
      <alignment horizontal="right"/>
    </xf>
    <xf numFmtId="0" fontId="106" fillId="0" borderId="0" xfId="0" applyNumberFormat="1" applyFont="1" applyFill="1" applyBorder="1"/>
    <xf numFmtId="0" fontId="105" fillId="0" borderId="0" xfId="9" applyFont="1" applyFill="1" applyBorder="1" applyAlignment="1"/>
    <xf numFmtId="37" fontId="93" fillId="0" borderId="0" xfId="19" applyFont="1" applyFill="1" applyBorder="1"/>
    <xf numFmtId="37" fontId="93" fillId="0" borderId="0" xfId="19" applyFont="1" applyFill="1" applyBorder="1" applyAlignment="1"/>
    <xf numFmtId="3" fontId="93" fillId="0" borderId="0" xfId="19" applyNumberFormat="1" applyFont="1" applyFill="1" applyBorder="1" applyAlignment="1">
      <alignment horizontal="right"/>
    </xf>
    <xf numFmtId="167" fontId="93" fillId="0" borderId="0" xfId="19" applyNumberFormat="1" applyFont="1" applyFill="1" applyBorder="1" applyAlignment="1">
      <alignment horizontal="right"/>
    </xf>
    <xf numFmtId="37" fontId="93" fillId="0" borderId="0" xfId="19" applyFont="1" applyFill="1" applyBorder="1" applyAlignment="1">
      <alignment horizontal="right"/>
    </xf>
    <xf numFmtId="166" fontId="93" fillId="0" borderId="0" xfId="19" applyNumberFormat="1" applyFont="1" applyFill="1" applyBorder="1" applyAlignment="1">
      <alignment horizontal="right"/>
    </xf>
    <xf numFmtId="37" fontId="105" fillId="0" borderId="0" xfId="0" applyNumberFormat="1" applyFont="1" applyFill="1" applyBorder="1"/>
    <xf numFmtId="37" fontId="105" fillId="0" borderId="0" xfId="0" applyNumberFormat="1" applyFont="1" applyFill="1" applyBorder="1" applyAlignment="1"/>
    <xf numFmtId="37" fontId="93" fillId="0" borderId="0" xfId="0" applyNumberFormat="1" applyFont="1" applyFill="1" applyBorder="1" applyAlignment="1"/>
    <xf numFmtId="3" fontId="105" fillId="0" borderId="0" xfId="0" applyNumberFormat="1" applyFont="1" applyFill="1" applyBorder="1"/>
    <xf numFmtId="3" fontId="118" fillId="0" borderId="0" xfId="0" applyNumberFormat="1" applyFont="1" applyFill="1" applyBorder="1"/>
    <xf numFmtId="0" fontId="105" fillId="8" borderId="0" xfId="0" applyNumberFormat="1" applyFont="1" applyFill="1" applyBorder="1" applyAlignment="1"/>
    <xf numFmtId="10" fontId="118" fillId="8" borderId="0" xfId="0" applyNumberFormat="1" applyFont="1" applyFill="1" applyBorder="1"/>
    <xf numFmtId="0" fontId="105" fillId="8" borderId="0" xfId="0" applyNumberFormat="1" applyFont="1" applyFill="1" applyBorder="1"/>
    <xf numFmtId="3" fontId="118" fillId="8" borderId="0" xfId="0" applyNumberFormat="1" applyFont="1" applyFill="1" applyBorder="1"/>
    <xf numFmtId="166" fontId="93" fillId="8" borderId="0" xfId="0" applyNumberFormat="1" applyFont="1" applyFill="1" applyBorder="1" applyAlignment="1">
      <alignment horizontal="right"/>
    </xf>
    <xf numFmtId="3" fontId="105" fillId="8" borderId="0" xfId="0" applyNumberFormat="1" applyFont="1" applyFill="1" applyBorder="1" applyAlignment="1"/>
    <xf numFmtId="0" fontId="107" fillId="8" borderId="0" xfId="9" applyFont="1" applyFill="1" applyAlignment="1"/>
    <xf numFmtId="166" fontId="105" fillId="8" borderId="0" xfId="0" applyNumberFormat="1" applyFont="1" applyFill="1" applyBorder="1" applyAlignment="1">
      <alignment horizontal="right"/>
    </xf>
    <xf numFmtId="0" fontId="93" fillId="8" borderId="0" xfId="0" applyNumberFormat="1" applyFont="1" applyFill="1" applyBorder="1" applyAlignment="1"/>
    <xf numFmtId="3" fontId="93" fillId="8" borderId="0" xfId="0" applyNumberFormat="1" applyFont="1" applyFill="1" applyBorder="1" applyAlignment="1"/>
    <xf numFmtId="10" fontId="118" fillId="0" borderId="0" xfId="23" applyNumberFormat="1" applyFont="1" applyFill="1"/>
    <xf numFmtId="37" fontId="118" fillId="0" borderId="0" xfId="0" applyFont="1" applyFill="1" applyAlignment="1">
      <alignment horizontal="right"/>
    </xf>
    <xf numFmtId="166" fontId="118" fillId="0" borderId="0" xfId="23" applyNumberFormat="1" applyFont="1" applyFill="1" applyAlignment="1">
      <alignment horizontal="right"/>
    </xf>
    <xf numFmtId="49" fontId="107" fillId="0" borderId="0" xfId="23" applyNumberFormat="1" applyFont="1" applyFill="1"/>
    <xf numFmtId="10" fontId="107" fillId="0" borderId="0" xfId="23" applyNumberFormat="1" applyFont="1" applyFill="1"/>
    <xf numFmtId="39" fontId="107" fillId="0" borderId="0" xfId="0" applyNumberFormat="1" applyFont="1" applyFill="1" applyBorder="1"/>
    <xf numFmtId="3" fontId="107" fillId="0" borderId="0" xfId="0" applyNumberFormat="1" applyFont="1" applyFill="1" applyAlignment="1">
      <alignment horizontal="right"/>
    </xf>
    <xf numFmtId="166" fontId="107" fillId="0" borderId="0" xfId="0" applyNumberFormat="1" applyFont="1" applyFill="1" applyAlignment="1">
      <alignment horizontal="right"/>
    </xf>
    <xf numFmtId="37" fontId="107" fillId="0" borderId="0" xfId="0" applyFont="1" applyFill="1" applyAlignment="1">
      <alignment horizontal="right"/>
    </xf>
    <xf numFmtId="166" fontId="107" fillId="0" borderId="0" xfId="23" applyNumberFormat="1" applyFont="1" applyFill="1" applyAlignment="1">
      <alignment horizontal="right"/>
    </xf>
    <xf numFmtId="9" fontId="107" fillId="0" borderId="0" xfId="23" applyNumberFormat="1" applyFont="1" applyFill="1" applyAlignment="1">
      <alignment horizontal="right"/>
    </xf>
    <xf numFmtId="9" fontId="107" fillId="0" borderId="0" xfId="23" applyFont="1" applyFill="1" applyAlignment="1">
      <alignment horizontal="right"/>
    </xf>
    <xf numFmtId="167" fontId="118" fillId="0" borderId="0" xfId="0" applyNumberFormat="1" applyFont="1" applyFill="1"/>
    <xf numFmtId="39" fontId="118" fillId="0" borderId="0" xfId="0" applyNumberFormat="1" applyFont="1" applyFill="1" applyBorder="1"/>
    <xf numFmtId="3" fontId="118" fillId="0" borderId="0" xfId="0" applyNumberFormat="1" applyFont="1" applyFill="1" applyAlignment="1">
      <alignment horizontal="right"/>
    </xf>
    <xf numFmtId="166" fontId="118" fillId="0" borderId="0" xfId="0" applyNumberFormat="1" applyFont="1" applyFill="1" applyAlignment="1">
      <alignment horizontal="right"/>
    </xf>
    <xf numFmtId="9" fontId="118" fillId="0" borderId="0" xfId="23" applyNumberFormat="1" applyFont="1" applyFill="1" applyAlignment="1">
      <alignment horizontal="right"/>
    </xf>
    <xf numFmtId="9" fontId="118" fillId="0" borderId="0" xfId="23" applyFont="1" applyFill="1" applyAlignment="1">
      <alignment horizontal="right"/>
    </xf>
    <xf numFmtId="9" fontId="107" fillId="0" borderId="0" xfId="23" applyFont="1" applyFill="1"/>
    <xf numFmtId="10" fontId="118" fillId="0" borderId="0" xfId="0" applyNumberFormat="1" applyFont="1" applyFill="1"/>
    <xf numFmtId="167" fontId="107" fillId="0" borderId="0" xfId="0" applyNumberFormat="1" applyFont="1" applyFill="1"/>
    <xf numFmtId="10" fontId="107" fillId="0" borderId="0" xfId="0" applyNumberFormat="1" applyFont="1" applyFill="1"/>
    <xf numFmtId="3" fontId="105" fillId="0" borderId="0" xfId="0" applyNumberFormat="1" applyFont="1" applyFill="1" applyAlignment="1">
      <alignment horizontal="right"/>
    </xf>
    <xf numFmtId="9" fontId="118" fillId="0" borderId="0" xfId="23" applyFont="1" applyFill="1"/>
    <xf numFmtId="10" fontId="118" fillId="0" borderId="0" xfId="0" applyNumberFormat="1" applyFont="1"/>
    <xf numFmtId="3" fontId="118" fillId="0" borderId="0" xfId="0" applyNumberFormat="1" applyFont="1"/>
    <xf numFmtId="37" fontId="93" fillId="0" borderId="0" xfId="0" applyFont="1" applyAlignment="1">
      <alignment vertical="center" wrapText="1"/>
    </xf>
    <xf numFmtId="37" fontId="107" fillId="0" borderId="0" xfId="0" applyFont="1"/>
    <xf numFmtId="3" fontId="107" fillId="0" borderId="0" xfId="0" applyNumberFormat="1" applyFont="1" applyFill="1"/>
    <xf numFmtId="10" fontId="105" fillId="0" borderId="0" xfId="0" applyNumberFormat="1" applyFont="1"/>
    <xf numFmtId="3" fontId="118" fillId="0" borderId="0" xfId="0" applyNumberFormat="1" applyFont="1" applyFill="1"/>
    <xf numFmtId="3" fontId="105" fillId="0" borderId="0" xfId="7" applyNumberFormat="1" applyFont="1"/>
    <xf numFmtId="166" fontId="105" fillId="0" borderId="0" xfId="7" applyNumberFormat="1" applyFont="1"/>
    <xf numFmtId="10" fontId="93" fillId="0" borderId="0" xfId="7" applyNumberFormat="1" applyFont="1"/>
    <xf numFmtId="3" fontId="93" fillId="0" borderId="0" xfId="7" applyNumberFormat="1" applyFont="1"/>
    <xf numFmtId="166" fontId="93" fillId="0" borderId="0" xfId="7" applyNumberFormat="1" applyFont="1"/>
    <xf numFmtId="10" fontId="105" fillId="0" borderId="0" xfId="7" applyNumberFormat="1" applyFont="1"/>
    <xf numFmtId="9" fontId="107" fillId="0" borderId="0" xfId="23" applyFont="1" applyFill="1" applyBorder="1"/>
    <xf numFmtId="10" fontId="107" fillId="0" borderId="0" xfId="23" applyNumberFormat="1" applyFont="1" applyFill="1" applyBorder="1"/>
    <xf numFmtId="166" fontId="107" fillId="0" borderId="0" xfId="0" applyNumberFormat="1" applyFont="1" applyFill="1" applyBorder="1" applyAlignment="1">
      <alignment horizontal="right"/>
    </xf>
    <xf numFmtId="3" fontId="107" fillId="0" borderId="0" xfId="0" applyNumberFormat="1" applyFont="1" applyFill="1" applyBorder="1" applyAlignment="1">
      <alignment horizontal="right"/>
    </xf>
    <xf numFmtId="166" fontId="107" fillId="0" borderId="0" xfId="23" applyNumberFormat="1" applyFont="1" applyFill="1" applyBorder="1" applyAlignment="1">
      <alignment horizontal="right"/>
    </xf>
    <xf numFmtId="37" fontId="118" fillId="0" borderId="0" xfId="0" applyFont="1" applyAlignment="1"/>
    <xf numFmtId="2" fontId="118" fillId="0" borderId="0" xfId="0" applyNumberFormat="1" applyFont="1"/>
    <xf numFmtId="37" fontId="118" fillId="0" borderId="0" xfId="0" applyFont="1" applyAlignment="1">
      <alignment horizontal="right"/>
    </xf>
    <xf numFmtId="0" fontId="118" fillId="0" borderId="0" xfId="9" applyFont="1" applyAlignment="1">
      <alignment horizontal="right"/>
    </xf>
    <xf numFmtId="10" fontId="93" fillId="0" borderId="0" xfId="0" applyNumberFormat="1" applyFont="1" applyAlignment="1">
      <alignment vertical="center"/>
    </xf>
    <xf numFmtId="0" fontId="118" fillId="0" borderId="0" xfId="9" applyFont="1" applyAlignment="1"/>
    <xf numFmtId="10" fontId="127" fillId="0" borderId="0" xfId="0" applyNumberFormat="1" applyFont="1"/>
    <xf numFmtId="37" fontId="127" fillId="0" borderId="0" xfId="0" applyFont="1"/>
    <xf numFmtId="10" fontId="116" fillId="0" borderId="0" xfId="0" applyNumberFormat="1" applyFont="1"/>
    <xf numFmtId="2" fontId="116" fillId="0" borderId="0" xfId="0" applyNumberFormat="1" applyFont="1"/>
    <xf numFmtId="37" fontId="144" fillId="0" borderId="0" xfId="6" applyNumberFormat="1" applyFont="1" applyAlignment="1" applyProtection="1"/>
    <xf numFmtId="10" fontId="116" fillId="0" borderId="0" xfId="9" applyNumberFormat="1" applyFont="1"/>
    <xf numFmtId="10" fontId="118" fillId="48" borderId="0" xfId="9" applyNumberFormat="1" applyFont="1" applyFill="1" applyBorder="1"/>
    <xf numFmtId="0" fontId="93" fillId="48" borderId="0" xfId="9" applyFont="1" applyFill="1" applyBorder="1"/>
    <xf numFmtId="0" fontId="118" fillId="48" borderId="0" xfId="9" applyFont="1" applyFill="1" applyBorder="1"/>
    <xf numFmtId="3" fontId="93" fillId="48" borderId="0" xfId="9" applyNumberFormat="1" applyFont="1" applyFill="1" applyBorder="1" applyAlignment="1">
      <alignment horizontal="right" wrapText="1"/>
    </xf>
    <xf numFmtId="0" fontId="93" fillId="48" borderId="0" xfId="9" applyFont="1" applyFill="1" applyBorder="1" applyAlignment="1"/>
    <xf numFmtId="0" fontId="93" fillId="48" borderId="0" xfId="9" applyFont="1" applyFill="1" applyBorder="1" applyAlignment="1">
      <alignment horizontal="left"/>
    </xf>
    <xf numFmtId="0" fontId="118" fillId="48" borderId="0" xfId="9" applyFont="1" applyFill="1" applyBorder="1" applyAlignment="1">
      <alignment horizontal="left"/>
    </xf>
    <xf numFmtId="167" fontId="93" fillId="48" borderId="0" xfId="9" applyNumberFormat="1" applyFont="1" applyFill="1" applyBorder="1" applyAlignment="1">
      <alignment horizontal="right" wrapText="1"/>
    </xf>
    <xf numFmtId="171" fontId="93" fillId="48" borderId="0" xfId="9" applyNumberFormat="1" applyFont="1" applyFill="1" applyBorder="1" applyAlignment="1">
      <alignment horizontal="right" wrapText="1"/>
    </xf>
    <xf numFmtId="186" fontId="105" fillId="53" borderId="0" xfId="9" applyNumberFormat="1" applyFont="1" applyFill="1" applyBorder="1" applyAlignment="1">
      <alignment horizontal="left"/>
    </xf>
    <xf numFmtId="10" fontId="107" fillId="53" borderId="0" xfId="9" applyNumberFormat="1" applyFont="1" applyFill="1" applyBorder="1"/>
    <xf numFmtId="0" fontId="93" fillId="53" borderId="0" xfId="9" applyFont="1" applyFill="1" applyBorder="1"/>
    <xf numFmtId="0" fontId="118" fillId="53" borderId="0" xfId="9" applyFont="1" applyFill="1" applyBorder="1"/>
    <xf numFmtId="3" fontId="93" fillId="53" borderId="0" xfId="9" applyNumberFormat="1" applyFont="1" applyFill="1" applyBorder="1" applyAlignment="1">
      <alignment horizontal="right"/>
    </xf>
    <xf numFmtId="167" fontId="93" fillId="53" borderId="0" xfId="9" applyNumberFormat="1" applyFont="1" applyFill="1" applyBorder="1" applyAlignment="1">
      <alignment horizontal="right"/>
    </xf>
    <xf numFmtId="171" fontId="93" fillId="53" borderId="0" xfId="9" applyNumberFormat="1" applyFont="1" applyFill="1" applyBorder="1" applyAlignment="1">
      <alignment horizontal="right"/>
    </xf>
    <xf numFmtId="0" fontId="105" fillId="53" borderId="0" xfId="9" applyFont="1" applyFill="1" applyBorder="1"/>
    <xf numFmtId="3" fontId="105" fillId="53" borderId="0" xfId="9" applyNumberFormat="1" applyFont="1" applyFill="1" applyBorder="1" applyAlignment="1"/>
    <xf numFmtId="0" fontId="107" fillId="53" borderId="0" xfId="9" applyFont="1" applyFill="1" applyAlignment="1"/>
    <xf numFmtId="3" fontId="105" fillId="53" borderId="0" xfId="9" applyNumberFormat="1" applyFont="1" applyFill="1" applyBorder="1"/>
    <xf numFmtId="3" fontId="105" fillId="53" borderId="0" xfId="9" applyNumberFormat="1" applyFont="1" applyFill="1" applyBorder="1" applyAlignment="1">
      <alignment horizontal="right"/>
    </xf>
    <xf numFmtId="166" fontId="105" fillId="53" borderId="0" xfId="23" applyNumberFormat="1" applyFont="1" applyFill="1" applyAlignment="1">
      <alignment horizontal="right"/>
    </xf>
    <xf numFmtId="167" fontId="105" fillId="53" borderId="0" xfId="9" applyNumberFormat="1" applyFont="1" applyFill="1" applyBorder="1" applyAlignment="1">
      <alignment horizontal="right"/>
    </xf>
    <xf numFmtId="37" fontId="105" fillId="53" borderId="0" xfId="0" applyFont="1" applyFill="1"/>
    <xf numFmtId="175" fontId="105" fillId="53" borderId="0" xfId="0" applyNumberFormat="1" applyFont="1" applyFill="1" applyBorder="1" applyAlignment="1">
      <alignment horizontal="left"/>
    </xf>
    <xf numFmtId="10" fontId="118" fillId="53" borderId="0" xfId="0" applyNumberFormat="1" applyFont="1" applyFill="1" applyBorder="1"/>
    <xf numFmtId="37" fontId="93" fillId="53" borderId="0" xfId="0" applyFont="1" applyFill="1" applyBorder="1"/>
    <xf numFmtId="3" fontId="93" fillId="53" borderId="0" xfId="0" applyNumberFormat="1" applyFont="1" applyFill="1" applyBorder="1" applyAlignment="1"/>
    <xf numFmtId="3" fontId="93" fillId="53" borderId="0" xfId="0" applyNumberFormat="1" applyFont="1" applyFill="1" applyBorder="1"/>
    <xf numFmtId="3" fontId="93" fillId="53" borderId="0" xfId="0" applyNumberFormat="1" applyFont="1" applyFill="1" applyBorder="1" applyAlignment="1">
      <alignment horizontal="right"/>
    </xf>
    <xf numFmtId="166" fontId="93" fillId="53" borderId="0" xfId="23" applyNumberFormat="1" applyFont="1" applyFill="1" applyBorder="1" applyAlignment="1">
      <alignment horizontal="right" wrapText="1"/>
    </xf>
    <xf numFmtId="167" fontId="93" fillId="53" borderId="0" xfId="0" applyNumberFormat="1" applyFont="1" applyFill="1" applyBorder="1" applyAlignment="1">
      <alignment horizontal="right"/>
    </xf>
    <xf numFmtId="186" fontId="105" fillId="53" borderId="0" xfId="0" applyNumberFormat="1" applyFont="1" applyFill="1" applyBorder="1" applyAlignment="1">
      <alignment horizontal="left"/>
    </xf>
    <xf numFmtId="175" fontId="105" fillId="53" borderId="0" xfId="0" applyNumberFormat="1" applyFont="1" applyFill="1" applyAlignment="1">
      <alignment horizontal="left"/>
    </xf>
    <xf numFmtId="10" fontId="118" fillId="53" borderId="0" xfId="19" applyNumberFormat="1" applyFont="1" applyFill="1" applyBorder="1"/>
    <xf numFmtId="37" fontId="93" fillId="53" borderId="0" xfId="19" applyFont="1" applyFill="1" applyBorder="1"/>
    <xf numFmtId="37" fontId="93" fillId="53" borderId="0" xfId="19" applyFont="1" applyFill="1" applyBorder="1" applyAlignment="1"/>
    <xf numFmtId="3" fontId="93" fillId="53" borderId="0" xfId="19" applyNumberFormat="1" applyFont="1" applyFill="1" applyBorder="1" applyAlignment="1">
      <alignment horizontal="right"/>
    </xf>
    <xf numFmtId="167" fontId="93" fillId="53" borderId="0" xfId="19" applyNumberFormat="1" applyFont="1" applyFill="1" applyAlignment="1">
      <alignment horizontal="right"/>
    </xf>
    <xf numFmtId="37" fontId="93" fillId="53" borderId="0" xfId="19" applyFont="1" applyFill="1" applyAlignment="1">
      <alignment horizontal="right"/>
    </xf>
    <xf numFmtId="166" fontId="93" fillId="53" borderId="0" xfId="19" applyNumberFormat="1" applyFont="1" applyFill="1" applyAlignment="1">
      <alignment horizontal="right"/>
    </xf>
    <xf numFmtId="175" fontId="105" fillId="61" borderId="0" xfId="0" applyNumberFormat="1" applyFont="1" applyFill="1" applyAlignment="1">
      <alignment horizontal="left"/>
    </xf>
    <xf numFmtId="10" fontId="118" fillId="61" borderId="0" xfId="0" applyNumberFormat="1" applyFont="1" applyFill="1" applyBorder="1"/>
    <xf numFmtId="0" fontId="106" fillId="61" borderId="0" xfId="0" applyNumberFormat="1" applyFont="1" applyFill="1"/>
    <xf numFmtId="0" fontId="93" fillId="61" borderId="0" xfId="0" applyNumberFormat="1" applyFont="1" applyFill="1" applyAlignment="1">
      <alignment horizontal="right"/>
    </xf>
    <xf numFmtId="0" fontId="107" fillId="61" borderId="0" xfId="9" applyFont="1" applyFill="1" applyAlignment="1"/>
    <xf numFmtId="3" fontId="93" fillId="61" borderId="0" xfId="0" applyNumberFormat="1" applyFont="1" applyFill="1" applyAlignment="1">
      <alignment horizontal="right"/>
    </xf>
    <xf numFmtId="9" fontId="93" fillId="61" borderId="0" xfId="23" applyFont="1" applyFill="1" applyAlignment="1">
      <alignment horizontal="right"/>
    </xf>
    <xf numFmtId="186" fontId="105" fillId="61" borderId="0" xfId="0" applyNumberFormat="1" applyFont="1" applyFill="1" applyAlignment="1">
      <alignment horizontal="left"/>
    </xf>
    <xf numFmtId="175" fontId="105" fillId="61" borderId="0" xfId="0" applyNumberFormat="1" applyFont="1" applyFill="1" applyBorder="1" applyAlignment="1">
      <alignment horizontal="left"/>
    </xf>
    <xf numFmtId="0" fontId="105" fillId="61" borderId="0" xfId="0" applyNumberFormat="1" applyFont="1" applyFill="1" applyBorder="1"/>
    <xf numFmtId="3" fontId="93" fillId="61" borderId="0" xfId="0" applyNumberFormat="1" applyFont="1" applyFill="1" applyBorder="1" applyAlignment="1"/>
    <xf numFmtId="3" fontId="93" fillId="61" borderId="0" xfId="0" applyNumberFormat="1" applyFont="1" applyFill="1" applyBorder="1"/>
    <xf numFmtId="3" fontId="93" fillId="61" borderId="0" xfId="0" applyNumberFormat="1" applyFont="1" applyFill="1" applyBorder="1" applyAlignment="1">
      <alignment horizontal="right"/>
    </xf>
    <xf numFmtId="166" fontId="93" fillId="61" borderId="0" xfId="0" applyNumberFormat="1" applyFont="1" applyFill="1" applyBorder="1" applyAlignment="1">
      <alignment horizontal="right"/>
    </xf>
    <xf numFmtId="49" fontId="105" fillId="61" borderId="0" xfId="0" applyNumberFormat="1" applyFont="1" applyFill="1" applyBorder="1" applyAlignment="1">
      <alignment horizontal="left"/>
    </xf>
    <xf numFmtId="3" fontId="118" fillId="61" borderId="0" xfId="0" applyNumberFormat="1" applyFont="1" applyFill="1" applyBorder="1"/>
    <xf numFmtId="49" fontId="105" fillId="61" borderId="0" xfId="0" applyNumberFormat="1" applyFont="1" applyFill="1" applyBorder="1" applyAlignment="1">
      <alignment horizontal="right"/>
    </xf>
    <xf numFmtId="10" fontId="118" fillId="61" borderId="0" xfId="0" applyNumberFormat="1" applyFont="1" applyFill="1" applyBorder="1" applyAlignment="1">
      <alignment horizontal="right"/>
    </xf>
    <xf numFmtId="37" fontId="118" fillId="61" borderId="0" xfId="0" applyFont="1" applyFill="1"/>
    <xf numFmtId="39" fontId="118" fillId="61" borderId="0" xfId="0" applyNumberFormat="1" applyFont="1" applyFill="1" applyBorder="1"/>
    <xf numFmtId="37" fontId="118" fillId="61" borderId="0" xfId="0" applyFont="1" applyFill="1" applyAlignment="1">
      <alignment horizontal="right"/>
    </xf>
    <xf numFmtId="9" fontId="107" fillId="61" borderId="0" xfId="23" applyFont="1" applyFill="1" applyAlignment="1">
      <alignment horizontal="right"/>
    </xf>
    <xf numFmtId="10" fontId="118" fillId="61" borderId="0" xfId="23" applyNumberFormat="1" applyFont="1" applyFill="1"/>
    <xf numFmtId="37" fontId="93" fillId="61" borderId="0" xfId="0" applyFont="1" applyFill="1"/>
    <xf numFmtId="166" fontId="118" fillId="61" borderId="0" xfId="23" applyNumberFormat="1" applyFont="1" applyFill="1" applyAlignment="1">
      <alignment horizontal="right"/>
    </xf>
    <xf numFmtId="175" fontId="107" fillId="61" borderId="0" xfId="23" applyNumberFormat="1" applyFont="1" applyFill="1" applyAlignment="1">
      <alignment horizontal="right"/>
    </xf>
    <xf numFmtId="10" fontId="118" fillId="61" borderId="0" xfId="0" applyNumberFormat="1" applyFont="1" applyFill="1"/>
    <xf numFmtId="37" fontId="93" fillId="61" borderId="0" xfId="0" applyFont="1" applyFill="1" applyAlignment="1">
      <alignment horizontal="right"/>
    </xf>
    <xf numFmtId="49" fontId="107" fillId="61" borderId="0" xfId="23" applyNumberFormat="1" applyFont="1" applyFill="1" applyAlignment="1">
      <alignment horizontal="right"/>
    </xf>
    <xf numFmtId="10" fontId="119" fillId="47" borderId="0" xfId="9" applyNumberFormat="1" applyFont="1" applyFill="1" applyBorder="1"/>
    <xf numFmtId="0" fontId="116" fillId="47" borderId="0" xfId="9" applyFont="1" applyFill="1" applyBorder="1"/>
    <xf numFmtId="3" fontId="116" fillId="47" borderId="0" xfId="9" applyNumberFormat="1" applyFont="1" applyFill="1" applyBorder="1" applyAlignment="1">
      <alignment horizontal="right"/>
    </xf>
    <xf numFmtId="167" fontId="116" fillId="47" borderId="0" xfId="9" applyNumberFormat="1" applyFont="1" applyFill="1" applyBorder="1" applyAlignment="1">
      <alignment horizontal="right"/>
    </xf>
    <xf numFmtId="171" fontId="116" fillId="47" borderId="0" xfId="9" applyNumberFormat="1" applyFont="1" applyFill="1" applyBorder="1" applyAlignment="1">
      <alignment horizontal="right"/>
    </xf>
    <xf numFmtId="37" fontId="105" fillId="62" borderId="18" xfId="0" applyFont="1" applyFill="1" applyBorder="1" applyAlignment="1">
      <alignment horizontal="right"/>
    </xf>
    <xf numFmtId="37" fontId="105" fillId="43" borderId="18" xfId="0" applyFont="1" applyFill="1" applyBorder="1" applyAlignment="1">
      <alignment horizontal="right"/>
    </xf>
    <xf numFmtId="37" fontId="119" fillId="50" borderId="39" xfId="0" applyFont="1" applyFill="1" applyBorder="1" applyAlignment="1">
      <alignment horizontal="right"/>
    </xf>
    <xf numFmtId="37" fontId="129" fillId="0" borderId="0" xfId="6" applyNumberFormat="1" applyFont="1" applyBorder="1" applyAlignment="1" applyProtection="1">
      <alignment horizontal="left" vertical="center" indent="2"/>
    </xf>
    <xf numFmtId="37" fontId="119" fillId="55" borderId="37" xfId="0" applyFont="1" applyFill="1" applyBorder="1" applyAlignment="1">
      <alignment horizontal="right"/>
    </xf>
    <xf numFmtId="166" fontId="89" fillId="0" borderId="0" xfId="23" applyNumberFormat="1" applyFont="1" applyFill="1" applyBorder="1" applyAlignment="1">
      <alignment horizontal="right"/>
    </xf>
    <xf numFmtId="166" fontId="89" fillId="0" borderId="0" xfId="23" applyNumberFormat="1" applyFont="1"/>
    <xf numFmtId="3" fontId="89" fillId="0" borderId="0" xfId="0" applyNumberFormat="1" applyFont="1" applyFill="1" applyBorder="1" applyAlignment="1">
      <alignment horizontal="right"/>
    </xf>
    <xf numFmtId="3" fontId="89" fillId="0" borderId="0" xfId="0" applyNumberFormat="1" applyFont="1" applyBorder="1" applyAlignment="1">
      <alignment horizontal="right"/>
    </xf>
    <xf numFmtId="3" fontId="89" fillId="0" borderId="0" xfId="0" applyNumberFormat="1" applyFont="1" applyFill="1" applyBorder="1"/>
    <xf numFmtId="37" fontId="101" fillId="0" borderId="0" xfId="0" applyFont="1" applyBorder="1" applyAlignment="1">
      <alignment vertical="center"/>
    </xf>
    <xf numFmtId="37" fontId="89" fillId="48" borderId="0" xfId="0" applyFont="1" applyFill="1" applyBorder="1" applyAlignment="1">
      <alignment horizontal="center"/>
    </xf>
    <xf numFmtId="37" fontId="90" fillId="48" borderId="0" xfId="0" applyFont="1" applyFill="1" applyBorder="1"/>
    <xf numFmtId="37" fontId="102" fillId="48" borderId="0" xfId="0" applyFont="1" applyFill="1" applyBorder="1" applyAlignment="1">
      <alignment horizontal="right"/>
    </xf>
    <xf numFmtId="37" fontId="90" fillId="48" borderId="0" xfId="0" applyFont="1" applyFill="1" applyBorder="1" applyAlignment="1">
      <alignment horizontal="right"/>
    </xf>
    <xf numFmtId="37" fontId="157" fillId="47" borderId="0" xfId="0" applyFont="1" applyFill="1" applyBorder="1"/>
    <xf numFmtId="3" fontId="89" fillId="48" borderId="0" xfId="0" applyNumberFormat="1" applyFont="1" applyFill="1" applyBorder="1" applyAlignment="1">
      <alignment horizontal="right"/>
    </xf>
    <xf numFmtId="37" fontId="89" fillId="0" borderId="40" xfId="0" applyFont="1" applyBorder="1"/>
    <xf numFmtId="37" fontId="89" fillId="0" borderId="41" xfId="0" applyFont="1" applyBorder="1"/>
    <xf numFmtId="166" fontId="89" fillId="0" borderId="41" xfId="0" applyNumberFormat="1" applyFont="1" applyBorder="1"/>
    <xf numFmtId="166" fontId="89" fillId="0" borderId="41" xfId="0" applyNumberFormat="1" applyFont="1" applyFill="1" applyBorder="1"/>
    <xf numFmtId="166" fontId="89" fillId="0" borderId="41" xfId="23" applyNumberFormat="1" applyFont="1" applyBorder="1"/>
    <xf numFmtId="3" fontId="118" fillId="0" borderId="0" xfId="0" applyNumberFormat="1" applyFont="1" applyBorder="1" applyAlignment="1">
      <alignment horizontal="right"/>
    </xf>
    <xf numFmtId="37" fontId="118" fillId="0" borderId="0" xfId="0" applyFont="1" applyBorder="1" applyAlignment="1">
      <alignment horizontal="right"/>
    </xf>
    <xf numFmtId="37" fontId="145" fillId="0" borderId="0" xfId="0" applyFont="1" applyBorder="1" applyAlignment="1">
      <alignment horizontal="left" vertical="center" wrapText="1"/>
    </xf>
    <xf numFmtId="166" fontId="118" fillId="0" borderId="0" xfId="23" applyNumberFormat="1" applyFont="1" applyBorder="1" applyAlignment="1">
      <alignment horizontal="right"/>
    </xf>
    <xf numFmtId="3" fontId="118" fillId="0" borderId="0" xfId="0" applyNumberFormat="1" applyFont="1" applyBorder="1"/>
    <xf numFmtId="37" fontId="118" fillId="43" borderId="0" xfId="0" applyFont="1" applyFill="1" applyBorder="1" applyAlignment="1">
      <alignment horizontal="right"/>
    </xf>
    <xf numFmtId="166" fontId="118" fillId="0" borderId="0" xfId="0" applyNumberFormat="1" applyFont="1" applyBorder="1" applyAlignment="1">
      <alignment horizontal="right"/>
    </xf>
    <xf numFmtId="10" fontId="118" fillId="0" borderId="0" xfId="0" applyNumberFormat="1" applyFont="1" applyBorder="1" applyAlignment="1">
      <alignment horizontal="right"/>
    </xf>
    <xf numFmtId="185" fontId="89" fillId="0" borderId="0" xfId="0" applyNumberFormat="1" applyFont="1" applyBorder="1" applyAlignment="1">
      <alignment horizontal="right"/>
    </xf>
    <xf numFmtId="166" fontId="90" fillId="0" borderId="0" xfId="0" applyNumberFormat="1" applyFont="1" applyBorder="1" applyAlignment="1">
      <alignment horizontal="right"/>
    </xf>
    <xf numFmtId="185" fontId="90" fillId="0" borderId="0" xfId="0" applyNumberFormat="1" applyFont="1" applyBorder="1" applyAlignment="1">
      <alignment horizontal="right"/>
    </xf>
    <xf numFmtId="166" fontId="90" fillId="0" borderId="0" xfId="0" applyNumberFormat="1" applyFont="1" applyBorder="1"/>
    <xf numFmtId="37" fontId="118" fillId="43" borderId="0" xfId="0" applyFont="1" applyFill="1" applyBorder="1"/>
    <xf numFmtId="37" fontId="105" fillId="0" borderId="0" xfId="0" applyFont="1" applyBorder="1" applyAlignment="1">
      <alignment horizontal="center"/>
    </xf>
    <xf numFmtId="37" fontId="104" fillId="0" borderId="0" xfId="0" applyFont="1" applyAlignment="1">
      <alignment horizontal="right"/>
    </xf>
    <xf numFmtId="167" fontId="104" fillId="0" borderId="0" xfId="0" applyNumberFormat="1" applyFont="1" applyBorder="1"/>
    <xf numFmtId="178" fontId="104" fillId="0" borderId="0" xfId="0" applyNumberFormat="1" applyFont="1" applyBorder="1"/>
    <xf numFmtId="167" fontId="105" fillId="0" borderId="0" xfId="0" applyNumberFormat="1" applyFont="1" applyBorder="1"/>
    <xf numFmtId="167" fontId="125" fillId="0" borderId="0" xfId="0" applyNumberFormat="1" applyFont="1" applyBorder="1"/>
    <xf numFmtId="178" fontId="125" fillId="0" borderId="0" xfId="0" applyNumberFormat="1" applyFont="1" applyBorder="1"/>
    <xf numFmtId="37" fontId="95" fillId="0" borderId="0" xfId="0" quotePrefix="1" applyFont="1" applyBorder="1"/>
    <xf numFmtId="37" fontId="93" fillId="0" borderId="0" xfId="0" quotePrefix="1" applyFont="1" applyBorder="1"/>
    <xf numFmtId="37" fontId="93" fillId="48" borderId="0" xfId="0" quotePrefix="1" applyFont="1" applyFill="1" applyBorder="1"/>
    <xf numFmtId="1" fontId="93" fillId="48" borderId="0" xfId="0" quotePrefix="1" applyNumberFormat="1" applyFont="1" applyFill="1" applyBorder="1" applyAlignment="1">
      <alignment horizontal="right"/>
    </xf>
    <xf numFmtId="37" fontId="93" fillId="48" borderId="0" xfId="0" quotePrefix="1" applyFont="1" applyFill="1" applyBorder="1" applyAlignment="1">
      <alignment horizontal="right"/>
    </xf>
    <xf numFmtId="37" fontId="123" fillId="47" borderId="0" xfId="0" applyFont="1" applyFill="1" applyBorder="1"/>
    <xf numFmtId="37" fontId="122" fillId="0" borderId="0" xfId="0" applyFont="1" applyBorder="1" applyAlignment="1">
      <alignment vertical="center" wrapText="1"/>
    </xf>
    <xf numFmtId="37" fontId="122" fillId="0" borderId="0" xfId="0" applyFont="1" applyBorder="1" applyAlignment="1">
      <alignment horizontal="right" vertical="center" wrapText="1"/>
    </xf>
    <xf numFmtId="37" fontId="95" fillId="0" borderId="0" xfId="0" applyFont="1" applyBorder="1" applyAlignment="1">
      <alignment horizontal="right" vertical="center" wrapText="1"/>
    </xf>
    <xf numFmtId="166" fontId="122" fillId="0" borderId="0" xfId="23" applyNumberFormat="1" applyFont="1" applyBorder="1" applyAlignment="1">
      <alignment horizontal="right" vertical="center" wrapText="1"/>
    </xf>
    <xf numFmtId="166" fontId="95" fillId="0" borderId="0" xfId="23" applyNumberFormat="1" applyFont="1" applyBorder="1" applyAlignment="1">
      <alignment horizontal="right" vertical="center" wrapText="1"/>
    </xf>
    <xf numFmtId="37" fontId="95" fillId="0" borderId="0" xfId="0" applyFont="1" applyAlignment="1">
      <alignment vertical="center"/>
    </xf>
    <xf numFmtId="37" fontId="95" fillId="0" borderId="0" xfId="0" applyFont="1" applyAlignment="1">
      <alignment horizontal="right" vertical="center"/>
    </xf>
    <xf numFmtId="166" fontId="95" fillId="23" borderId="17" xfId="23" applyNumberFormat="1" applyFont="1" applyFill="1" applyBorder="1" applyAlignment="1">
      <alignment horizontal="right" vertical="center"/>
    </xf>
    <xf numFmtId="166" fontId="122" fillId="24" borderId="17" xfId="23" applyNumberFormat="1" applyFont="1" applyFill="1" applyBorder="1" applyAlignment="1">
      <alignment horizontal="right" vertical="center"/>
    </xf>
    <xf numFmtId="166" fontId="95" fillId="0" borderId="0" xfId="23" applyNumberFormat="1" applyFont="1" applyAlignment="1">
      <alignment horizontal="right" vertical="center"/>
    </xf>
    <xf numFmtId="37" fontId="89" fillId="0" borderId="0" xfId="0" applyFont="1" applyAlignment="1">
      <alignment vertical="center"/>
    </xf>
    <xf numFmtId="166" fontId="89" fillId="8" borderId="0" xfId="23" applyNumberFormat="1" applyFont="1" applyFill="1"/>
    <xf numFmtId="37" fontId="95" fillId="0" borderId="0" xfId="0" applyFont="1" applyBorder="1" applyAlignment="1">
      <alignment vertical="center"/>
    </xf>
    <xf numFmtId="37" fontId="95" fillId="0" borderId="0" xfId="0" applyFont="1" applyBorder="1" applyAlignment="1">
      <alignment horizontal="right" vertical="center"/>
    </xf>
    <xf numFmtId="37" fontId="122" fillId="0" borderId="0" xfId="0" applyFont="1" applyBorder="1" applyAlignment="1">
      <alignment vertical="center"/>
    </xf>
    <xf numFmtId="166" fontId="122" fillId="25" borderId="0" xfId="23" applyNumberFormat="1" applyFont="1" applyFill="1" applyBorder="1" applyAlignment="1">
      <alignment horizontal="right" vertical="center"/>
    </xf>
    <xf numFmtId="37" fontId="122" fillId="48" borderId="0" xfId="0" applyFont="1" applyFill="1" applyBorder="1" applyAlignment="1">
      <alignment vertical="center"/>
    </xf>
    <xf numFmtId="37" fontId="95" fillId="48" borderId="0" xfId="0" applyFont="1" applyFill="1" applyBorder="1" applyAlignment="1">
      <alignment horizontal="right" vertical="center"/>
    </xf>
    <xf numFmtId="166" fontId="95" fillId="48" borderId="0" xfId="23" applyNumberFormat="1" applyFont="1" applyFill="1" applyBorder="1" applyAlignment="1">
      <alignment horizontal="right" vertical="center"/>
    </xf>
    <xf numFmtId="166" fontId="92" fillId="47" borderId="0" xfId="23" applyNumberFormat="1" applyFont="1" applyFill="1" applyBorder="1"/>
    <xf numFmtId="179" fontId="125" fillId="0" borderId="0" xfId="0" applyNumberFormat="1" applyFont="1" applyBorder="1"/>
    <xf numFmtId="37" fontId="94" fillId="0" borderId="0" xfId="0" applyFont="1"/>
    <xf numFmtId="37" fontId="104" fillId="0" borderId="0" xfId="0" quotePrefix="1" applyFont="1" applyBorder="1"/>
    <xf numFmtId="179" fontId="104" fillId="0" borderId="0" xfId="0" applyNumberFormat="1" applyFont="1" applyBorder="1"/>
    <xf numFmtId="169" fontId="93" fillId="0" borderId="0" xfId="0" applyNumberFormat="1" applyFont="1" applyBorder="1"/>
    <xf numFmtId="167" fontId="94" fillId="0" borderId="0" xfId="0" applyNumberFormat="1" applyFont="1" applyBorder="1"/>
    <xf numFmtId="37" fontId="95" fillId="0" borderId="0" xfId="0" applyFont="1" applyBorder="1" applyAlignment="1">
      <alignment vertical="top" wrapText="1"/>
    </xf>
    <xf numFmtId="37" fontId="109" fillId="47" borderId="0" xfId="0" applyFont="1" applyFill="1" applyBorder="1"/>
    <xf numFmtId="37" fontId="107" fillId="0" borderId="0" xfId="28" applyNumberFormat="1" applyFont="1" applyBorder="1"/>
    <xf numFmtId="37" fontId="107" fillId="0" borderId="0" xfId="28" applyNumberFormat="1" applyFont="1" applyBorder="1" applyAlignment="1">
      <alignment horizontal="right"/>
    </xf>
    <xf numFmtId="166" fontId="95" fillId="0" borderId="0" xfId="0" applyNumberFormat="1" applyFont="1" applyBorder="1"/>
    <xf numFmtId="37" fontId="144" fillId="0" borderId="0" xfId="6" applyNumberFormat="1" applyFont="1" applyBorder="1" applyAlignment="1" applyProtection="1"/>
    <xf numFmtId="37" fontId="118" fillId="48" borderId="0" xfId="28" applyNumberFormat="1" applyFont="1" applyFill="1" applyBorder="1"/>
    <xf numFmtId="37" fontId="118" fillId="48" borderId="0" xfId="28" applyNumberFormat="1" applyFont="1" applyFill="1" applyBorder="1" applyAlignment="1">
      <alignment horizontal="right"/>
    </xf>
    <xf numFmtId="37" fontId="158" fillId="48" borderId="0" xfId="5" applyNumberFormat="1" applyFont="1" applyFill="1" applyBorder="1"/>
    <xf numFmtId="166" fontId="158" fillId="48" borderId="0" xfId="5" applyNumberFormat="1" applyFont="1" applyFill="1" applyBorder="1"/>
    <xf numFmtId="0" fontId="128" fillId="0" borderId="0" xfId="0" applyNumberFormat="1" applyFont="1" applyBorder="1" applyAlignment="1"/>
    <xf numFmtId="0" fontId="98" fillId="0" borderId="0" xfId="0" applyNumberFormat="1" applyFont="1" applyBorder="1" applyAlignment="1"/>
    <xf numFmtId="0" fontId="159" fillId="8" borderId="0" xfId="0" applyNumberFormat="1" applyFont="1" applyFill="1" applyBorder="1" applyAlignment="1"/>
    <xf numFmtId="37" fontId="100" fillId="8" borderId="0" xfId="0" applyFont="1" applyFill="1" applyBorder="1"/>
    <xf numFmtId="37" fontId="95" fillId="8" borderId="0" xfId="0" applyFont="1" applyFill="1" applyBorder="1"/>
    <xf numFmtId="3" fontId="128" fillId="0" borderId="0" xfId="0" applyNumberFormat="1" applyFont="1" applyBorder="1" applyAlignment="1"/>
    <xf numFmtId="166" fontId="128" fillId="0" borderId="0" xfId="0" applyNumberFormat="1" applyFont="1" applyBorder="1" applyAlignment="1"/>
    <xf numFmtId="0" fontId="118" fillId="48" borderId="0" xfId="0" applyNumberFormat="1" applyFont="1" applyFill="1" applyBorder="1" applyAlignment="1"/>
    <xf numFmtId="0" fontId="92" fillId="47" borderId="0" xfId="0" applyNumberFormat="1" applyFont="1" applyFill="1" applyBorder="1" applyAlignment="1"/>
    <xf numFmtId="0" fontId="102" fillId="47" borderId="0" xfId="0" applyNumberFormat="1" applyFont="1" applyFill="1" applyBorder="1" applyAlignment="1"/>
    <xf numFmtId="0" fontId="102" fillId="47" borderId="0" xfId="0" applyNumberFormat="1" applyFont="1" applyFill="1" applyBorder="1" applyAlignment="1">
      <alignment horizontal="center"/>
    </xf>
    <xf numFmtId="0" fontId="96" fillId="47" borderId="0" xfId="0" applyNumberFormat="1" applyFont="1" applyFill="1" applyBorder="1" applyAlignment="1"/>
    <xf numFmtId="37" fontId="93" fillId="0" borderId="0" xfId="0" applyFont="1" applyBorder="1" applyAlignment="1">
      <alignment vertical="top"/>
    </xf>
    <xf numFmtId="37" fontId="90" fillId="0" borderId="0" xfId="0" applyFont="1" applyBorder="1" applyAlignment="1">
      <alignment vertical="top"/>
    </xf>
    <xf numFmtId="37" fontId="105" fillId="0" borderId="0" xfId="0" applyFont="1" applyBorder="1" applyAlignment="1">
      <alignment vertical="top"/>
    </xf>
    <xf numFmtId="37" fontId="105" fillId="0" borderId="2" xfId="0" applyFont="1" applyBorder="1" applyAlignment="1">
      <alignment horizontal="center" vertical="top"/>
    </xf>
    <xf numFmtId="16" fontId="93" fillId="0" borderId="2" xfId="0" applyNumberFormat="1" applyFont="1" applyBorder="1" applyAlignment="1"/>
    <xf numFmtId="37" fontId="104" fillId="0" borderId="0" xfId="0" applyFont="1" applyBorder="1" applyAlignment="1">
      <alignment horizontal="right" vertical="top"/>
    </xf>
    <xf numFmtId="37" fontId="105" fillId="0" borderId="2" xfId="0" applyFont="1" applyBorder="1" applyAlignment="1">
      <alignment horizontal="center" vertical="top" wrapText="1"/>
    </xf>
    <xf numFmtId="1" fontId="93" fillId="0" borderId="1" xfId="0" applyNumberFormat="1" applyFont="1" applyBorder="1" applyAlignment="1">
      <alignment horizontal="right" vertical="top"/>
    </xf>
    <xf numFmtId="1" fontId="93" fillId="0" borderId="0" xfId="0" applyNumberFormat="1" applyFont="1" applyBorder="1" applyAlignment="1">
      <alignment horizontal="right" vertical="top"/>
    </xf>
    <xf numFmtId="166" fontId="93" fillId="0" borderId="0" xfId="23" applyNumberFormat="1" applyFont="1" applyBorder="1" applyAlignment="1">
      <alignment horizontal="right" vertical="top"/>
    </xf>
    <xf numFmtId="166" fontId="104" fillId="0" borderId="0" xfId="23" applyNumberFormat="1" applyFont="1" applyBorder="1" applyAlignment="1">
      <alignment horizontal="right" vertical="top"/>
    </xf>
    <xf numFmtId="9" fontId="93" fillId="0" borderId="0" xfId="23" applyFont="1" applyBorder="1" applyAlignment="1">
      <alignment horizontal="right" vertical="top"/>
    </xf>
    <xf numFmtId="9" fontId="104" fillId="0" borderId="0" xfId="23" applyFont="1" applyBorder="1" applyAlignment="1">
      <alignment horizontal="right" vertical="top"/>
    </xf>
    <xf numFmtId="166" fontId="93" fillId="0" borderId="0" xfId="0" applyNumberFormat="1" applyFont="1" applyBorder="1" applyAlignment="1">
      <alignment horizontal="right" vertical="top"/>
    </xf>
    <xf numFmtId="37" fontId="93" fillId="0" borderId="1" xfId="0" applyFont="1" applyBorder="1" applyAlignment="1">
      <alignment vertical="top"/>
    </xf>
    <xf numFmtId="37" fontId="93" fillId="0" borderId="1" xfId="0" applyFont="1" applyBorder="1" applyAlignment="1">
      <alignment horizontal="right" vertical="top"/>
    </xf>
    <xf numFmtId="37" fontId="95" fillId="0" borderId="0" xfId="0" applyFont="1" applyBorder="1" applyAlignment="1">
      <alignment vertical="top"/>
    </xf>
    <xf numFmtId="37" fontId="95" fillId="0" borderId="0" xfId="0" applyFont="1" applyBorder="1" applyAlignment="1">
      <alignment horizontal="right" vertical="top"/>
    </xf>
    <xf numFmtId="37" fontId="104" fillId="0" borderId="0" xfId="0" applyFont="1" applyBorder="1" applyAlignment="1">
      <alignment vertical="top"/>
    </xf>
    <xf numFmtId="0" fontId="93" fillId="0" borderId="0" xfId="0" applyNumberFormat="1" applyFont="1" applyBorder="1" applyAlignment="1">
      <alignment vertical="top"/>
    </xf>
    <xf numFmtId="37" fontId="152" fillId="0" borderId="0" xfId="0" applyFont="1" applyBorder="1" applyAlignment="1">
      <alignment horizontal="left" vertical="top"/>
    </xf>
    <xf numFmtId="37" fontId="161" fillId="0" borderId="0" xfId="0" applyFont="1" applyBorder="1"/>
    <xf numFmtId="37" fontId="152" fillId="0" borderId="0" xfId="0" applyFont="1" applyBorder="1"/>
    <xf numFmtId="37" fontId="162" fillId="0" borderId="0" xfId="0" applyFont="1" applyBorder="1" applyAlignment="1">
      <alignment vertical="center" wrapText="1"/>
    </xf>
    <xf numFmtId="10" fontId="162" fillId="0" borderId="0" xfId="0" applyNumberFormat="1" applyFont="1" applyBorder="1" applyAlignment="1">
      <alignment vertical="center" wrapText="1"/>
    </xf>
    <xf numFmtId="16" fontId="89" fillId="0" borderId="0" xfId="0" applyNumberFormat="1" applyFont="1" applyBorder="1"/>
    <xf numFmtId="37" fontId="128" fillId="0" borderId="0" xfId="0" applyFont="1" applyBorder="1" applyAlignment="1">
      <alignment vertical="center" wrapText="1"/>
    </xf>
    <xf numFmtId="37" fontId="163" fillId="33" borderId="0" xfId="0" applyFont="1" applyFill="1" applyBorder="1" applyAlignment="1">
      <alignment horizontal="left"/>
    </xf>
    <xf numFmtId="173" fontId="89" fillId="47" borderId="0" xfId="2" applyNumberFormat="1" applyFont="1" applyFill="1" applyBorder="1"/>
    <xf numFmtId="37" fontId="89" fillId="59" borderId="18" xfId="0" applyFont="1" applyFill="1" applyBorder="1"/>
    <xf numFmtId="37" fontId="89" fillId="61" borderId="0" xfId="0" applyFont="1" applyFill="1" applyBorder="1"/>
    <xf numFmtId="37" fontId="93" fillId="48" borderId="0" xfId="0" applyFont="1" applyFill="1" applyBorder="1" applyAlignment="1">
      <alignment horizontal="right" wrapText="1"/>
    </xf>
    <xf numFmtId="37" fontId="93" fillId="48" borderId="0" xfId="0" applyFont="1" applyFill="1" applyBorder="1" applyAlignment="1">
      <alignment horizontal="center" wrapText="1"/>
    </xf>
    <xf numFmtId="37" fontId="95" fillId="0" borderId="0" xfId="0" applyNumberFormat="1" applyFont="1" applyBorder="1" applyAlignment="1">
      <alignment horizontal="left"/>
    </xf>
    <xf numFmtId="37" fontId="95" fillId="0" borderId="0" xfId="0" applyNumberFormat="1" applyFont="1" applyBorder="1" applyAlignment="1">
      <alignment horizontal="left" wrapText="1"/>
    </xf>
    <xf numFmtId="172" fontId="89" fillId="48" borderId="0" xfId="0" applyNumberFormat="1" applyFont="1" applyFill="1" applyBorder="1" applyAlignment="1">
      <alignment horizontal="center" wrapText="1"/>
    </xf>
    <xf numFmtId="0" fontId="96" fillId="48" borderId="0" xfId="0" applyNumberFormat="1" applyFont="1" applyFill="1" applyBorder="1"/>
    <xf numFmtId="0" fontId="105" fillId="48" borderId="0" xfId="0" applyNumberFormat="1" applyFont="1" applyFill="1" applyBorder="1"/>
    <xf numFmtId="0" fontId="39" fillId="43" borderId="0" xfId="8" applyNumberFormat="1" applyFont="1" applyFill="1"/>
    <xf numFmtId="0" fontId="33" fillId="43" borderId="0" xfId="8" applyNumberFormat="1" applyFont="1" applyFill="1"/>
    <xf numFmtId="37" fontId="101" fillId="0" borderId="0" xfId="0" applyFont="1" applyAlignment="1">
      <alignment horizontal="left" vertical="center"/>
    </xf>
    <xf numFmtId="37" fontId="110" fillId="0" borderId="0" xfId="0" applyFont="1"/>
    <xf numFmtId="37" fontId="110" fillId="0" borderId="0" xfId="0" applyFont="1" applyAlignment="1">
      <alignment horizontal="right"/>
    </xf>
    <xf numFmtId="37" fontId="110" fillId="47" borderId="0" xfId="0" applyFont="1" applyFill="1"/>
    <xf numFmtId="37" fontId="110" fillId="47" borderId="0" xfId="0" applyFont="1" applyFill="1" applyAlignment="1">
      <alignment horizontal="right"/>
    </xf>
    <xf numFmtId="37" fontId="110" fillId="48" borderId="0" xfId="0" applyFont="1" applyFill="1" applyBorder="1" applyAlignment="1">
      <alignment horizontal="right"/>
    </xf>
    <xf numFmtId="0" fontId="110" fillId="48" borderId="0" xfId="0" applyNumberFormat="1" applyFont="1" applyFill="1" applyBorder="1" applyAlignment="1">
      <alignment horizontal="right"/>
    </xf>
    <xf numFmtId="37" fontId="110" fillId="0" borderId="0" xfId="0" applyFont="1" applyFill="1" applyBorder="1" applyAlignment="1">
      <alignment horizontal="right"/>
    </xf>
    <xf numFmtId="37" fontId="110" fillId="0" borderId="0" xfId="0" applyNumberFormat="1" applyFont="1" applyBorder="1" applyAlignment="1">
      <alignment horizontal="right"/>
    </xf>
    <xf numFmtId="37" fontId="101" fillId="0" borderId="0" xfId="0" applyFont="1" applyBorder="1" applyAlignment="1">
      <alignment horizontal="right"/>
    </xf>
    <xf numFmtId="37" fontId="110" fillId="48" borderId="0" xfId="0" applyFont="1" applyFill="1"/>
    <xf numFmtId="37" fontId="108" fillId="47" borderId="0" xfId="0" applyFont="1" applyFill="1"/>
    <xf numFmtId="37" fontId="106" fillId="50" borderId="0" xfId="0" applyFont="1" applyFill="1" applyBorder="1" applyAlignment="1">
      <alignment horizontal="right" vertical="top" wrapText="1"/>
    </xf>
    <xf numFmtId="37" fontId="106" fillId="49" borderId="0" xfId="0" applyFont="1" applyFill="1" applyBorder="1" applyAlignment="1">
      <alignment horizontal="right" vertical="top" wrapText="1"/>
    </xf>
    <xf numFmtId="37" fontId="106" fillId="51" borderId="0" xfId="0" applyFont="1" applyFill="1" applyBorder="1" applyAlignment="1">
      <alignment horizontal="right" vertical="top" wrapText="1"/>
    </xf>
    <xf numFmtId="37" fontId="119" fillId="50" borderId="0" xfId="0" applyFont="1" applyFill="1" applyBorder="1" applyAlignment="1">
      <alignment horizontal="right"/>
    </xf>
    <xf numFmtId="37" fontId="119" fillId="49" borderId="0" xfId="0" applyFont="1" applyFill="1" applyBorder="1" applyAlignment="1">
      <alignment horizontal="right"/>
    </xf>
    <xf numFmtId="37" fontId="105" fillId="51" borderId="0" xfId="0" applyFont="1" applyFill="1" applyBorder="1" applyAlignment="1">
      <alignment horizontal="right"/>
    </xf>
    <xf numFmtId="37" fontId="119" fillId="55" borderId="0" xfId="0" applyFont="1" applyFill="1" applyBorder="1" applyAlignment="1">
      <alignment horizontal="right"/>
    </xf>
    <xf numFmtId="37" fontId="108" fillId="47" borderId="0" xfId="0" applyFont="1" applyFill="1" applyBorder="1"/>
    <xf numFmtId="37" fontId="108" fillId="47" borderId="0" xfId="0" applyFont="1" applyFill="1" applyBorder="1" applyAlignment="1"/>
    <xf numFmtId="0" fontId="106" fillId="48" borderId="0" xfId="15" applyFont="1" applyFill="1" applyBorder="1" applyAlignment="1">
      <alignment horizontal="right"/>
    </xf>
    <xf numFmtId="0" fontId="105" fillId="48" borderId="0" xfId="15" applyFont="1" applyFill="1" applyBorder="1" applyAlignment="1">
      <alignment horizontal="right"/>
    </xf>
    <xf numFmtId="9" fontId="116" fillId="48" borderId="0" xfId="23" applyFont="1" applyFill="1" applyBorder="1" applyAlignment="1">
      <alignment horizontal="left"/>
    </xf>
    <xf numFmtId="166" fontId="93" fillId="48" borderId="0" xfId="23" applyNumberFormat="1" applyFont="1" applyFill="1" applyBorder="1" applyAlignment="1">
      <alignment horizontal="left"/>
    </xf>
    <xf numFmtId="9" fontId="93" fillId="48" borderId="0" xfId="23" applyNumberFormat="1" applyFont="1" applyFill="1" applyBorder="1" applyAlignment="1">
      <alignment horizontal="left"/>
    </xf>
    <xf numFmtId="9" fontId="116" fillId="0" borderId="0" xfId="23" applyFont="1" applyFill="1" applyBorder="1" applyAlignment="1">
      <alignment horizontal="left"/>
    </xf>
    <xf numFmtId="9" fontId="93" fillId="0" borderId="0" xfId="23" applyFont="1" applyFill="1" applyBorder="1" applyAlignment="1">
      <alignment horizontal="left"/>
    </xf>
    <xf numFmtId="166" fontId="93" fillId="0" borderId="0" xfId="23" applyNumberFormat="1" applyFont="1" applyFill="1" applyBorder="1" applyAlignment="1">
      <alignment horizontal="left"/>
    </xf>
    <xf numFmtId="9" fontId="93" fillId="0" borderId="0" xfId="23" applyNumberFormat="1" applyFont="1" applyFill="1" applyBorder="1" applyAlignment="1">
      <alignment horizontal="left"/>
    </xf>
    <xf numFmtId="37" fontId="119" fillId="63" borderId="0" xfId="0" applyFont="1" applyFill="1" applyBorder="1" applyAlignment="1">
      <alignment horizontal="right"/>
    </xf>
    <xf numFmtId="0" fontId="105" fillId="48" borderId="0" xfId="20" applyFont="1" applyFill="1" applyBorder="1"/>
    <xf numFmtId="37" fontId="92" fillId="48" borderId="0" xfId="0" applyFont="1" applyFill="1" applyBorder="1" applyAlignment="1">
      <alignment horizontal="right"/>
    </xf>
    <xf numFmtId="37" fontId="105" fillId="62" borderId="0" xfId="0" applyFont="1" applyFill="1" applyBorder="1" applyAlignment="1">
      <alignment horizontal="right"/>
    </xf>
    <xf numFmtId="37" fontId="105" fillId="43" borderId="0" xfId="0" applyFont="1" applyFill="1" applyBorder="1" applyAlignment="1">
      <alignment horizontal="right"/>
    </xf>
    <xf numFmtId="37" fontId="119" fillId="56" borderId="0" xfId="0" applyFont="1" applyFill="1" applyBorder="1" applyAlignment="1">
      <alignment horizontal="right"/>
    </xf>
    <xf numFmtId="175" fontId="90" fillId="61" borderId="0" xfId="0" applyNumberFormat="1" applyFont="1" applyFill="1" applyBorder="1" applyAlignment="1">
      <alignment horizontal="left"/>
    </xf>
    <xf numFmtId="37" fontId="89" fillId="61" borderId="0" xfId="0" applyFont="1" applyFill="1" applyBorder="1" applyAlignment="1"/>
    <xf numFmtId="172" fontId="89" fillId="61" borderId="0" xfId="0" applyNumberFormat="1" applyFont="1" applyFill="1" applyBorder="1"/>
    <xf numFmtId="166" fontId="89" fillId="61" borderId="0" xfId="0" applyNumberFormat="1" applyFont="1" applyFill="1" applyBorder="1"/>
    <xf numFmtId="172" fontId="89" fillId="61" borderId="0" xfId="0" applyNumberFormat="1" applyFont="1" applyFill="1" applyBorder="1" applyAlignment="1">
      <alignment horizontal="right"/>
    </xf>
    <xf numFmtId="37" fontId="89" fillId="61" borderId="0" xfId="0" applyFont="1" applyFill="1" applyBorder="1" applyAlignment="1">
      <alignment horizontal="right"/>
    </xf>
    <xf numFmtId="37" fontId="89" fillId="61" borderId="0" xfId="0" applyNumberFormat="1" applyFont="1" applyFill="1" applyBorder="1" applyAlignment="1"/>
    <xf numFmtId="37" fontId="89" fillId="61" borderId="0" xfId="0" applyNumberFormat="1" applyFont="1" applyFill="1" applyBorder="1"/>
    <xf numFmtId="172" fontId="100" fillId="61" borderId="0" xfId="0" applyNumberFormat="1" applyFont="1" applyFill="1" applyBorder="1"/>
    <xf numFmtId="166" fontId="100" fillId="61" borderId="0" xfId="0" applyNumberFormat="1" applyFont="1" applyFill="1" applyBorder="1"/>
    <xf numFmtId="172" fontId="137" fillId="61" borderId="0" xfId="0" applyNumberFormat="1" applyFont="1" applyFill="1" applyBorder="1"/>
    <xf numFmtId="172" fontId="137" fillId="61" borderId="0" xfId="0" applyNumberFormat="1" applyFont="1" applyFill="1" applyBorder="1" applyAlignment="1">
      <alignment wrapText="1"/>
    </xf>
    <xf numFmtId="0" fontId="89" fillId="61" borderId="0" xfId="19" applyNumberFormat="1" applyFont="1" applyFill="1" applyBorder="1" applyAlignment="1" applyProtection="1"/>
    <xf numFmtId="0" fontId="89" fillId="61" borderId="0" xfId="0" applyNumberFormat="1" applyFont="1" applyFill="1" applyBorder="1" applyAlignment="1"/>
    <xf numFmtId="172" fontId="89" fillId="61" borderId="0" xfId="19" applyNumberFormat="1" applyFont="1" applyFill="1" applyBorder="1" applyAlignment="1" applyProtection="1">
      <alignment horizontal="right"/>
    </xf>
    <xf numFmtId="172" fontId="89" fillId="61" borderId="0" xfId="7" applyNumberFormat="1" applyFont="1" applyFill="1" applyBorder="1" applyAlignment="1">
      <alignment horizontal="right"/>
    </xf>
    <xf numFmtId="166" fontId="89" fillId="61" borderId="0" xfId="19" applyNumberFormat="1" applyFont="1" applyFill="1" applyBorder="1" applyAlignment="1" applyProtection="1">
      <alignment horizontal="right"/>
    </xf>
    <xf numFmtId="37" fontId="89" fillId="0" borderId="0" xfId="0" applyFont="1" applyBorder="1" applyAlignment="1">
      <alignment wrapText="1"/>
    </xf>
    <xf numFmtId="14" fontId="90" fillId="61" borderId="0" xfId="0" applyNumberFormat="1" applyFont="1" applyFill="1" applyBorder="1" applyAlignment="1">
      <alignment horizontal="left"/>
    </xf>
    <xf numFmtId="172" fontId="89" fillId="61" borderId="0" xfId="23" applyNumberFormat="1" applyFont="1" applyFill="1" applyBorder="1"/>
    <xf numFmtId="166" fontId="89" fillId="61" borderId="0" xfId="23" applyNumberFormat="1" applyFont="1" applyFill="1" applyBorder="1"/>
    <xf numFmtId="37" fontId="89" fillId="61" borderId="0" xfId="0" applyNumberFormat="1" applyFont="1" applyFill="1" applyBorder="1" applyAlignment="1">
      <alignment horizontal="left"/>
    </xf>
    <xf numFmtId="37" fontId="89" fillId="61" borderId="0" xfId="0" applyNumberFormat="1" applyFont="1" applyFill="1" applyBorder="1" applyAlignment="1">
      <alignment horizontal="right"/>
    </xf>
    <xf numFmtId="166" fontId="89" fillId="61" borderId="0" xfId="23" applyNumberFormat="1" applyFont="1" applyFill="1" applyBorder="1" applyAlignment="1">
      <alignment horizontal="right"/>
    </xf>
    <xf numFmtId="37" fontId="105" fillId="0" borderId="0" xfId="0" applyFont="1" applyAlignment="1">
      <alignment vertical="center"/>
    </xf>
    <xf numFmtId="175" fontId="156" fillId="61" borderId="0" xfId="16" applyNumberFormat="1" applyFont="1" applyFill="1" applyAlignment="1">
      <alignment horizontal="left" vertical="center"/>
    </xf>
    <xf numFmtId="10" fontId="118" fillId="61" borderId="0" xfId="16" applyNumberFormat="1" applyFont="1" applyFill="1" applyBorder="1" applyAlignment="1">
      <alignment vertical="center"/>
    </xf>
    <xf numFmtId="0" fontId="93" fillId="61" borderId="0" xfId="16" applyFont="1" applyFill="1" applyAlignment="1">
      <alignment vertical="center"/>
    </xf>
    <xf numFmtId="0" fontId="93" fillId="61" borderId="0" xfId="16" applyFont="1" applyFill="1" applyAlignment="1">
      <alignment horizontal="right" vertical="center"/>
    </xf>
    <xf numFmtId="166" fontId="93" fillId="61" borderId="0" xfId="23" applyNumberFormat="1" applyFont="1" applyFill="1" applyBorder="1" applyAlignment="1">
      <alignment horizontal="right" wrapText="1"/>
    </xf>
    <xf numFmtId="0" fontId="93" fillId="61" borderId="0" xfId="16" applyFont="1" applyFill="1" applyAlignment="1">
      <alignment horizontal="right" vertical="center" wrapText="1"/>
    </xf>
    <xf numFmtId="0" fontId="116" fillId="0" borderId="42" xfId="0" applyNumberFormat="1" applyFont="1" applyBorder="1"/>
    <xf numFmtId="0" fontId="116" fillId="0" borderId="18" xfId="0" applyNumberFormat="1" applyFont="1" applyBorder="1"/>
    <xf numFmtId="169" fontId="89" fillId="0" borderId="0" xfId="0" applyNumberFormat="1" applyFont="1" applyBorder="1" applyAlignment="1"/>
    <xf numFmtId="169" fontId="89" fillId="0" borderId="0" xfId="0" applyNumberFormat="1" applyFont="1" applyFill="1" applyBorder="1" applyAlignment="1"/>
    <xf numFmtId="172" fontId="137" fillId="0" borderId="0" xfId="0" applyNumberFormat="1" applyFont="1" applyFill="1" applyBorder="1" applyAlignment="1">
      <alignment horizontal="right"/>
    </xf>
    <xf numFmtId="169" fontId="137" fillId="0" borderId="0" xfId="0" applyNumberFormat="1" applyFont="1" applyBorder="1" applyAlignment="1"/>
    <xf numFmtId="169" fontId="89" fillId="0" borderId="0" xfId="0" applyNumberFormat="1" applyFont="1" applyFill="1" applyBorder="1" applyAlignment="1">
      <alignment horizontal="right"/>
    </xf>
    <xf numFmtId="37" fontId="128" fillId="0" borderId="0" xfId="0" applyFont="1" applyFill="1" applyBorder="1" applyAlignment="1"/>
    <xf numFmtId="10" fontId="128" fillId="0" borderId="0" xfId="23" applyNumberFormat="1" applyFont="1" applyFill="1" applyBorder="1" applyAlignment="1">
      <alignment horizontal="right"/>
    </xf>
    <xf numFmtId="166" fontId="128" fillId="0" borderId="0" xfId="23" applyNumberFormat="1" applyFont="1" applyFill="1" applyBorder="1" applyAlignment="1">
      <alignment horizontal="right"/>
    </xf>
    <xf numFmtId="37" fontId="128" fillId="0" borderId="0" xfId="0" applyFont="1" applyFill="1" applyBorder="1" applyAlignment="1">
      <alignment horizontal="right"/>
    </xf>
    <xf numFmtId="166" fontId="128" fillId="0" borderId="0" xfId="23" applyNumberFormat="1" applyFont="1" applyFill="1" applyBorder="1" applyAlignment="1"/>
    <xf numFmtId="39" fontId="89" fillId="0" borderId="0" xfId="0" applyNumberFormat="1" applyFont="1" applyBorder="1" applyAlignment="1"/>
    <xf numFmtId="166" fontId="89" fillId="0" borderId="0" xfId="23" applyNumberFormat="1" applyFont="1" applyFill="1" applyBorder="1" applyAlignment="1"/>
    <xf numFmtId="10" fontId="89" fillId="0" borderId="0" xfId="23" applyNumberFormat="1" applyFont="1" applyFill="1" applyBorder="1" applyAlignment="1">
      <alignment horizontal="right"/>
    </xf>
    <xf numFmtId="37" fontId="128" fillId="0" borderId="0" xfId="0" applyFont="1" applyBorder="1" applyAlignment="1"/>
    <xf numFmtId="172" fontId="128" fillId="0" borderId="0" xfId="0" applyNumberFormat="1" applyFont="1" applyBorder="1" applyAlignment="1"/>
    <xf numFmtId="172" fontId="128" fillId="0" borderId="0" xfId="0" applyNumberFormat="1" applyFont="1" applyFill="1" applyBorder="1" applyAlignment="1"/>
    <xf numFmtId="172" fontId="128" fillId="0" borderId="0" xfId="0" applyNumberFormat="1" applyFont="1" applyFill="1" applyBorder="1" applyAlignment="1">
      <alignment horizontal="right"/>
    </xf>
    <xf numFmtId="169" fontId="128" fillId="0" borderId="0" xfId="0" applyNumberFormat="1" applyFont="1" applyBorder="1" applyAlignment="1"/>
    <xf numFmtId="169" fontId="89" fillId="0" borderId="0" xfId="23" applyNumberFormat="1" applyFont="1" applyBorder="1" applyAlignment="1"/>
    <xf numFmtId="172" fontId="95" fillId="0" borderId="0" xfId="0" applyNumberFormat="1" applyFont="1" applyBorder="1" applyAlignment="1">
      <alignment horizontal="right"/>
    </xf>
    <xf numFmtId="172" fontId="95" fillId="0" borderId="0" xfId="0" applyNumberFormat="1" applyFont="1" applyFill="1" applyBorder="1" applyAlignment="1"/>
    <xf numFmtId="172" fontId="95" fillId="0" borderId="0" xfId="0" applyNumberFormat="1" applyFont="1" applyFill="1" applyBorder="1" applyAlignment="1">
      <alignment horizontal="right"/>
    </xf>
    <xf numFmtId="172" fontId="95" fillId="0" borderId="0" xfId="0" applyNumberFormat="1" applyFont="1" applyBorder="1" applyAlignment="1"/>
    <xf numFmtId="172" fontId="89" fillId="0" borderId="0" xfId="0" applyNumberFormat="1" applyFont="1" applyBorder="1" applyAlignment="1">
      <alignment horizontal="right" vertical="top"/>
    </xf>
    <xf numFmtId="172" fontId="89" fillId="0" borderId="0" xfId="0" applyNumberFormat="1" applyFont="1" applyFill="1" applyBorder="1" applyAlignment="1" applyProtection="1"/>
    <xf numFmtId="166" fontId="89" fillId="0" borderId="0" xfId="0" applyNumberFormat="1" applyFont="1" applyFill="1" applyBorder="1" applyProtection="1"/>
    <xf numFmtId="0" fontId="93" fillId="22" borderId="0" xfId="0" applyNumberFormat="1" applyFont="1" applyFill="1" applyBorder="1" applyAlignment="1">
      <alignment horizontal="left"/>
    </xf>
    <xf numFmtId="14" fontId="138" fillId="0" borderId="0" xfId="0" applyNumberFormat="1" applyFont="1" applyBorder="1" applyAlignment="1">
      <alignment horizontal="left"/>
    </xf>
    <xf numFmtId="14" fontId="90" fillId="0" borderId="0" xfId="0" applyNumberFormat="1" applyFont="1" applyBorder="1" applyAlignment="1">
      <alignment horizontal="left"/>
    </xf>
    <xf numFmtId="14" fontId="128" fillId="0" borderId="0" xfId="0" applyNumberFormat="1" applyFont="1" applyFill="1" applyBorder="1" applyAlignment="1">
      <alignment horizontal="left"/>
    </xf>
    <xf numFmtId="175" fontId="89" fillId="0" borderId="0" xfId="0" applyNumberFormat="1" applyFont="1" applyBorder="1" applyAlignment="1"/>
    <xf numFmtId="37" fontId="137" fillId="0" borderId="0" xfId="0" applyFont="1" applyFill="1" applyBorder="1" applyAlignment="1"/>
    <xf numFmtId="14" fontId="128" fillId="0" borderId="0" xfId="0" applyNumberFormat="1" applyFont="1" applyBorder="1" applyAlignment="1">
      <alignment horizontal="left"/>
    </xf>
    <xf numFmtId="14" fontId="95" fillId="0" borderId="0" xfId="0" applyNumberFormat="1" applyFont="1" applyBorder="1" applyAlignment="1">
      <alignment horizontal="left"/>
    </xf>
    <xf numFmtId="37" fontId="164" fillId="0" borderId="0" xfId="0" applyFont="1" applyBorder="1" applyAlignment="1"/>
    <xf numFmtId="169" fontId="95" fillId="0" borderId="0" xfId="23" applyNumberFormat="1" applyFont="1" applyBorder="1" applyAlignment="1"/>
    <xf numFmtId="14" fontId="95" fillId="0" borderId="0" xfId="0" applyNumberFormat="1" applyFont="1" applyBorder="1" applyAlignment="1">
      <alignment horizontal="left" wrapText="1"/>
    </xf>
    <xf numFmtId="37" fontId="95" fillId="0" borderId="0" xfId="0" applyFont="1" applyFill="1" applyBorder="1" applyAlignment="1"/>
    <xf numFmtId="37" fontId="95" fillId="0" borderId="0" xfId="0" applyFont="1" applyFill="1" applyBorder="1" applyAlignment="1">
      <alignment horizontal="right"/>
    </xf>
    <xf numFmtId="169" fontId="95" fillId="0" borderId="0" xfId="0" applyNumberFormat="1" applyFont="1" applyBorder="1" applyAlignment="1"/>
    <xf numFmtId="175" fontId="90" fillId="0" borderId="0" xfId="0" applyNumberFormat="1" applyFont="1" applyBorder="1" applyAlignment="1">
      <alignment horizontal="left"/>
    </xf>
    <xf numFmtId="14" fontId="89" fillId="0" borderId="0" xfId="0" applyNumberFormat="1" applyFont="1" applyBorder="1" applyAlignment="1">
      <alignment horizontal="left" vertical="top"/>
    </xf>
    <xf numFmtId="166" fontId="89" fillId="0" borderId="0" xfId="23" applyNumberFormat="1" applyFont="1" applyBorder="1" applyAlignment="1">
      <alignment vertical="top"/>
    </xf>
    <xf numFmtId="0" fontId="93" fillId="22" borderId="0" xfId="0" applyNumberFormat="1" applyFont="1" applyFill="1" applyBorder="1" applyAlignment="1"/>
    <xf numFmtId="37" fontId="89" fillId="22" borderId="0" xfId="0" applyFont="1" applyFill="1" applyBorder="1" applyAlignment="1"/>
    <xf numFmtId="169" fontId="89" fillId="48" borderId="0" xfId="0" applyNumberFormat="1" applyFont="1" applyFill="1" applyBorder="1" applyAlignment="1"/>
    <xf numFmtId="37" fontId="22" fillId="48" borderId="0" xfId="0" applyFont="1" applyFill="1" applyBorder="1" applyAlignment="1">
      <alignment horizontal="right" vertical="center"/>
    </xf>
    <xf numFmtId="37" fontId="113" fillId="0" borderId="0" xfId="0" applyFont="1" applyBorder="1" applyAlignment="1"/>
    <xf numFmtId="169" fontId="113" fillId="0" borderId="0" xfId="0" applyNumberFormat="1" applyFont="1" applyBorder="1" applyAlignment="1"/>
    <xf numFmtId="37" fontId="166" fillId="0" borderId="0" xfId="0" applyFont="1" applyBorder="1" applyAlignment="1"/>
    <xf numFmtId="37" fontId="109" fillId="47" borderId="0" xfId="0" applyFont="1" applyFill="1" applyBorder="1" applyAlignment="1"/>
    <xf numFmtId="37" fontId="109" fillId="47" borderId="0" xfId="0" applyFont="1" applyFill="1" applyBorder="1" applyAlignment="1">
      <alignment horizontal="right"/>
    </xf>
    <xf numFmtId="169" fontId="109" fillId="47" borderId="0" xfId="0" applyNumberFormat="1" applyFont="1" applyFill="1" applyBorder="1" applyAlignment="1"/>
    <xf numFmtId="0" fontId="119" fillId="59" borderId="0" xfId="0" applyNumberFormat="1" applyFont="1" applyFill="1" applyBorder="1" applyAlignment="1">
      <alignment horizontal="right"/>
    </xf>
    <xf numFmtId="0" fontId="107" fillId="57" borderId="0" xfId="0" applyNumberFormat="1" applyFont="1" applyFill="1" applyBorder="1" applyAlignment="1">
      <alignment horizontal="right"/>
    </xf>
    <xf numFmtId="0" fontId="119" fillId="60" borderId="0" xfId="0" applyNumberFormat="1" applyFont="1" applyFill="1" applyBorder="1" applyAlignment="1">
      <alignment horizontal="right"/>
    </xf>
    <xf numFmtId="0" fontId="107" fillId="58" borderId="0" xfId="0" applyNumberFormat="1" applyFont="1" applyFill="1" applyBorder="1" applyAlignment="1">
      <alignment horizontal="right"/>
    </xf>
    <xf numFmtId="0" fontId="119" fillId="55" borderId="0" xfId="0" applyNumberFormat="1" applyFont="1" applyFill="1" applyBorder="1" applyAlignment="1">
      <alignment horizontal="right"/>
    </xf>
    <xf numFmtId="169" fontId="89" fillId="61" borderId="0" xfId="0" applyNumberFormat="1" applyFont="1" applyFill="1" applyBorder="1" applyAlignment="1"/>
    <xf numFmtId="172" fontId="89" fillId="48" borderId="0" xfId="0" applyNumberFormat="1" applyFont="1" applyFill="1" applyBorder="1" applyAlignment="1"/>
    <xf numFmtId="169" fontId="89" fillId="48" borderId="0" xfId="23" applyNumberFormat="1" applyFont="1" applyFill="1" applyBorder="1" applyAlignment="1"/>
    <xf numFmtId="172" fontId="89" fillId="61" borderId="0" xfId="0" applyNumberFormat="1" applyFont="1" applyFill="1" applyBorder="1" applyAlignment="1"/>
    <xf numFmtId="169" fontId="89" fillId="61" borderId="0" xfId="23" applyNumberFormat="1" applyFont="1" applyFill="1" applyBorder="1" applyAlignment="1"/>
    <xf numFmtId="0" fontId="119" fillId="61" borderId="0" xfId="0" applyNumberFormat="1" applyFont="1" applyFill="1" applyBorder="1" applyAlignment="1">
      <alignment horizontal="right"/>
    </xf>
    <xf numFmtId="0" fontId="107" fillId="61" borderId="0" xfId="0" applyNumberFormat="1" applyFont="1" applyFill="1" applyBorder="1" applyAlignment="1">
      <alignment horizontal="right"/>
    </xf>
    <xf numFmtId="37" fontId="119" fillId="0" borderId="18" xfId="0" applyFont="1" applyFill="1" applyBorder="1" applyAlignment="1">
      <alignment horizontal="right"/>
    </xf>
    <xf numFmtId="37" fontId="22" fillId="0" borderId="18" xfId="0" applyFont="1" applyFill="1" applyBorder="1" applyAlignment="1">
      <alignment horizontal="right" vertical="center"/>
    </xf>
    <xf numFmtId="37" fontId="105" fillId="0" borderId="18" xfId="0" applyFont="1" applyFill="1" applyBorder="1" applyAlignment="1">
      <alignment horizontal="right"/>
    </xf>
    <xf numFmtId="0" fontId="107" fillId="0" borderId="18" xfId="0" applyNumberFormat="1" applyFont="1" applyFill="1" applyBorder="1" applyAlignment="1">
      <alignment horizontal="right"/>
    </xf>
    <xf numFmtId="0" fontId="119" fillId="0" borderId="18" xfId="0" applyNumberFormat="1" applyFont="1" applyFill="1" applyBorder="1" applyAlignment="1">
      <alignment horizontal="right"/>
    </xf>
    <xf numFmtId="37" fontId="93" fillId="48" borderId="0" xfId="0" applyFont="1" applyFill="1" applyBorder="1" applyAlignment="1">
      <alignment horizontal="right" wrapText="1"/>
    </xf>
    <xf numFmtId="37" fontId="93" fillId="48" borderId="0" xfId="0" applyFont="1" applyFill="1" applyBorder="1" applyAlignment="1">
      <alignment horizontal="center" wrapText="1"/>
    </xf>
    <xf numFmtId="37" fontId="119" fillId="0" borderId="0" xfId="0" applyFont="1" applyFill="1" applyBorder="1"/>
    <xf numFmtId="37" fontId="119" fillId="0" borderId="0" xfId="0" applyNumberFormat="1" applyFont="1" applyFill="1" applyBorder="1"/>
    <xf numFmtId="0" fontId="89" fillId="48" borderId="0" xfId="0" applyNumberFormat="1" applyFont="1" applyFill="1" applyBorder="1" applyAlignment="1">
      <alignment horizontal="center"/>
    </xf>
    <xf numFmtId="37" fontId="93" fillId="0" borderId="0" xfId="0" applyFont="1" applyBorder="1" applyAlignment="1">
      <alignment horizontal="center"/>
    </xf>
    <xf numFmtId="37" fontId="105" fillId="0" borderId="2" xfId="0" applyFont="1" applyBorder="1" applyAlignment="1">
      <alignment horizontal="center" vertical="top"/>
    </xf>
    <xf numFmtId="37" fontId="105" fillId="0" borderId="2" xfId="0" applyFont="1" applyBorder="1" applyAlignment="1">
      <alignment horizontal="center" vertical="top" wrapText="1"/>
    </xf>
    <xf numFmtId="37" fontId="93" fillId="48" borderId="0" xfId="0" applyFont="1" applyFill="1" applyBorder="1" applyAlignment="1">
      <alignment horizontal="center"/>
    </xf>
    <xf numFmtId="37" fontId="128" fillId="59" borderId="18" xfId="0" applyFont="1" applyFill="1" applyBorder="1"/>
    <xf numFmtId="37" fontId="128" fillId="50" borderId="18" xfId="0" applyFont="1" applyFill="1" applyBorder="1"/>
    <xf numFmtId="37" fontId="128" fillId="58" borderId="18" xfId="0" applyFont="1" applyFill="1" applyBorder="1"/>
    <xf numFmtId="37" fontId="102" fillId="71" borderId="18" xfId="0" applyFont="1" applyFill="1" applyBorder="1" applyAlignment="1">
      <alignment horizontal="right"/>
    </xf>
    <xf numFmtId="37" fontId="128" fillId="51" borderId="18" xfId="0" applyFont="1" applyFill="1" applyBorder="1"/>
    <xf numFmtId="37" fontId="102" fillId="21" borderId="18" xfId="0" applyFont="1" applyFill="1" applyBorder="1" applyAlignment="1">
      <alignment horizontal="right"/>
    </xf>
    <xf numFmtId="37" fontId="9" fillId="0" borderId="0" xfId="6" applyNumberFormat="1" applyBorder="1" applyAlignment="1" applyProtection="1"/>
    <xf numFmtId="1" fontId="93" fillId="8" borderId="0" xfId="15" applyNumberFormat="1" applyFont="1" applyFill="1" applyBorder="1" applyAlignment="1">
      <alignment horizontal="left"/>
    </xf>
    <xf numFmtId="0" fontId="93" fillId="8" borderId="0" xfId="15" applyNumberFormat="1" applyFont="1" applyFill="1" applyBorder="1" applyAlignment="1">
      <alignment horizontal="right"/>
    </xf>
    <xf numFmtId="37" fontId="167" fillId="47" borderId="0" xfId="0" applyFont="1" applyFill="1" applyBorder="1"/>
    <xf numFmtId="0" fontId="108" fillId="47" borderId="0" xfId="9" applyFont="1" applyFill="1" applyBorder="1" applyAlignment="1"/>
    <xf numFmtId="167" fontId="105" fillId="0" borderId="0" xfId="19" applyNumberFormat="1" applyFont="1" applyAlignment="1">
      <alignment horizontal="right"/>
    </xf>
    <xf numFmtId="183" fontId="155" fillId="0" borderId="0" xfId="16" applyNumberFormat="1" applyFont="1" applyFill="1" applyBorder="1" applyAlignment="1">
      <alignment horizontal="right" vertical="center"/>
    </xf>
    <xf numFmtId="0" fontId="155" fillId="0" borderId="0" xfId="16" applyFont="1" applyFill="1" applyBorder="1" applyAlignment="1">
      <alignment horizontal="right" vertical="center" wrapText="1"/>
    </xf>
    <xf numFmtId="1" fontId="155" fillId="0" borderId="0" xfId="16" applyNumberFormat="1" applyFont="1" applyFill="1" applyBorder="1" applyAlignment="1">
      <alignment horizontal="right" vertical="center"/>
    </xf>
    <xf numFmtId="37" fontId="93" fillId="0" borderId="0" xfId="19" applyFont="1" applyBorder="1" applyAlignment="1">
      <alignment horizontal="right"/>
    </xf>
    <xf numFmtId="3" fontId="93" fillId="48" borderId="0" xfId="9" applyNumberFormat="1" applyFont="1" applyFill="1" applyBorder="1" applyAlignment="1">
      <alignment horizontal="center" wrapText="1"/>
    </xf>
    <xf numFmtId="37" fontId="118" fillId="0" borderId="0" xfId="0" applyFont="1" applyFill="1" applyBorder="1" applyAlignment="1">
      <alignment horizontal="right"/>
    </xf>
    <xf numFmtId="10" fontId="107" fillId="0" borderId="0" xfId="0" applyNumberFormat="1" applyFont="1" applyBorder="1"/>
    <xf numFmtId="3" fontId="107" fillId="0" borderId="0" xfId="0" applyNumberFormat="1" applyFont="1" applyFill="1" applyBorder="1"/>
    <xf numFmtId="0" fontId="105" fillId="0" borderId="0" xfId="7" applyFont="1" applyAlignment="1">
      <alignment wrapText="1"/>
    </xf>
    <xf numFmtId="3" fontId="107" fillId="0" borderId="0" xfId="0" applyNumberFormat="1" applyFont="1"/>
    <xf numFmtId="0" fontId="93" fillId="61" borderId="0" xfId="16" applyFont="1" applyFill="1" applyBorder="1" applyAlignment="1">
      <alignment vertical="center"/>
    </xf>
    <xf numFmtId="0" fontId="156" fillId="0" borderId="0" xfId="16" applyFont="1" applyFill="1" applyBorder="1" applyAlignment="1">
      <alignment horizontal="left" vertical="center"/>
    </xf>
    <xf numFmtId="0" fontId="155" fillId="0" borderId="0" xfId="16" applyFont="1" applyFill="1" applyBorder="1" applyAlignment="1">
      <alignment horizontal="left" vertical="center"/>
    </xf>
    <xf numFmtId="0" fontId="93" fillId="61" borderId="0" xfId="0" applyNumberFormat="1" applyFont="1" applyFill="1" applyBorder="1" applyAlignment="1">
      <alignment horizontal="right"/>
    </xf>
    <xf numFmtId="37" fontId="118" fillId="61" borderId="0" xfId="0" applyFont="1" applyFill="1" applyBorder="1"/>
    <xf numFmtId="37" fontId="127" fillId="0" borderId="0" xfId="0" applyFont="1" applyBorder="1"/>
    <xf numFmtId="9" fontId="105" fillId="0" borderId="0" xfId="0" applyNumberFormat="1" applyFont="1" applyFill="1" applyBorder="1" applyAlignment="1">
      <alignment horizontal="right"/>
    </xf>
    <xf numFmtId="9" fontId="105" fillId="8" borderId="0" xfId="0" applyNumberFormat="1" applyFont="1" applyFill="1" applyBorder="1" applyAlignment="1">
      <alignment horizontal="right"/>
    </xf>
    <xf numFmtId="0" fontId="93" fillId="61" borderId="0" xfId="0" applyNumberFormat="1" applyFont="1" applyFill="1" applyBorder="1" applyAlignment="1"/>
    <xf numFmtId="0" fontId="93" fillId="61" borderId="0" xfId="0" applyNumberFormat="1" applyFont="1" applyFill="1" applyBorder="1"/>
    <xf numFmtId="9" fontId="105" fillId="0" borderId="0" xfId="19" applyNumberFormat="1" applyFont="1" applyBorder="1" applyAlignment="1">
      <alignment horizontal="right"/>
    </xf>
    <xf numFmtId="9" fontId="105" fillId="0" borderId="0" xfId="19" applyNumberFormat="1" applyFont="1" applyAlignment="1">
      <alignment horizontal="right"/>
    </xf>
    <xf numFmtId="3" fontId="156" fillId="0" borderId="0" xfId="16" applyNumberFormat="1" applyFont="1" applyFill="1" applyBorder="1" applyAlignment="1">
      <alignment horizontal="right" vertical="center"/>
    </xf>
    <xf numFmtId="3" fontId="105" fillId="0" borderId="0" xfId="16" applyNumberFormat="1" applyFont="1" applyBorder="1" applyAlignment="1">
      <alignment horizontal="right" vertical="center" wrapText="1"/>
    </xf>
    <xf numFmtId="167" fontId="105" fillId="0" borderId="0" xfId="19" applyNumberFormat="1" applyFont="1" applyBorder="1" applyAlignment="1">
      <alignment horizontal="right"/>
    </xf>
    <xf numFmtId="9" fontId="105" fillId="0" borderId="0" xfId="23" applyNumberFormat="1" applyFont="1" applyBorder="1" applyAlignment="1">
      <alignment horizontal="right" wrapText="1"/>
    </xf>
    <xf numFmtId="9" fontId="105" fillId="0" borderId="0" xfId="23" applyNumberFormat="1" applyFont="1"/>
    <xf numFmtId="0" fontId="105" fillId="0" borderId="43" xfId="9" applyFont="1" applyBorder="1" applyAlignment="1"/>
    <xf numFmtId="10" fontId="107" fillId="0" borderId="43" xfId="9" applyNumberFormat="1" applyFont="1" applyFill="1" applyBorder="1"/>
    <xf numFmtId="0" fontId="105" fillId="0" borderId="43" xfId="9" applyFont="1" applyBorder="1"/>
    <xf numFmtId="0" fontId="107" fillId="0" borderId="43" xfId="9" applyFont="1" applyBorder="1" applyAlignment="1"/>
    <xf numFmtId="3" fontId="105" fillId="0" borderId="43" xfId="9" applyNumberFormat="1" applyFont="1" applyBorder="1" applyAlignment="1">
      <alignment horizontal="right"/>
    </xf>
    <xf numFmtId="167" fontId="105" fillId="0" borderId="43" xfId="19" applyNumberFormat="1" applyFont="1" applyBorder="1" applyAlignment="1">
      <alignment horizontal="right"/>
    </xf>
    <xf numFmtId="9" fontId="105" fillId="0" borderId="43" xfId="23" applyNumberFormat="1" applyFont="1" applyBorder="1" applyAlignment="1">
      <alignment horizontal="right"/>
    </xf>
    <xf numFmtId="10" fontId="118" fillId="0" borderId="43" xfId="9" applyNumberFormat="1" applyFont="1" applyFill="1" applyBorder="1"/>
    <xf numFmtId="0" fontId="93" fillId="0" borderId="43" xfId="9" applyFont="1" applyBorder="1"/>
    <xf numFmtId="0" fontId="93" fillId="0" borderId="43" xfId="9" applyFont="1" applyBorder="1" applyAlignment="1"/>
    <xf numFmtId="9" fontId="105" fillId="0" borderId="43" xfId="23" applyNumberFormat="1" applyFont="1" applyBorder="1"/>
    <xf numFmtId="167" fontId="93" fillId="0" borderId="43" xfId="19" applyNumberFormat="1" applyFont="1" applyBorder="1" applyAlignment="1">
      <alignment horizontal="right"/>
    </xf>
    <xf numFmtId="37" fontId="93" fillId="0" borderId="43" xfId="0" applyFont="1" applyBorder="1" applyAlignment="1">
      <alignment horizontal="right"/>
    </xf>
    <xf numFmtId="37" fontId="93" fillId="0" borderId="43" xfId="0" applyFont="1" applyBorder="1"/>
    <xf numFmtId="3" fontId="93" fillId="0" borderId="43" xfId="9" applyNumberFormat="1" applyFont="1" applyBorder="1" applyAlignment="1"/>
    <xf numFmtId="3" fontId="93" fillId="0" borderId="43" xfId="9" applyNumberFormat="1" applyFont="1" applyBorder="1"/>
    <xf numFmtId="3" fontId="93" fillId="0" borderId="43" xfId="9" applyNumberFormat="1" applyFont="1" applyBorder="1" applyAlignment="1">
      <alignment horizontal="right"/>
    </xf>
    <xf numFmtId="0" fontId="118" fillId="0" borderId="43" xfId="9" applyFont="1" applyBorder="1" applyAlignment="1"/>
    <xf numFmtId="3" fontId="105" fillId="0" borderId="43" xfId="9" applyNumberFormat="1" applyFont="1" applyBorder="1" applyAlignment="1"/>
    <xf numFmtId="3" fontId="105" fillId="0" borderId="43" xfId="9" applyNumberFormat="1" applyFont="1" applyBorder="1"/>
    <xf numFmtId="9" fontId="105" fillId="0" borderId="43" xfId="23" applyNumberFormat="1" applyFont="1" applyBorder="1" applyAlignment="1">
      <alignment horizontal="right" wrapText="1"/>
    </xf>
    <xf numFmtId="0" fontId="105" fillId="0" borderId="43" xfId="16" applyFont="1" applyFill="1" applyBorder="1" applyAlignment="1">
      <alignment vertical="center"/>
    </xf>
    <xf numFmtId="10" fontId="118" fillId="0" borderId="43" xfId="16" applyNumberFormat="1" applyFont="1" applyFill="1" applyBorder="1" applyAlignment="1">
      <alignment vertical="center"/>
    </xf>
    <xf numFmtId="0" fontId="93" fillId="0" borderId="43" xfId="16" applyFont="1" applyFill="1" applyBorder="1" applyAlignment="1">
      <alignment vertical="center"/>
    </xf>
    <xf numFmtId="3" fontId="156" fillId="0" borderId="43" xfId="16" applyNumberFormat="1" applyFont="1" applyFill="1" applyBorder="1" applyAlignment="1">
      <alignment horizontal="right" vertical="center"/>
    </xf>
    <xf numFmtId="3" fontId="105" fillId="0" borderId="43" xfId="16" applyNumberFormat="1" applyFont="1" applyBorder="1" applyAlignment="1">
      <alignment horizontal="right" vertical="center" wrapText="1"/>
    </xf>
    <xf numFmtId="9" fontId="105" fillId="0" borderId="43" xfId="19" applyNumberFormat="1" applyFont="1" applyBorder="1" applyAlignment="1">
      <alignment horizontal="right"/>
    </xf>
    <xf numFmtId="37" fontId="105" fillId="0" borderId="43" xfId="0" applyFont="1" applyBorder="1" applyAlignment="1"/>
    <xf numFmtId="10" fontId="118" fillId="0" borderId="43" xfId="0" applyNumberFormat="1" applyFont="1" applyFill="1" applyBorder="1"/>
    <xf numFmtId="37" fontId="105" fillId="0" borderId="43" xfId="0" applyFont="1" applyBorder="1" applyAlignment="1">
      <alignment horizontal="right"/>
    </xf>
    <xf numFmtId="9" fontId="105" fillId="0" borderId="43" xfId="0" applyNumberFormat="1" applyFont="1" applyBorder="1" applyAlignment="1">
      <alignment horizontal="right"/>
    </xf>
    <xf numFmtId="37" fontId="93" fillId="0" borderId="43" xfId="0" applyFont="1" applyBorder="1" applyAlignment="1"/>
    <xf numFmtId="10" fontId="118" fillId="0" borderId="43" xfId="19" applyNumberFormat="1" applyFont="1" applyFill="1" applyBorder="1"/>
    <xf numFmtId="37" fontId="93" fillId="0" borderId="43" xfId="19" applyFont="1" applyBorder="1"/>
    <xf numFmtId="37" fontId="93" fillId="0" borderId="43" xfId="19" applyFont="1" applyBorder="1" applyAlignment="1"/>
    <xf numFmtId="3" fontId="105" fillId="0" borderId="43" xfId="19" applyNumberFormat="1" applyFont="1" applyBorder="1" applyAlignment="1">
      <alignment horizontal="right"/>
    </xf>
    <xf numFmtId="37" fontId="105" fillId="0" borderId="43" xfId="19" applyFont="1" applyBorder="1" applyAlignment="1">
      <alignment horizontal="right"/>
    </xf>
    <xf numFmtId="166" fontId="105" fillId="0" borderId="43" xfId="19" applyNumberFormat="1" applyFont="1" applyBorder="1" applyAlignment="1">
      <alignment horizontal="right"/>
    </xf>
    <xf numFmtId="3" fontId="105" fillId="0" borderId="43" xfId="0" applyNumberFormat="1" applyFont="1" applyBorder="1" applyAlignment="1">
      <alignment horizontal="right"/>
    </xf>
    <xf numFmtId="0" fontId="105" fillId="0" borderId="43" xfId="0" applyNumberFormat="1" applyFont="1" applyFill="1" applyBorder="1" applyAlignment="1"/>
    <xf numFmtId="0" fontId="105" fillId="0" borderId="43" xfId="0" applyNumberFormat="1" applyFont="1" applyFill="1" applyBorder="1"/>
    <xf numFmtId="0" fontId="93" fillId="0" borderId="43" xfId="0" applyNumberFormat="1" applyFont="1" applyFill="1" applyBorder="1" applyAlignment="1"/>
    <xf numFmtId="0" fontId="93" fillId="0" borderId="43" xfId="0" applyNumberFormat="1" applyFont="1" applyFill="1" applyBorder="1"/>
    <xf numFmtId="3" fontId="105" fillId="0" borderId="43" xfId="0" applyNumberFormat="1" applyFont="1" applyFill="1" applyBorder="1" applyAlignment="1">
      <alignment horizontal="right"/>
    </xf>
    <xf numFmtId="9" fontId="105" fillId="0" borderId="43" xfId="0" applyNumberFormat="1" applyFont="1" applyFill="1" applyBorder="1" applyAlignment="1">
      <alignment horizontal="right"/>
    </xf>
    <xf numFmtId="166" fontId="105" fillId="0" borderId="43" xfId="0" applyNumberFormat="1" applyFont="1" applyFill="1" applyBorder="1" applyAlignment="1">
      <alignment horizontal="right"/>
    </xf>
    <xf numFmtId="166" fontId="93" fillId="0" borderId="43" xfId="0" applyNumberFormat="1" applyFont="1" applyFill="1" applyBorder="1" applyAlignment="1">
      <alignment horizontal="right"/>
    </xf>
    <xf numFmtId="3" fontId="93" fillId="0" borderId="43" xfId="0" applyNumberFormat="1" applyFont="1" applyFill="1" applyBorder="1" applyAlignment="1">
      <alignment horizontal="right"/>
    </xf>
    <xf numFmtId="3" fontId="93" fillId="0" borderId="43" xfId="0" applyNumberFormat="1" applyFont="1" applyFill="1" applyBorder="1" applyAlignment="1"/>
    <xf numFmtId="3" fontId="93" fillId="0" borderId="43" xfId="0" applyNumberFormat="1" applyFont="1" applyFill="1" applyBorder="1"/>
    <xf numFmtId="3" fontId="118" fillId="0" borderId="43" xfId="0" applyNumberFormat="1" applyFont="1" applyFill="1" applyBorder="1"/>
    <xf numFmtId="9" fontId="107" fillId="0" borderId="43" xfId="23" applyFont="1" applyFill="1" applyBorder="1"/>
    <xf numFmtId="10" fontId="118" fillId="0" borderId="43" xfId="23" applyNumberFormat="1" applyFont="1" applyFill="1" applyBorder="1"/>
    <xf numFmtId="37" fontId="107" fillId="0" borderId="43" xfId="0" applyFont="1" applyFill="1" applyBorder="1"/>
    <xf numFmtId="37" fontId="93" fillId="0" borderId="43" xfId="0" applyFont="1" applyFill="1" applyBorder="1"/>
    <xf numFmtId="39" fontId="118" fillId="0" borderId="43" xfId="0" applyNumberFormat="1" applyFont="1" applyFill="1" applyBorder="1"/>
    <xf numFmtId="3" fontId="107" fillId="0" borderId="43" xfId="0" applyNumberFormat="1" applyFont="1" applyFill="1" applyBorder="1" applyAlignment="1">
      <alignment horizontal="right"/>
    </xf>
    <xf numFmtId="9" fontId="107" fillId="0" borderId="43" xfId="0" applyNumberFormat="1" applyFont="1" applyFill="1" applyBorder="1" applyAlignment="1">
      <alignment horizontal="right"/>
    </xf>
    <xf numFmtId="166" fontId="107" fillId="0" borderId="43" xfId="0" applyNumberFormat="1" applyFont="1" applyFill="1" applyBorder="1" applyAlignment="1">
      <alignment horizontal="right"/>
    </xf>
    <xf numFmtId="10" fontId="118" fillId="0" borderId="0" xfId="23" applyNumberFormat="1" applyFont="1" applyFill="1" applyBorder="1"/>
    <xf numFmtId="9" fontId="107" fillId="0" borderId="0" xfId="0" applyNumberFormat="1" applyFont="1" applyFill="1" applyBorder="1" applyAlignment="1">
      <alignment horizontal="right"/>
    </xf>
    <xf numFmtId="37" fontId="118" fillId="0" borderId="43" xfId="0" applyFont="1" applyFill="1" applyBorder="1"/>
    <xf numFmtId="37" fontId="118" fillId="0" borderId="43" xfId="0" applyFont="1" applyFill="1" applyBorder="1" applyAlignment="1">
      <alignment horizontal="right"/>
    </xf>
    <xf numFmtId="10" fontId="107" fillId="0" borderId="43" xfId="0" applyNumberFormat="1" applyFont="1" applyFill="1" applyBorder="1"/>
    <xf numFmtId="9" fontId="105" fillId="0" borderId="43" xfId="23" applyFont="1" applyFill="1" applyBorder="1" applyAlignment="1">
      <alignment horizontal="right"/>
    </xf>
    <xf numFmtId="10" fontId="107" fillId="0" borderId="43" xfId="23" applyNumberFormat="1" applyFont="1" applyFill="1" applyBorder="1"/>
    <xf numFmtId="166" fontId="105" fillId="0" borderId="43" xfId="23" applyNumberFormat="1" applyFont="1" applyFill="1" applyBorder="1" applyAlignment="1">
      <alignment horizontal="right"/>
    </xf>
    <xf numFmtId="10" fontId="107" fillId="0" borderId="43" xfId="0" applyNumberFormat="1" applyFont="1" applyBorder="1"/>
    <xf numFmtId="37" fontId="105" fillId="0" borderId="43" xfId="0" applyFont="1" applyFill="1" applyBorder="1"/>
    <xf numFmtId="37" fontId="107" fillId="0" borderId="43" xfId="0" applyFont="1" applyBorder="1"/>
    <xf numFmtId="37" fontId="105" fillId="0" borderId="43" xfId="0" applyFont="1" applyBorder="1"/>
    <xf numFmtId="3" fontId="107" fillId="0" borderId="43" xfId="0" applyNumberFormat="1" applyFont="1" applyFill="1" applyBorder="1"/>
    <xf numFmtId="10" fontId="118" fillId="0" borderId="43" xfId="0" applyNumberFormat="1" applyFont="1" applyBorder="1"/>
    <xf numFmtId="10" fontId="93" fillId="0" borderId="43" xfId="7" applyNumberFormat="1" applyFont="1" applyBorder="1"/>
    <xf numFmtId="9" fontId="105" fillId="0" borderId="43" xfId="23" applyFont="1" applyBorder="1" applyAlignment="1">
      <alignment horizontal="right"/>
    </xf>
    <xf numFmtId="0" fontId="105" fillId="0" borderId="43" xfId="7" applyFont="1" applyBorder="1"/>
    <xf numFmtId="37" fontId="118" fillId="0" borderId="43" xfId="0" applyFont="1" applyBorder="1"/>
    <xf numFmtId="0" fontId="93" fillId="0" borderId="0" xfId="7" applyFont="1" applyBorder="1" applyAlignment="1">
      <alignment horizontal="left" wrapText="1"/>
    </xf>
    <xf numFmtId="37" fontId="119" fillId="49" borderId="18" xfId="0" applyFont="1" applyFill="1" applyBorder="1" applyAlignment="1">
      <alignment horizontal="center" vertical="center"/>
    </xf>
    <xf numFmtId="37" fontId="107" fillId="51" borderId="18" xfId="0" applyFont="1" applyFill="1" applyBorder="1" applyAlignment="1">
      <alignment horizontal="center" vertical="center"/>
    </xf>
    <xf numFmtId="37" fontId="119" fillId="55" borderId="18" xfId="0" applyFont="1" applyFill="1" applyBorder="1" applyAlignment="1">
      <alignment horizontal="center" vertical="center"/>
    </xf>
    <xf numFmtId="37" fontId="119" fillId="50" borderId="18" xfId="0" applyFont="1" applyFill="1" applyBorder="1" applyAlignment="1">
      <alignment horizontal="center" vertical="center"/>
    </xf>
    <xf numFmtId="37" fontId="118" fillId="0" borderId="0" xfId="0" applyFont="1" applyFill="1" applyAlignment="1"/>
    <xf numFmtId="37" fontId="93" fillId="0" borderId="0" xfId="0" applyFont="1" applyFill="1" applyAlignment="1"/>
    <xf numFmtId="0" fontId="93" fillId="0" borderId="43" xfId="16" applyFont="1" applyBorder="1"/>
    <xf numFmtId="166" fontId="105" fillId="0" borderId="43" xfId="23" applyNumberFormat="1" applyFont="1" applyBorder="1" applyAlignment="1">
      <alignment horizontal="right" wrapText="1"/>
    </xf>
    <xf numFmtId="37" fontId="107" fillId="0" borderId="43" xfId="0" applyFont="1" applyFill="1" applyBorder="1" applyAlignment="1">
      <alignment horizontal="right"/>
    </xf>
    <xf numFmtId="0" fontId="105" fillId="8" borderId="43" xfId="0" applyNumberFormat="1" applyFont="1" applyFill="1" applyBorder="1" applyAlignment="1"/>
    <xf numFmtId="10" fontId="118" fillId="8" borderId="43" xfId="0" applyNumberFormat="1" applyFont="1" applyFill="1" applyBorder="1"/>
    <xf numFmtId="0" fontId="105" fillId="8" borderId="43" xfId="0" applyNumberFormat="1" applyFont="1" applyFill="1" applyBorder="1"/>
    <xf numFmtId="3" fontId="93" fillId="8" borderId="43" xfId="0" applyNumberFormat="1" applyFont="1" applyFill="1" applyBorder="1"/>
    <xf numFmtId="3" fontId="118" fillId="8" borderId="43" xfId="0" applyNumberFormat="1" applyFont="1" applyFill="1" applyBorder="1"/>
    <xf numFmtId="3" fontId="105" fillId="8" borderId="43" xfId="0" applyNumberFormat="1" applyFont="1" applyFill="1" applyBorder="1" applyAlignment="1">
      <alignment horizontal="right"/>
    </xf>
    <xf numFmtId="166" fontId="105" fillId="8" borderId="43" xfId="0" applyNumberFormat="1" applyFont="1" applyFill="1" applyBorder="1" applyAlignment="1">
      <alignment horizontal="right"/>
    </xf>
    <xf numFmtId="9" fontId="105" fillId="8" borderId="43" xfId="0" applyNumberFormat="1" applyFont="1" applyFill="1" applyBorder="1" applyAlignment="1">
      <alignment horizontal="right"/>
    </xf>
    <xf numFmtId="10" fontId="93" fillId="0" borderId="0" xfId="7" applyNumberFormat="1" applyFont="1" applyBorder="1"/>
    <xf numFmtId="9" fontId="105" fillId="0" borderId="0" xfId="23" applyFont="1" applyBorder="1" applyAlignment="1">
      <alignment horizontal="right"/>
    </xf>
    <xf numFmtId="37" fontId="119" fillId="48" borderId="0" xfId="0" applyFont="1" applyFill="1" applyBorder="1" applyAlignment="1">
      <alignment horizontal="right"/>
    </xf>
    <xf numFmtId="0" fontId="98" fillId="48" borderId="0" xfId="0" applyNumberFormat="1" applyFont="1" applyFill="1" applyBorder="1" applyAlignment="1">
      <alignment horizontal="center"/>
    </xf>
    <xf numFmtId="0" fontId="90" fillId="48" borderId="0" xfId="2" applyNumberFormat="1" applyFont="1" applyFill="1" applyBorder="1" applyAlignment="1">
      <alignment horizontal="center"/>
    </xf>
    <xf numFmtId="37" fontId="89" fillId="8" borderId="0" xfId="0" applyFont="1" applyFill="1" applyBorder="1" applyAlignment="1">
      <alignment horizontal="center"/>
    </xf>
    <xf numFmtId="37" fontId="102" fillId="8" borderId="0" xfId="0" applyFont="1" applyFill="1" applyBorder="1" applyAlignment="1">
      <alignment horizontal="right"/>
    </xf>
    <xf numFmtId="37" fontId="92" fillId="8" borderId="0" xfId="0" applyFont="1" applyFill="1" applyBorder="1" applyAlignment="1">
      <alignment horizontal="right"/>
    </xf>
    <xf numFmtId="166" fontId="89" fillId="8" borderId="0" xfId="23" applyNumberFormat="1" applyFont="1" applyFill="1" applyBorder="1" applyAlignment="1">
      <alignment horizontal="right"/>
    </xf>
    <xf numFmtId="3" fontId="89" fillId="8" borderId="0" xfId="0" applyNumberFormat="1" applyFont="1" applyFill="1" applyBorder="1" applyAlignment="1">
      <alignment horizontal="right"/>
    </xf>
    <xf numFmtId="3" fontId="89" fillId="8" borderId="0" xfId="0" applyNumberFormat="1" applyFont="1" applyFill="1" applyBorder="1"/>
    <xf numFmtId="10" fontId="93" fillId="0" borderId="0" xfId="0" applyNumberFormat="1" applyFont="1" applyBorder="1" applyAlignment="1">
      <alignment vertical="top"/>
    </xf>
    <xf numFmtId="0" fontId="128" fillId="48" borderId="0" xfId="0" applyNumberFormat="1" applyFont="1" applyFill="1" applyBorder="1" applyAlignment="1"/>
    <xf numFmtId="0" fontId="128" fillId="48" borderId="0" xfId="0" applyNumberFormat="1" applyFont="1" applyFill="1" applyBorder="1" applyAlignment="1">
      <alignment horizontal="right"/>
    </xf>
    <xf numFmtId="0" fontId="128" fillId="8" borderId="0" xfId="0" applyNumberFormat="1" applyFont="1" applyFill="1" applyBorder="1" applyAlignment="1"/>
    <xf numFmtId="0" fontId="128" fillId="8" borderId="0" xfId="0" applyNumberFormat="1" applyFont="1" applyFill="1" applyBorder="1" applyAlignment="1">
      <alignment horizontal="right"/>
    </xf>
    <xf numFmtId="0" fontId="98" fillId="8" borderId="0" xfId="0" applyNumberFormat="1" applyFont="1" applyFill="1" applyBorder="1" applyAlignment="1">
      <alignment horizontal="right"/>
    </xf>
    <xf numFmtId="3" fontId="128" fillId="8" borderId="0" xfId="0" applyNumberFormat="1" applyFont="1" applyFill="1" applyBorder="1" applyAlignment="1"/>
    <xf numFmtId="166" fontId="128" fillId="8" borderId="0" xfId="0" applyNumberFormat="1" applyFont="1" applyFill="1" applyBorder="1" applyAlignment="1"/>
    <xf numFmtId="3" fontId="128" fillId="8" borderId="0" xfId="0" applyNumberFormat="1" applyFont="1" applyFill="1" applyBorder="1" applyAlignment="1">
      <alignment horizontal="right"/>
    </xf>
    <xf numFmtId="166" fontId="128" fillId="8" borderId="0" xfId="0" applyNumberFormat="1" applyFont="1" applyFill="1" applyBorder="1" applyAlignment="1">
      <alignment horizontal="right"/>
    </xf>
    <xf numFmtId="2" fontId="93" fillId="48" borderId="0" xfId="0" applyNumberFormat="1" applyFont="1" applyFill="1"/>
    <xf numFmtId="37" fontId="93" fillId="48" borderId="0" xfId="0" applyFont="1" applyFill="1" applyAlignment="1">
      <alignment horizontal="right"/>
    </xf>
    <xf numFmtId="37" fontId="105" fillId="52" borderId="0" xfId="0" applyFont="1" applyFill="1" applyBorder="1" applyAlignment="1">
      <alignment horizontal="right"/>
    </xf>
    <xf numFmtId="37" fontId="119" fillId="50" borderId="0" xfId="0" applyFont="1" applyFill="1" applyBorder="1" applyAlignment="1">
      <alignment horizontal="right" vertical="center"/>
    </xf>
    <xf numFmtId="37" fontId="119" fillId="49" borderId="0" xfId="0" applyFont="1" applyFill="1" applyBorder="1" applyAlignment="1">
      <alignment horizontal="right" vertical="center"/>
    </xf>
    <xf numFmtId="37" fontId="105" fillId="51" borderId="0" xfId="0" applyFont="1" applyFill="1" applyBorder="1" applyAlignment="1">
      <alignment horizontal="right" vertical="center"/>
    </xf>
    <xf numFmtId="37" fontId="119" fillId="55" borderId="0" xfId="0" applyFont="1" applyFill="1" applyBorder="1" applyAlignment="1">
      <alignment horizontal="right" vertical="center"/>
    </xf>
    <xf numFmtId="0" fontId="126" fillId="48" borderId="0" xfId="0" applyNumberFormat="1" applyFont="1" applyFill="1" applyBorder="1" applyAlignment="1">
      <alignment horizontal="right"/>
    </xf>
    <xf numFmtId="9" fontId="93" fillId="48" borderId="0" xfId="23" applyFont="1" applyFill="1" applyBorder="1" applyAlignment="1">
      <alignment horizontal="right"/>
    </xf>
    <xf numFmtId="0" fontId="93" fillId="48" borderId="0" xfId="0" applyNumberFormat="1" applyFont="1" applyFill="1" applyBorder="1" applyAlignment="1">
      <alignment vertical="center"/>
    </xf>
    <xf numFmtId="0" fontId="93" fillId="48" borderId="0" xfId="0" applyNumberFormat="1" applyFont="1" applyFill="1" applyBorder="1" applyAlignment="1">
      <alignment horizontal="right" vertical="center"/>
    </xf>
    <xf numFmtId="0" fontId="93" fillId="0" borderId="0" xfId="0" applyNumberFormat="1" applyFont="1" applyBorder="1" applyAlignment="1">
      <alignment vertical="center"/>
    </xf>
    <xf numFmtId="0" fontId="89" fillId="48" borderId="0" xfId="0" applyNumberFormat="1" applyFont="1" applyFill="1"/>
    <xf numFmtId="0" fontId="89" fillId="48" borderId="0" xfId="0" applyNumberFormat="1" applyFont="1" applyFill="1" applyBorder="1" applyAlignment="1"/>
    <xf numFmtId="37" fontId="0" fillId="72" borderId="0" xfId="0" applyFill="1"/>
    <xf numFmtId="169" fontId="89" fillId="0" borderId="0" xfId="0" applyNumberFormat="1" applyFont="1" applyBorder="1"/>
    <xf numFmtId="37" fontId="93" fillId="48" borderId="0" xfId="0" applyFont="1" applyFill="1" applyBorder="1" applyAlignment="1">
      <alignment horizontal="left" wrapText="1"/>
    </xf>
    <xf numFmtId="37" fontId="93" fillId="48" borderId="0" xfId="0" applyFont="1" applyFill="1" applyBorder="1" applyAlignment="1">
      <alignment horizontal="center" wrapText="1"/>
    </xf>
    <xf numFmtId="37" fontId="139" fillId="22" borderId="0" xfId="0" applyFont="1" applyFill="1" applyBorder="1"/>
    <xf numFmtId="3" fontId="95" fillId="22" borderId="0" xfId="0" applyNumberFormat="1" applyFont="1" applyFill="1" applyBorder="1" applyAlignment="1">
      <alignment horizontal="right"/>
    </xf>
    <xf numFmtId="3" fontId="139" fillId="22" borderId="0" xfId="0" applyNumberFormat="1" applyFont="1" applyFill="1" applyBorder="1"/>
    <xf numFmtId="9" fontId="93" fillId="0" borderId="0" xfId="0" applyNumberFormat="1" applyFont="1" applyFill="1" applyBorder="1"/>
    <xf numFmtId="0" fontId="93" fillId="8" borderId="0" xfId="8" applyNumberFormat="1" applyFont="1" applyFill="1" applyBorder="1" applyAlignment="1">
      <alignment horizontal="left"/>
    </xf>
    <xf numFmtId="0" fontId="93" fillId="8" borderId="0" xfId="8" applyNumberFormat="1" applyFont="1" applyFill="1" applyBorder="1"/>
    <xf numFmtId="9" fontId="93" fillId="8" borderId="0" xfId="23" applyFont="1" applyFill="1" applyBorder="1"/>
    <xf numFmtId="0" fontId="32" fillId="0" borderId="0" xfId="8" applyNumberFormat="1" applyFont="1" applyBorder="1" applyAlignment="1">
      <alignment horizontal="right"/>
    </xf>
    <xf numFmtId="9" fontId="32" fillId="0" borderId="0" xfId="23" applyNumberFormat="1" applyFont="1"/>
    <xf numFmtId="166" fontId="90" fillId="0" borderId="0" xfId="23" applyNumberFormat="1" applyFont="1" applyBorder="1"/>
    <xf numFmtId="175" fontId="107" fillId="0" borderId="0" xfId="23" applyNumberFormat="1" applyFont="1" applyFill="1" applyAlignment="1">
      <alignment horizontal="right"/>
    </xf>
    <xf numFmtId="175" fontId="107" fillId="0" borderId="0" xfId="23" applyNumberFormat="1" applyFont="1" applyFill="1" applyAlignment="1">
      <alignment horizontal="left"/>
    </xf>
    <xf numFmtId="175" fontId="2" fillId="0" borderId="0" xfId="23" applyNumberFormat="1" applyFont="1" applyFill="1" applyAlignment="1">
      <alignment horizontal="left"/>
    </xf>
    <xf numFmtId="37" fontId="105" fillId="0" borderId="0" xfId="0" applyFont="1" applyFill="1" applyAlignment="1">
      <alignment horizontal="right"/>
    </xf>
    <xf numFmtId="166" fontId="93" fillId="0" borderId="0" xfId="23" applyNumberFormat="1" applyFont="1" applyFill="1" applyAlignment="1">
      <alignment horizontal="right"/>
    </xf>
    <xf numFmtId="9" fontId="93" fillId="0" borderId="0" xfId="0" applyNumberFormat="1" applyFont="1" applyFill="1"/>
    <xf numFmtId="9" fontId="93" fillId="0" borderId="0" xfId="0" applyNumberFormat="1" applyFont="1" applyFill="1" applyAlignment="1">
      <alignment horizontal="right"/>
    </xf>
    <xf numFmtId="37" fontId="105" fillId="0" borderId="0" xfId="0" applyFont="1" applyFill="1"/>
    <xf numFmtId="10" fontId="21" fillId="0" borderId="0" xfId="0" applyNumberFormat="1" applyFont="1" applyFill="1"/>
    <xf numFmtId="37" fontId="22" fillId="0" borderId="2" xfId="0" applyFont="1" applyFill="1" applyBorder="1" applyAlignment="1">
      <alignment horizontal="center" wrapText="1"/>
    </xf>
    <xf numFmtId="37" fontId="105" fillId="61" borderId="0" xfId="0" applyFont="1" applyFill="1" applyBorder="1" applyAlignment="1"/>
    <xf numFmtId="10" fontId="93" fillId="61" borderId="0" xfId="7" applyNumberFormat="1" applyFont="1" applyFill="1" applyBorder="1"/>
    <xf numFmtId="37" fontId="107" fillId="61" borderId="0" xfId="0" applyFont="1" applyFill="1" applyBorder="1"/>
    <xf numFmtId="37" fontId="105" fillId="61" borderId="0" xfId="0" applyFont="1" applyFill="1" applyBorder="1" applyAlignment="1">
      <alignment horizontal="right"/>
    </xf>
    <xf numFmtId="166" fontId="93" fillId="61" borderId="0" xfId="7" applyNumberFormat="1" applyFont="1" applyFill="1" applyBorder="1"/>
    <xf numFmtId="175" fontId="107" fillId="48" borderId="0" xfId="23" applyNumberFormat="1" applyFont="1" applyFill="1" applyAlignment="1">
      <alignment horizontal="right"/>
    </xf>
    <xf numFmtId="10" fontId="118" fillId="48" borderId="0" xfId="0" applyNumberFormat="1" applyFont="1" applyFill="1"/>
    <xf numFmtId="37" fontId="118" fillId="48" borderId="0" xfId="0" applyFont="1" applyFill="1"/>
    <xf numFmtId="0" fontId="169" fillId="0" borderId="0" xfId="15" applyFont="1"/>
    <xf numFmtId="37" fontId="168" fillId="0" borderId="0" xfId="0" applyFont="1" applyFill="1"/>
    <xf numFmtId="37" fontId="170" fillId="0" borderId="0" xfId="0" applyFont="1"/>
    <xf numFmtId="37" fontId="171" fillId="0" borderId="0" xfId="0" applyFont="1"/>
    <xf numFmtId="1" fontId="1" fillId="0" borderId="0" xfId="0" applyNumberFormat="1" applyFont="1" applyBorder="1" applyAlignment="1">
      <alignment horizontal="left"/>
    </xf>
    <xf numFmtId="1" fontId="1" fillId="0" borderId="0" xfId="0" applyNumberFormat="1" applyFont="1" applyAlignment="1">
      <alignment horizontal="right"/>
    </xf>
    <xf numFmtId="0" fontId="21" fillId="0" borderId="0" xfId="0" applyNumberFormat="1" applyFont="1" applyBorder="1" applyAlignment="1">
      <alignment horizontal="right"/>
    </xf>
    <xf numFmtId="37" fontId="1" fillId="0" borderId="0" xfId="0" applyFont="1" applyBorder="1"/>
    <xf numFmtId="9" fontId="95" fillId="0" borderId="0" xfId="23" applyFont="1" applyBorder="1" applyAlignment="1"/>
    <xf numFmtId="3" fontId="172" fillId="0" borderId="0" xfId="23" applyNumberFormat="1" applyFont="1" applyAlignment="1">
      <alignment horizontal="right"/>
    </xf>
    <xf numFmtId="166" fontId="172" fillId="0" borderId="0" xfId="23" applyNumberFormat="1" applyFont="1" applyAlignment="1">
      <alignment horizontal="right"/>
    </xf>
    <xf numFmtId="0" fontId="172" fillId="0" borderId="0" xfId="23" applyNumberFormat="1" applyFont="1" applyAlignment="1">
      <alignment horizontal="right"/>
    </xf>
    <xf numFmtId="1" fontId="172" fillId="0" borderId="0" xfId="23" applyNumberFormat="1" applyFont="1" applyAlignment="1">
      <alignment horizontal="right"/>
    </xf>
    <xf numFmtId="166" fontId="0" fillId="0" borderId="0" xfId="23" applyNumberFormat="1" applyFont="1"/>
    <xf numFmtId="166" fontId="6" fillId="0" borderId="0" xfId="23" applyNumberFormat="1" applyFont="1"/>
    <xf numFmtId="10" fontId="172" fillId="0" borderId="0" xfId="23" applyNumberFormat="1" applyFont="1" applyAlignment="1">
      <alignment horizontal="right"/>
    </xf>
    <xf numFmtId="10" fontId="0" fillId="0" borderId="0" xfId="0" applyNumberFormat="1"/>
    <xf numFmtId="166" fontId="3" fillId="0" borderId="0" xfId="23" applyNumberFormat="1"/>
    <xf numFmtId="10" fontId="3" fillId="0" borderId="0" xfId="23" applyNumberFormat="1"/>
    <xf numFmtId="191" fontId="3" fillId="0" borderId="0" xfId="23" applyNumberFormat="1"/>
    <xf numFmtId="191" fontId="172" fillId="0" borderId="0" xfId="23" applyNumberFormat="1" applyFont="1" applyAlignment="1">
      <alignment horizontal="right"/>
    </xf>
    <xf numFmtId="191" fontId="0" fillId="0" borderId="0" xfId="0" applyNumberFormat="1"/>
    <xf numFmtId="191" fontId="0" fillId="0" borderId="0" xfId="23" applyNumberFormat="1" applyFont="1"/>
    <xf numFmtId="191" fontId="6" fillId="0" borderId="0" xfId="23" applyNumberFormat="1" applyFont="1"/>
    <xf numFmtId="3" fontId="3" fillId="8" borderId="0" xfId="0" applyNumberFormat="1" applyFont="1" applyFill="1" applyAlignment="1">
      <alignment horizontal="right"/>
    </xf>
    <xf numFmtId="190" fontId="93" fillId="0" borderId="0" xfId="0" applyNumberFormat="1" applyFont="1"/>
    <xf numFmtId="190" fontId="101" fillId="47" borderId="0" xfId="0" applyNumberFormat="1" applyFont="1" applyFill="1"/>
    <xf numFmtId="190" fontId="105" fillId="48" borderId="0" xfId="0" applyNumberFormat="1" applyFont="1" applyFill="1" applyBorder="1"/>
    <xf numFmtId="190" fontId="93" fillId="48" borderId="0" xfId="0" applyNumberFormat="1" applyFont="1" applyFill="1" applyBorder="1" applyAlignment="1">
      <alignment horizontal="right"/>
    </xf>
    <xf numFmtId="190" fontId="119" fillId="50" borderId="0" xfId="0" applyNumberFormat="1" applyFont="1" applyFill="1" applyBorder="1" applyAlignment="1">
      <alignment horizontal="right"/>
    </xf>
    <xf numFmtId="190" fontId="93" fillId="48" borderId="0" xfId="0" applyNumberFormat="1" applyFont="1" applyFill="1"/>
    <xf numFmtId="190" fontId="93" fillId="0" borderId="0" xfId="0" applyNumberFormat="1" applyFont="1" applyBorder="1"/>
    <xf numFmtId="190" fontId="93" fillId="48" borderId="0" xfId="0" applyNumberFormat="1" applyFont="1" applyFill="1" applyBorder="1"/>
    <xf numFmtId="192" fontId="93" fillId="0" borderId="0" xfId="0" applyNumberFormat="1" applyFont="1"/>
    <xf numFmtId="192" fontId="101" fillId="47" borderId="0" xfId="0" applyNumberFormat="1" applyFont="1" applyFill="1"/>
    <xf numFmtId="192" fontId="93" fillId="48" borderId="0" xfId="0" applyNumberFormat="1" applyFont="1" applyFill="1" applyBorder="1" applyAlignment="1">
      <alignment horizontal="right"/>
    </xf>
    <xf numFmtId="192" fontId="119" fillId="49" borderId="0" xfId="0" applyNumberFormat="1" applyFont="1" applyFill="1" applyBorder="1" applyAlignment="1">
      <alignment horizontal="right"/>
    </xf>
    <xf numFmtId="192" fontId="93" fillId="48" borderId="0" xfId="0" applyNumberFormat="1" applyFont="1" applyFill="1"/>
    <xf numFmtId="192" fontId="93" fillId="0" borderId="0" xfId="0" applyNumberFormat="1" applyFont="1" applyBorder="1"/>
    <xf numFmtId="192" fontId="93" fillId="48" borderId="0" xfId="0" applyNumberFormat="1" applyFont="1" applyFill="1" applyBorder="1"/>
    <xf numFmtId="190" fontId="105" fillId="51" borderId="0" xfId="0" applyNumberFormat="1" applyFont="1" applyFill="1" applyBorder="1" applyAlignment="1">
      <alignment horizontal="right"/>
    </xf>
    <xf numFmtId="1" fontId="0" fillId="0" borderId="0" xfId="0" applyNumberFormat="1"/>
    <xf numFmtId="1" fontId="93" fillId="0" borderId="0" xfId="0" applyNumberFormat="1" applyFont="1" applyFill="1"/>
    <xf numFmtId="1" fontId="93" fillId="0" borderId="0" xfId="23" applyNumberFormat="1" applyFont="1" applyFill="1"/>
    <xf numFmtId="1" fontId="93" fillId="0" borderId="0" xfId="23" applyNumberFormat="1" applyFont="1"/>
    <xf numFmtId="37" fontId="93" fillId="13" borderId="0" xfId="0" applyFont="1" applyFill="1"/>
    <xf numFmtId="37" fontId="93" fillId="13" borderId="0" xfId="0" applyFont="1" applyFill="1" applyBorder="1"/>
    <xf numFmtId="166" fontId="93" fillId="13" borderId="0" xfId="23" applyNumberFormat="1" applyFont="1" applyFill="1"/>
    <xf numFmtId="37" fontId="93" fillId="73" borderId="0" xfId="0" applyFont="1" applyFill="1"/>
    <xf numFmtId="37" fontId="93" fillId="73" borderId="0" xfId="0" applyFont="1" applyFill="1" applyBorder="1"/>
    <xf numFmtId="37" fontId="0" fillId="8" borderId="0" xfId="0" applyFill="1"/>
    <xf numFmtId="39" fontId="1" fillId="0" borderId="0" xfId="0" applyNumberFormat="1" applyFont="1" applyFill="1"/>
    <xf numFmtId="37" fontId="1" fillId="0" borderId="0" xfId="0" applyNumberFormat="1" applyFont="1" applyFill="1"/>
    <xf numFmtId="166" fontId="93" fillId="0" borderId="0" xfId="23" applyNumberFormat="1" applyFont="1" applyFill="1" applyAlignment="1"/>
    <xf numFmtId="166" fontId="1" fillId="0" borderId="0" xfId="23" applyNumberFormat="1" applyFont="1" applyFill="1"/>
    <xf numFmtId="10" fontId="93" fillId="0" borderId="0" xfId="23" applyNumberFormat="1" applyFont="1" applyFill="1" applyBorder="1"/>
    <xf numFmtId="191" fontId="93" fillId="0" borderId="0" xfId="23" applyNumberFormat="1" applyFont="1" applyFill="1" applyBorder="1"/>
    <xf numFmtId="193" fontId="93" fillId="0" borderId="0" xfId="23" applyNumberFormat="1" applyFont="1" applyFill="1" applyBorder="1"/>
    <xf numFmtId="37" fontId="1" fillId="0" borderId="0" xfId="0" applyFont="1"/>
    <xf numFmtId="3" fontId="3" fillId="0" borderId="0" xfId="0" applyNumberFormat="1" applyFont="1" applyAlignment="1">
      <alignment horizontal="right"/>
    </xf>
    <xf numFmtId="166" fontId="21" fillId="8" borderId="0" xfId="23" applyNumberFormat="1" applyFont="1" applyFill="1" applyAlignment="1">
      <alignment horizontal="right"/>
    </xf>
    <xf numFmtId="37" fontId="115" fillId="0" borderId="0" xfId="0" applyFont="1" applyFill="1" applyAlignment="1">
      <alignment horizontal="left"/>
    </xf>
    <xf numFmtId="1" fontId="0" fillId="0" borderId="0" xfId="0" applyNumberFormat="1" applyFill="1"/>
    <xf numFmtId="1" fontId="93" fillId="8" borderId="0" xfId="0" applyNumberFormat="1" applyFont="1" applyFill="1" applyBorder="1"/>
    <xf numFmtId="1" fontId="93" fillId="8" borderId="0" xfId="0" applyNumberFormat="1" applyFont="1" applyFill="1" applyBorder="1" applyAlignment="1">
      <alignment horizontal="left"/>
    </xf>
    <xf numFmtId="1" fontId="21" fillId="8" borderId="0" xfId="0" applyNumberFormat="1" applyFont="1" applyFill="1" applyAlignment="1">
      <alignment horizontal="left"/>
    </xf>
    <xf numFmtId="37" fontId="91" fillId="47" borderId="0" xfId="0" applyFont="1" applyFill="1" applyAlignment="1">
      <alignment horizontal="left"/>
    </xf>
    <xf numFmtId="166" fontId="174" fillId="0" borderId="0" xfId="30" applyNumberFormat="1" applyFont="1" applyAlignment="1">
      <alignment horizontal="right" vertical="top"/>
    </xf>
    <xf numFmtId="191" fontId="177" fillId="0" borderId="0" xfId="30" applyNumberFormat="1" applyFont="1"/>
    <xf numFmtId="166" fontId="176" fillId="0" borderId="0" xfId="30" applyNumberFormat="1" applyFont="1" applyAlignment="1">
      <alignment horizontal="right" vertical="top"/>
    </xf>
    <xf numFmtId="3" fontId="172" fillId="0" borderId="0" xfId="30" applyNumberFormat="1" applyFont="1" applyAlignment="1">
      <alignment horizontal="right"/>
    </xf>
    <xf numFmtId="191" fontId="0" fillId="0" borderId="0" xfId="30" applyNumberFormat="1" applyFont="1"/>
    <xf numFmtId="191" fontId="180" fillId="0" borderId="0" xfId="30" applyNumberFormat="1" applyFont="1"/>
    <xf numFmtId="166" fontId="174" fillId="10" borderId="0" xfId="30" applyNumberFormat="1" applyFont="1" applyFill="1" applyAlignment="1">
      <alignment horizontal="right" vertical="top"/>
    </xf>
    <xf numFmtId="191" fontId="172" fillId="0" borderId="0" xfId="30" applyNumberFormat="1" applyFont="1" applyAlignment="1">
      <alignment horizontal="right"/>
    </xf>
    <xf numFmtId="3" fontId="172" fillId="8" borderId="0" xfId="30" applyNumberFormat="1" applyFont="1" applyFill="1" applyAlignment="1">
      <alignment horizontal="right"/>
    </xf>
    <xf numFmtId="191" fontId="6" fillId="0" borderId="0" xfId="30" applyNumberFormat="1" applyFont="1"/>
    <xf numFmtId="0" fontId="172" fillId="0" borderId="0" xfId="30" applyNumberFormat="1" applyFont="1" applyAlignment="1">
      <alignment horizontal="right"/>
    </xf>
    <xf numFmtId="0" fontId="174" fillId="0" borderId="0" xfId="31" applyFont="1" applyAlignment="1">
      <alignment horizontal="left" vertical="top"/>
    </xf>
    <xf numFmtId="0" fontId="174" fillId="0" borderId="0" xfId="31" applyFont="1" applyAlignment="1">
      <alignment horizontal="right" vertical="top"/>
    </xf>
    <xf numFmtId="164" fontId="174" fillId="0" borderId="0" xfId="32" applyFont="1" applyAlignment="1">
      <alignment vertical="top"/>
    </xf>
    <xf numFmtId="1" fontId="182" fillId="0" borderId="0" xfId="32" applyNumberFormat="1" applyFont="1" applyAlignment="1">
      <alignment vertical="top" shrinkToFit="1"/>
    </xf>
    <xf numFmtId="1" fontId="183" fillId="0" borderId="0" xfId="32" applyNumberFormat="1" applyFont="1" applyAlignment="1">
      <alignment vertical="top" shrinkToFit="1"/>
    </xf>
    <xf numFmtId="164" fontId="184" fillId="0" borderId="0" xfId="32" applyFont="1" applyAlignment="1">
      <alignment wrapText="1"/>
    </xf>
    <xf numFmtId="173" fontId="182" fillId="0" borderId="0" xfId="32" applyNumberFormat="1" applyFont="1" applyAlignment="1">
      <alignment vertical="top" shrinkToFit="1"/>
    </xf>
    <xf numFmtId="0" fontId="185" fillId="0" borderId="0" xfId="31" applyFont="1" applyAlignment="1">
      <alignment horizontal="left" vertical="top" wrapText="1" indent="4"/>
    </xf>
    <xf numFmtId="164" fontId="183" fillId="0" borderId="0" xfId="32" applyFont="1" applyAlignment="1">
      <alignment vertical="top" shrinkToFit="1"/>
    </xf>
    <xf numFmtId="173" fontId="183" fillId="0" borderId="0" xfId="32" applyNumberFormat="1" applyFont="1" applyAlignment="1">
      <alignment vertical="top" shrinkToFit="1"/>
    </xf>
    <xf numFmtId="0" fontId="113" fillId="0" borderId="0" xfId="31" applyFont="1" applyAlignment="1">
      <alignment horizontal="left" vertical="top" wrapText="1" indent="4"/>
    </xf>
    <xf numFmtId="173" fontId="113" fillId="0" borderId="0" xfId="32" applyNumberFormat="1" applyFont="1" applyAlignment="1">
      <alignment vertical="top" wrapText="1"/>
    </xf>
    <xf numFmtId="1" fontId="113" fillId="0" borderId="0" xfId="32" applyNumberFormat="1" applyFont="1" applyAlignment="1">
      <alignment vertical="top" wrapText="1"/>
    </xf>
    <xf numFmtId="1" fontId="184" fillId="0" borderId="0" xfId="32" applyNumberFormat="1" applyFont="1" applyAlignment="1">
      <alignment wrapText="1"/>
    </xf>
    <xf numFmtId="173" fontId="184" fillId="0" borderId="0" xfId="32" applyNumberFormat="1" applyFont="1" applyAlignment="1">
      <alignment wrapText="1"/>
    </xf>
    <xf numFmtId="1" fontId="185" fillId="0" borderId="0" xfId="32" applyNumberFormat="1" applyFont="1" applyAlignment="1">
      <alignment vertical="top" wrapText="1"/>
    </xf>
    <xf numFmtId="164" fontId="185" fillId="0" borderId="0" xfId="32" applyFont="1" applyAlignment="1">
      <alignment vertical="top" wrapText="1"/>
    </xf>
    <xf numFmtId="173" fontId="185" fillId="0" borderId="0" xfId="32" applyNumberFormat="1" applyFont="1" applyAlignment="1">
      <alignment vertical="top" wrapText="1"/>
    </xf>
    <xf numFmtId="0" fontId="185" fillId="0" borderId="0" xfId="31" applyFont="1" applyAlignment="1">
      <alignment vertical="top" wrapText="1"/>
    </xf>
    <xf numFmtId="1" fontId="187" fillId="0" borderId="0" xfId="32" applyNumberFormat="1" applyFont="1" applyAlignment="1">
      <alignment vertical="top" shrinkToFit="1"/>
    </xf>
    <xf numFmtId="1" fontId="184" fillId="0" borderId="0" xfId="32" applyNumberFormat="1" applyFont="1" applyAlignment="1">
      <alignment vertical="top" wrapText="1"/>
    </xf>
    <xf numFmtId="164" fontId="184" fillId="0" borderId="0" xfId="32" applyFont="1" applyAlignment="1">
      <alignment vertical="top" wrapText="1"/>
    </xf>
    <xf numFmtId="173" fontId="184" fillId="0" borderId="0" xfId="32" applyNumberFormat="1" applyFont="1" applyAlignment="1">
      <alignment vertical="top" wrapText="1"/>
    </xf>
    <xf numFmtId="0" fontId="184" fillId="0" borderId="0" xfId="31" applyFont="1" applyAlignment="1">
      <alignment vertical="top" wrapText="1"/>
    </xf>
    <xf numFmtId="1" fontId="186" fillId="0" borderId="0" xfId="32" applyNumberFormat="1" applyFont="1" applyAlignment="1">
      <alignment vertical="top" shrinkToFit="1"/>
    </xf>
    <xf numFmtId="171" fontId="172" fillId="0" borderId="0" xfId="30" applyNumberFormat="1" applyFont="1" applyAlignment="1">
      <alignment horizontal="right"/>
    </xf>
    <xf numFmtId="0" fontId="184" fillId="0" borderId="0" xfId="31" applyFont="1" applyAlignment="1">
      <alignment horizontal="right" wrapText="1"/>
    </xf>
    <xf numFmtId="0" fontId="188" fillId="48" borderId="0" xfId="31" applyFont="1" applyFill="1" applyAlignment="1">
      <alignment horizontal="right" vertical="top" wrapText="1" indent="2"/>
    </xf>
    <xf numFmtId="0" fontId="188" fillId="48" borderId="0" xfId="31" applyFont="1" applyFill="1" applyAlignment="1">
      <alignment horizontal="right" vertical="top" wrapText="1" indent="1"/>
    </xf>
    <xf numFmtId="0" fontId="113" fillId="48" borderId="0" xfId="31" applyFont="1" applyFill="1" applyAlignment="1">
      <alignment horizontal="right" vertical="top" wrapText="1"/>
    </xf>
    <xf numFmtId="0" fontId="188" fillId="48" borderId="0" xfId="31" applyFont="1" applyFill="1" applyAlignment="1">
      <alignment horizontal="right" vertical="top" wrapText="1" indent="3"/>
    </xf>
    <xf numFmtId="0" fontId="184" fillId="0" borderId="0" xfId="31" applyFont="1" applyAlignment="1">
      <alignment horizontal="left" wrapText="1"/>
    </xf>
    <xf numFmtId="0" fontId="189" fillId="0" borderId="0" xfId="31" applyFont="1" applyAlignment="1">
      <alignment horizontal="right" vertical="top" wrapText="1"/>
    </xf>
    <xf numFmtId="0" fontId="190" fillId="0" borderId="0" xfId="31" applyFont="1" applyAlignment="1">
      <alignment horizontal="right" vertical="top" wrapText="1"/>
    </xf>
    <xf numFmtId="0" fontId="182" fillId="0" borderId="0" xfId="31" applyFont="1" applyAlignment="1">
      <alignment vertical="top"/>
    </xf>
    <xf numFmtId="0" fontId="175" fillId="0" borderId="0" xfId="31" applyAlignment="1">
      <alignment horizontal="left" vertical="top"/>
    </xf>
    <xf numFmtId="3" fontId="175" fillId="0" borderId="0" xfId="31" applyNumberFormat="1" applyAlignment="1">
      <alignment vertical="top"/>
    </xf>
    <xf numFmtId="167" fontId="175" fillId="0" borderId="0" xfId="31" applyNumberFormat="1" applyAlignment="1">
      <alignment vertical="top"/>
    </xf>
    <xf numFmtId="0" fontId="184" fillId="0" borderId="0" xfId="31" applyFont="1" applyAlignment="1">
      <alignment horizontal="left" vertical="top"/>
    </xf>
    <xf numFmtId="3" fontId="191" fillId="0" borderId="0" xfId="31" applyNumberFormat="1" applyFont="1" applyAlignment="1">
      <alignment vertical="top" shrinkToFit="1"/>
    </xf>
    <xf numFmtId="167" fontId="184" fillId="0" borderId="0" xfId="31" applyNumberFormat="1" applyFont="1" applyAlignment="1">
      <alignment wrapText="1"/>
    </xf>
    <xf numFmtId="3" fontId="113" fillId="0" borderId="0" xfId="31" applyNumberFormat="1" applyFont="1" applyAlignment="1">
      <alignment vertical="top" wrapText="1"/>
    </xf>
    <xf numFmtId="3" fontId="192" fillId="0" borderId="0" xfId="31" applyNumberFormat="1" applyFont="1" applyAlignment="1">
      <alignment vertical="top" shrinkToFit="1"/>
    </xf>
    <xf numFmtId="167" fontId="192" fillId="0" borderId="0" xfId="31" applyNumberFormat="1" applyFont="1" applyAlignment="1">
      <alignment vertical="top" shrinkToFit="1"/>
    </xf>
    <xf numFmtId="3" fontId="193" fillId="0" borderId="0" xfId="31" applyNumberFormat="1" applyFont="1" applyAlignment="1">
      <alignment vertical="top" shrinkToFit="1"/>
    </xf>
    <xf numFmtId="3" fontId="184" fillId="0" borderId="0" xfId="31" applyNumberFormat="1" applyFont="1" applyAlignment="1">
      <alignment wrapText="1"/>
    </xf>
    <xf numFmtId="167" fontId="113" fillId="0" borderId="0" xfId="31" applyNumberFormat="1" applyFont="1" applyAlignment="1">
      <alignment vertical="top" wrapText="1"/>
    </xf>
    <xf numFmtId="3" fontId="185" fillId="0" borderId="0" xfId="31" applyNumberFormat="1" applyFont="1" applyAlignment="1">
      <alignment vertical="top" wrapText="1"/>
    </xf>
    <xf numFmtId="3" fontId="195" fillId="48" borderId="0" xfId="31" applyNumberFormat="1" applyFont="1" applyFill="1" applyAlignment="1">
      <alignment vertical="top" wrapText="1"/>
    </xf>
    <xf numFmtId="167" fontId="113" fillId="48" borderId="0" xfId="31" applyNumberFormat="1" applyFont="1" applyFill="1" applyAlignment="1">
      <alignment vertical="top" wrapText="1"/>
    </xf>
    <xf numFmtId="0" fontId="184" fillId="0" borderId="44" xfId="31" applyFont="1" applyBorder="1" applyAlignment="1">
      <alignment horizontal="left" vertical="center" wrapText="1"/>
    </xf>
    <xf numFmtId="3" fontId="184" fillId="0" borderId="0" xfId="31" applyNumberFormat="1" applyFont="1" applyAlignment="1">
      <alignment horizontal="right" vertical="top"/>
    </xf>
    <xf numFmtId="2" fontId="184" fillId="0" borderId="0" xfId="31" applyNumberFormat="1" applyFont="1" applyAlignment="1">
      <alignment wrapText="1"/>
    </xf>
    <xf numFmtId="3" fontId="191" fillId="0" borderId="0" xfId="31" applyNumberFormat="1" applyFont="1" applyAlignment="1">
      <alignment horizontal="right" vertical="top" shrinkToFit="1"/>
    </xf>
    <xf numFmtId="3" fontId="192" fillId="0" borderId="0" xfId="31" applyNumberFormat="1" applyFont="1" applyAlignment="1">
      <alignment horizontal="right" vertical="top" shrinkToFit="1"/>
    </xf>
    <xf numFmtId="167" fontId="193" fillId="0" borderId="0" xfId="31" applyNumberFormat="1" applyFont="1" applyAlignment="1">
      <alignment vertical="top" shrinkToFit="1"/>
    </xf>
    <xf numFmtId="3" fontId="184" fillId="0" borderId="0" xfId="31" applyNumberFormat="1" applyFont="1" applyAlignment="1">
      <alignment horizontal="right" wrapText="1"/>
    </xf>
    <xf numFmtId="1" fontId="191" fillId="0" borderId="0" xfId="31" applyNumberFormat="1" applyFont="1" applyAlignment="1">
      <alignment vertical="top" shrinkToFit="1"/>
    </xf>
    <xf numFmtId="3" fontId="184" fillId="0" borderId="0" xfId="31" applyNumberFormat="1" applyFont="1" applyAlignment="1">
      <alignment vertical="top" wrapText="1"/>
    </xf>
    <xf numFmtId="3" fontId="113" fillId="0" borderId="0" xfId="31" applyNumberFormat="1" applyFont="1" applyAlignment="1">
      <alignment horizontal="right" vertical="top" wrapText="1"/>
    </xf>
    <xf numFmtId="3" fontId="185" fillId="0" borderId="0" xfId="31" applyNumberFormat="1" applyFont="1" applyAlignment="1">
      <alignment vertical="center" wrapText="1"/>
    </xf>
    <xf numFmtId="167" fontId="185" fillId="0" borderId="0" xfId="31" applyNumberFormat="1" applyFont="1" applyAlignment="1">
      <alignment vertical="center" wrapText="1"/>
    </xf>
    <xf numFmtId="3" fontId="185" fillId="0" borderId="0" xfId="31" applyNumberFormat="1" applyFont="1" applyAlignment="1">
      <alignment horizontal="right" vertical="center" wrapText="1"/>
    </xf>
    <xf numFmtId="0" fontId="185" fillId="0" borderId="0" xfId="31" applyFont="1" applyAlignment="1">
      <alignment vertical="center" wrapText="1"/>
    </xf>
    <xf numFmtId="167" fontId="185" fillId="0" borderId="0" xfId="31" applyNumberFormat="1" applyFont="1" applyAlignment="1">
      <alignment vertical="top" wrapText="1"/>
    </xf>
    <xf numFmtId="3" fontId="185" fillId="0" borderId="0" xfId="31" applyNumberFormat="1" applyFont="1" applyAlignment="1">
      <alignment horizontal="right" vertical="top" wrapText="1"/>
    </xf>
    <xf numFmtId="3" fontId="184" fillId="0" borderId="0" xfId="31" applyNumberFormat="1" applyFont="1" applyAlignment="1">
      <alignment horizontal="right" vertical="top" wrapText="1"/>
    </xf>
    <xf numFmtId="0" fontId="195" fillId="48" borderId="0" xfId="31" applyFont="1" applyFill="1" applyAlignment="1">
      <alignment horizontal="right" vertical="top" wrapText="1"/>
    </xf>
    <xf numFmtId="0" fontId="195" fillId="48" borderId="0" xfId="31" applyFont="1" applyFill="1" applyAlignment="1">
      <alignment horizontal="left" vertical="top" wrapText="1" indent="1"/>
    </xf>
    <xf numFmtId="0" fontId="195" fillId="48" borderId="0" xfId="31" applyFont="1" applyFill="1" applyAlignment="1">
      <alignment horizontal="left" vertical="top" wrapText="1" indent="3"/>
    </xf>
    <xf numFmtId="0" fontId="113" fillId="48" borderId="0" xfId="31" applyFont="1" applyFill="1" applyAlignment="1">
      <alignment horizontal="center" vertical="top" wrapText="1"/>
    </xf>
    <xf numFmtId="3" fontId="195" fillId="48" borderId="0" xfId="31" applyNumberFormat="1" applyFont="1" applyFill="1" applyAlignment="1">
      <alignment horizontal="right" vertical="top" wrapText="1" indent="1"/>
    </xf>
    <xf numFmtId="0" fontId="191" fillId="0" borderId="0" xfId="31" applyFont="1" applyAlignment="1">
      <alignment vertical="top"/>
    </xf>
    <xf numFmtId="0" fontId="184" fillId="0" borderId="0" xfId="31" applyFont="1" applyAlignment="1">
      <alignment horizontal="right" vertical="top"/>
    </xf>
    <xf numFmtId="4" fontId="184" fillId="0" borderId="0" xfId="31" applyNumberFormat="1" applyFont="1" applyAlignment="1">
      <alignment horizontal="right" vertical="top"/>
    </xf>
    <xf numFmtId="3" fontId="185" fillId="0" borderId="0" xfId="31" applyNumberFormat="1" applyFont="1" applyAlignment="1">
      <alignment horizontal="right" vertical="top"/>
    </xf>
    <xf numFmtId="171" fontId="184" fillId="0" borderId="0" xfId="31" applyNumberFormat="1" applyFont="1" applyAlignment="1">
      <alignment horizontal="right"/>
    </xf>
    <xf numFmtId="0" fontId="185" fillId="0" borderId="0" xfId="31" applyFont="1" applyAlignment="1">
      <alignment horizontal="left" vertical="top"/>
    </xf>
    <xf numFmtId="171" fontId="192" fillId="0" borderId="0" xfId="31" applyNumberFormat="1" applyFont="1" applyAlignment="1">
      <alignment horizontal="right" vertical="top" shrinkToFit="1"/>
    </xf>
    <xf numFmtId="0" fontId="113" fillId="0" borderId="0" xfId="31" applyFont="1" applyAlignment="1">
      <alignment horizontal="left" vertical="top"/>
    </xf>
    <xf numFmtId="171" fontId="193" fillId="0" borderId="0" xfId="31" applyNumberFormat="1" applyFont="1" applyAlignment="1">
      <alignment horizontal="right" vertical="top" shrinkToFit="1"/>
    </xf>
    <xf numFmtId="3" fontId="184" fillId="0" borderId="0" xfId="31" applyNumberFormat="1" applyFont="1" applyAlignment="1">
      <alignment horizontal="right"/>
    </xf>
    <xf numFmtId="4" fontId="172" fillId="0" borderId="0" xfId="30" applyNumberFormat="1" applyFont="1" applyAlignment="1">
      <alignment horizontal="right"/>
    </xf>
    <xf numFmtId="3" fontId="193" fillId="0" borderId="0" xfId="31" applyNumberFormat="1" applyFont="1" applyAlignment="1">
      <alignment horizontal="right" vertical="top" shrinkToFit="1"/>
    </xf>
    <xf numFmtId="171" fontId="113" fillId="0" borderId="0" xfId="31" applyNumberFormat="1" applyFont="1" applyAlignment="1">
      <alignment horizontal="right" vertical="top"/>
    </xf>
    <xf numFmtId="171" fontId="185" fillId="0" borderId="0" xfId="31" applyNumberFormat="1" applyFont="1" applyAlignment="1">
      <alignment horizontal="right" vertical="top"/>
    </xf>
    <xf numFmtId="3" fontId="113" fillId="0" borderId="0" xfId="31" applyNumberFormat="1" applyFont="1" applyAlignment="1">
      <alignment horizontal="right" vertical="top"/>
    </xf>
    <xf numFmtId="3" fontId="197" fillId="0" borderId="0" xfId="31" applyNumberFormat="1" applyFont="1" applyAlignment="1">
      <alignment horizontal="right" vertical="top" shrinkToFit="1"/>
    </xf>
    <xf numFmtId="4" fontId="184" fillId="0" borderId="0" xfId="31" applyNumberFormat="1" applyFont="1" applyAlignment="1">
      <alignment horizontal="right"/>
    </xf>
    <xf numFmtId="4" fontId="195" fillId="48" borderId="0" xfId="31" applyNumberFormat="1" applyFont="1" applyFill="1" applyAlignment="1">
      <alignment horizontal="right" vertical="top"/>
    </xf>
    <xf numFmtId="4" fontId="113" fillId="48" borderId="0" xfId="31" applyNumberFormat="1" applyFont="1" applyFill="1" applyAlignment="1">
      <alignment horizontal="right" vertical="top"/>
    </xf>
    <xf numFmtId="0" fontId="184" fillId="0" borderId="0" xfId="31" applyFont="1" applyAlignment="1">
      <alignment horizontal="left"/>
    </xf>
    <xf numFmtId="0" fontId="185" fillId="0" borderId="0" xfId="31" applyFont="1" applyAlignment="1">
      <alignment horizontal="right" vertical="top"/>
    </xf>
    <xf numFmtId="4" fontId="185" fillId="0" borderId="0" xfId="31" applyNumberFormat="1" applyFont="1" applyAlignment="1">
      <alignment horizontal="right" vertical="top"/>
    </xf>
    <xf numFmtId="0" fontId="191" fillId="0" borderId="0" xfId="31" applyFont="1" applyAlignment="1">
      <alignment horizontal="left" vertical="top"/>
    </xf>
    <xf numFmtId="0" fontId="184" fillId="0" borderId="0" xfId="31" applyFont="1" applyAlignment="1">
      <alignment vertical="top"/>
    </xf>
    <xf numFmtId="2" fontId="184" fillId="0" borderId="0" xfId="31" applyNumberFormat="1" applyFont="1" applyAlignment="1">
      <alignment vertical="top"/>
    </xf>
    <xf numFmtId="167" fontId="184" fillId="0" borderId="0" xfId="31" applyNumberFormat="1" applyFont="1" applyAlignment="1">
      <alignment horizontal="right" vertical="top"/>
    </xf>
    <xf numFmtId="3" fontId="198" fillId="0" borderId="0" xfId="31" applyNumberFormat="1" applyFont="1" applyAlignment="1">
      <alignment horizontal="right" vertical="top" shrinkToFit="1"/>
    </xf>
    <xf numFmtId="167" fontId="184" fillId="0" borderId="0" xfId="31" applyNumberFormat="1" applyFont="1" applyAlignment="1">
      <alignment horizontal="right" wrapText="1"/>
    </xf>
    <xf numFmtId="3" fontId="199" fillId="0" borderId="0" xfId="31" applyNumberFormat="1" applyFont="1" applyAlignment="1">
      <alignment horizontal="right" vertical="top" shrinkToFit="1"/>
    </xf>
    <xf numFmtId="167" fontId="199" fillId="0" borderId="0" xfId="31" applyNumberFormat="1" applyFont="1" applyAlignment="1">
      <alignment horizontal="right" vertical="top" shrinkToFit="1"/>
    </xf>
    <xf numFmtId="0" fontId="113" fillId="0" borderId="0" xfId="31" applyFont="1" applyAlignment="1">
      <alignment vertical="top" wrapText="1"/>
    </xf>
    <xf numFmtId="3" fontId="188" fillId="0" borderId="0" xfId="31" applyNumberFormat="1" applyFont="1" applyAlignment="1">
      <alignment horizontal="right" vertical="top" wrapText="1"/>
    </xf>
    <xf numFmtId="3" fontId="200" fillId="0" borderId="0" xfId="31" applyNumberFormat="1" applyFont="1" applyAlignment="1">
      <alignment horizontal="right" vertical="top" shrinkToFit="1"/>
    </xf>
    <xf numFmtId="167" fontId="200" fillId="0" borderId="0" xfId="31" applyNumberFormat="1" applyFont="1" applyAlignment="1">
      <alignment horizontal="right" vertical="top" shrinkToFit="1"/>
    </xf>
    <xf numFmtId="0" fontId="188" fillId="0" borderId="0" xfId="31" applyFont="1" applyAlignment="1">
      <alignment vertical="top" wrapText="1"/>
    </xf>
    <xf numFmtId="167" fontId="185" fillId="0" borderId="0" xfId="31" applyNumberFormat="1" applyFont="1" applyAlignment="1">
      <alignment horizontal="right" vertical="top" wrapText="1"/>
    </xf>
    <xf numFmtId="167" fontId="113" fillId="0" borderId="0" xfId="31" applyNumberFormat="1" applyFont="1" applyAlignment="1">
      <alignment horizontal="right" vertical="top" wrapText="1"/>
    </xf>
    <xf numFmtId="3" fontId="202" fillId="0" borderId="0" xfId="31" applyNumberFormat="1" applyFont="1" applyAlignment="1">
      <alignment horizontal="right" vertical="top" shrinkToFit="1"/>
    </xf>
    <xf numFmtId="3" fontId="195" fillId="0" borderId="0" xfId="31" applyNumberFormat="1" applyFont="1" applyAlignment="1">
      <alignment horizontal="right" vertical="top"/>
    </xf>
    <xf numFmtId="167" fontId="113" fillId="0" borderId="0" xfId="31" applyNumberFormat="1" applyFont="1" applyAlignment="1">
      <alignment horizontal="right" vertical="top"/>
    </xf>
    <xf numFmtId="3" fontId="195" fillId="48" borderId="0" xfId="31" applyNumberFormat="1" applyFont="1" applyFill="1" applyAlignment="1">
      <alignment horizontal="right" vertical="top"/>
    </xf>
    <xf numFmtId="167" fontId="113" fillId="48" borderId="0" xfId="31" applyNumberFormat="1" applyFont="1" applyFill="1" applyAlignment="1">
      <alignment horizontal="right" vertical="top"/>
    </xf>
    <xf numFmtId="167" fontId="184" fillId="0" borderId="0" xfId="31" applyNumberFormat="1" applyFont="1" applyAlignment="1">
      <alignment horizontal="right" vertical="top" wrapText="1"/>
    </xf>
    <xf numFmtId="0" fontId="203" fillId="0" borderId="0" xfId="31" applyFont="1" applyAlignment="1">
      <alignment vertical="top"/>
    </xf>
    <xf numFmtId="0" fontId="184" fillId="0" borderId="0" xfId="33" applyFont="1" applyAlignment="1">
      <alignment vertical="top"/>
    </xf>
    <xf numFmtId="0" fontId="204" fillId="0" borderId="0" xfId="33" applyFont="1" applyAlignment="1">
      <alignment vertical="top"/>
    </xf>
    <xf numFmtId="3" fontId="204" fillId="0" borderId="0" xfId="33" applyNumberFormat="1" applyFont="1" applyAlignment="1">
      <alignment vertical="top"/>
    </xf>
    <xf numFmtId="4" fontId="204" fillId="0" borderId="0" xfId="33" applyNumberFormat="1" applyFont="1" applyAlignment="1">
      <alignment vertical="top"/>
    </xf>
    <xf numFmtId="3" fontId="205" fillId="0" borderId="0" xfId="33" applyNumberFormat="1" applyFont="1" applyAlignment="1">
      <alignment vertical="top" shrinkToFit="1"/>
    </xf>
    <xf numFmtId="4" fontId="204" fillId="0" borderId="0" xfId="33" applyNumberFormat="1" applyFont="1" applyAlignment="1">
      <alignment wrapText="1"/>
    </xf>
    <xf numFmtId="3" fontId="204" fillId="0" borderId="0" xfId="33" applyNumberFormat="1" applyFont="1" applyAlignment="1">
      <alignment vertical="top" shrinkToFit="1"/>
    </xf>
    <xf numFmtId="4" fontId="204" fillId="0" borderId="0" xfId="33" applyNumberFormat="1" applyFont="1" applyAlignment="1">
      <alignment vertical="top" shrinkToFit="1"/>
    </xf>
    <xf numFmtId="0" fontId="113" fillId="0" borderId="0" xfId="33" applyFont="1" applyAlignment="1">
      <alignment vertical="top" wrapText="1"/>
    </xf>
    <xf numFmtId="4" fontId="204" fillId="0" borderId="0" xfId="33" applyNumberFormat="1" applyFont="1" applyAlignment="1">
      <alignment vertical="top" wrapText="1"/>
    </xf>
    <xf numFmtId="3" fontId="204" fillId="0" borderId="0" xfId="33" applyNumberFormat="1" applyFont="1" applyAlignment="1">
      <alignment vertical="top" wrapText="1"/>
    </xf>
    <xf numFmtId="3" fontId="208" fillId="0" borderId="0" xfId="33" applyNumberFormat="1" applyFont="1" applyAlignment="1">
      <alignment vertical="top" shrinkToFit="1"/>
    </xf>
    <xf numFmtId="4" fontId="208" fillId="0" borderId="0" xfId="33" applyNumberFormat="1" applyFont="1" applyAlignment="1">
      <alignment vertical="top" shrinkToFit="1"/>
    </xf>
    <xf numFmtId="0" fontId="209" fillId="0" borderId="0" xfId="33" applyFont="1" applyAlignment="1">
      <alignment vertical="top"/>
    </xf>
    <xf numFmtId="0" fontId="205" fillId="0" borderId="0" xfId="33" applyFont="1" applyAlignment="1">
      <alignment vertical="top"/>
    </xf>
    <xf numFmtId="4" fontId="205" fillId="0" borderId="0" xfId="33" applyNumberFormat="1" applyFont="1" applyAlignment="1">
      <alignment vertical="top" shrinkToFit="1"/>
    </xf>
    <xf numFmtId="0" fontId="188" fillId="0" borderId="0" xfId="33" applyFont="1" applyAlignment="1">
      <alignment vertical="top" wrapText="1"/>
    </xf>
    <xf numFmtId="3" fontId="208" fillId="0" borderId="0" xfId="33" applyNumberFormat="1" applyFont="1" applyAlignment="1">
      <alignment vertical="top" wrapText="1"/>
    </xf>
    <xf numFmtId="4" fontId="208" fillId="0" borderId="0" xfId="33" applyNumberFormat="1" applyFont="1" applyAlignment="1">
      <alignment vertical="top" wrapText="1"/>
    </xf>
    <xf numFmtId="0" fontId="205" fillId="0" borderId="0" xfId="33" applyFont="1" applyAlignment="1">
      <alignment vertical="top" wrapText="1"/>
    </xf>
    <xf numFmtId="3" fontId="205" fillId="0" borderId="0" xfId="33" applyNumberFormat="1" applyFont="1" applyAlignment="1">
      <alignment vertical="top" wrapText="1"/>
    </xf>
    <xf numFmtId="4" fontId="205" fillId="0" borderId="0" xfId="33" applyNumberFormat="1" applyFont="1" applyAlignment="1">
      <alignment vertical="top" wrapText="1"/>
    </xf>
    <xf numFmtId="0" fontId="204" fillId="0" borderId="0" xfId="33" applyFont="1" applyAlignment="1">
      <alignment vertical="top" wrapText="1"/>
    </xf>
    <xf numFmtId="3" fontId="204" fillId="48" borderId="0" xfId="33" applyNumberFormat="1" applyFont="1" applyFill="1" applyAlignment="1">
      <alignment horizontal="right" vertical="top" wrapText="1"/>
    </xf>
    <xf numFmtId="4" fontId="204" fillId="48" borderId="0" xfId="33" applyNumberFormat="1" applyFont="1" applyFill="1" applyAlignment="1">
      <alignment horizontal="right" vertical="top" wrapText="1"/>
    </xf>
    <xf numFmtId="0" fontId="191" fillId="0" borderId="0" xfId="33" applyFont="1" applyAlignment="1">
      <alignment vertical="top"/>
    </xf>
    <xf numFmtId="1" fontId="93" fillId="0" borderId="0" xfId="23" applyNumberFormat="1" applyFont="1" applyFill="1" applyAlignment="1">
      <alignment horizontal="right"/>
    </xf>
    <xf numFmtId="1" fontId="93" fillId="0" borderId="0" xfId="23" applyNumberFormat="1" applyFont="1" applyAlignment="1">
      <alignment horizontal="right"/>
    </xf>
    <xf numFmtId="37" fontId="91" fillId="47" borderId="0" xfId="0" applyFont="1" applyFill="1" applyAlignment="1">
      <alignment horizontal="left" wrapText="1"/>
    </xf>
    <xf numFmtId="37" fontId="91" fillId="47" borderId="0" xfId="0" applyFont="1" applyFill="1" applyAlignment="1">
      <alignment horizontal="left"/>
    </xf>
    <xf numFmtId="0" fontId="185" fillId="0" borderId="0" xfId="31" applyFont="1" applyAlignment="1">
      <alignment horizontal="left" vertical="top" wrapText="1" indent="1"/>
    </xf>
    <xf numFmtId="0" fontId="185" fillId="0" borderId="0" xfId="31" applyFont="1" applyAlignment="1">
      <alignment horizontal="left" vertical="top" wrapText="1"/>
    </xf>
    <xf numFmtId="0" fontId="185" fillId="0" borderId="0" xfId="33" applyFont="1" applyAlignment="1">
      <alignment vertical="top" wrapText="1"/>
    </xf>
    <xf numFmtId="0" fontId="184" fillId="0" borderId="0" xfId="33" applyFont="1" applyAlignment="1">
      <alignment vertical="top" wrapText="1"/>
    </xf>
    <xf numFmtId="1" fontId="1" fillId="0" borderId="0" xfId="23" applyNumberFormat="1" applyFont="1" applyFill="1" applyAlignment="1">
      <alignment horizontal="right"/>
    </xf>
    <xf numFmtId="1" fontId="1" fillId="0" borderId="0" xfId="23" applyNumberFormat="1" applyFont="1" applyAlignment="1">
      <alignment horizontal="right"/>
    </xf>
    <xf numFmtId="1" fontId="1" fillId="0" borderId="0" xfId="0" applyNumberFormat="1" applyFont="1" applyFill="1" applyAlignment="1">
      <alignment horizontal="right"/>
    </xf>
    <xf numFmtId="1" fontId="93" fillId="8" borderId="0" xfId="0" applyNumberFormat="1" applyFont="1" applyFill="1" applyAlignment="1">
      <alignment horizontal="left"/>
    </xf>
    <xf numFmtId="37" fontId="115" fillId="8" borderId="0" xfId="0" applyFont="1" applyFill="1" applyAlignment="1">
      <alignment horizontal="left"/>
    </xf>
    <xf numFmtId="0" fontId="93" fillId="8" borderId="0" xfId="0" applyNumberFormat="1" applyFont="1" applyFill="1" applyAlignment="1">
      <alignment horizontal="left"/>
    </xf>
    <xf numFmtId="1" fontId="93" fillId="8" borderId="0" xfId="0" applyNumberFormat="1" applyFont="1" applyFill="1"/>
    <xf numFmtId="1" fontId="93" fillId="8" borderId="0" xfId="23" applyNumberFormat="1" applyFont="1" applyFill="1"/>
    <xf numFmtId="1" fontId="93" fillId="8" borderId="0" xfId="23" applyNumberFormat="1" applyFont="1" applyFill="1" applyAlignment="1">
      <alignment horizontal="right"/>
    </xf>
    <xf numFmtId="39" fontId="1" fillId="8" borderId="0" xfId="0" applyNumberFormat="1" applyFont="1" applyFill="1" applyAlignment="1">
      <alignment horizontal="right"/>
    </xf>
    <xf numFmtId="3" fontId="93" fillId="8" borderId="0" xfId="23" applyNumberFormat="1" applyFont="1" applyFill="1" applyAlignment="1">
      <alignment horizontal="right"/>
    </xf>
    <xf numFmtId="1" fontId="0" fillId="8" borderId="0" xfId="0" applyNumberFormat="1" applyFill="1"/>
    <xf numFmtId="190" fontId="119" fillId="8" borderId="0" xfId="0" applyNumberFormat="1" applyFont="1" applyFill="1" applyBorder="1" applyAlignment="1">
      <alignment horizontal="right"/>
    </xf>
    <xf numFmtId="192" fontId="119" fillId="8" borderId="0" xfId="0" applyNumberFormat="1" applyFont="1" applyFill="1" applyBorder="1" applyAlignment="1">
      <alignment horizontal="right"/>
    </xf>
    <xf numFmtId="190" fontId="105" fillId="8" borderId="0" xfId="0" applyNumberFormat="1" applyFont="1" applyFill="1" applyBorder="1" applyAlignment="1">
      <alignment horizontal="right"/>
    </xf>
    <xf numFmtId="37" fontId="105" fillId="8" borderId="0" xfId="0" applyFont="1" applyFill="1" applyBorder="1" applyAlignment="1">
      <alignment horizontal="right"/>
    </xf>
    <xf numFmtId="37" fontId="119" fillId="8" borderId="0" xfId="0" applyFont="1" applyFill="1" applyBorder="1" applyAlignment="1">
      <alignment horizontal="right"/>
    </xf>
    <xf numFmtId="37" fontId="93" fillId="8" borderId="0" xfId="0" applyNumberFormat="1" applyFont="1" applyFill="1" applyBorder="1" applyAlignment="1">
      <alignment horizontal="right"/>
    </xf>
    <xf numFmtId="37" fontId="115" fillId="8" borderId="0" xfId="0" applyFont="1" applyFill="1" applyBorder="1" applyAlignment="1">
      <alignment horizontal="left"/>
    </xf>
    <xf numFmtId="1" fontId="1" fillId="0" borderId="0" xfId="0" applyNumberFormat="1" applyFont="1" applyFill="1" applyBorder="1" applyAlignment="1">
      <alignment horizontal="right"/>
    </xf>
    <xf numFmtId="0" fontId="93" fillId="0" borderId="0" xfId="23" applyNumberFormat="1" applyFont="1" applyFill="1"/>
    <xf numFmtId="0" fontId="93" fillId="8" borderId="0" xfId="23" applyNumberFormat="1" applyFont="1" applyFill="1" applyBorder="1"/>
    <xf numFmtId="0" fontId="93" fillId="8" borderId="0" xfId="23" applyNumberFormat="1" applyFont="1" applyFill="1" applyBorder="1" applyAlignment="1">
      <alignment horizontal="right"/>
    </xf>
    <xf numFmtId="189" fontId="1" fillId="0" borderId="0" xfId="0" applyNumberFormat="1" applyFont="1"/>
    <xf numFmtId="37" fontId="94" fillId="0" borderId="0" xfId="0" applyFont="1" applyAlignment="1">
      <alignment horizontal="left"/>
    </xf>
    <xf numFmtId="37" fontId="94" fillId="0" borderId="0" xfId="0" applyFont="1" applyAlignment="1">
      <alignment horizontal="right"/>
    </xf>
    <xf numFmtId="37" fontId="1" fillId="0" borderId="0" xfId="0" applyFont="1" applyAlignment="1">
      <alignment horizontal="left"/>
    </xf>
    <xf numFmtId="189" fontId="95" fillId="0" borderId="0" xfId="0" applyNumberFormat="1" applyFont="1"/>
    <xf numFmtId="37" fontId="95" fillId="0" borderId="0" xfId="0" applyFont="1" applyAlignment="1">
      <alignment horizontal="left"/>
    </xf>
    <xf numFmtId="170" fontId="1" fillId="48" borderId="0" xfId="0" applyNumberFormat="1" applyFont="1" applyFill="1"/>
    <xf numFmtId="37" fontId="1" fillId="48" borderId="0" xfId="0" applyFont="1" applyFill="1"/>
    <xf numFmtId="1" fontId="1" fillId="48" borderId="0" xfId="0" applyNumberFormat="1" applyFont="1" applyFill="1"/>
    <xf numFmtId="1" fontId="1" fillId="0" borderId="0" xfId="0" applyNumberFormat="1" applyFont="1"/>
    <xf numFmtId="166" fontId="1" fillId="0" borderId="0" xfId="23" applyNumberFormat="1" applyFont="1"/>
    <xf numFmtId="9" fontId="1" fillId="0" borderId="0" xfId="23" applyFont="1"/>
    <xf numFmtId="10" fontId="1" fillId="0" borderId="0" xfId="23" applyNumberFormat="1" applyFont="1"/>
    <xf numFmtId="37" fontId="1" fillId="8" borderId="0" xfId="0" applyFont="1" applyFill="1"/>
    <xf numFmtId="0" fontId="1" fillId="0" borderId="0" xfId="23" applyNumberFormat="1" applyFont="1"/>
    <xf numFmtId="170" fontId="1" fillId="8" borderId="0" xfId="0" applyNumberFormat="1" applyFont="1" applyFill="1"/>
    <xf numFmtId="1" fontId="1" fillId="8" borderId="0" xfId="0" applyNumberFormat="1" applyFont="1" applyFill="1"/>
    <xf numFmtId="0" fontId="1" fillId="0" borderId="0" xfId="23" applyNumberFormat="1" applyFont="1" applyAlignment="1">
      <alignment horizontal="right"/>
    </xf>
    <xf numFmtId="166" fontId="1" fillId="0" borderId="0" xfId="23" applyNumberFormat="1" applyFont="1" applyAlignment="1">
      <alignment horizontal="right"/>
    </xf>
    <xf numFmtId="2" fontId="1" fillId="8" borderId="0" xfId="0" applyNumberFormat="1" applyFont="1" applyFill="1" applyAlignment="1">
      <alignment horizontal="right"/>
    </xf>
    <xf numFmtId="189" fontId="1" fillId="8" borderId="0" xfId="0" applyNumberFormat="1" applyFont="1" applyFill="1"/>
    <xf numFmtId="0" fontId="1" fillId="8" borderId="0" xfId="23" applyNumberFormat="1" applyFont="1" applyFill="1" applyAlignment="1">
      <alignment horizontal="right"/>
    </xf>
    <xf numFmtId="0" fontId="1" fillId="8" borderId="0" xfId="23" applyNumberFormat="1" applyFont="1" applyFill="1"/>
    <xf numFmtId="166" fontId="1" fillId="8" borderId="0" xfId="23" applyNumberFormat="1" applyFont="1" applyFill="1"/>
    <xf numFmtId="166" fontId="1" fillId="8" borderId="0" xfId="23" applyNumberFormat="1" applyFont="1" applyFill="1" applyAlignment="1">
      <alignment horizontal="right"/>
    </xf>
    <xf numFmtId="189" fontId="1" fillId="48" borderId="0" xfId="0" applyNumberFormat="1" applyFont="1" applyFill="1"/>
    <xf numFmtId="37" fontId="1" fillId="48" borderId="0" xfId="0" applyFont="1" applyFill="1" applyAlignment="1">
      <alignment horizontal="right"/>
    </xf>
    <xf numFmtId="37" fontId="119" fillId="8" borderId="0" xfId="0" applyFont="1" applyFill="1" applyAlignment="1">
      <alignment horizontal="right"/>
    </xf>
    <xf numFmtId="37" fontId="105" fillId="8" borderId="0" xfId="0" applyFont="1" applyFill="1" applyAlignment="1">
      <alignment horizontal="right"/>
    </xf>
    <xf numFmtId="37" fontId="119" fillId="55" borderId="0" xfId="0" applyFont="1" applyFill="1" applyAlignment="1">
      <alignment horizontal="right"/>
    </xf>
    <xf numFmtId="37" fontId="105" fillId="48" borderId="0" xfId="0" applyFont="1" applyFill="1" applyAlignment="1">
      <alignment horizontal="right"/>
    </xf>
    <xf numFmtId="37" fontId="105" fillId="51" borderId="0" xfId="0" applyFont="1" applyFill="1" applyAlignment="1">
      <alignment horizontal="right"/>
    </xf>
    <xf numFmtId="37" fontId="119" fillId="49" borderId="0" xfId="0" applyFont="1" applyFill="1" applyAlignment="1">
      <alignment horizontal="right"/>
    </xf>
    <xf numFmtId="37" fontId="119" fillId="50" borderId="0" xfId="0" applyFont="1" applyFill="1" applyAlignment="1">
      <alignment horizontal="right"/>
    </xf>
    <xf numFmtId="37" fontId="1" fillId="48" borderId="0" xfId="0" applyFont="1" applyFill="1" applyAlignment="1">
      <alignment horizontal="left"/>
    </xf>
    <xf numFmtId="37" fontId="105" fillId="48" borderId="0" xfId="0" applyFont="1" applyFill="1"/>
    <xf numFmtId="37" fontId="1" fillId="0" borderId="0" xfId="0" applyFont="1" applyAlignment="1">
      <alignment horizontal="right"/>
    </xf>
    <xf numFmtId="4" fontId="1" fillId="0" borderId="0" xfId="10" applyNumberFormat="1" applyFont="1"/>
    <xf numFmtId="2" fontId="1" fillId="0" borderId="0" xfId="2" applyNumberFormat="1" applyFont="1"/>
    <xf numFmtId="39" fontId="1" fillId="0" borderId="0" xfId="0" applyNumberFormat="1" applyFont="1"/>
    <xf numFmtId="2" fontId="1" fillId="0" borderId="0" xfId="0" applyNumberFormat="1" applyFont="1"/>
    <xf numFmtId="37" fontId="1" fillId="10" borderId="0" xfId="0" applyFont="1" applyFill="1"/>
    <xf numFmtId="189" fontId="1" fillId="10" borderId="0" xfId="0" applyNumberFormat="1" applyFont="1" applyFill="1"/>
    <xf numFmtId="3" fontId="1" fillId="0" borderId="0" xfId="23" applyNumberFormat="1" applyFont="1"/>
    <xf numFmtId="1" fontId="1" fillId="8" borderId="0" xfId="23" applyNumberFormat="1" applyFont="1" applyFill="1"/>
    <xf numFmtId="3" fontId="1" fillId="0" borderId="0" xfId="23" applyNumberFormat="1" applyFont="1" applyAlignment="1">
      <alignment horizontal="right"/>
    </xf>
    <xf numFmtId="2" fontId="1" fillId="8" borderId="0" xfId="0" applyNumberFormat="1" applyFont="1" applyFill="1"/>
    <xf numFmtId="3" fontId="93" fillId="8" borderId="0" xfId="23" applyNumberFormat="1" applyFont="1" applyFill="1" applyBorder="1" applyAlignment="1">
      <alignment horizontal="right"/>
    </xf>
    <xf numFmtId="1" fontId="93" fillId="8" borderId="0" xfId="23" applyNumberFormat="1" applyFont="1" applyFill="1" applyBorder="1" applyAlignment="1">
      <alignment horizontal="right"/>
    </xf>
    <xf numFmtId="0" fontId="93" fillId="8" borderId="0" xfId="23" applyNumberFormat="1" applyFont="1" applyFill="1"/>
    <xf numFmtId="10" fontId="93" fillId="8" borderId="0" xfId="23" applyNumberFormat="1" applyFont="1" applyFill="1" applyBorder="1"/>
    <xf numFmtId="166" fontId="93" fillId="8" borderId="0" xfId="23" applyNumberFormat="1" applyFont="1" applyFill="1" applyAlignment="1"/>
    <xf numFmtId="37" fontId="93" fillId="0" borderId="0" xfId="23" applyNumberFormat="1" applyFont="1" applyFill="1"/>
    <xf numFmtId="3" fontId="93" fillId="8" borderId="0" xfId="23" applyNumberFormat="1" applyFont="1" applyFill="1" applyBorder="1"/>
    <xf numFmtId="1" fontId="21" fillId="8" borderId="0" xfId="23" applyNumberFormat="1" applyFont="1" applyFill="1" applyAlignment="1">
      <alignment horizontal="right"/>
    </xf>
    <xf numFmtId="1" fontId="21" fillId="0" borderId="0" xfId="23" applyNumberFormat="1" applyFont="1" applyAlignment="1">
      <alignment horizontal="right"/>
    </xf>
    <xf numFmtId="1" fontId="21" fillId="0" borderId="8" xfId="23" applyNumberFormat="1" applyFont="1" applyBorder="1" applyAlignment="1">
      <alignment horizontal="right"/>
    </xf>
    <xf numFmtId="37" fontId="21" fillId="0" borderId="0" xfId="34" applyFont="1"/>
    <xf numFmtId="37" fontId="21" fillId="0" borderId="0" xfId="34" applyFont="1" applyAlignment="1">
      <alignment horizontal="right"/>
    </xf>
    <xf numFmtId="37" fontId="21" fillId="0" borderId="0" xfId="34" applyFont="1" applyAlignment="1">
      <alignment horizontal="left"/>
    </xf>
    <xf numFmtId="37" fontId="28" fillId="0" borderId="0" xfId="34" applyFont="1"/>
    <xf numFmtId="37" fontId="28" fillId="0" borderId="0" xfId="34" applyFont="1" applyAlignment="1">
      <alignment horizontal="right"/>
    </xf>
    <xf numFmtId="37" fontId="29" fillId="0" borderId="0" xfId="34" applyFont="1"/>
    <xf numFmtId="37" fontId="28" fillId="0" borderId="0" xfId="34" applyFont="1" applyAlignment="1">
      <alignment horizontal="left"/>
    </xf>
    <xf numFmtId="37" fontId="29" fillId="0" borderId="0" xfId="34" applyFont="1" applyAlignment="1">
      <alignment horizontal="left"/>
    </xf>
    <xf numFmtId="37" fontId="28" fillId="0" borderId="0" xfId="34" applyFont="1" applyAlignment="1">
      <alignment horizontal="left" wrapText="1"/>
    </xf>
    <xf numFmtId="37" fontId="28" fillId="0" borderId="0" xfId="34" applyFont="1" applyAlignment="1">
      <alignment horizontal="right" wrapText="1"/>
    </xf>
    <xf numFmtId="0" fontId="64" fillId="48" borderId="0" xfId="34" applyNumberFormat="1" applyFont="1" applyFill="1"/>
    <xf numFmtId="1" fontId="64" fillId="48" borderId="0" xfId="34" applyNumberFormat="1" applyFont="1" applyFill="1"/>
    <xf numFmtId="1" fontId="21" fillId="48" borderId="0" xfId="34" applyNumberFormat="1" applyFont="1" applyFill="1"/>
    <xf numFmtId="1" fontId="21" fillId="48" borderId="0" xfId="34" applyNumberFormat="1" applyFont="1" applyFill="1" applyAlignment="1">
      <alignment horizontal="right"/>
    </xf>
    <xf numFmtId="0" fontId="64" fillId="0" borderId="0" xfId="34" applyNumberFormat="1" applyFont="1"/>
    <xf numFmtId="1" fontId="64" fillId="48" borderId="0" xfId="34" applyNumberFormat="1" applyFont="1" applyFill="1" applyAlignment="1">
      <alignment horizontal="right"/>
    </xf>
    <xf numFmtId="0" fontId="64" fillId="48" borderId="0" xfId="34" applyNumberFormat="1" applyFont="1" applyFill="1" applyAlignment="1">
      <alignment horizontal="left"/>
    </xf>
    <xf numFmtId="1" fontId="64" fillId="0" borderId="0" xfId="34" applyNumberFormat="1" applyFont="1"/>
    <xf numFmtId="1" fontId="21" fillId="0" borderId="0" xfId="34" applyNumberFormat="1" applyFont="1"/>
    <xf numFmtId="1" fontId="21" fillId="0" borderId="0" xfId="34" applyNumberFormat="1" applyFont="1" applyAlignment="1">
      <alignment horizontal="right"/>
    </xf>
    <xf numFmtId="1" fontId="64" fillId="0" borderId="0" xfId="34" applyNumberFormat="1" applyFont="1" applyAlignment="1">
      <alignment horizontal="right"/>
    </xf>
    <xf numFmtId="0" fontId="64" fillId="0" borderId="0" xfId="34" applyNumberFormat="1" applyFont="1" applyAlignment="1">
      <alignment horizontal="left"/>
    </xf>
    <xf numFmtId="0" fontId="21" fillId="0" borderId="0" xfId="23" applyNumberFormat="1" applyFont="1" applyAlignment="1">
      <alignment horizontal="right"/>
    </xf>
    <xf numFmtId="0" fontId="21" fillId="0" borderId="0" xfId="34" applyNumberFormat="1" applyFont="1" applyAlignment="1">
      <alignment horizontal="center"/>
    </xf>
    <xf numFmtId="0" fontId="64" fillId="0" borderId="0" xfId="34" applyNumberFormat="1" applyFont="1" applyAlignment="1">
      <alignment horizontal="right"/>
    </xf>
    <xf numFmtId="0" fontId="21" fillId="0" borderId="0" xfId="34" applyNumberFormat="1" applyFont="1" applyAlignment="1">
      <alignment horizontal="left"/>
    </xf>
    <xf numFmtId="166" fontId="64" fillId="0" borderId="0" xfId="34" applyNumberFormat="1" applyFont="1" applyAlignment="1">
      <alignment horizontal="right"/>
    </xf>
    <xf numFmtId="0" fontId="64" fillId="0" borderId="0" xfId="34" applyNumberFormat="1" applyFont="1" applyAlignment="1">
      <alignment horizontal="center"/>
    </xf>
    <xf numFmtId="9" fontId="64" fillId="0" borderId="0" xfId="34" applyNumberFormat="1" applyFont="1" applyAlignment="1">
      <alignment horizontal="right"/>
    </xf>
    <xf numFmtId="169" fontId="21" fillId="0" borderId="0" xfId="34" applyNumberFormat="1" applyFont="1" applyAlignment="1">
      <alignment horizontal="right"/>
    </xf>
    <xf numFmtId="167" fontId="64" fillId="0" borderId="0" xfId="34" applyNumberFormat="1" applyFont="1" applyAlignment="1">
      <alignment horizontal="right"/>
    </xf>
    <xf numFmtId="37" fontId="21" fillId="48" borderId="0" xfId="34" applyFont="1" applyFill="1"/>
    <xf numFmtId="37" fontId="21" fillId="48" borderId="0" xfId="34" applyFont="1" applyFill="1" applyAlignment="1">
      <alignment horizontal="right"/>
    </xf>
    <xf numFmtId="37" fontId="21" fillId="48" borderId="0" xfId="34" applyFont="1" applyFill="1" applyAlignment="1">
      <alignment horizontal="left"/>
    </xf>
    <xf numFmtId="37" fontId="21" fillId="0" borderId="0" xfId="34" applyFont="1" applyAlignment="1">
      <alignment vertical="center"/>
    </xf>
    <xf numFmtId="0" fontId="64" fillId="0" borderId="0" xfId="34" applyNumberFormat="1" applyFont="1" applyAlignment="1">
      <alignment horizontal="right" vertical="center"/>
    </xf>
    <xf numFmtId="37" fontId="21" fillId="0" borderId="0" xfId="34" applyFont="1" applyAlignment="1">
      <alignment horizontal="right" vertical="center"/>
    </xf>
    <xf numFmtId="1" fontId="21" fillId="0" borderId="0" xfId="34" applyNumberFormat="1" applyFont="1" applyAlignment="1">
      <alignment horizontal="left"/>
    </xf>
    <xf numFmtId="37" fontId="21" fillId="8" borderId="0" xfId="34" applyFont="1" applyFill="1"/>
    <xf numFmtId="1" fontId="21" fillId="8" borderId="0" xfId="34" applyNumberFormat="1" applyFont="1" applyFill="1" applyAlignment="1">
      <alignment horizontal="left"/>
    </xf>
    <xf numFmtId="169" fontId="21" fillId="8" borderId="0" xfId="34" applyNumberFormat="1" applyFont="1" applyFill="1" applyAlignment="1">
      <alignment horizontal="right"/>
    </xf>
    <xf numFmtId="1" fontId="21" fillId="8" borderId="0" xfId="34" applyNumberFormat="1" applyFont="1" applyFill="1" applyAlignment="1">
      <alignment horizontal="right"/>
    </xf>
    <xf numFmtId="37" fontId="21" fillId="8" borderId="0" xfId="34" applyFont="1" applyFill="1" applyAlignment="1">
      <alignment horizontal="right"/>
    </xf>
    <xf numFmtId="9" fontId="21" fillId="8" borderId="0" xfId="23" applyFont="1" applyFill="1" applyAlignment="1">
      <alignment horizontal="right"/>
    </xf>
    <xf numFmtId="1" fontId="21" fillId="0" borderId="0" xfId="23" applyNumberFormat="1" applyFont="1"/>
    <xf numFmtId="37" fontId="119" fillId="55" borderId="0" xfId="34" applyFont="1" applyFill="1" applyAlignment="1">
      <alignment horizontal="right" vertical="center"/>
    </xf>
    <xf numFmtId="37" fontId="105" fillId="51" borderId="0" xfId="34" applyFont="1" applyFill="1" applyAlignment="1">
      <alignment horizontal="right" vertical="center"/>
    </xf>
    <xf numFmtId="37" fontId="119" fillId="49" borderId="0" xfId="34" applyFont="1" applyFill="1" applyAlignment="1">
      <alignment horizontal="right" vertical="center"/>
    </xf>
    <xf numFmtId="37" fontId="22" fillId="48" borderId="0" xfId="34" applyFont="1" applyFill="1" applyAlignment="1">
      <alignment horizontal="right" vertical="center"/>
    </xf>
    <xf numFmtId="37" fontId="119" fillId="50" borderId="0" xfId="34" applyFont="1" applyFill="1" applyAlignment="1">
      <alignment horizontal="right" vertical="center"/>
    </xf>
    <xf numFmtId="37" fontId="1" fillId="48" borderId="0" xfId="34" applyFont="1" applyFill="1" applyAlignment="1">
      <alignment vertical="center"/>
    </xf>
    <xf numFmtId="37" fontId="1" fillId="48" borderId="0" xfId="34" applyFont="1" applyFill="1" applyAlignment="1">
      <alignment horizontal="left" vertical="center"/>
    </xf>
    <xf numFmtId="37" fontId="1" fillId="48" borderId="0" xfId="34" applyFont="1" applyFill="1" applyAlignment="1">
      <alignment horizontal="right" vertical="center"/>
    </xf>
    <xf numFmtId="37" fontId="1" fillId="0" borderId="0" xfId="34" applyFont="1" applyAlignment="1">
      <alignment vertical="center"/>
    </xf>
    <xf numFmtId="169" fontId="21" fillId="0" borderId="0" xfId="34" applyNumberFormat="1" applyFont="1"/>
    <xf numFmtId="37" fontId="21" fillId="0" borderId="8" xfId="34" applyFont="1" applyBorder="1"/>
    <xf numFmtId="1" fontId="21" fillId="0" borderId="8" xfId="34" applyNumberFormat="1" applyFont="1" applyBorder="1" applyAlignment="1">
      <alignment horizontal="left"/>
    </xf>
    <xf numFmtId="167" fontId="21" fillId="8" borderId="0" xfId="34" applyNumberFormat="1" applyFont="1" applyFill="1" applyAlignment="1">
      <alignment horizontal="right"/>
    </xf>
    <xf numFmtId="169" fontId="21" fillId="8" borderId="0" xfId="34" applyNumberFormat="1" applyFont="1" applyFill="1"/>
    <xf numFmtId="37" fontId="1" fillId="48" borderId="0" xfId="34" applyFont="1" applyFill="1" applyAlignment="1">
      <alignment horizontal="right"/>
    </xf>
    <xf numFmtId="37" fontId="105" fillId="48" borderId="0" xfId="34" applyFont="1" applyFill="1"/>
    <xf numFmtId="37" fontId="1" fillId="48" borderId="0" xfId="34" applyFont="1" applyFill="1"/>
    <xf numFmtId="37" fontId="1" fillId="0" borderId="0" xfId="34" applyFont="1"/>
    <xf numFmtId="37" fontId="1" fillId="48" borderId="0" xfId="34" applyFont="1" applyFill="1" applyAlignment="1">
      <alignment horizontal="left"/>
    </xf>
    <xf numFmtId="37" fontId="1" fillId="47" borderId="0" xfId="34" applyFont="1" applyFill="1"/>
    <xf numFmtId="37" fontId="91" fillId="47" borderId="0" xfId="34" applyFont="1" applyFill="1" applyAlignment="1">
      <alignment horizontal="left"/>
    </xf>
    <xf numFmtId="3" fontId="21" fillId="0" borderId="0" xfId="23" applyNumberFormat="1" applyFont="1" applyAlignment="1">
      <alignment horizontal="right"/>
    </xf>
    <xf numFmtId="37" fontId="21" fillId="0" borderId="0" xfId="23" applyNumberFormat="1" applyFont="1" applyAlignment="1">
      <alignment horizontal="right"/>
    </xf>
    <xf numFmtId="37" fontId="21" fillId="8" borderId="0" xfId="34" applyFont="1" applyFill="1" applyAlignment="1">
      <alignment vertical="center"/>
    </xf>
    <xf numFmtId="37" fontId="1" fillId="8" borderId="0" xfId="34" applyFont="1" applyFill="1" applyAlignment="1">
      <alignment horizontal="left" vertical="center"/>
    </xf>
    <xf numFmtId="37" fontId="1" fillId="8" borderId="0" xfId="34" applyFont="1" applyFill="1" applyAlignment="1">
      <alignment vertical="center"/>
    </xf>
    <xf numFmtId="37" fontId="119" fillId="8" borderId="0" xfId="34" applyFont="1" applyFill="1" applyAlignment="1">
      <alignment horizontal="right" vertical="center"/>
    </xf>
    <xf numFmtId="37" fontId="22" fillId="8" borderId="0" xfId="34" applyFont="1" applyFill="1" applyAlignment="1">
      <alignment horizontal="right" vertical="center"/>
    </xf>
    <xf numFmtId="37" fontId="105" fillId="8" borderId="0" xfId="34" applyFont="1" applyFill="1" applyAlignment="1">
      <alignment horizontal="right" vertical="center"/>
    </xf>
    <xf numFmtId="37" fontId="21" fillId="8" borderId="0" xfId="34" applyFont="1" applyFill="1" applyAlignment="1">
      <alignment horizontal="right" vertical="center"/>
    </xf>
    <xf numFmtId="37" fontId="21" fillId="8" borderId="0" xfId="34" applyFont="1" applyFill="1" applyAlignment="1">
      <alignment horizontal="left"/>
    </xf>
    <xf numFmtId="0" fontId="174" fillId="0" borderId="0" xfId="35" applyFont="1" applyAlignment="1">
      <alignment horizontal="left" vertical="top"/>
    </xf>
    <xf numFmtId="3" fontId="174" fillId="0" borderId="0" xfId="35" applyNumberFormat="1" applyFont="1" applyAlignment="1">
      <alignment horizontal="left" vertical="top"/>
    </xf>
    <xf numFmtId="3" fontId="174" fillId="0" borderId="0" xfId="35" applyNumberFormat="1" applyFont="1" applyAlignment="1">
      <alignment horizontal="right" vertical="top"/>
    </xf>
    <xf numFmtId="171" fontId="174" fillId="0" borderId="0" xfId="35" applyNumberFormat="1" applyFont="1" applyAlignment="1">
      <alignment horizontal="right" vertical="top"/>
    </xf>
    <xf numFmtId="0" fontId="176" fillId="0" borderId="0" xfId="35" applyFont="1" applyAlignment="1">
      <alignment horizontal="left" vertical="top"/>
    </xf>
    <xf numFmtId="0" fontId="177" fillId="0" borderId="0" xfId="35" applyFont="1"/>
    <xf numFmtId="3" fontId="176" fillId="0" borderId="0" xfId="35" applyNumberFormat="1" applyFont="1" applyAlignment="1">
      <alignment horizontal="left" vertical="top"/>
    </xf>
    <xf numFmtId="3" fontId="176" fillId="0" borderId="0" xfId="35" applyNumberFormat="1" applyFont="1" applyAlignment="1">
      <alignment horizontal="right" vertical="top"/>
    </xf>
    <xf numFmtId="0" fontId="178" fillId="0" borderId="0" xfId="35" applyFont="1" applyAlignment="1">
      <alignment horizontal="left" vertical="top"/>
    </xf>
    <xf numFmtId="3" fontId="178" fillId="0" borderId="0" xfId="35" applyNumberFormat="1" applyFont="1" applyAlignment="1">
      <alignment horizontal="left" vertical="top"/>
    </xf>
    <xf numFmtId="3" fontId="178" fillId="0" borderId="0" xfId="35" applyNumberFormat="1" applyFont="1" applyAlignment="1">
      <alignment horizontal="right" vertical="top"/>
    </xf>
    <xf numFmtId="171" fontId="178" fillId="0" borderId="0" xfId="35" applyNumberFormat="1" applyFont="1" applyAlignment="1">
      <alignment horizontal="right" vertical="top"/>
    </xf>
    <xf numFmtId="166" fontId="178" fillId="0" borderId="0" xfId="30" applyNumberFormat="1" applyFont="1" applyAlignment="1">
      <alignment horizontal="right" vertical="top"/>
    </xf>
    <xf numFmtId="0" fontId="179" fillId="0" borderId="0" xfId="35" applyFont="1" applyAlignment="1">
      <alignment horizontal="left" vertical="top"/>
    </xf>
    <xf numFmtId="171" fontId="175" fillId="0" borderId="0" xfId="35" applyNumberFormat="1"/>
    <xf numFmtId="3" fontId="179" fillId="0" borderId="0" xfId="35" applyNumberFormat="1" applyFont="1" applyAlignment="1">
      <alignment horizontal="left" vertical="top"/>
    </xf>
    <xf numFmtId="3" fontId="179" fillId="0" borderId="0" xfId="35" applyNumberFormat="1" applyFont="1" applyAlignment="1">
      <alignment horizontal="right" vertical="top"/>
    </xf>
    <xf numFmtId="171" fontId="179" fillId="0" borderId="0" xfId="35" applyNumberFormat="1" applyFont="1" applyAlignment="1">
      <alignment horizontal="right" vertical="top"/>
    </xf>
    <xf numFmtId="0" fontId="175" fillId="0" borderId="0" xfId="35"/>
    <xf numFmtId="0" fontId="176" fillId="0" borderId="0" xfId="30" applyNumberFormat="1" applyFont="1" applyAlignment="1">
      <alignment horizontal="right" vertical="top"/>
    </xf>
    <xf numFmtId="0" fontId="180" fillId="0" borderId="0" xfId="35" applyFont="1"/>
    <xf numFmtId="3" fontId="181" fillId="0" borderId="0" xfId="35" applyNumberFormat="1" applyFont="1" applyAlignment="1">
      <alignment horizontal="left" vertical="top"/>
    </xf>
    <xf numFmtId="195" fontId="172" fillId="0" borderId="0" xfId="30" applyNumberFormat="1" applyFont="1" applyAlignment="1">
      <alignment horizontal="right"/>
    </xf>
    <xf numFmtId="0" fontId="6" fillId="0" borderId="0" xfId="35" applyFont="1"/>
    <xf numFmtId="3" fontId="174" fillId="10" borderId="0" xfId="35" applyNumberFormat="1" applyFont="1" applyFill="1" applyAlignment="1">
      <alignment horizontal="right" vertical="top"/>
    </xf>
    <xf numFmtId="3" fontId="174" fillId="48" borderId="0" xfId="35" applyNumberFormat="1" applyFont="1" applyFill="1" applyAlignment="1">
      <alignment horizontal="right" vertical="top"/>
    </xf>
    <xf numFmtId="171" fontId="174" fillId="48" borderId="0" xfId="35" applyNumberFormat="1" applyFont="1" applyFill="1" applyAlignment="1">
      <alignment horizontal="right" vertical="top"/>
    </xf>
    <xf numFmtId="0" fontId="174" fillId="48" borderId="0" xfId="35" applyFont="1" applyFill="1" applyAlignment="1">
      <alignment horizontal="left" vertical="top"/>
    </xf>
    <xf numFmtId="3" fontId="175" fillId="0" borderId="0" xfId="35" applyNumberFormat="1"/>
    <xf numFmtId="0" fontId="184" fillId="0" borderId="0" xfId="35" applyFont="1" applyAlignment="1">
      <alignment vertical="top"/>
    </xf>
    <xf numFmtId="2" fontId="184" fillId="0" borderId="0" xfId="35" applyNumberFormat="1" applyFont="1" applyAlignment="1">
      <alignment vertical="top"/>
    </xf>
    <xf numFmtId="3" fontId="184" fillId="0" borderId="0" xfId="35" applyNumberFormat="1" applyFont="1" applyAlignment="1">
      <alignment horizontal="right" vertical="top"/>
    </xf>
    <xf numFmtId="167" fontId="184" fillId="0" borderId="0" xfId="35" applyNumberFormat="1" applyFont="1" applyAlignment="1">
      <alignment horizontal="right" vertical="top"/>
    </xf>
    <xf numFmtId="3" fontId="198" fillId="0" borderId="0" xfId="35" applyNumberFormat="1" applyFont="1" applyAlignment="1">
      <alignment horizontal="right" vertical="top" shrinkToFit="1"/>
    </xf>
    <xf numFmtId="167" fontId="184" fillId="0" borderId="0" xfId="35" applyNumberFormat="1" applyFont="1" applyAlignment="1">
      <alignment horizontal="right" wrapText="1"/>
    </xf>
    <xf numFmtId="3" fontId="199" fillId="0" borderId="0" xfId="35" applyNumberFormat="1" applyFont="1" applyAlignment="1">
      <alignment horizontal="right" vertical="top" shrinkToFit="1"/>
    </xf>
    <xf numFmtId="167" fontId="199" fillId="0" borderId="0" xfId="35" applyNumberFormat="1" applyFont="1" applyAlignment="1">
      <alignment horizontal="right" vertical="top" shrinkToFit="1"/>
    </xf>
    <xf numFmtId="3" fontId="113" fillId="0" borderId="0" xfId="35" applyNumberFormat="1" applyFont="1" applyAlignment="1">
      <alignment horizontal="right" vertical="top" wrapText="1"/>
    </xf>
    <xf numFmtId="0" fontId="113" fillId="0" borderId="0" xfId="35" applyFont="1" applyAlignment="1">
      <alignment vertical="top" wrapText="1"/>
    </xf>
    <xf numFmtId="3" fontId="200" fillId="0" borderId="0" xfId="35" applyNumberFormat="1" applyFont="1" applyAlignment="1">
      <alignment horizontal="right" vertical="top" shrinkToFit="1"/>
    </xf>
    <xf numFmtId="167" fontId="200" fillId="0" borderId="0" xfId="35" applyNumberFormat="1" applyFont="1" applyAlignment="1">
      <alignment horizontal="right" vertical="top" shrinkToFit="1"/>
    </xf>
    <xf numFmtId="0" fontId="188" fillId="0" borderId="0" xfId="35" applyFont="1" applyAlignment="1">
      <alignment vertical="top" wrapText="1"/>
    </xf>
    <xf numFmtId="3" fontId="184" fillId="0" borderId="0" xfId="35" applyNumberFormat="1" applyFont="1" applyAlignment="1">
      <alignment horizontal="right" vertical="top" wrapText="1"/>
    </xf>
    <xf numFmtId="0" fontId="185" fillId="0" borderId="0" xfId="35" applyFont="1" applyAlignment="1">
      <alignment vertical="top" wrapText="1"/>
    </xf>
    <xf numFmtId="37" fontId="3" fillId="0" borderId="0" xfId="34"/>
    <xf numFmtId="3" fontId="3" fillId="0" borderId="0" xfId="34" applyNumberFormat="1" applyAlignment="1">
      <alignment horizontal="right"/>
    </xf>
    <xf numFmtId="1" fontId="3" fillId="0" borderId="0" xfId="34" applyNumberFormat="1" applyAlignment="1">
      <alignment horizontal="right"/>
    </xf>
    <xf numFmtId="167" fontId="3" fillId="0" borderId="0" xfId="34" applyNumberFormat="1" applyAlignment="1">
      <alignment horizontal="right"/>
    </xf>
    <xf numFmtId="37" fontId="3" fillId="0" borderId="0" xfId="34" applyAlignment="1">
      <alignment horizontal="right"/>
    </xf>
    <xf numFmtId="3" fontId="6" fillId="0" borderId="0" xfId="34" applyNumberFormat="1" applyFont="1" applyAlignment="1">
      <alignment horizontal="right"/>
    </xf>
    <xf numFmtId="37" fontId="6" fillId="0" borderId="0" xfId="34" applyFont="1"/>
    <xf numFmtId="3" fontId="4" fillId="0" borderId="0" xfId="34" applyNumberFormat="1" applyFont="1" applyAlignment="1">
      <alignment horizontal="right"/>
    </xf>
    <xf numFmtId="37" fontId="4" fillId="0" borderId="0" xfId="34" applyFont="1"/>
    <xf numFmtId="37" fontId="5" fillId="0" borderId="0" xfId="34" applyFont="1" applyAlignment="1">
      <alignment horizontal="left"/>
    </xf>
    <xf numFmtId="37" fontId="5" fillId="0" borderId="0" xfId="34" applyFont="1" applyAlignment="1">
      <alignment horizontal="right"/>
    </xf>
    <xf numFmtId="37" fontId="8" fillId="0" borderId="0" xfId="34" applyFont="1"/>
    <xf numFmtId="1" fontId="4" fillId="0" borderId="0" xfId="34" applyNumberFormat="1" applyFont="1" applyAlignment="1">
      <alignment horizontal="right"/>
    </xf>
    <xf numFmtId="168" fontId="3" fillId="0" borderId="0" xfId="34" applyNumberFormat="1" applyAlignment="1">
      <alignment horizontal="left"/>
    </xf>
    <xf numFmtId="3" fontId="3" fillId="8" borderId="0" xfId="34" applyNumberFormat="1" applyFill="1" applyAlignment="1">
      <alignment horizontal="right"/>
    </xf>
    <xf numFmtId="1" fontId="4" fillId="10" borderId="0" xfId="34" applyNumberFormat="1" applyFont="1" applyFill="1" applyAlignment="1">
      <alignment horizontal="right"/>
    </xf>
    <xf numFmtId="166" fontId="3" fillId="0" borderId="0" xfId="34" applyNumberFormat="1"/>
    <xf numFmtId="3" fontId="1" fillId="8" borderId="0" xfId="23" applyNumberFormat="1" applyFont="1" applyFill="1"/>
    <xf numFmtId="194" fontId="1" fillId="8" borderId="0" xfId="0" applyNumberFormat="1" applyFont="1" applyFill="1"/>
    <xf numFmtId="189" fontId="1" fillId="8" borderId="0" xfId="23" applyNumberFormat="1" applyFont="1" applyFill="1"/>
    <xf numFmtId="37" fontId="93" fillId="0" borderId="0" xfId="0" applyFont="1" applyBorder="1" applyAlignment="1">
      <alignment horizontal="center"/>
    </xf>
    <xf numFmtId="37" fontId="93" fillId="48" borderId="0" xfId="0" applyFont="1" applyFill="1" applyBorder="1" applyAlignment="1">
      <alignment horizontal="center"/>
    </xf>
    <xf numFmtId="3" fontId="21" fillId="0" borderId="8" xfId="23" applyNumberFormat="1" applyFont="1" applyBorder="1" applyAlignment="1">
      <alignment horizontal="right"/>
    </xf>
    <xf numFmtId="37" fontId="21" fillId="0" borderId="8" xfId="23" applyNumberFormat="1" applyFont="1" applyBorder="1" applyAlignment="1">
      <alignment horizontal="right"/>
    </xf>
    <xf numFmtId="0" fontId="21" fillId="0" borderId="8" xfId="23" applyNumberFormat="1" applyFont="1" applyBorder="1" applyAlignment="1">
      <alignment horizontal="right"/>
    </xf>
    <xf numFmtId="37" fontId="1" fillId="0" borderId="0" xfId="0" applyFont="1" applyBorder="1" applyAlignment="1">
      <alignment horizontal="left"/>
    </xf>
    <xf numFmtId="37" fontId="1" fillId="48" borderId="0" xfId="0" applyFont="1" applyFill="1" applyBorder="1"/>
    <xf numFmtId="0" fontId="21" fillId="8" borderId="0" xfId="15" applyFont="1" applyFill="1"/>
    <xf numFmtId="0" fontId="79" fillId="8" borderId="0" xfId="15" applyFont="1" applyFill="1"/>
    <xf numFmtId="0" fontId="78" fillId="8" borderId="0" xfId="15" applyFont="1" applyFill="1"/>
    <xf numFmtId="0" fontId="169" fillId="8" borderId="0" xfId="15" applyFont="1" applyFill="1"/>
    <xf numFmtId="37" fontId="1" fillId="0" borderId="0" xfId="0" applyFont="1" applyFill="1" applyBorder="1" applyAlignment="1" applyProtection="1">
      <alignment horizontal="left"/>
      <protection locked="0"/>
    </xf>
    <xf numFmtId="39" fontId="101" fillId="47" borderId="0" xfId="0" applyNumberFormat="1" applyFont="1" applyFill="1"/>
    <xf numFmtId="39" fontId="93" fillId="48" borderId="0" xfId="0" applyNumberFormat="1" applyFont="1" applyFill="1" applyBorder="1" applyAlignment="1">
      <alignment horizontal="right"/>
    </xf>
    <xf numFmtId="39" fontId="93" fillId="48" borderId="0" xfId="0" applyNumberFormat="1" applyFont="1" applyFill="1"/>
    <xf numFmtId="39" fontId="93" fillId="48" borderId="0" xfId="0" applyNumberFormat="1" applyFont="1" applyFill="1" applyBorder="1"/>
    <xf numFmtId="0" fontId="93" fillId="0" borderId="0" xfId="0" applyNumberFormat="1" applyFont="1" applyFill="1"/>
    <xf numFmtId="3" fontId="93" fillId="0" borderId="0" xfId="23" applyNumberFormat="1" applyFont="1" applyFill="1"/>
    <xf numFmtId="3" fontId="93" fillId="0" borderId="0" xfId="0" applyNumberFormat="1" applyFont="1" applyFill="1"/>
    <xf numFmtId="0" fontId="96" fillId="47" borderId="0" xfId="0" applyNumberFormat="1" applyFont="1" applyFill="1" applyBorder="1" applyAlignment="1">
      <alignment vertical="center"/>
    </xf>
    <xf numFmtId="0" fontId="105" fillId="47" borderId="0" xfId="0" applyNumberFormat="1" applyFont="1" applyFill="1" applyBorder="1" applyAlignment="1">
      <alignment vertical="center"/>
    </xf>
    <xf numFmtId="0" fontId="39" fillId="8" borderId="0" xfId="8" applyNumberFormat="1" applyFont="1" applyFill="1"/>
    <xf numFmtId="0" fontId="33" fillId="8" borderId="0" xfId="8" applyNumberFormat="1" applyFont="1" applyFill="1"/>
    <xf numFmtId="37" fontId="163" fillId="51" borderId="37" xfId="0" applyFont="1" applyFill="1" applyBorder="1"/>
    <xf numFmtId="37" fontId="220" fillId="47" borderId="0" xfId="8" applyFont="1" applyFill="1" applyBorder="1"/>
    <xf numFmtId="37" fontId="89" fillId="0" borderId="0" xfId="0" applyFont="1" applyBorder="1" applyAlignment="1">
      <alignment vertical="top" wrapText="1"/>
    </xf>
    <xf numFmtId="37" fontId="1" fillId="0" borderId="0" xfId="0" applyFont="1" applyBorder="1" applyAlignment="1"/>
    <xf numFmtId="14" fontId="108" fillId="47" borderId="0" xfId="0" applyNumberFormat="1" applyFont="1" applyFill="1" applyBorder="1" applyAlignment="1">
      <alignment horizontal="left"/>
    </xf>
    <xf numFmtId="37" fontId="90" fillId="0" borderId="0" xfId="0" applyFont="1" applyBorder="1" applyAlignment="1">
      <alignment horizontal="center"/>
    </xf>
    <xf numFmtId="37" fontId="119" fillId="47" borderId="0" xfId="0" applyFont="1" applyFill="1" applyBorder="1" applyAlignment="1">
      <alignment horizontal="center"/>
    </xf>
    <xf numFmtId="37" fontId="93" fillId="8" borderId="0" xfId="0" applyFont="1" applyFill="1" applyBorder="1" applyAlignment="1">
      <alignment horizontal="center"/>
    </xf>
    <xf numFmtId="37" fontId="105" fillId="8" borderId="0" xfId="0" applyFont="1" applyFill="1" applyBorder="1" applyAlignment="1">
      <alignment horizontal="center"/>
    </xf>
    <xf numFmtId="9" fontId="93" fillId="8" borderId="0" xfId="23" applyFont="1" applyFill="1" applyBorder="1" applyAlignment="1">
      <alignment horizontal="center"/>
    </xf>
    <xf numFmtId="9" fontId="93" fillId="69" borderId="0" xfId="23" applyFont="1" applyFill="1" applyBorder="1" applyAlignment="1">
      <alignment horizontal="center"/>
    </xf>
    <xf numFmtId="9" fontId="93" fillId="49" borderId="18" xfId="23" applyFont="1" applyFill="1" applyBorder="1" applyAlignment="1">
      <alignment horizontal="center"/>
    </xf>
    <xf numFmtId="9" fontId="93" fillId="58" borderId="18" xfId="23" applyFont="1" applyFill="1" applyBorder="1" applyAlignment="1">
      <alignment horizontal="center"/>
    </xf>
    <xf numFmtId="9" fontId="93" fillId="57" borderId="18" xfId="23" applyFont="1" applyFill="1" applyBorder="1" applyAlignment="1">
      <alignment horizontal="center"/>
    </xf>
    <xf numFmtId="9" fontId="93" fillId="60" borderId="18" xfId="23" applyFont="1" applyFill="1" applyBorder="1" applyAlignment="1">
      <alignment horizontal="center"/>
    </xf>
    <xf numFmtId="9" fontId="93" fillId="70" borderId="18" xfId="23" applyFont="1" applyFill="1" applyBorder="1" applyAlignment="1">
      <alignment horizontal="center"/>
    </xf>
    <xf numFmtId="9" fontId="93" fillId="55" borderId="18" xfId="23" applyFont="1" applyFill="1" applyBorder="1" applyAlignment="1">
      <alignment horizontal="center"/>
    </xf>
    <xf numFmtId="9" fontId="93" fillId="0" borderId="0" xfId="23" applyFont="1" applyBorder="1" applyAlignment="1">
      <alignment horizontal="center"/>
    </xf>
    <xf numFmtId="37" fontId="95" fillId="0" borderId="0" xfId="0" applyFont="1" applyBorder="1" applyAlignment="1">
      <alignment horizontal="center"/>
    </xf>
    <xf numFmtId="9" fontId="221" fillId="8" borderId="0" xfId="23" applyFont="1" applyFill="1" applyBorder="1" applyAlignment="1">
      <alignment horizontal="center"/>
    </xf>
    <xf numFmtId="9" fontId="222" fillId="8" borderId="0" xfId="23" applyFont="1" applyFill="1" applyBorder="1" applyAlignment="1">
      <alignment horizontal="center"/>
    </xf>
    <xf numFmtId="9" fontId="223" fillId="8" borderId="0" xfId="23" applyFont="1" applyFill="1" applyBorder="1" applyAlignment="1">
      <alignment horizontal="center"/>
    </xf>
    <xf numFmtId="9" fontId="116" fillId="8" borderId="0" xfId="23" applyFont="1" applyFill="1" applyBorder="1" applyAlignment="1">
      <alignment horizontal="center"/>
    </xf>
    <xf numFmtId="9" fontId="224" fillId="8" borderId="0" xfId="23" applyFont="1" applyFill="1" applyBorder="1" applyAlignment="1">
      <alignment horizontal="center"/>
    </xf>
    <xf numFmtId="9" fontId="225" fillId="8" borderId="0" xfId="23" applyFont="1" applyFill="1" applyBorder="1" applyAlignment="1">
      <alignment horizontal="center"/>
    </xf>
    <xf numFmtId="9" fontId="226" fillId="44" borderId="0" xfId="23" applyFont="1" applyFill="1" applyBorder="1" applyAlignment="1">
      <alignment horizontal="center"/>
    </xf>
    <xf numFmtId="9" fontId="227" fillId="8" borderId="0" xfId="23" applyFont="1" applyFill="1" applyBorder="1" applyAlignment="1">
      <alignment horizontal="center"/>
    </xf>
    <xf numFmtId="37" fontId="93" fillId="47" borderId="0" xfId="0" applyFont="1" applyFill="1" applyBorder="1" applyAlignment="1">
      <alignment horizontal="right"/>
    </xf>
    <xf numFmtId="173" fontId="93" fillId="0" borderId="0" xfId="3" applyNumberFormat="1" applyFont="1" applyBorder="1" applyAlignment="1">
      <alignment horizontal="right"/>
    </xf>
    <xf numFmtId="37" fontId="108" fillId="47" borderId="0" xfId="0" applyNumberFormat="1" applyFont="1" applyFill="1" applyBorder="1"/>
    <xf numFmtId="37" fontId="89" fillId="48" borderId="0" xfId="0" applyFont="1" applyFill="1" applyBorder="1" applyAlignment="1">
      <alignment vertical="top"/>
    </xf>
    <xf numFmtId="37" fontId="89" fillId="48" borderId="0" xfId="0" applyFont="1" applyFill="1" applyBorder="1" applyAlignment="1">
      <alignment horizontal="right" vertical="top"/>
    </xf>
    <xf numFmtId="9" fontId="89" fillId="48" borderId="0" xfId="23" applyFont="1" applyFill="1" applyBorder="1" applyAlignment="1">
      <alignment horizontal="right" vertical="top"/>
    </xf>
    <xf numFmtId="166" fontId="89" fillId="48" borderId="0" xfId="23" applyNumberFormat="1" applyFont="1" applyFill="1" applyBorder="1" applyAlignment="1">
      <alignment horizontal="right" vertical="top"/>
    </xf>
    <xf numFmtId="9" fontId="100" fillId="48" borderId="0" xfId="23" applyFont="1" applyFill="1" applyBorder="1" applyAlignment="1">
      <alignment horizontal="right" vertical="top"/>
    </xf>
    <xf numFmtId="37" fontId="110" fillId="48" borderId="0" xfId="0" applyFont="1" applyFill="1" applyBorder="1" applyAlignment="1">
      <alignment vertical="top"/>
    </xf>
    <xf numFmtId="37" fontId="101" fillId="48" borderId="0" xfId="0" applyFont="1" applyFill="1" applyBorder="1" applyAlignment="1">
      <alignment horizontal="center" vertical="top"/>
    </xf>
    <xf numFmtId="37" fontId="110" fillId="48" borderId="0" xfId="0" applyFont="1" applyFill="1" applyBorder="1" applyAlignment="1">
      <alignment horizontal="center" vertical="top" wrapText="1"/>
    </xf>
    <xf numFmtId="1" fontId="110" fillId="48" borderId="0" xfId="0" applyNumberFormat="1" applyFont="1" applyFill="1" applyBorder="1" applyAlignment="1">
      <alignment horizontal="right" vertical="top"/>
    </xf>
    <xf numFmtId="0" fontId="110" fillId="48" borderId="0" xfId="2" applyNumberFormat="1" applyFont="1" applyFill="1" applyBorder="1"/>
    <xf numFmtId="37" fontId="110" fillId="0" borderId="0" xfId="0" applyFont="1" applyBorder="1" applyAlignment="1">
      <alignment vertical="top"/>
    </xf>
    <xf numFmtId="1" fontId="110" fillId="0" borderId="0" xfId="0" applyNumberFormat="1" applyFont="1" applyBorder="1" applyAlignment="1">
      <alignment horizontal="right" vertical="top"/>
    </xf>
    <xf numFmtId="37" fontId="101" fillId="61" borderId="0" xfId="0" applyFont="1" applyFill="1" applyBorder="1" applyAlignment="1">
      <alignment vertical="top"/>
    </xf>
    <xf numFmtId="37" fontId="110" fillId="61" borderId="0" xfId="0" applyFont="1" applyFill="1" applyBorder="1" applyAlignment="1">
      <alignment vertical="top"/>
    </xf>
    <xf numFmtId="37" fontId="110" fillId="61" borderId="0" xfId="0" applyFont="1" applyFill="1" applyBorder="1" applyAlignment="1">
      <alignment horizontal="right" vertical="top"/>
    </xf>
    <xf numFmtId="37" fontId="153" fillId="61" borderId="0" xfId="0" applyFont="1" applyFill="1" applyBorder="1" applyAlignment="1">
      <alignment horizontal="right" vertical="top"/>
    </xf>
    <xf numFmtId="37" fontId="110" fillId="61" borderId="0" xfId="0" applyFont="1" applyFill="1" applyBorder="1"/>
    <xf numFmtId="173" fontId="110" fillId="0" borderId="0" xfId="2" applyNumberFormat="1" applyFont="1" applyBorder="1" applyAlignment="1">
      <alignment vertical="top"/>
    </xf>
    <xf numFmtId="173" fontId="110" fillId="0" borderId="0" xfId="2" applyNumberFormat="1" applyFont="1" applyBorder="1" applyAlignment="1">
      <alignment horizontal="right" vertical="top"/>
    </xf>
    <xf numFmtId="37" fontId="110" fillId="0" borderId="0" xfId="0" applyFont="1" applyBorder="1" applyAlignment="1">
      <alignment horizontal="right" vertical="top"/>
    </xf>
    <xf numFmtId="166" fontId="110" fillId="0" borderId="0" xfId="23" applyNumberFormat="1" applyFont="1" applyBorder="1" applyAlignment="1">
      <alignment horizontal="right" vertical="top"/>
    </xf>
    <xf numFmtId="166" fontId="110" fillId="0" borderId="0" xfId="23" applyNumberFormat="1" applyFont="1" applyFill="1" applyBorder="1" applyAlignment="1">
      <alignment horizontal="right" vertical="top"/>
    </xf>
    <xf numFmtId="37" fontId="110" fillId="0" borderId="0" xfId="0" applyFont="1" applyBorder="1" applyAlignment="1">
      <alignment wrapText="1"/>
    </xf>
    <xf numFmtId="173" fontId="110" fillId="8" borderId="0" xfId="2" applyNumberFormat="1" applyFont="1" applyFill="1" applyBorder="1" applyAlignment="1">
      <alignment vertical="top"/>
    </xf>
    <xf numFmtId="173" fontId="110" fillId="0" borderId="0" xfId="2" applyNumberFormat="1" applyFont="1" applyFill="1" applyBorder="1" applyAlignment="1">
      <alignment horizontal="right" vertical="top"/>
    </xf>
    <xf numFmtId="37" fontId="153" fillId="0" borderId="0" xfId="0" applyFont="1" applyBorder="1" applyAlignment="1">
      <alignment horizontal="right" vertical="top"/>
    </xf>
    <xf numFmtId="37" fontId="101" fillId="0" borderId="0" xfId="0" applyFont="1" applyBorder="1" applyAlignment="1">
      <alignment vertical="top"/>
    </xf>
    <xf numFmtId="173" fontId="101" fillId="0" borderId="0" xfId="2" applyNumberFormat="1" applyFont="1" applyBorder="1" applyAlignment="1">
      <alignment horizontal="right" vertical="top"/>
    </xf>
    <xf numFmtId="37" fontId="101" fillId="0" borderId="0" xfId="0" applyFont="1" applyBorder="1" applyAlignment="1">
      <alignment horizontal="right" vertical="top"/>
    </xf>
    <xf numFmtId="9" fontId="101" fillId="0" borderId="0" xfId="23" applyFont="1" applyBorder="1" applyAlignment="1">
      <alignment horizontal="right" vertical="top"/>
    </xf>
    <xf numFmtId="166" fontId="101" fillId="0" borderId="0" xfId="23" applyNumberFormat="1" applyFont="1" applyBorder="1" applyAlignment="1">
      <alignment horizontal="right" vertical="top"/>
    </xf>
    <xf numFmtId="9" fontId="101" fillId="0" borderId="0" xfId="23" applyNumberFormat="1" applyFont="1" applyBorder="1" applyAlignment="1">
      <alignment horizontal="right" vertical="top"/>
    </xf>
    <xf numFmtId="9" fontId="101" fillId="0" borderId="0" xfId="23" applyNumberFormat="1" applyFont="1" applyFill="1" applyBorder="1" applyAlignment="1">
      <alignment horizontal="right" vertical="top"/>
    </xf>
    <xf numFmtId="166" fontId="101" fillId="0" borderId="0" xfId="23" applyNumberFormat="1" applyFont="1" applyFill="1" applyBorder="1" applyAlignment="1">
      <alignment horizontal="right" vertical="top"/>
    </xf>
    <xf numFmtId="37" fontId="228" fillId="0" borderId="0" xfId="0" applyFont="1" applyBorder="1"/>
    <xf numFmtId="166" fontId="101" fillId="0" borderId="0" xfId="0" applyNumberFormat="1" applyFont="1" applyBorder="1" applyAlignment="1">
      <alignment horizontal="right" vertical="top"/>
    </xf>
    <xf numFmtId="166" fontId="110" fillId="0" borderId="0" xfId="0" applyNumberFormat="1" applyFont="1" applyBorder="1" applyAlignment="1">
      <alignment horizontal="right" vertical="top"/>
    </xf>
    <xf numFmtId="37" fontId="92" fillId="47" borderId="0" xfId="0" applyFont="1" applyFill="1" applyBorder="1" applyAlignment="1">
      <alignment horizontal="right"/>
    </xf>
    <xf numFmtId="37" fontId="92" fillId="48" borderId="0" xfId="0" applyFont="1" applyFill="1"/>
    <xf numFmtId="37" fontId="128" fillId="48" borderId="0" xfId="0" applyFont="1" applyFill="1" applyBorder="1" applyAlignment="1">
      <alignment horizontal="right"/>
    </xf>
    <xf numFmtId="37" fontId="128" fillId="48" borderId="0" xfId="0" applyFont="1" applyFill="1" applyBorder="1" applyAlignment="1">
      <alignment horizontal="right" wrapText="1"/>
    </xf>
    <xf numFmtId="37" fontId="98" fillId="0" borderId="0" xfId="0" applyFont="1" applyBorder="1" applyAlignment="1">
      <alignment horizontal="right"/>
    </xf>
    <xf numFmtId="37" fontId="98" fillId="0" borderId="0" xfId="0" applyFont="1" applyBorder="1" applyAlignment="1">
      <alignment horizontal="right" wrapText="1"/>
    </xf>
    <xf numFmtId="37" fontId="98" fillId="48" borderId="0" xfId="0" applyFont="1" applyFill="1" applyBorder="1"/>
    <xf numFmtId="173" fontId="98" fillId="48" borderId="0" xfId="2" applyNumberFormat="1" applyFont="1" applyFill="1" applyBorder="1" applyAlignment="1">
      <alignment horizontal="right"/>
    </xf>
    <xf numFmtId="166" fontId="98" fillId="48" borderId="0" xfId="23" applyNumberFormat="1" applyFont="1" applyFill="1" applyBorder="1" applyAlignment="1">
      <alignment horizontal="right"/>
    </xf>
    <xf numFmtId="3" fontId="98" fillId="48" borderId="0" xfId="0" applyNumberFormat="1" applyFont="1" applyFill="1" applyBorder="1" applyAlignment="1">
      <alignment horizontal="right"/>
    </xf>
    <xf numFmtId="37" fontId="118" fillId="0" borderId="45" xfId="0" applyFont="1" applyBorder="1"/>
    <xf numFmtId="37" fontId="118" fillId="43" borderId="45" xfId="0" applyFont="1" applyFill="1" applyBorder="1"/>
    <xf numFmtId="37" fontId="174" fillId="0" borderId="45" xfId="0" applyFont="1" applyBorder="1" applyAlignment="1">
      <alignment horizontal="left" vertical="center" wrapText="1"/>
    </xf>
    <xf numFmtId="37" fontId="118" fillId="0" borderId="45" xfId="0" applyFont="1" applyBorder="1" applyAlignment="1">
      <alignment horizontal="center" vertical="center"/>
    </xf>
    <xf numFmtId="37" fontId="118" fillId="43" borderId="45" xfId="0" applyFont="1" applyFill="1" applyBorder="1" applyAlignment="1">
      <alignment horizontal="center" vertical="center"/>
    </xf>
    <xf numFmtId="37" fontId="118" fillId="0" borderId="45" xfId="0" applyFont="1" applyBorder="1" applyAlignment="1">
      <alignment vertical="center"/>
    </xf>
    <xf numFmtId="37" fontId="118" fillId="43" borderId="45" xfId="0" applyFont="1" applyFill="1" applyBorder="1" applyAlignment="1">
      <alignment vertical="center"/>
    </xf>
    <xf numFmtId="37" fontId="122" fillId="0" borderId="0" xfId="0" applyFont="1" applyBorder="1" applyAlignment="1">
      <alignment horizontal="right" vertical="center"/>
    </xf>
    <xf numFmtId="166" fontId="122" fillId="23" borderId="0" xfId="23" applyNumberFormat="1" applyFont="1" applyFill="1" applyBorder="1" applyAlignment="1">
      <alignment horizontal="right" vertical="center"/>
    </xf>
    <xf numFmtId="166" fontId="122" fillId="0" borderId="0" xfId="23" applyNumberFormat="1" applyFont="1" applyBorder="1" applyAlignment="1">
      <alignment horizontal="right" vertical="center"/>
    </xf>
    <xf numFmtId="0" fontId="98" fillId="8" borderId="0" xfId="0" applyNumberFormat="1" applyFont="1" applyFill="1" applyBorder="1" applyAlignment="1"/>
    <xf numFmtId="3" fontId="98" fillId="8" borderId="0" xfId="0" applyNumberFormat="1" applyFont="1" applyFill="1" applyBorder="1" applyAlignment="1">
      <alignment horizontal="right"/>
    </xf>
    <xf numFmtId="166" fontId="98" fillId="8" borderId="0" xfId="0" applyNumberFormat="1" applyFont="1" applyFill="1" applyBorder="1" applyAlignment="1">
      <alignment horizontal="right"/>
    </xf>
    <xf numFmtId="37" fontId="90" fillId="8" borderId="0" xfId="0" applyFont="1" applyFill="1" applyBorder="1"/>
    <xf numFmtId="166" fontId="90" fillId="8" borderId="0" xfId="0" applyNumberFormat="1" applyFont="1" applyFill="1" applyBorder="1"/>
    <xf numFmtId="37" fontId="91" fillId="47" borderId="0" xfId="0" applyFont="1" applyFill="1" applyAlignment="1">
      <alignment horizontal="left"/>
    </xf>
    <xf numFmtId="37" fontId="112" fillId="48" borderId="0" xfId="8" applyFont="1" applyFill="1" applyBorder="1" applyAlignment="1">
      <alignment horizontal="left"/>
    </xf>
    <xf numFmtId="37" fontId="112" fillId="48" borderId="0" xfId="8" applyFont="1" applyFill="1" applyBorder="1" applyAlignment="1">
      <alignment horizontal="center"/>
    </xf>
    <xf numFmtId="37" fontId="112" fillId="48" borderId="0" xfId="8" applyFont="1" applyFill="1" applyBorder="1" applyAlignment="1">
      <alignment horizontal="right" wrapText="1"/>
    </xf>
    <xf numFmtId="37" fontId="229" fillId="0" borderId="0" xfId="6" applyNumberFormat="1" applyFont="1" applyBorder="1" applyAlignment="1" applyProtection="1"/>
    <xf numFmtId="37" fontId="112" fillId="0" borderId="0" xfId="8" applyFont="1" applyBorder="1" applyAlignment="1">
      <alignment horizontal="left"/>
    </xf>
    <xf numFmtId="37" fontId="112" fillId="0" borderId="0" xfId="8" applyFont="1" applyBorder="1" applyAlignment="1">
      <alignment horizontal="left" vertical="top"/>
    </xf>
    <xf numFmtId="37" fontId="28" fillId="0" borderId="0" xfId="34" applyFont="1" applyAlignment="1">
      <alignment horizontal="left" wrapText="1"/>
    </xf>
    <xf numFmtId="0" fontId="1" fillId="0" borderId="0" xfId="2" applyNumberFormat="1" applyFont="1"/>
    <xf numFmtId="3" fontId="1" fillId="0" borderId="0" xfId="2" applyNumberFormat="1" applyFont="1"/>
    <xf numFmtId="1" fontId="1" fillId="0" borderId="0" xfId="2" applyNumberFormat="1" applyFont="1"/>
    <xf numFmtId="1" fontId="1" fillId="8" borderId="0" xfId="0" applyNumberFormat="1" applyFont="1" applyFill="1" applyAlignment="1">
      <alignment horizontal="left"/>
    </xf>
    <xf numFmtId="3" fontId="1" fillId="8" borderId="0" xfId="23" applyNumberFormat="1" applyFont="1" applyFill="1" applyBorder="1" applyAlignment="1">
      <alignment horizontal="right"/>
    </xf>
    <xf numFmtId="0" fontId="1" fillId="0" borderId="0" xfId="23" applyNumberFormat="1" applyFont="1" applyFill="1"/>
    <xf numFmtId="37" fontId="1" fillId="8" borderId="0" xfId="0" applyFont="1" applyFill="1" applyBorder="1"/>
    <xf numFmtId="1" fontId="1" fillId="0" borderId="0" xfId="0" applyNumberFormat="1" applyFont="1" applyAlignment="1">
      <alignment horizontal="left"/>
    </xf>
    <xf numFmtId="2" fontId="1" fillId="0" borderId="0" xfId="0" applyNumberFormat="1" applyFont="1" applyFill="1"/>
    <xf numFmtId="1" fontId="1" fillId="8" borderId="0" xfId="23" applyNumberFormat="1" applyFont="1" applyFill="1" applyBorder="1" applyAlignment="1">
      <alignment horizontal="right"/>
    </xf>
    <xf numFmtId="3" fontId="1" fillId="0" borderId="0" xfId="23" applyNumberFormat="1" applyFont="1" applyBorder="1" applyAlignment="1">
      <alignment horizontal="right"/>
    </xf>
    <xf numFmtId="37" fontId="1" fillId="0" borderId="0" xfId="23" applyNumberFormat="1" applyFont="1" applyFill="1"/>
    <xf numFmtId="37" fontId="1" fillId="0" borderId="0" xfId="0" applyFont="1" applyFill="1" applyBorder="1"/>
    <xf numFmtId="37" fontId="1" fillId="8" borderId="0" xfId="0" applyNumberFormat="1" applyFont="1" applyFill="1"/>
    <xf numFmtId="37" fontId="1" fillId="0" borderId="0" xfId="0" applyNumberFormat="1" applyFont="1" applyFill="1" applyAlignment="1"/>
    <xf numFmtId="37" fontId="1" fillId="0" borderId="0" xfId="0" applyNumberFormat="1" applyFont="1"/>
    <xf numFmtId="2" fontId="1" fillId="0" borderId="0" xfId="11" applyNumberFormat="1" applyFont="1" applyAlignment="1"/>
    <xf numFmtId="2" fontId="1" fillId="0" borderId="0" xfId="11" applyNumberFormat="1" applyFont="1" applyFill="1" applyAlignment="1"/>
    <xf numFmtId="37" fontId="1" fillId="0" borderId="0" xfId="0" applyFont="1" applyFill="1"/>
    <xf numFmtId="37" fontId="1" fillId="48" borderId="0" xfId="0" applyFont="1" applyFill="1" applyBorder="1" applyAlignment="1">
      <alignment horizontal="left"/>
    </xf>
    <xf numFmtId="37" fontId="1" fillId="48" borderId="0" xfId="0" applyFont="1" applyFill="1" applyBorder="1" applyAlignment="1">
      <alignment horizontal="right"/>
    </xf>
    <xf numFmtId="37" fontId="1" fillId="0" borderId="0" xfId="0" applyFont="1" applyFill="1" applyBorder="1" applyAlignment="1">
      <alignment horizontal="right"/>
    </xf>
    <xf numFmtId="1" fontId="1" fillId="8" borderId="0" xfId="0" applyNumberFormat="1" applyFont="1" applyFill="1" applyBorder="1" applyAlignment="1">
      <alignment horizontal="left"/>
    </xf>
    <xf numFmtId="166" fontId="1" fillId="8" borderId="0" xfId="23" applyNumberFormat="1" applyFont="1" applyFill="1" applyBorder="1" applyAlignment="1">
      <alignment horizontal="right"/>
    </xf>
    <xf numFmtId="9" fontId="1" fillId="0" borderId="0" xfId="23" applyFont="1" applyFill="1"/>
    <xf numFmtId="0" fontId="1" fillId="8" borderId="0" xfId="23" applyNumberFormat="1" applyFont="1" applyFill="1" applyBorder="1" applyAlignment="1">
      <alignment horizontal="right"/>
    </xf>
    <xf numFmtId="166" fontId="1" fillId="0" borderId="0" xfId="23" applyNumberFormat="1" applyFont="1" applyBorder="1" applyAlignment="1">
      <alignment horizontal="right"/>
    </xf>
    <xf numFmtId="166" fontId="1" fillId="8" borderId="0" xfId="23" applyNumberFormat="1" applyFont="1" applyFill="1" applyBorder="1"/>
    <xf numFmtId="9" fontId="1" fillId="8" borderId="0" xfId="23" applyNumberFormat="1" applyFont="1" applyFill="1" applyBorder="1"/>
    <xf numFmtId="37" fontId="1" fillId="0" borderId="0" xfId="0" applyNumberFormat="1" applyFont="1" applyFill="1" applyBorder="1"/>
    <xf numFmtId="37" fontId="1" fillId="8" borderId="0" xfId="0" applyNumberFormat="1" applyFont="1" applyFill="1" applyBorder="1"/>
    <xf numFmtId="166" fontId="1" fillId="0" borderId="0" xfId="23" applyNumberFormat="1" applyFont="1" applyFill="1" applyAlignment="1"/>
    <xf numFmtId="9" fontId="1" fillId="0" borderId="0" xfId="23" applyNumberFormat="1" applyFont="1" applyFill="1" applyAlignment="1"/>
    <xf numFmtId="9" fontId="1" fillId="0" borderId="0" xfId="23" applyNumberFormat="1" applyFont="1" applyFill="1"/>
    <xf numFmtId="189" fontId="1" fillId="0" borderId="0" xfId="0" applyNumberFormat="1" applyFont="1" applyFill="1" applyBorder="1"/>
    <xf numFmtId="166" fontId="1" fillId="0" borderId="0" xfId="23" applyNumberFormat="1" applyFont="1" applyBorder="1"/>
    <xf numFmtId="9" fontId="1" fillId="0" borderId="0" xfId="23" applyNumberFormat="1" applyFont="1" applyBorder="1"/>
    <xf numFmtId="37" fontId="1" fillId="0" borderId="0" xfId="0" applyNumberFormat="1" applyFont="1" applyBorder="1"/>
    <xf numFmtId="9" fontId="1" fillId="0" borderId="0" xfId="23" applyFont="1" applyBorder="1"/>
    <xf numFmtId="39" fontId="1" fillId="8" borderId="0" xfId="0" applyNumberFormat="1" applyFont="1" applyFill="1"/>
    <xf numFmtId="1" fontId="1" fillId="0" borderId="0" xfId="23" applyNumberFormat="1" applyFont="1" applyFill="1" applyBorder="1"/>
    <xf numFmtId="3" fontId="1" fillId="0" borderId="0" xfId="0" applyNumberFormat="1" applyFont="1" applyFill="1"/>
    <xf numFmtId="1" fontId="1" fillId="0" borderId="0" xfId="23" applyNumberFormat="1" applyFont="1" applyFill="1"/>
    <xf numFmtId="3" fontId="1" fillId="0" borderId="0" xfId="23" applyNumberFormat="1" applyFont="1" applyFill="1"/>
    <xf numFmtId="3" fontId="1" fillId="8" borderId="0" xfId="23" applyNumberFormat="1" applyFont="1" applyFill="1" applyAlignment="1">
      <alignment horizontal="right"/>
    </xf>
    <xf numFmtId="0" fontId="1" fillId="0" borderId="0" xfId="0" applyNumberFormat="1" applyFont="1"/>
    <xf numFmtId="37" fontId="2" fillId="8" borderId="0" xfId="0" applyFont="1" applyFill="1" applyAlignment="1">
      <alignment vertical="center"/>
    </xf>
    <xf numFmtId="190" fontId="1" fillId="0" borderId="0" xfId="0" applyNumberFormat="1" applyFont="1"/>
    <xf numFmtId="192" fontId="1" fillId="0" borderId="0" xfId="0" applyNumberFormat="1" applyFont="1"/>
    <xf numFmtId="169" fontId="1" fillId="0" borderId="0" xfId="0" applyNumberFormat="1" applyFont="1"/>
    <xf numFmtId="192" fontId="1" fillId="48" borderId="0" xfId="0" applyNumberFormat="1" applyFont="1" applyFill="1" applyBorder="1" applyAlignment="1">
      <alignment horizontal="right"/>
    </xf>
    <xf numFmtId="190" fontId="1" fillId="48" borderId="0" xfId="0" applyNumberFormat="1" applyFont="1" applyFill="1" applyBorder="1" applyAlignment="1">
      <alignment horizontal="right"/>
    </xf>
    <xf numFmtId="39" fontId="1" fillId="48" borderId="0" xfId="0" applyNumberFormat="1" applyFont="1" applyFill="1" applyBorder="1" applyAlignment="1">
      <alignment horizontal="right"/>
    </xf>
    <xf numFmtId="190" fontId="1" fillId="48" borderId="0" xfId="0" applyNumberFormat="1" applyFont="1" applyFill="1"/>
    <xf numFmtId="192" fontId="1" fillId="48" borderId="0" xfId="0" applyNumberFormat="1" applyFont="1" applyFill="1"/>
    <xf numFmtId="39" fontId="1" fillId="48" borderId="0" xfId="0" applyNumberFormat="1" applyFont="1" applyFill="1"/>
    <xf numFmtId="0" fontId="1" fillId="0" borderId="0" xfId="0" applyNumberFormat="1" applyFont="1" applyFill="1" applyAlignment="1">
      <alignment horizontal="left"/>
    </xf>
    <xf numFmtId="37" fontId="1" fillId="8" borderId="0" xfId="0" applyNumberFormat="1" applyFont="1" applyFill="1" applyAlignment="1">
      <alignment horizontal="right"/>
    </xf>
    <xf numFmtId="0" fontId="1" fillId="0" borderId="0" xfId="0" applyNumberFormat="1" applyFont="1" applyFill="1"/>
    <xf numFmtId="1" fontId="1" fillId="0" borderId="0" xfId="0" applyNumberFormat="1" applyFont="1" applyFill="1" applyAlignment="1">
      <alignment horizontal="left"/>
    </xf>
    <xf numFmtId="166" fontId="1" fillId="0" borderId="0" xfId="23" applyNumberFormat="1" applyFont="1" applyFill="1" applyAlignment="1">
      <alignment horizontal="right"/>
    </xf>
    <xf numFmtId="9" fontId="1" fillId="0" borderId="0" xfId="23" applyFont="1" applyFill="1" applyAlignment="1">
      <alignment horizontal="right"/>
    </xf>
    <xf numFmtId="9" fontId="1" fillId="0" borderId="0" xfId="23" applyFont="1" applyAlignment="1">
      <alignment horizontal="right"/>
    </xf>
    <xf numFmtId="1" fontId="1" fillId="0" borderId="0" xfId="23" applyNumberFormat="1" applyFont="1"/>
    <xf numFmtId="167" fontId="1" fillId="8" borderId="0" xfId="0" applyNumberFormat="1" applyFont="1" applyFill="1"/>
    <xf numFmtId="3" fontId="1" fillId="8" borderId="0" xfId="23" applyNumberFormat="1" applyFont="1" applyFill="1" applyBorder="1"/>
    <xf numFmtId="0" fontId="1" fillId="8" borderId="0" xfId="23" applyNumberFormat="1" applyFont="1" applyFill="1" applyBorder="1"/>
    <xf numFmtId="167" fontId="1" fillId="0" borderId="0" xfId="12" applyNumberFormat="1" applyFont="1"/>
    <xf numFmtId="167" fontId="1" fillId="0" borderId="0" xfId="0" applyNumberFormat="1" applyFont="1"/>
    <xf numFmtId="171" fontId="1" fillId="0" borderId="0" xfId="12" applyNumberFormat="1" applyFont="1"/>
    <xf numFmtId="167" fontId="1" fillId="0" borderId="0" xfId="12" applyNumberFormat="1" applyFont="1" applyBorder="1"/>
    <xf numFmtId="167" fontId="1" fillId="0" borderId="0" xfId="0" applyNumberFormat="1" applyFont="1" applyBorder="1"/>
    <xf numFmtId="171" fontId="1" fillId="0" borderId="0" xfId="12" applyNumberFormat="1" applyFont="1" applyBorder="1"/>
    <xf numFmtId="9" fontId="1" fillId="0" borderId="0" xfId="23" applyNumberFormat="1" applyFont="1"/>
    <xf numFmtId="170" fontId="1" fillId="0" borderId="0" xfId="0" applyNumberFormat="1" applyFont="1" applyBorder="1"/>
    <xf numFmtId="1" fontId="1" fillId="0" borderId="0" xfId="0" applyNumberFormat="1" applyFont="1" applyBorder="1"/>
    <xf numFmtId="0" fontId="1" fillId="0" borderId="0" xfId="0" applyNumberFormat="1" applyFont="1" applyBorder="1"/>
    <xf numFmtId="9" fontId="1" fillId="8" borderId="0" xfId="23" applyNumberFormat="1" applyFont="1" applyFill="1" applyBorder="1" applyAlignment="1">
      <alignment horizontal="right"/>
    </xf>
    <xf numFmtId="1" fontId="1" fillId="8" borderId="0" xfId="23" applyNumberFormat="1" applyFont="1" applyFill="1" applyAlignment="1">
      <alignment horizontal="right"/>
    </xf>
    <xf numFmtId="167" fontId="1" fillId="0" borderId="0" xfId="0" applyNumberFormat="1" applyFont="1" applyFill="1"/>
    <xf numFmtId="169" fontId="1" fillId="0" borderId="0" xfId="0" applyNumberFormat="1" applyFont="1" applyFill="1"/>
    <xf numFmtId="170" fontId="1" fillId="0" borderId="0" xfId="0" applyNumberFormat="1" applyFont="1"/>
    <xf numFmtId="171" fontId="1" fillId="0" borderId="0" xfId="13" applyNumberFormat="1" applyFont="1"/>
    <xf numFmtId="171" fontId="1" fillId="0" borderId="0" xfId="0" applyNumberFormat="1" applyFont="1"/>
    <xf numFmtId="171" fontId="1" fillId="0" borderId="0" xfId="13" applyNumberFormat="1" applyFont="1" applyFill="1"/>
    <xf numFmtId="3" fontId="1" fillId="0" borderId="0" xfId="13" applyNumberFormat="1" applyFont="1"/>
    <xf numFmtId="9" fontId="1" fillId="0" borderId="0" xfId="23" applyNumberFormat="1" applyFont="1" applyAlignment="1">
      <alignment horizontal="right"/>
    </xf>
    <xf numFmtId="37" fontId="1" fillId="47" borderId="0" xfId="0" applyFont="1" applyFill="1"/>
    <xf numFmtId="191" fontId="1" fillId="0" borderId="0" xfId="23" applyNumberFormat="1" applyFont="1" applyFill="1" applyBorder="1"/>
    <xf numFmtId="10" fontId="1" fillId="0" borderId="0" xfId="23" applyNumberFormat="1" applyFont="1" applyFill="1" applyBorder="1"/>
    <xf numFmtId="193" fontId="1" fillId="0" borderId="0" xfId="23" applyNumberFormat="1" applyFont="1" applyFill="1" applyBorder="1"/>
    <xf numFmtId="170" fontId="1" fillId="0" borderId="0" xfId="0" applyNumberFormat="1" applyFont="1" applyFill="1" applyBorder="1"/>
    <xf numFmtId="37" fontId="95" fillId="0" borderId="0" xfId="0" applyFont="1" applyFill="1"/>
    <xf numFmtId="37" fontId="96" fillId="47" borderId="0" xfId="0" applyFont="1" applyFill="1" applyAlignment="1">
      <alignment horizontal="left"/>
    </xf>
    <xf numFmtId="37" fontId="91" fillId="47" borderId="0" xfId="0" applyFont="1" applyFill="1" applyBorder="1" applyAlignment="1">
      <alignment horizontal="right"/>
    </xf>
    <xf numFmtId="37" fontId="113" fillId="0" borderId="0" xfId="0" applyFont="1" applyBorder="1"/>
    <xf numFmtId="37" fontId="113" fillId="0" borderId="0" xfId="0" applyFont="1" applyBorder="1" applyAlignment="1">
      <alignment horizontal="right"/>
    </xf>
    <xf numFmtId="37" fontId="113" fillId="48" borderId="0" xfId="0" applyFont="1" applyFill="1" applyBorder="1"/>
    <xf numFmtId="37" fontId="113" fillId="48" borderId="0" xfId="0" applyFont="1" applyFill="1" applyBorder="1" applyAlignment="1">
      <alignment horizontal="right"/>
    </xf>
    <xf numFmtId="187" fontId="110" fillId="48" borderId="0" xfId="0" applyNumberFormat="1" applyFont="1" applyFill="1" applyBorder="1" applyAlignment="1">
      <alignment horizontal="right"/>
    </xf>
    <xf numFmtId="187" fontId="110" fillId="0" borderId="0" xfId="0" applyNumberFormat="1" applyFont="1" applyBorder="1" applyAlignment="1">
      <alignment horizontal="right"/>
    </xf>
    <xf numFmtId="37" fontId="101" fillId="61" borderId="0" xfId="0" applyFont="1" applyFill="1" applyBorder="1"/>
    <xf numFmtId="187" fontId="110" fillId="61" borderId="0" xfId="0" applyNumberFormat="1" applyFont="1" applyFill="1" applyBorder="1" applyAlignment="1">
      <alignment horizontal="right"/>
    </xf>
    <xf numFmtId="37" fontId="153" fillId="0" borderId="0" xfId="0" applyFont="1" applyBorder="1"/>
    <xf numFmtId="37" fontId="101" fillId="0" borderId="0" xfId="0" applyFont="1" applyFill="1" applyBorder="1" applyAlignment="1">
      <alignment horizontal="right"/>
    </xf>
    <xf numFmtId="37" fontId="110" fillId="61" borderId="0" xfId="0" applyFont="1" applyFill="1" applyBorder="1" applyAlignment="1">
      <alignment horizontal="right"/>
    </xf>
    <xf numFmtId="37" fontId="153" fillId="0" borderId="0" xfId="0" applyFont="1" applyBorder="1" applyAlignment="1">
      <alignment horizontal="right"/>
    </xf>
    <xf numFmtId="37" fontId="153" fillId="0" borderId="0" xfId="0" applyFont="1" applyFill="1" applyBorder="1" applyAlignment="1">
      <alignment horizontal="right"/>
    </xf>
    <xf numFmtId="0" fontId="1" fillId="0" borderId="0" xfId="8" applyNumberFormat="1" applyFont="1" applyBorder="1" applyAlignment="1">
      <alignment horizontal="left"/>
    </xf>
    <xf numFmtId="0" fontId="1" fillId="0" borderId="0" xfId="8" applyNumberFormat="1" applyFont="1" applyBorder="1"/>
    <xf numFmtId="9" fontId="1" fillId="0" borderId="0" xfId="8" applyNumberFormat="1" applyFont="1" applyBorder="1"/>
    <xf numFmtId="9" fontId="1" fillId="0" borderId="0" xfId="8" applyNumberFormat="1" applyFont="1" applyBorder="1" applyAlignment="1">
      <alignment horizontal="right"/>
    </xf>
    <xf numFmtId="0" fontId="1" fillId="8" borderId="0" xfId="8" applyNumberFormat="1" applyFont="1" applyFill="1" applyBorder="1" applyAlignment="1">
      <alignment horizontal="left"/>
    </xf>
    <xf numFmtId="0" fontId="1" fillId="8" borderId="0" xfId="8" applyNumberFormat="1" applyFont="1" applyFill="1" applyBorder="1"/>
    <xf numFmtId="9" fontId="1" fillId="8" borderId="0" xfId="23" applyFont="1" applyFill="1" applyBorder="1"/>
    <xf numFmtId="0" fontId="21" fillId="0" borderId="0" xfId="34" applyNumberFormat="1" applyFont="1"/>
    <xf numFmtId="0" fontId="28" fillId="0" borderId="0" xfId="34" applyNumberFormat="1" applyFont="1"/>
    <xf numFmtId="0" fontId="28" fillId="0" borderId="0" xfId="34" applyNumberFormat="1" applyFont="1" applyAlignment="1">
      <alignment horizontal="left"/>
    </xf>
    <xf numFmtId="0" fontId="29" fillId="0" borderId="0" xfId="34" applyNumberFormat="1" applyFont="1" applyAlignment="1">
      <alignment horizontal="left"/>
    </xf>
    <xf numFmtId="0" fontId="28" fillId="0" borderId="0" xfId="34" applyNumberFormat="1" applyFont="1" applyAlignment="1">
      <alignment horizontal="left" wrapText="1"/>
    </xf>
    <xf numFmtId="170" fontId="21" fillId="0" borderId="0" xfId="34" applyNumberFormat="1" applyFont="1" applyAlignment="1">
      <alignment horizontal="right"/>
    </xf>
    <xf numFmtId="0" fontId="64" fillId="0" borderId="1" xfId="34" applyNumberFormat="1" applyFont="1" applyBorder="1"/>
    <xf numFmtId="1" fontId="21" fillId="0" borderId="1" xfId="34" applyNumberFormat="1" applyFont="1" applyBorder="1"/>
    <xf numFmtId="1" fontId="21" fillId="0" borderId="1" xfId="34" applyNumberFormat="1" applyFont="1" applyBorder="1" applyAlignment="1">
      <alignment horizontal="right"/>
    </xf>
    <xf numFmtId="1" fontId="64" fillId="0" borderId="1" xfId="34" applyNumberFormat="1" applyFont="1" applyBorder="1" applyAlignment="1">
      <alignment horizontal="right"/>
    </xf>
    <xf numFmtId="0" fontId="64" fillId="0" borderId="1" xfId="34" applyNumberFormat="1" applyFont="1" applyBorder="1" applyAlignment="1">
      <alignment horizontal="left"/>
    </xf>
    <xf numFmtId="37" fontId="21" fillId="0" borderId="3" xfId="34" applyFont="1" applyBorder="1" applyAlignment="1">
      <alignment horizontal="right"/>
    </xf>
    <xf numFmtId="0" fontId="64" fillId="0" borderId="3" xfId="34" applyNumberFormat="1" applyFont="1" applyBorder="1" applyAlignment="1">
      <alignment horizontal="right"/>
    </xf>
    <xf numFmtId="37" fontId="22" fillId="0" borderId="1" xfId="34" applyFont="1" applyBorder="1"/>
    <xf numFmtId="37" fontId="21" fillId="0" borderId="1" xfId="34" applyFont="1" applyBorder="1" applyAlignment="1">
      <alignment horizontal="right"/>
    </xf>
    <xf numFmtId="37" fontId="30" fillId="0" borderId="0" xfId="34" applyFont="1" applyAlignment="1">
      <alignment horizontal="left"/>
    </xf>
    <xf numFmtId="0" fontId="30" fillId="0" borderId="0" xfId="34" applyNumberFormat="1" applyFont="1" applyAlignment="1">
      <alignment horizontal="left"/>
    </xf>
    <xf numFmtId="37" fontId="91" fillId="47" borderId="0" xfId="0" applyFont="1" applyFill="1" applyAlignment="1">
      <alignment horizontal="left"/>
    </xf>
    <xf numFmtId="37" fontId="105" fillId="0" borderId="0" xfId="0" applyNumberFormat="1" applyFont="1" applyBorder="1" applyAlignment="1">
      <alignment horizontal="center"/>
    </xf>
    <xf numFmtId="0" fontId="107" fillId="0" borderId="0" xfId="0" applyNumberFormat="1" applyFont="1" applyBorder="1" applyAlignment="1">
      <alignment horizontal="center"/>
    </xf>
    <xf numFmtId="0" fontId="89" fillId="48" borderId="0" xfId="0" applyNumberFormat="1" applyFont="1" applyFill="1" applyBorder="1" applyAlignment="1">
      <alignment horizontal="right"/>
    </xf>
    <xf numFmtId="0" fontId="1" fillId="48" borderId="0" xfId="0" applyNumberFormat="1" applyFont="1" applyFill="1" applyBorder="1" applyAlignment="1">
      <alignment horizontal="right"/>
    </xf>
    <xf numFmtId="37" fontId="1" fillId="0" borderId="0" xfId="0" applyFont="1" applyBorder="1" applyAlignment="1">
      <alignment horizontal="right"/>
    </xf>
    <xf numFmtId="37" fontId="93" fillId="0" borderId="0" xfId="0" applyFont="1" applyBorder="1" applyAlignment="1">
      <alignment horizontal="center"/>
    </xf>
    <xf numFmtId="37" fontId="93" fillId="48" borderId="0" xfId="0" applyFont="1" applyFill="1" applyBorder="1" applyAlignment="1">
      <alignment horizontal="center" wrapText="1"/>
    </xf>
    <xf numFmtId="37" fontId="105" fillId="0" borderId="0" xfId="0" applyFont="1" applyFill="1" applyBorder="1" applyAlignment="1">
      <alignment horizontal="left" wrapText="1"/>
    </xf>
    <xf numFmtId="166" fontId="1" fillId="0" borderId="0" xfId="0" applyNumberFormat="1" applyFont="1"/>
    <xf numFmtId="1" fontId="32" fillId="0" borderId="1" xfId="0" applyNumberFormat="1" applyFont="1" applyFill="1" applyBorder="1" applyAlignment="1">
      <alignment horizontal="right"/>
    </xf>
    <xf numFmtId="166" fontId="107" fillId="0" borderId="0" xfId="8" applyNumberFormat="1" applyFont="1"/>
    <xf numFmtId="166" fontId="107" fillId="0" borderId="0" xfId="23" applyNumberFormat="1" applyFont="1"/>
    <xf numFmtId="166" fontId="107" fillId="0" borderId="0" xfId="23" applyNumberFormat="1" applyFont="1" applyFill="1" applyBorder="1"/>
    <xf numFmtId="166" fontId="107" fillId="8" borderId="0" xfId="8" applyNumberFormat="1" applyFont="1" applyFill="1"/>
    <xf numFmtId="166" fontId="107" fillId="8" borderId="0" xfId="23" applyNumberFormat="1" applyFont="1" applyFill="1"/>
    <xf numFmtId="166" fontId="107" fillId="0" borderId="0" xfId="23" applyNumberFormat="1" applyFont="1" applyFill="1"/>
    <xf numFmtId="166" fontId="2" fillId="0" borderId="0" xfId="24" applyNumberFormat="1" applyFont="1" applyFill="1"/>
    <xf numFmtId="166" fontId="2" fillId="8" borderId="0" xfId="24" applyNumberFormat="1" applyFont="1" applyFill="1"/>
    <xf numFmtId="166" fontId="2" fillId="0" borderId="0" xfId="24" applyNumberFormat="1" applyFont="1"/>
    <xf numFmtId="0" fontId="2" fillId="0" borderId="0" xfId="0" applyNumberFormat="1" applyFont="1" applyBorder="1"/>
    <xf numFmtId="166" fontId="2" fillId="0" borderId="0" xfId="23" applyNumberFormat="1" applyFont="1" applyBorder="1"/>
    <xf numFmtId="9" fontId="107" fillId="0" borderId="0" xfId="23" applyNumberFormat="1" applyFont="1" applyBorder="1"/>
    <xf numFmtId="37" fontId="1" fillId="0" borderId="0" xfId="0" applyFont="1" applyFill="1" applyBorder="1" applyAlignment="1"/>
    <xf numFmtId="166" fontId="1" fillId="0" borderId="0" xfId="23" applyNumberFormat="1" applyFont="1" applyBorder="1" applyAlignment="1"/>
    <xf numFmtId="9" fontId="105" fillId="0" borderId="0" xfId="23" applyFont="1" applyBorder="1" applyAlignment="1"/>
    <xf numFmtId="9" fontId="127" fillId="22" borderId="0" xfId="23" applyFont="1" applyFill="1" applyBorder="1" applyAlignment="1">
      <alignment horizontal="right"/>
    </xf>
    <xf numFmtId="37" fontId="95" fillId="0" borderId="0" xfId="8" applyFont="1" applyBorder="1" applyAlignment="1">
      <alignment horizontal="left"/>
    </xf>
    <xf numFmtId="0" fontId="2" fillId="0" borderId="0" xfId="8" applyNumberFormat="1" applyFont="1" applyBorder="1"/>
    <xf numFmtId="1" fontId="1" fillId="0" borderId="0" xfId="15" applyNumberFormat="1" applyFont="1" applyBorder="1"/>
    <xf numFmtId="0" fontId="1" fillId="0" borderId="0" xfId="20" applyFont="1"/>
    <xf numFmtId="37" fontId="1" fillId="0" borderId="0" xfId="0" applyFont="1" applyFill="1" applyBorder="1" applyAlignment="1">
      <alignment horizontal="left" wrapText="1"/>
    </xf>
    <xf numFmtId="37" fontId="119" fillId="14" borderId="18" xfId="0" applyFont="1" applyFill="1" applyBorder="1" applyAlignment="1">
      <alignment horizontal="center"/>
    </xf>
    <xf numFmtId="37" fontId="119" fillId="50" borderId="0" xfId="0" applyFont="1" applyFill="1" applyBorder="1" applyAlignment="1">
      <alignment horizontal="center" vertical="center"/>
    </xf>
    <xf numFmtId="37" fontId="1" fillId="0" borderId="0" xfId="0" applyFont="1" applyAlignment="1">
      <alignment horizontal="right" wrapText="1"/>
    </xf>
    <xf numFmtId="165" fontId="1" fillId="0" borderId="0" xfId="0" applyNumberFormat="1" applyFont="1" applyAlignment="1">
      <alignment horizontal="right" wrapText="1"/>
    </xf>
    <xf numFmtId="166" fontId="1" fillId="0" borderId="0" xfId="0" applyNumberFormat="1" applyFont="1" applyAlignment="1">
      <alignment horizontal="right" wrapText="1"/>
    </xf>
    <xf numFmtId="0" fontId="1" fillId="0" borderId="0" xfId="0" applyNumberFormat="1" applyFont="1" applyAlignment="1">
      <alignment horizontal="right"/>
    </xf>
    <xf numFmtId="3" fontId="1" fillId="0" borderId="0" xfId="0" applyNumberFormat="1" applyFont="1" applyAlignment="1">
      <alignment horizontal="right"/>
    </xf>
    <xf numFmtId="10" fontId="222" fillId="0" borderId="0" xfId="0" applyNumberFormat="1" applyFont="1" applyFill="1"/>
    <xf numFmtId="175" fontId="231" fillId="0" borderId="0" xfId="23" applyNumberFormat="1" applyFont="1" applyFill="1" applyAlignment="1">
      <alignment horizontal="right"/>
    </xf>
    <xf numFmtId="37" fontId="231" fillId="0" borderId="43" xfId="0" applyFont="1" applyBorder="1" applyAlignment="1"/>
    <xf numFmtId="10" fontId="222" fillId="0" borderId="43" xfId="7" applyNumberFormat="1" applyFont="1" applyBorder="1"/>
    <xf numFmtId="166" fontId="93" fillId="0" borderId="0" xfId="0" applyNumberFormat="1" applyFont="1" applyFill="1" applyAlignment="1">
      <alignment horizontal="right"/>
    </xf>
    <xf numFmtId="175" fontId="1" fillId="0" borderId="0" xfId="23" applyNumberFormat="1" applyFont="1" applyFill="1" applyAlignment="1">
      <alignment horizontal="left"/>
    </xf>
    <xf numFmtId="175" fontId="105" fillId="0" borderId="0" xfId="23" applyNumberFormat="1" applyFont="1" applyFill="1" applyAlignment="1">
      <alignment horizontal="right"/>
    </xf>
    <xf numFmtId="37" fontId="1" fillId="0" borderId="0" xfId="0" applyFont="1" applyFill="1" applyAlignment="1">
      <alignment horizontal="right"/>
    </xf>
    <xf numFmtId="166" fontId="89" fillId="43" borderId="0" xfId="23" applyNumberFormat="1" applyFont="1" applyFill="1" applyBorder="1"/>
    <xf numFmtId="166" fontId="89" fillId="43" borderId="41" xfId="0" applyNumberFormat="1" applyFont="1" applyFill="1" applyBorder="1"/>
    <xf numFmtId="0" fontId="89" fillId="0" borderId="0" xfId="2" applyNumberFormat="1" applyFont="1" applyFill="1" applyBorder="1" applyAlignment="1">
      <alignment horizontal="left"/>
    </xf>
    <xf numFmtId="10" fontId="89" fillId="0" borderId="0" xfId="0" applyNumberFormat="1" applyFont="1" applyBorder="1"/>
    <xf numFmtId="1" fontId="1" fillId="8" borderId="0" xfId="34" applyNumberFormat="1" applyFont="1" applyFill="1" applyAlignment="1">
      <alignment horizontal="left"/>
    </xf>
    <xf numFmtId="37" fontId="115" fillId="8" borderId="0" xfId="34" applyFont="1" applyFill="1" applyAlignment="1">
      <alignment horizontal="left"/>
    </xf>
    <xf numFmtId="167" fontId="1" fillId="8" borderId="0" xfId="34" applyNumberFormat="1" applyFont="1" applyFill="1" applyAlignment="1">
      <alignment horizontal="right"/>
    </xf>
    <xf numFmtId="1" fontId="1" fillId="0" borderId="0" xfId="34" applyNumberFormat="1" applyFont="1" applyAlignment="1">
      <alignment horizontal="left"/>
    </xf>
    <xf numFmtId="1" fontId="1" fillId="48" borderId="0" xfId="34" applyNumberFormat="1" applyFont="1" applyFill="1" applyAlignment="1">
      <alignment horizontal="left"/>
    </xf>
    <xf numFmtId="166" fontId="1" fillId="48" borderId="0" xfId="23" applyNumberFormat="1" applyFont="1" applyFill="1" applyAlignment="1">
      <alignment horizontal="right"/>
    </xf>
    <xf numFmtId="9" fontId="1" fillId="48" borderId="0" xfId="23" applyFont="1" applyFill="1" applyAlignment="1">
      <alignment horizontal="right"/>
    </xf>
    <xf numFmtId="0" fontId="2" fillId="48" borderId="0" xfId="34" applyNumberFormat="1" applyFont="1" applyFill="1" applyAlignment="1">
      <alignment horizontal="left" vertical="center"/>
    </xf>
    <xf numFmtId="0" fontId="2" fillId="48" borderId="0" xfId="34" applyNumberFormat="1" applyFont="1" applyFill="1" applyAlignment="1">
      <alignment vertical="center"/>
    </xf>
    <xf numFmtId="0" fontId="107" fillId="57" borderId="0" xfId="34" applyNumberFormat="1" applyFont="1" applyFill="1" applyAlignment="1">
      <alignment horizontal="right" vertical="center"/>
    </xf>
    <xf numFmtId="0" fontId="107" fillId="58" borderId="0" xfId="34" applyNumberFormat="1" applyFont="1" applyFill="1" applyAlignment="1">
      <alignment horizontal="right" vertical="center"/>
    </xf>
    <xf numFmtId="0" fontId="119" fillId="59" borderId="0" xfId="34" applyNumberFormat="1" applyFont="1" applyFill="1" applyAlignment="1">
      <alignment horizontal="right" vertical="center"/>
    </xf>
    <xf numFmtId="0" fontId="119" fillId="60" borderId="0" xfId="34" applyNumberFormat="1" applyFont="1" applyFill="1" applyAlignment="1">
      <alignment horizontal="right" vertical="center"/>
    </xf>
    <xf numFmtId="0" fontId="119" fillId="55" borderId="0" xfId="34" applyNumberFormat="1" applyFont="1" applyFill="1" applyAlignment="1">
      <alignment horizontal="right" vertical="center"/>
    </xf>
    <xf numFmtId="9" fontId="2" fillId="48" borderId="0" xfId="34" applyNumberFormat="1" applyFont="1" applyFill="1" applyAlignment="1">
      <alignment horizontal="right" vertical="center"/>
    </xf>
    <xf numFmtId="0" fontId="2" fillId="48" borderId="0" xfId="34" applyNumberFormat="1" applyFont="1" applyFill="1" applyAlignment="1">
      <alignment horizontal="left"/>
    </xf>
    <xf numFmtId="0" fontId="2" fillId="48" borderId="0" xfId="34" applyNumberFormat="1" applyFont="1" applyFill="1"/>
    <xf numFmtId="0" fontId="2" fillId="48" borderId="0" xfId="34" applyNumberFormat="1" applyFont="1" applyFill="1" applyAlignment="1">
      <alignment horizontal="right"/>
    </xf>
    <xf numFmtId="0" fontId="2" fillId="0" borderId="0" xfId="34" applyNumberFormat="1" applyFont="1" applyAlignment="1">
      <alignment horizontal="left"/>
    </xf>
    <xf numFmtId="0" fontId="2" fillId="0" borderId="0" xfId="34" applyNumberFormat="1" applyFont="1"/>
    <xf numFmtId="167" fontId="2" fillId="0" borderId="0" xfId="34" applyNumberFormat="1" applyFont="1" applyAlignment="1">
      <alignment horizontal="right"/>
    </xf>
    <xf numFmtId="169" fontId="1" fillId="0" borderId="0" xfId="34" applyNumberFormat="1" applyFont="1" applyAlignment="1">
      <alignment horizontal="right"/>
    </xf>
    <xf numFmtId="167" fontId="1" fillId="0" borderId="0" xfId="34" applyNumberFormat="1" applyFont="1" applyAlignment="1">
      <alignment horizontal="right"/>
    </xf>
    <xf numFmtId="167" fontId="1" fillId="0" borderId="0" xfId="14" applyNumberFormat="1" applyFont="1" applyAlignment="1">
      <alignment horizontal="right"/>
    </xf>
    <xf numFmtId="0" fontId="1" fillId="0" borderId="0" xfId="34" applyNumberFormat="1" applyFont="1" applyAlignment="1">
      <alignment horizontal="left"/>
    </xf>
    <xf numFmtId="167" fontId="1" fillId="0" borderId="0" xfId="23" applyNumberFormat="1" applyFont="1" applyAlignment="1">
      <alignment horizontal="right"/>
    </xf>
    <xf numFmtId="166" fontId="2" fillId="0" borderId="0" xfId="23" applyNumberFormat="1" applyFont="1" applyAlignment="1">
      <alignment horizontal="right"/>
    </xf>
    <xf numFmtId="37" fontId="105" fillId="48" borderId="0" xfId="34" applyFont="1" applyFill="1" applyAlignment="1">
      <alignment horizontal="right" vertical="center"/>
    </xf>
    <xf numFmtId="169" fontId="1" fillId="8" borderId="0" xfId="34" applyNumberFormat="1" applyFont="1" applyFill="1" applyAlignment="1">
      <alignment horizontal="right"/>
    </xf>
    <xf numFmtId="9" fontId="1" fillId="8" borderId="0" xfId="23" applyFont="1" applyFill="1" applyAlignment="1">
      <alignment horizontal="right"/>
    </xf>
    <xf numFmtId="9" fontId="2" fillId="48" borderId="0" xfId="34" applyNumberFormat="1" applyFont="1" applyFill="1" applyAlignment="1">
      <alignment horizontal="right"/>
    </xf>
    <xf numFmtId="166" fontId="2" fillId="0" borderId="0" xfId="34" applyNumberFormat="1" applyFont="1" applyAlignment="1">
      <alignment horizontal="right"/>
    </xf>
    <xf numFmtId="9" fontId="2" fillId="0" borderId="0" xfId="34" applyNumberFormat="1" applyFont="1" applyAlignment="1">
      <alignment horizontal="right"/>
    </xf>
    <xf numFmtId="1" fontId="1" fillId="8" borderId="0" xfId="34" applyNumberFormat="1" applyFont="1" applyFill="1" applyAlignment="1">
      <alignment horizontal="right"/>
    </xf>
    <xf numFmtId="37" fontId="1" fillId="8" borderId="0" xfId="34" applyFont="1" applyFill="1"/>
    <xf numFmtId="1" fontId="1" fillId="0" borderId="0" xfId="34" applyNumberFormat="1" applyFont="1" applyAlignment="1">
      <alignment horizontal="right"/>
    </xf>
    <xf numFmtId="166" fontId="2" fillId="48" borderId="0" xfId="34" applyNumberFormat="1" applyFont="1" applyFill="1" applyAlignment="1">
      <alignment horizontal="right"/>
    </xf>
    <xf numFmtId="0" fontId="2" fillId="48" borderId="0" xfId="34" applyNumberFormat="1" applyFont="1" applyFill="1" applyAlignment="1">
      <alignment horizontal="right" vertical="center"/>
    </xf>
    <xf numFmtId="1" fontId="2" fillId="0" borderId="0" xfId="34" applyNumberFormat="1" applyFont="1" applyAlignment="1">
      <alignment horizontal="right"/>
    </xf>
    <xf numFmtId="0" fontId="2" fillId="0" borderId="0" xfId="34" applyNumberFormat="1" applyFont="1" applyAlignment="1">
      <alignment horizontal="center"/>
    </xf>
    <xf numFmtId="0" fontId="2" fillId="0" borderId="0" xfId="34" applyNumberFormat="1" applyFont="1" applyAlignment="1">
      <alignment horizontal="right"/>
    </xf>
    <xf numFmtId="0" fontId="1" fillId="0" borderId="0" xfId="34" applyNumberFormat="1" applyFont="1" applyAlignment="1">
      <alignment horizontal="center"/>
    </xf>
    <xf numFmtId="0" fontId="2" fillId="0" borderId="0" xfId="23" applyNumberFormat="1" applyFont="1" applyAlignment="1">
      <alignment horizontal="right"/>
    </xf>
    <xf numFmtId="37" fontId="105" fillId="43" borderId="0" xfId="0" applyFont="1" applyFill="1" applyAlignment="1">
      <alignment horizontal="right"/>
    </xf>
    <xf numFmtId="10" fontId="89" fillId="0" borderId="0" xfId="23" applyNumberFormat="1" applyFont="1"/>
    <xf numFmtId="1" fontId="1" fillId="0" borderId="0" xfId="24" applyNumberFormat="1" applyFont="1"/>
    <xf numFmtId="184" fontId="1" fillId="8" borderId="0" xfId="0" applyNumberFormat="1" applyFont="1" applyFill="1" applyBorder="1" applyAlignment="1">
      <alignment horizontal="right"/>
    </xf>
    <xf numFmtId="37" fontId="128" fillId="0" borderId="45" xfId="0" applyFont="1" applyBorder="1" applyAlignment="1">
      <alignment vertical="center"/>
    </xf>
    <xf numFmtId="37" fontId="128" fillId="0" borderId="0" xfId="0" applyFont="1" applyBorder="1" applyAlignment="1">
      <alignment vertical="center"/>
    </xf>
    <xf numFmtId="37" fontId="98" fillId="0" borderId="0" xfId="0" applyFont="1" applyBorder="1" applyAlignment="1">
      <alignment vertical="center"/>
    </xf>
    <xf numFmtId="3" fontId="145" fillId="0" borderId="45" xfId="0" applyNumberFormat="1" applyFont="1" applyBorder="1" applyAlignment="1">
      <alignment vertical="center" wrapText="1"/>
    </xf>
    <xf numFmtId="166" fontId="2" fillId="0" borderId="45" xfId="23" applyNumberFormat="1" applyFont="1" applyBorder="1" applyAlignment="1">
      <alignment vertical="center"/>
    </xf>
    <xf numFmtId="3" fontId="2" fillId="0" borderId="45" xfId="0" applyNumberFormat="1" applyFont="1" applyBorder="1" applyAlignment="1">
      <alignment vertical="center"/>
    </xf>
    <xf numFmtId="173" fontId="2" fillId="0" borderId="45" xfId="2" applyNumberFormat="1" applyFont="1" applyBorder="1" applyAlignment="1">
      <alignment vertical="center"/>
    </xf>
    <xf numFmtId="37" fontId="2" fillId="0" borderId="45" xfId="0" applyFont="1" applyBorder="1" applyAlignment="1">
      <alignment vertical="center"/>
    </xf>
    <xf numFmtId="37" fontId="2" fillId="0" borderId="0" xfId="0" applyFont="1" applyBorder="1" applyAlignment="1">
      <alignment vertical="center"/>
    </xf>
    <xf numFmtId="173" fontId="107" fillId="0" borderId="0" xfId="2" applyNumberFormat="1" applyFont="1" applyBorder="1" applyAlignment="1">
      <alignment vertical="center"/>
    </xf>
    <xf numFmtId="166" fontId="107" fillId="0" borderId="0" xfId="23" applyNumberFormat="1" applyFont="1" applyBorder="1" applyAlignment="1">
      <alignment vertical="center"/>
    </xf>
    <xf numFmtId="3" fontId="107" fillId="0" borderId="0" xfId="0" applyNumberFormat="1" applyFont="1" applyBorder="1" applyAlignment="1">
      <alignment vertical="center"/>
    </xf>
    <xf numFmtId="37" fontId="1" fillId="48" borderId="0" xfId="0" applyFont="1" applyFill="1" applyBorder="1" applyAlignment="1">
      <alignment horizontal="right" wrapText="1"/>
    </xf>
    <xf numFmtId="37" fontId="232" fillId="47" borderId="0" xfId="0" applyFont="1" applyFill="1" applyAlignment="1">
      <alignment horizontal="left" vertical="center" readingOrder="1"/>
    </xf>
    <xf numFmtId="37" fontId="25" fillId="47" borderId="0" xfId="0" applyFont="1" applyFill="1"/>
    <xf numFmtId="37" fontId="112" fillId="0" borderId="0" xfId="8" applyFont="1" applyBorder="1" applyAlignment="1">
      <alignment horizontal="right"/>
    </xf>
    <xf numFmtId="37" fontId="232" fillId="47" borderId="0" xfId="0" applyFont="1" applyFill="1"/>
    <xf numFmtId="37" fontId="21" fillId="47" borderId="0" xfId="0" applyFont="1" applyFill="1"/>
    <xf numFmtId="37" fontId="233" fillId="47" borderId="0" xfId="0" applyFont="1" applyFill="1"/>
    <xf numFmtId="37" fontId="95" fillId="0" borderId="23" xfId="0" applyFont="1" applyBorder="1" applyAlignment="1">
      <alignment horizontal="left" wrapText="1"/>
    </xf>
    <xf numFmtId="37" fontId="95" fillId="0" borderId="0" xfId="0" applyFont="1" applyBorder="1" applyAlignment="1">
      <alignment horizontal="left" wrapText="1"/>
    </xf>
    <xf numFmtId="37" fontId="95" fillId="0" borderId="24" xfId="0" applyFont="1" applyBorder="1" applyAlignment="1">
      <alignment horizontal="left" wrapText="1"/>
    </xf>
    <xf numFmtId="37" fontId="1" fillId="0" borderId="0" xfId="0" applyFont="1" applyAlignment="1">
      <alignment horizontal="left" wrapText="1"/>
    </xf>
    <xf numFmtId="37" fontId="93" fillId="0" borderId="0" xfId="0" applyFont="1" applyAlignment="1">
      <alignment horizontal="left" wrapText="1"/>
    </xf>
    <xf numFmtId="37" fontId="95" fillId="0" borderId="0" xfId="0" applyFont="1" applyAlignment="1">
      <alignment horizontal="left" wrapText="1"/>
    </xf>
    <xf numFmtId="37" fontId="93" fillId="0" borderId="0" xfId="0" applyFont="1" applyBorder="1" applyAlignment="1">
      <alignment horizontal="left" wrapText="1"/>
    </xf>
    <xf numFmtId="37" fontId="28" fillId="0" borderId="0" xfId="34" applyFont="1" applyAlignment="1">
      <alignment horizontal="left" wrapText="1"/>
    </xf>
    <xf numFmtId="37" fontId="105" fillId="48" borderId="35" xfId="0" applyFont="1" applyFill="1" applyBorder="1" applyAlignment="1">
      <alignment horizontal="center"/>
    </xf>
    <xf numFmtId="37" fontId="1" fillId="0" borderId="0" xfId="0" applyFont="1" applyBorder="1" applyAlignment="1">
      <alignment horizontal="left" wrapText="1"/>
    </xf>
    <xf numFmtId="37" fontId="104" fillId="48" borderId="0" xfId="0" applyFont="1" applyFill="1" applyBorder="1" applyAlignment="1">
      <alignment horizontal="center" wrapText="1"/>
    </xf>
    <xf numFmtId="37" fontId="93" fillId="48" borderId="0" xfId="0" applyFont="1" applyFill="1" applyBorder="1" applyAlignment="1">
      <alignment horizontal="left" wrapText="1"/>
    </xf>
    <xf numFmtId="37" fontId="93" fillId="48" borderId="35" xfId="0" applyFont="1" applyFill="1" applyBorder="1" applyAlignment="1">
      <alignment horizontal="center" wrapText="1"/>
    </xf>
    <xf numFmtId="37" fontId="104" fillId="48" borderId="0" xfId="0" applyFont="1" applyFill="1" applyBorder="1" applyAlignment="1">
      <alignment horizontal="right" wrapText="1"/>
    </xf>
    <xf numFmtId="37" fontId="93" fillId="48" borderId="0" xfId="0" applyFont="1" applyFill="1" applyBorder="1" applyAlignment="1">
      <alignment horizontal="right" wrapText="1"/>
    </xf>
    <xf numFmtId="0" fontId="95" fillId="0" borderId="0" xfId="0" applyNumberFormat="1" applyFont="1" applyBorder="1" applyAlignment="1">
      <alignment horizontal="left" wrapText="1"/>
    </xf>
    <xf numFmtId="0" fontId="41" fillId="0" borderId="0" xfId="8" applyNumberFormat="1" applyFont="1" applyAlignment="1">
      <alignment horizontal="left" wrapText="1"/>
    </xf>
    <xf numFmtId="37" fontId="89" fillId="0" borderId="0" xfId="0" applyFont="1" applyBorder="1" applyAlignment="1">
      <alignment horizontal="left" vertical="top" wrapText="1"/>
    </xf>
    <xf numFmtId="0" fontId="89" fillId="48" borderId="35" xfId="0" applyNumberFormat="1" applyFont="1" applyFill="1" applyBorder="1" applyAlignment="1">
      <alignment horizontal="center"/>
    </xf>
    <xf numFmtId="37" fontId="89" fillId="48" borderId="35" xfId="0" applyFont="1" applyFill="1" applyBorder="1" applyAlignment="1">
      <alignment horizontal="center"/>
    </xf>
    <xf numFmtId="37" fontId="98" fillId="52" borderId="33" xfId="0" applyFont="1" applyFill="1" applyBorder="1" applyAlignment="1">
      <alignment horizontal="center" vertical="center"/>
    </xf>
    <xf numFmtId="37" fontId="97" fillId="52" borderId="13" xfId="0" applyFont="1" applyFill="1" applyBorder="1" applyAlignment="1">
      <alignment horizontal="center" vertical="center"/>
    </xf>
    <xf numFmtId="37" fontId="91" fillId="47" borderId="0" xfId="0" applyFont="1" applyFill="1" applyAlignment="1">
      <alignment horizontal="left"/>
    </xf>
    <xf numFmtId="37" fontId="89" fillId="53" borderId="0" xfId="0" applyFont="1" applyFill="1" applyAlignment="1">
      <alignment horizontal="center"/>
    </xf>
    <xf numFmtId="37" fontId="97" fillId="50" borderId="0" xfId="0" applyFont="1" applyFill="1" applyBorder="1" applyAlignment="1">
      <alignment horizontal="center" vertical="center"/>
    </xf>
    <xf numFmtId="37" fontId="97" fillId="50" borderId="29" xfId="0" applyFont="1" applyFill="1" applyBorder="1" applyAlignment="1">
      <alignment horizontal="center" vertical="center"/>
    </xf>
    <xf numFmtId="37" fontId="97" fillId="49" borderId="31" xfId="0" applyFont="1" applyFill="1" applyBorder="1" applyAlignment="1">
      <alignment horizontal="center" vertical="center"/>
    </xf>
    <xf numFmtId="37" fontId="97" fillId="49" borderId="14" xfId="0" applyFont="1" applyFill="1" applyBorder="1" applyAlignment="1">
      <alignment horizontal="center" vertical="center"/>
    </xf>
    <xf numFmtId="37" fontId="97" fillId="49" borderId="32" xfId="0" applyFont="1" applyFill="1" applyBorder="1" applyAlignment="1">
      <alignment horizontal="center" vertical="center"/>
    </xf>
    <xf numFmtId="37" fontId="99" fillId="51" borderId="33" xfId="0" applyFont="1" applyFill="1" applyBorder="1" applyAlignment="1">
      <alignment horizontal="center" vertical="center"/>
    </xf>
    <xf numFmtId="37" fontId="99" fillId="51" borderId="13" xfId="0" applyFont="1" applyFill="1" applyBorder="1" applyAlignment="1">
      <alignment horizontal="center" vertical="center"/>
    </xf>
    <xf numFmtId="37" fontId="99" fillId="51" borderId="34" xfId="0" applyFont="1" applyFill="1" applyBorder="1" applyAlignment="1">
      <alignment horizontal="center" vertical="center"/>
    </xf>
    <xf numFmtId="37" fontId="43" fillId="0" borderId="0" xfId="0" applyFont="1" applyAlignment="1">
      <alignment horizontal="center"/>
    </xf>
    <xf numFmtId="37" fontId="93" fillId="0" borderId="0" xfId="0" applyFont="1" applyBorder="1" applyAlignment="1">
      <alignment horizontal="center"/>
    </xf>
    <xf numFmtId="37" fontId="93" fillId="48" borderId="35" xfId="0" applyFont="1" applyFill="1" applyBorder="1" applyAlignment="1">
      <alignment horizontal="center"/>
    </xf>
    <xf numFmtId="37" fontId="93" fillId="48" borderId="0" xfId="0" applyFont="1" applyFill="1" applyBorder="1" applyAlignment="1">
      <alignment horizontal="center" wrapText="1"/>
    </xf>
    <xf numFmtId="37" fontId="22" fillId="0" borderId="2" xfId="0" applyFont="1" applyBorder="1" applyAlignment="1">
      <alignment horizontal="center" wrapText="1"/>
    </xf>
    <xf numFmtId="37" fontId="22" fillId="0" borderId="2" xfId="0" applyFont="1" applyFill="1" applyBorder="1" applyAlignment="1">
      <alignment horizontal="center" wrapText="1"/>
    </xf>
    <xf numFmtId="37" fontId="22" fillId="0" borderId="1" xfId="0" applyFont="1" applyFill="1" applyBorder="1" applyAlignment="1">
      <alignment horizontal="center" wrapText="1"/>
    </xf>
    <xf numFmtId="37" fontId="28" fillId="0" borderId="0" xfId="0" applyNumberFormat="1" applyFont="1" applyAlignment="1">
      <alignment horizontal="left"/>
    </xf>
    <xf numFmtId="37" fontId="28" fillId="0" borderId="0" xfId="0" applyNumberFormat="1" applyFont="1" applyAlignment="1">
      <alignment horizontal="left" wrapText="1"/>
    </xf>
    <xf numFmtId="14" fontId="28" fillId="0" borderId="0" xfId="0" applyNumberFormat="1" applyFont="1" applyFill="1" applyAlignment="1">
      <alignment horizontal="left" wrapText="1"/>
    </xf>
    <xf numFmtId="37" fontId="28" fillId="0" borderId="0" xfId="0" applyNumberFormat="1" applyFont="1" applyFill="1" applyAlignment="1">
      <alignment horizontal="left" wrapText="1"/>
    </xf>
    <xf numFmtId="37" fontId="28" fillId="0" borderId="0" xfId="0" applyNumberFormat="1" applyFont="1" applyFill="1" applyAlignment="1">
      <alignment horizontal="left"/>
    </xf>
    <xf numFmtId="172" fontId="89" fillId="48" borderId="35" xfId="0" applyNumberFormat="1" applyFont="1" applyFill="1" applyBorder="1" applyAlignment="1">
      <alignment horizontal="center" wrapText="1"/>
    </xf>
    <xf numFmtId="37" fontId="95" fillId="0" borderId="0" xfId="0" applyNumberFormat="1" applyFont="1" applyFill="1" applyBorder="1" applyAlignment="1">
      <alignment horizontal="left"/>
    </xf>
    <xf numFmtId="37" fontId="95" fillId="0" borderId="0" xfId="0" applyNumberFormat="1" applyFont="1" applyFill="1" applyBorder="1" applyAlignment="1">
      <alignment horizontal="left" wrapText="1"/>
    </xf>
    <xf numFmtId="37" fontId="95" fillId="0" borderId="0" xfId="0" applyNumberFormat="1" applyFont="1" applyBorder="1" applyAlignment="1">
      <alignment horizontal="left"/>
    </xf>
    <xf numFmtId="37" fontId="95" fillId="0" borderId="0" xfId="0" applyNumberFormat="1" applyFont="1" applyBorder="1" applyAlignment="1">
      <alignment horizontal="left" wrapText="1"/>
    </xf>
    <xf numFmtId="14" fontId="95" fillId="0" borderId="0" xfId="0" applyNumberFormat="1" applyFont="1" applyFill="1" applyBorder="1" applyAlignment="1">
      <alignment horizontal="left" wrapText="1"/>
    </xf>
    <xf numFmtId="37" fontId="95" fillId="0" borderId="0" xfId="0" applyNumberFormat="1" applyFont="1" applyBorder="1" applyAlignment="1">
      <alignment wrapText="1"/>
    </xf>
    <xf numFmtId="37" fontId="89" fillId="0" borderId="0" xfId="0" applyFont="1" applyBorder="1" applyAlignment="1">
      <alignment wrapText="1"/>
    </xf>
    <xf numFmtId="14" fontId="95" fillId="0" borderId="0" xfId="0" applyNumberFormat="1" applyFont="1" applyBorder="1" applyAlignment="1">
      <alignment horizontal="left" wrapText="1"/>
    </xf>
    <xf numFmtId="37" fontId="93" fillId="0" borderId="0" xfId="0" applyFont="1" applyFill="1" applyBorder="1" applyAlignment="1">
      <alignment horizontal="center"/>
    </xf>
    <xf numFmtId="37" fontId="105" fillId="0" borderId="0" xfId="0" applyFont="1" applyFill="1" applyBorder="1" applyAlignment="1">
      <alignment horizontal="center"/>
    </xf>
    <xf numFmtId="37" fontId="22" fillId="0" borderId="2" xfId="0" applyFont="1" applyFill="1" applyBorder="1" applyAlignment="1">
      <alignment horizontal="center"/>
    </xf>
    <xf numFmtId="37" fontId="93" fillId="48" borderId="35" xfId="0" applyNumberFormat="1" applyFont="1" applyFill="1" applyBorder="1" applyAlignment="1">
      <alignment horizontal="center"/>
    </xf>
    <xf numFmtId="37" fontId="1" fillId="48" borderId="35" xfId="0" applyNumberFormat="1" applyFont="1" applyFill="1" applyBorder="1" applyAlignment="1">
      <alignment horizontal="center"/>
    </xf>
    <xf numFmtId="37" fontId="93" fillId="0" borderId="0" xfId="0" applyNumberFormat="1" applyFont="1" applyBorder="1" applyAlignment="1">
      <alignment wrapText="1"/>
    </xf>
    <xf numFmtId="37" fontId="105" fillId="0" borderId="0" xfId="0" applyNumberFormat="1" applyFont="1" applyBorder="1" applyAlignment="1">
      <alignment horizontal="center"/>
    </xf>
    <xf numFmtId="37" fontId="22" fillId="0" borderId="2" xfId="0" applyNumberFormat="1" applyFont="1" applyBorder="1" applyAlignment="1">
      <alignment horizontal="center"/>
    </xf>
    <xf numFmtId="37" fontId="110" fillId="48" borderId="0" xfId="0" applyFont="1" applyFill="1" applyBorder="1" applyAlignment="1">
      <alignment horizontal="center" vertical="top"/>
    </xf>
    <xf numFmtId="37" fontId="110" fillId="48" borderId="0" xfId="0" applyFont="1" applyFill="1" applyBorder="1" applyAlignment="1">
      <alignment horizontal="center" vertical="top" wrapText="1"/>
    </xf>
    <xf numFmtId="37" fontId="110" fillId="48" borderId="35" xfId="0" applyFont="1" applyFill="1" applyBorder="1" applyAlignment="1">
      <alignment horizontal="center" vertical="top" wrapText="1"/>
    </xf>
    <xf numFmtId="37" fontId="110" fillId="48" borderId="35" xfId="0" applyFont="1" applyFill="1" applyBorder="1" applyAlignment="1">
      <alignment wrapText="1"/>
    </xf>
    <xf numFmtId="37" fontId="105" fillId="0" borderId="2" xfId="0" applyFont="1" applyBorder="1" applyAlignment="1">
      <alignment horizontal="center" vertical="top"/>
    </xf>
    <xf numFmtId="37" fontId="105" fillId="0" borderId="2" xfId="0" applyFont="1" applyBorder="1" applyAlignment="1">
      <alignment horizontal="center" vertical="top" wrapText="1"/>
    </xf>
    <xf numFmtId="37" fontId="59" fillId="8" borderId="0" xfId="0" applyFont="1" applyFill="1" applyAlignment="1">
      <alignment vertical="top" wrapText="1"/>
    </xf>
    <xf numFmtId="37" fontId="0" fillId="0" borderId="0" xfId="0" applyAlignment="1">
      <alignment vertical="top" wrapText="1"/>
    </xf>
    <xf numFmtId="37" fontId="59" fillId="8" borderId="0" xfId="0" applyFont="1" applyFill="1" applyBorder="1" applyAlignment="1">
      <alignment vertical="top" wrapText="1"/>
    </xf>
    <xf numFmtId="37" fontId="83" fillId="46" borderId="0" xfId="0" applyFont="1" applyFill="1" applyAlignment="1">
      <alignment horizontal="left" vertical="center"/>
    </xf>
    <xf numFmtId="37" fontId="83" fillId="11" borderId="0" xfId="0" applyFont="1" applyFill="1" applyAlignment="1">
      <alignment horizontal="left" vertical="center"/>
    </xf>
    <xf numFmtId="37" fontId="88" fillId="8" borderId="0" xfId="0" applyFont="1" applyFill="1" applyAlignment="1">
      <alignment vertical="top" wrapText="1"/>
    </xf>
    <xf numFmtId="37" fontId="93" fillId="48" borderId="0" xfId="0" applyFont="1" applyFill="1" applyBorder="1" applyAlignment="1">
      <alignment wrapText="1"/>
    </xf>
    <xf numFmtId="37" fontId="93" fillId="48" borderId="0" xfId="0" applyFont="1" applyFill="1" applyBorder="1" applyAlignment="1">
      <alignment horizontal="center"/>
    </xf>
    <xf numFmtId="37" fontId="98" fillId="48" borderId="35" xfId="0" applyFont="1" applyFill="1" applyBorder="1" applyAlignment="1">
      <alignment horizontal="center"/>
    </xf>
    <xf numFmtId="0" fontId="107" fillId="0" borderId="0" xfId="0" applyNumberFormat="1" applyFont="1" applyBorder="1" applyAlignment="1">
      <alignment horizontal="center"/>
    </xf>
    <xf numFmtId="37" fontId="93" fillId="48" borderId="35" xfId="0" applyNumberFormat="1" applyFont="1" applyFill="1" applyBorder="1" applyAlignment="1">
      <alignment horizontal="center" wrapText="1"/>
    </xf>
    <xf numFmtId="1" fontId="93" fillId="48" borderId="35" xfId="0" applyNumberFormat="1" applyFont="1" applyFill="1" applyBorder="1" applyAlignment="1">
      <alignment horizontal="center" wrapText="1"/>
    </xf>
    <xf numFmtId="0" fontId="82" fillId="0" borderId="2" xfId="0" applyNumberFormat="1" applyFont="1" applyBorder="1" applyAlignment="1">
      <alignment horizontal="center"/>
    </xf>
    <xf numFmtId="0" fontId="118" fillId="48" borderId="35" xfId="8" applyNumberFormat="1" applyFont="1" applyFill="1" applyBorder="1" applyAlignment="1">
      <alignment horizontal="center"/>
    </xf>
    <xf numFmtId="0" fontId="82" fillId="0" borderId="0" xfId="8" applyNumberFormat="1" applyFont="1" applyBorder="1" applyAlignment="1">
      <alignment horizontal="center"/>
    </xf>
    <xf numFmtId="0" fontId="82" fillId="0" borderId="2" xfId="8" applyNumberFormat="1" applyFont="1" applyBorder="1" applyAlignment="1">
      <alignment horizontal="center"/>
    </xf>
    <xf numFmtId="0" fontId="89" fillId="48" borderId="35" xfId="15" applyFont="1" applyFill="1" applyBorder="1" applyAlignment="1">
      <alignment horizontal="center"/>
    </xf>
    <xf numFmtId="0" fontId="106" fillId="50" borderId="0" xfId="15" applyFont="1" applyFill="1" applyBorder="1" applyAlignment="1">
      <alignment horizontal="left"/>
    </xf>
    <xf numFmtId="0" fontId="106" fillId="49" borderId="0" xfId="15" applyFont="1" applyFill="1" applyBorder="1" applyAlignment="1">
      <alignment horizontal="left"/>
    </xf>
    <xf numFmtId="0" fontId="106" fillId="51" borderId="0" xfId="15" applyFont="1" applyFill="1" applyBorder="1" applyAlignment="1">
      <alignment horizontal="left"/>
    </xf>
    <xf numFmtId="0" fontId="106" fillId="55" borderId="0" xfId="15" applyFont="1" applyFill="1" applyBorder="1" applyAlignment="1">
      <alignment horizontal="left"/>
    </xf>
    <xf numFmtId="0" fontId="105" fillId="48" borderId="0" xfId="15" applyFont="1" applyFill="1" applyBorder="1" applyAlignment="1">
      <alignment horizontal="left"/>
    </xf>
    <xf numFmtId="0" fontId="22" fillId="0" borderId="0" xfId="15" applyFont="1" applyAlignment="1">
      <alignment horizontal="center"/>
    </xf>
    <xf numFmtId="37" fontId="90" fillId="0" borderId="0" xfId="18" applyFont="1" applyBorder="1" applyAlignment="1">
      <alignment horizontal="left" wrapText="1"/>
    </xf>
    <xf numFmtId="37" fontId="95" fillId="0" borderId="0" xfId="18" applyFont="1" applyBorder="1" applyAlignment="1">
      <alignment horizontal="left" wrapText="1"/>
    </xf>
    <xf numFmtId="0" fontId="91" fillId="47" borderId="0" xfId="20" applyFont="1" applyFill="1" applyAlignment="1">
      <alignment horizontal="left" wrapText="1"/>
    </xf>
    <xf numFmtId="37" fontId="26" fillId="0" borderId="0" xfId="18" applyFont="1" applyBorder="1" applyAlignment="1">
      <alignment horizontal="left" wrapText="1"/>
    </xf>
    <xf numFmtId="37" fontId="89" fillId="0" borderId="0" xfId="0" applyFont="1" applyBorder="1" applyAlignment="1">
      <alignment horizontal="left" wrapText="1"/>
    </xf>
    <xf numFmtId="37" fontId="26" fillId="0" borderId="1" xfId="0" applyFont="1" applyBorder="1" applyAlignment="1">
      <alignment horizontal="center"/>
    </xf>
    <xf numFmtId="3" fontId="93" fillId="48" borderId="35" xfId="9" applyNumberFormat="1" applyFont="1" applyFill="1" applyBorder="1" applyAlignment="1">
      <alignment horizontal="center" wrapText="1"/>
    </xf>
    <xf numFmtId="37" fontId="105" fillId="10" borderId="0" xfId="0" applyFont="1" applyFill="1" applyBorder="1" applyAlignment="1">
      <alignment horizontal="center"/>
    </xf>
    <xf numFmtId="37" fontId="105" fillId="0" borderId="0" xfId="0" applyFont="1" applyFill="1" applyBorder="1" applyAlignment="1">
      <alignment horizontal="left" wrapText="1"/>
    </xf>
    <xf numFmtId="0" fontId="89" fillId="48" borderId="35" xfId="2" applyNumberFormat="1" applyFont="1" applyFill="1" applyBorder="1" applyAlignment="1">
      <alignment horizontal="center"/>
    </xf>
    <xf numFmtId="0" fontId="128" fillId="48" borderId="35" xfId="0" applyNumberFormat="1" applyFont="1" applyFill="1" applyBorder="1" applyAlignment="1">
      <alignment horizontal="center"/>
    </xf>
    <xf numFmtId="37" fontId="128" fillId="48" borderId="0" xfId="0" applyFont="1" applyFill="1" applyBorder="1" applyAlignment="1">
      <alignment horizontal="right"/>
    </xf>
    <xf numFmtId="37" fontId="128" fillId="48" borderId="0" xfId="0" applyFont="1" applyFill="1" applyBorder="1" applyAlignment="1">
      <alignment horizontal="right" wrapText="1"/>
    </xf>
    <xf numFmtId="37" fontId="25" fillId="0" borderId="0" xfId="0" applyFont="1" applyAlignment="1">
      <alignment horizontal="left" wrapText="1"/>
    </xf>
    <xf numFmtId="37" fontId="93" fillId="48" borderId="35" xfId="0" applyFont="1" applyFill="1" applyBorder="1" applyAlignment="1"/>
    <xf numFmtId="37" fontId="90" fillId="0" borderId="0" xfId="0" applyFont="1" applyBorder="1" applyAlignment="1">
      <alignment horizontal="left" wrapText="1"/>
    </xf>
    <xf numFmtId="37" fontId="1" fillId="48" borderId="0" xfId="0" applyFont="1" applyFill="1" applyBorder="1" applyAlignment="1">
      <alignment horizontal="center" wrapText="1"/>
    </xf>
    <xf numFmtId="37" fontId="95" fillId="48" borderId="0" xfId="0" applyFont="1" applyFill="1" applyBorder="1" applyAlignment="1">
      <alignment horizontal="right" wrapText="1"/>
    </xf>
    <xf numFmtId="37" fontId="95" fillId="48" borderId="0" xfId="0" applyFont="1" applyFill="1" applyBorder="1" applyAlignment="1">
      <alignment horizontal="center" wrapText="1"/>
    </xf>
    <xf numFmtId="166" fontId="95" fillId="48" borderId="0" xfId="23" applyNumberFormat="1" applyFont="1" applyFill="1" applyBorder="1" applyAlignment="1">
      <alignment horizontal="right" wrapText="1"/>
    </xf>
    <xf numFmtId="37" fontId="95" fillId="48" borderId="0" xfId="0" applyFont="1" applyFill="1" applyBorder="1" applyAlignment="1">
      <alignment wrapText="1"/>
    </xf>
    <xf numFmtId="37" fontId="95" fillId="0" borderId="0" xfId="0" applyFont="1" applyBorder="1" applyAlignment="1">
      <alignment horizontal="left" vertical="top" wrapText="1"/>
    </xf>
    <xf numFmtId="37" fontId="1" fillId="48" borderId="0" xfId="0" applyFont="1" applyFill="1" applyBorder="1" applyAlignment="1">
      <alignment horizontal="right" wrapText="1"/>
    </xf>
    <xf numFmtId="37" fontId="101" fillId="0" borderId="0" xfId="0" applyFont="1" applyBorder="1" applyAlignment="1">
      <alignment horizontal="left" wrapText="1"/>
    </xf>
    <xf numFmtId="37" fontId="96" fillId="47" borderId="0" xfId="0" applyFont="1" applyFill="1" applyBorder="1" applyAlignment="1">
      <alignment horizontal="left" wrapText="1"/>
    </xf>
    <xf numFmtId="9" fontId="93" fillId="48" borderId="0" xfId="23" applyFont="1" applyFill="1" applyBorder="1" applyAlignment="1">
      <alignment horizontal="right" wrapText="1"/>
    </xf>
    <xf numFmtId="37" fontId="30" fillId="0" borderId="0" xfId="0" applyFont="1" applyBorder="1" applyAlignment="1">
      <alignment horizontal="left" wrapText="1"/>
    </xf>
    <xf numFmtId="0" fontId="191" fillId="0" borderId="0" xfId="31" applyFont="1" applyAlignment="1">
      <alignment horizontal="left" vertical="top" wrapText="1" indent="1"/>
    </xf>
    <xf numFmtId="0" fontId="185" fillId="0" borderId="0" xfId="31" applyFont="1" applyAlignment="1">
      <alignment horizontal="left" vertical="top" wrapText="1" indent="1"/>
    </xf>
    <xf numFmtId="0" fontId="185" fillId="0" borderId="0" xfId="31" applyFont="1" applyAlignment="1">
      <alignment horizontal="left" vertical="top" wrapText="1"/>
    </xf>
    <xf numFmtId="0" fontId="185" fillId="0" borderId="0" xfId="35" applyFont="1" applyAlignment="1">
      <alignment vertical="top" wrapText="1"/>
    </xf>
    <xf numFmtId="0" fontId="191" fillId="0" borderId="0" xfId="33" applyFont="1" applyAlignment="1">
      <alignment vertical="top" wrapText="1"/>
    </xf>
    <xf numFmtId="0" fontId="185" fillId="0" borderId="0" xfId="33" applyFont="1" applyAlignment="1">
      <alignment vertical="top" wrapText="1"/>
    </xf>
    <xf numFmtId="0" fontId="184" fillId="0" borderId="0" xfId="33" applyFont="1" applyAlignment="1">
      <alignment vertical="top" wrapText="1"/>
    </xf>
    <xf numFmtId="168" fontId="3" fillId="0" borderId="0" xfId="34" applyNumberFormat="1" applyAlignment="1">
      <alignment horizontal="left"/>
    </xf>
    <xf numFmtId="37" fontId="3" fillId="0" borderId="0" xfId="34" applyAlignment="1">
      <alignment horizontal="left"/>
    </xf>
    <xf numFmtId="168" fontId="0" fillId="0" borderId="0" xfId="0" applyNumberFormat="1" applyAlignment="1">
      <alignment horizontal="center"/>
    </xf>
    <xf numFmtId="168" fontId="0" fillId="0" borderId="0" xfId="0" applyNumberFormat="1" applyAlignment="1">
      <alignment horizontal="left"/>
    </xf>
    <xf numFmtId="37" fontId="0" fillId="0" borderId="0" xfId="0" applyAlignment="1">
      <alignment horizontal="left"/>
    </xf>
    <xf numFmtId="168" fontId="3" fillId="0" borderId="0" xfId="8" applyNumberFormat="1" applyAlignment="1">
      <alignment horizontal="left"/>
    </xf>
    <xf numFmtId="37" fontId="3" fillId="0" borderId="0" xfId="8" applyAlignment="1">
      <alignment horizontal="left"/>
    </xf>
    <xf numFmtId="0" fontId="19" fillId="0" borderId="5" xfId="0" applyNumberFormat="1" applyFont="1" applyBorder="1" applyAlignment="1">
      <alignment horizontal="center" wrapText="1"/>
    </xf>
  </cellXfs>
  <cellStyles count="36">
    <cellStyle name="% change" xfId="1" xr:uid="{00000000-0005-0000-0000-000000000000}"/>
    <cellStyle name="Comma" xfId="2" builtinId="3"/>
    <cellStyle name="Comma 2" xfId="3" xr:uid="{00000000-0005-0000-0000-000002000000}"/>
    <cellStyle name="Comma 3" xfId="32" xr:uid="{79D2FFEB-91B2-4B28-AE11-823D66F536CB}"/>
    <cellStyle name="Data" xfId="4" xr:uid="{00000000-0005-0000-0000-000003000000}"/>
    <cellStyle name="Heading 3" xfId="5" builtinId="18"/>
    <cellStyle name="Hyperlink" xfId="6" builtinId="8"/>
    <cellStyle name="Normal" xfId="0" builtinId="0"/>
    <cellStyle name="Normal 2" xfId="7" xr:uid="{00000000-0005-0000-0000-000007000000}"/>
    <cellStyle name="Normal 2 2" xfId="31" xr:uid="{8BE51D5B-2D96-4A96-B689-A44189263839}"/>
    <cellStyle name="Normal 2 3" xfId="34" xr:uid="{9EAFA57F-9DD0-4B80-AE71-1210668C2669}"/>
    <cellStyle name="Normal 3" xfId="8" xr:uid="{00000000-0005-0000-0000-000008000000}"/>
    <cellStyle name="Normal 3 2" xfId="33" xr:uid="{C46C4E12-24EB-4A3B-BB3B-1D41985C3A0B}"/>
    <cellStyle name="Normal 4" xfId="29" xr:uid="{0E164E1A-58E4-40BF-8223-B9E4C8D2AEAD}"/>
    <cellStyle name="Normal 4 2" xfId="35" xr:uid="{D4504AC6-2AC3-49CD-BB9D-A07DC3619B68}"/>
    <cellStyle name="Normal_16" xfId="9" xr:uid="{00000000-0005-0000-0000-000009000000}"/>
    <cellStyle name="Normal_1a" xfId="10" xr:uid="{00000000-0005-0000-0000-00000A000000}"/>
    <cellStyle name="Normal_1c" xfId="11" xr:uid="{00000000-0005-0000-0000-00000B000000}"/>
    <cellStyle name="Normal_1d" xfId="12" xr:uid="{00000000-0005-0000-0000-00000C000000}"/>
    <cellStyle name="Normal_1e" xfId="13" xr:uid="{00000000-0005-0000-0000-00000D000000}"/>
    <cellStyle name="Normal_1g" xfId="14" xr:uid="{00000000-0005-0000-0000-00000E000000}"/>
    <cellStyle name="Normal_2006" xfId="15" xr:uid="{00000000-0005-0000-0000-00000F000000}"/>
    <cellStyle name="Normal_24" xfId="16" xr:uid="{00000000-0005-0000-0000-000010000000}"/>
    <cellStyle name="Normal_8a" xfId="17" xr:uid="{00000000-0005-0000-0000-000011000000}"/>
    <cellStyle name="Normal_RP03-elections" xfId="18" xr:uid="{00000000-0005-0000-0000-000012000000}"/>
    <cellStyle name="Normal_Sheet1" xfId="19" xr:uid="{00000000-0005-0000-0000-000013000000}"/>
    <cellStyle name="Normal_vote share 1979-2006" xfId="20" xr:uid="{00000000-0005-0000-0000-000014000000}"/>
    <cellStyle name="Notes" xfId="21" xr:uid="{00000000-0005-0000-0000-000015000000}"/>
    <cellStyle name="Page title" xfId="22" xr:uid="{00000000-0005-0000-0000-000016000000}"/>
    <cellStyle name="Percent" xfId="23" builtinId="5"/>
    <cellStyle name="Percent 2" xfId="24" xr:uid="{00000000-0005-0000-0000-000018000000}"/>
    <cellStyle name="Percent 3" xfId="30" xr:uid="{39E25114-4745-48EA-B843-EAA1F3EB6CA6}"/>
    <cellStyle name="Sources" xfId="25" xr:uid="{00000000-0005-0000-0000-000019000000}"/>
    <cellStyle name="Subtitle" xfId="26" xr:uid="{00000000-0005-0000-0000-00001A000000}"/>
    <cellStyle name="Table title" xfId="27" xr:uid="{00000000-0005-0000-0000-00001B000000}"/>
    <cellStyle name="Total" xfId="28" builtinId="25"/>
  </cellStyles>
  <dxfs count="209">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36845B"/>
        </patternFill>
      </fill>
    </dxf>
    <dxf>
      <fill>
        <patternFill>
          <bgColor rgb="FFA3D9BC"/>
        </patternFill>
      </fill>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color theme="0"/>
      </font>
    </dxf>
    <dxf>
      <font>
        <color theme="0"/>
      </font>
    </dxf>
    <dxf>
      <font>
        <color theme="0"/>
      </font>
    </dxf>
    <dxf>
      <font>
        <color theme="0"/>
      </font>
    </dxf>
    <dxf>
      <fill>
        <patternFill>
          <bgColor rgb="FF909090"/>
        </patternFill>
      </fill>
    </dxf>
    <dxf>
      <fill>
        <patternFill>
          <bgColor rgb="FF00539F"/>
        </patternFill>
      </fill>
    </dxf>
    <dxf>
      <fill>
        <patternFill>
          <bgColor rgb="FFD50000"/>
        </patternFill>
      </fill>
    </dxf>
    <dxf>
      <fill>
        <patternFill patternType="solid">
          <bgColor rgb="FF36845B"/>
        </patternFill>
      </fill>
    </dxf>
  </dxfs>
  <tableStyles count="0" defaultTableStyle="TableStyleMedium9" defaultPivotStyle="PivotStyleLight16"/>
  <colors>
    <mruColors>
      <color rgb="FF909090"/>
      <color rgb="FFD50000"/>
      <color rgb="FF78B82A"/>
      <color rgb="FF4EA268"/>
      <color rgb="FFFAA01A"/>
      <color rgb="FFF7DB15"/>
      <color rgb="FFFFF685"/>
      <color rgb="FF36845B"/>
      <color rgb="FF00539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5.xml"/><Relationship Id="rId117" Type="http://schemas.openxmlformats.org/officeDocument/2006/relationships/externalLink" Target="externalLinks/externalLink6.xml"/><Relationship Id="rId21" Type="http://schemas.openxmlformats.org/officeDocument/2006/relationships/worksheet" Target="worksheets/sheet20.xml"/><Relationship Id="rId42" Type="http://schemas.openxmlformats.org/officeDocument/2006/relationships/worksheet" Target="worksheets/sheet41.xml"/><Relationship Id="rId47" Type="http://schemas.openxmlformats.org/officeDocument/2006/relationships/worksheet" Target="worksheets/sheet46.xml"/><Relationship Id="rId63" Type="http://schemas.openxmlformats.org/officeDocument/2006/relationships/worksheet" Target="worksheets/sheet62.xml"/><Relationship Id="rId68" Type="http://schemas.openxmlformats.org/officeDocument/2006/relationships/worksheet" Target="worksheets/sheet67.xml"/><Relationship Id="rId84" Type="http://schemas.openxmlformats.org/officeDocument/2006/relationships/worksheet" Target="worksheets/sheet83.xml"/><Relationship Id="rId89" Type="http://schemas.openxmlformats.org/officeDocument/2006/relationships/worksheet" Target="worksheets/sheet88.xml"/><Relationship Id="rId112" Type="http://schemas.openxmlformats.org/officeDocument/2006/relationships/externalLink" Target="externalLinks/externalLink1.xml"/><Relationship Id="rId16" Type="http://schemas.openxmlformats.org/officeDocument/2006/relationships/worksheet" Target="worksheets/sheet16.xml"/><Relationship Id="rId107" Type="http://schemas.openxmlformats.org/officeDocument/2006/relationships/worksheet" Target="worksheets/sheet106.xml"/><Relationship Id="rId11" Type="http://schemas.openxmlformats.org/officeDocument/2006/relationships/worksheet" Target="worksheets/sheet11.xml"/><Relationship Id="rId32" Type="http://schemas.openxmlformats.org/officeDocument/2006/relationships/worksheet" Target="worksheets/sheet31.xml"/><Relationship Id="rId37" Type="http://schemas.openxmlformats.org/officeDocument/2006/relationships/worksheet" Target="worksheets/sheet36.xml"/><Relationship Id="rId53" Type="http://schemas.openxmlformats.org/officeDocument/2006/relationships/worksheet" Target="worksheets/sheet52.xml"/><Relationship Id="rId58" Type="http://schemas.openxmlformats.org/officeDocument/2006/relationships/worksheet" Target="worksheets/sheet57.xml"/><Relationship Id="rId74" Type="http://schemas.openxmlformats.org/officeDocument/2006/relationships/worksheet" Target="worksheets/sheet73.xml"/><Relationship Id="rId79" Type="http://schemas.openxmlformats.org/officeDocument/2006/relationships/worksheet" Target="worksheets/sheet78.xml"/><Relationship Id="rId102" Type="http://schemas.openxmlformats.org/officeDocument/2006/relationships/worksheet" Target="worksheets/sheet101.xml"/><Relationship Id="rId5" Type="http://schemas.openxmlformats.org/officeDocument/2006/relationships/worksheet" Target="worksheets/sheet5.xml"/><Relationship Id="rId90" Type="http://schemas.openxmlformats.org/officeDocument/2006/relationships/worksheet" Target="worksheets/sheet89.xml"/><Relationship Id="rId95" Type="http://schemas.openxmlformats.org/officeDocument/2006/relationships/worksheet" Target="worksheets/sheet94.xml"/><Relationship Id="rId22" Type="http://schemas.openxmlformats.org/officeDocument/2006/relationships/worksheet" Target="worksheets/sheet21.xml"/><Relationship Id="rId27" Type="http://schemas.openxmlformats.org/officeDocument/2006/relationships/worksheet" Target="worksheets/sheet26.xml"/><Relationship Id="rId43" Type="http://schemas.openxmlformats.org/officeDocument/2006/relationships/worksheet" Target="worksheets/sheet42.xml"/><Relationship Id="rId48" Type="http://schemas.openxmlformats.org/officeDocument/2006/relationships/worksheet" Target="worksheets/sheet47.xml"/><Relationship Id="rId64" Type="http://schemas.openxmlformats.org/officeDocument/2006/relationships/worksheet" Target="worksheets/sheet63.xml"/><Relationship Id="rId69" Type="http://schemas.openxmlformats.org/officeDocument/2006/relationships/worksheet" Target="worksheets/sheet68.xml"/><Relationship Id="rId113" Type="http://schemas.openxmlformats.org/officeDocument/2006/relationships/externalLink" Target="externalLinks/externalLink2.xml"/><Relationship Id="rId118" Type="http://schemas.openxmlformats.org/officeDocument/2006/relationships/externalLink" Target="externalLinks/externalLink7.xml"/><Relationship Id="rId80" Type="http://schemas.openxmlformats.org/officeDocument/2006/relationships/worksheet" Target="worksheets/sheet79.xml"/><Relationship Id="rId85" Type="http://schemas.openxmlformats.org/officeDocument/2006/relationships/worksheet" Target="worksheets/sheet84.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2.xml"/><Relationship Id="rId38" Type="http://schemas.openxmlformats.org/officeDocument/2006/relationships/worksheet" Target="worksheets/sheet37.xml"/><Relationship Id="rId59" Type="http://schemas.openxmlformats.org/officeDocument/2006/relationships/worksheet" Target="worksheets/sheet58.xml"/><Relationship Id="rId103" Type="http://schemas.openxmlformats.org/officeDocument/2006/relationships/worksheet" Target="worksheets/sheet102.xml"/><Relationship Id="rId108" Type="http://schemas.openxmlformats.org/officeDocument/2006/relationships/worksheet" Target="worksheets/sheet107.xml"/><Relationship Id="rId54" Type="http://schemas.openxmlformats.org/officeDocument/2006/relationships/worksheet" Target="worksheets/sheet53.xml"/><Relationship Id="rId70" Type="http://schemas.openxmlformats.org/officeDocument/2006/relationships/worksheet" Target="worksheets/sheet69.xml"/><Relationship Id="rId75" Type="http://schemas.openxmlformats.org/officeDocument/2006/relationships/worksheet" Target="worksheets/sheet74.xml"/><Relationship Id="rId91" Type="http://schemas.openxmlformats.org/officeDocument/2006/relationships/worksheet" Target="worksheets/sheet90.xml"/><Relationship Id="rId96" Type="http://schemas.openxmlformats.org/officeDocument/2006/relationships/worksheet" Target="worksheets/sheet9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2.xml"/><Relationship Id="rId28" Type="http://schemas.openxmlformats.org/officeDocument/2006/relationships/worksheet" Target="worksheets/sheet27.xml"/><Relationship Id="rId49" Type="http://schemas.openxmlformats.org/officeDocument/2006/relationships/worksheet" Target="worksheets/sheet48.xml"/><Relationship Id="rId114" Type="http://schemas.openxmlformats.org/officeDocument/2006/relationships/externalLink" Target="externalLinks/externalLink3.xml"/><Relationship Id="rId119" Type="http://schemas.openxmlformats.org/officeDocument/2006/relationships/theme" Target="theme/theme1.xml"/><Relationship Id="rId44" Type="http://schemas.openxmlformats.org/officeDocument/2006/relationships/worksheet" Target="worksheets/sheet43.xml"/><Relationship Id="rId60" Type="http://schemas.openxmlformats.org/officeDocument/2006/relationships/worksheet" Target="worksheets/sheet59.xml"/><Relationship Id="rId65" Type="http://schemas.openxmlformats.org/officeDocument/2006/relationships/worksheet" Target="worksheets/sheet64.xml"/><Relationship Id="rId81" Type="http://schemas.openxmlformats.org/officeDocument/2006/relationships/worksheet" Target="worksheets/sheet80.xml"/><Relationship Id="rId86" Type="http://schemas.openxmlformats.org/officeDocument/2006/relationships/worksheet" Target="worksheets/sheet8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chartsheet" Target="chartsheets/sheet1.xml"/><Relationship Id="rId39" Type="http://schemas.openxmlformats.org/officeDocument/2006/relationships/worksheet" Target="worksheets/sheet38.xml"/><Relationship Id="rId109" Type="http://schemas.openxmlformats.org/officeDocument/2006/relationships/worksheet" Target="worksheets/sheet108.xml"/><Relationship Id="rId34" Type="http://schemas.openxmlformats.org/officeDocument/2006/relationships/worksheet" Target="worksheets/sheet33.xml"/><Relationship Id="rId50" Type="http://schemas.openxmlformats.org/officeDocument/2006/relationships/worksheet" Target="worksheets/sheet49.xml"/><Relationship Id="rId55" Type="http://schemas.openxmlformats.org/officeDocument/2006/relationships/worksheet" Target="worksheets/sheet54.xml"/><Relationship Id="rId76" Type="http://schemas.openxmlformats.org/officeDocument/2006/relationships/worksheet" Target="worksheets/sheet75.xml"/><Relationship Id="rId97" Type="http://schemas.openxmlformats.org/officeDocument/2006/relationships/worksheet" Target="worksheets/sheet96.xml"/><Relationship Id="rId104" Type="http://schemas.openxmlformats.org/officeDocument/2006/relationships/worksheet" Target="worksheets/sheet103.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0.xml"/><Relationship Id="rId92" Type="http://schemas.openxmlformats.org/officeDocument/2006/relationships/worksheet" Target="worksheets/sheet91.xml"/><Relationship Id="rId2" Type="http://schemas.openxmlformats.org/officeDocument/2006/relationships/worksheet" Target="worksheets/sheet2.xml"/><Relationship Id="rId29" Type="http://schemas.openxmlformats.org/officeDocument/2006/relationships/worksheet" Target="worksheets/sheet28.xml"/><Relationship Id="rId24" Type="http://schemas.openxmlformats.org/officeDocument/2006/relationships/worksheet" Target="worksheets/sheet23.xml"/><Relationship Id="rId40" Type="http://schemas.openxmlformats.org/officeDocument/2006/relationships/worksheet" Target="worksheets/sheet39.xml"/><Relationship Id="rId45" Type="http://schemas.openxmlformats.org/officeDocument/2006/relationships/worksheet" Target="worksheets/sheet44.xml"/><Relationship Id="rId66" Type="http://schemas.openxmlformats.org/officeDocument/2006/relationships/worksheet" Target="worksheets/sheet65.xml"/><Relationship Id="rId87" Type="http://schemas.openxmlformats.org/officeDocument/2006/relationships/worksheet" Target="worksheets/sheet86.xml"/><Relationship Id="rId110" Type="http://schemas.openxmlformats.org/officeDocument/2006/relationships/worksheet" Target="worksheets/sheet109.xml"/><Relationship Id="rId115" Type="http://schemas.openxmlformats.org/officeDocument/2006/relationships/externalLink" Target="externalLinks/externalLink4.xml"/><Relationship Id="rId61" Type="http://schemas.openxmlformats.org/officeDocument/2006/relationships/worksheet" Target="worksheets/sheet60.xml"/><Relationship Id="rId82" Type="http://schemas.openxmlformats.org/officeDocument/2006/relationships/worksheet" Target="worksheets/sheet81.xml"/><Relationship Id="rId19" Type="http://schemas.openxmlformats.org/officeDocument/2006/relationships/worksheet" Target="worksheets/sheet18.xml"/><Relationship Id="rId14" Type="http://schemas.openxmlformats.org/officeDocument/2006/relationships/worksheet" Target="worksheets/sheet14.xml"/><Relationship Id="rId30" Type="http://schemas.openxmlformats.org/officeDocument/2006/relationships/worksheet" Target="worksheets/sheet29.xml"/><Relationship Id="rId35" Type="http://schemas.openxmlformats.org/officeDocument/2006/relationships/worksheet" Target="worksheets/sheet34.xml"/><Relationship Id="rId56" Type="http://schemas.openxmlformats.org/officeDocument/2006/relationships/worksheet" Target="worksheets/sheet55.xml"/><Relationship Id="rId77" Type="http://schemas.openxmlformats.org/officeDocument/2006/relationships/worksheet" Target="worksheets/sheet76.xml"/><Relationship Id="rId100" Type="http://schemas.openxmlformats.org/officeDocument/2006/relationships/worksheet" Target="worksheets/sheet99.xml"/><Relationship Id="rId105" Type="http://schemas.openxmlformats.org/officeDocument/2006/relationships/worksheet" Target="worksheets/sheet104.xml"/><Relationship Id="rId8" Type="http://schemas.openxmlformats.org/officeDocument/2006/relationships/worksheet" Target="worksheets/sheet8.xml"/><Relationship Id="rId51" Type="http://schemas.openxmlformats.org/officeDocument/2006/relationships/worksheet" Target="worksheets/sheet50.xml"/><Relationship Id="rId72" Type="http://schemas.openxmlformats.org/officeDocument/2006/relationships/worksheet" Target="worksheets/sheet71.xml"/><Relationship Id="rId93" Type="http://schemas.openxmlformats.org/officeDocument/2006/relationships/worksheet" Target="worksheets/sheet92.xml"/><Relationship Id="rId98" Type="http://schemas.openxmlformats.org/officeDocument/2006/relationships/worksheet" Target="worksheets/sheet97.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4.xml"/><Relationship Id="rId46" Type="http://schemas.openxmlformats.org/officeDocument/2006/relationships/worksheet" Target="worksheets/sheet45.xml"/><Relationship Id="rId67" Type="http://schemas.openxmlformats.org/officeDocument/2006/relationships/worksheet" Target="worksheets/sheet66.xml"/><Relationship Id="rId116" Type="http://schemas.openxmlformats.org/officeDocument/2006/relationships/externalLink" Target="externalLinks/externalLink5.xml"/><Relationship Id="rId20" Type="http://schemas.openxmlformats.org/officeDocument/2006/relationships/worksheet" Target="worksheets/sheet19.xml"/><Relationship Id="rId41" Type="http://schemas.openxmlformats.org/officeDocument/2006/relationships/worksheet" Target="worksheets/sheet40.xml"/><Relationship Id="rId62" Type="http://schemas.openxmlformats.org/officeDocument/2006/relationships/worksheet" Target="worksheets/sheet61.xml"/><Relationship Id="rId83" Type="http://schemas.openxmlformats.org/officeDocument/2006/relationships/worksheet" Target="worksheets/sheet82.xml"/><Relationship Id="rId88" Type="http://schemas.openxmlformats.org/officeDocument/2006/relationships/worksheet" Target="worksheets/sheet87.xml"/><Relationship Id="rId111" Type="http://schemas.openxmlformats.org/officeDocument/2006/relationships/worksheet" Target="worksheets/sheet110.xml"/><Relationship Id="rId15" Type="http://schemas.openxmlformats.org/officeDocument/2006/relationships/worksheet" Target="worksheets/sheet15.xml"/><Relationship Id="rId36" Type="http://schemas.openxmlformats.org/officeDocument/2006/relationships/worksheet" Target="worksheets/sheet35.xml"/><Relationship Id="rId57" Type="http://schemas.openxmlformats.org/officeDocument/2006/relationships/worksheet" Target="worksheets/sheet56.xml"/><Relationship Id="rId106" Type="http://schemas.openxmlformats.org/officeDocument/2006/relationships/worksheet" Target="worksheets/sheet105.xml"/><Relationship Id="rId10" Type="http://schemas.openxmlformats.org/officeDocument/2006/relationships/worksheet" Target="worksheets/sheet10.xml"/><Relationship Id="rId31" Type="http://schemas.openxmlformats.org/officeDocument/2006/relationships/worksheet" Target="worksheets/sheet30.xml"/><Relationship Id="rId52" Type="http://schemas.openxmlformats.org/officeDocument/2006/relationships/worksheet" Target="worksheets/sheet51.xml"/><Relationship Id="rId73" Type="http://schemas.openxmlformats.org/officeDocument/2006/relationships/worksheet" Target="worksheets/sheet72.xml"/><Relationship Id="rId78" Type="http://schemas.openxmlformats.org/officeDocument/2006/relationships/worksheet" Target="worksheets/sheet77.xml"/><Relationship Id="rId94" Type="http://schemas.openxmlformats.org/officeDocument/2006/relationships/worksheet" Target="worksheets/sheet93.xml"/><Relationship Id="rId99" Type="http://schemas.openxmlformats.org/officeDocument/2006/relationships/worksheet" Target="worksheets/sheet98.xml"/><Relationship Id="rId101" Type="http://schemas.openxmlformats.org/officeDocument/2006/relationships/worksheet" Target="worksheets/sheet100.xml"/><Relationship Id="rId122"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0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0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0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0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118.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119.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2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3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33.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37.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38.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39.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2.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43.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48.xml.rels><?xml version="1.0" encoding="UTF-8" standalone="yes"?>
<Relationships xmlns="http://schemas.openxmlformats.org/package/2006/relationships"><Relationship Id="rId1" Type="http://schemas.openxmlformats.org/officeDocument/2006/relationships/chartUserShapes" Target="../drawings/drawing116.xml"/></Relationships>
</file>

<file path=xl/charts/_rels/chart149.xml.rels><?xml version="1.0" encoding="UTF-8" standalone="yes"?>
<Relationships xmlns="http://schemas.openxmlformats.org/package/2006/relationships"><Relationship Id="rId1" Type="http://schemas.openxmlformats.org/officeDocument/2006/relationships/chartUserShapes" Target="../drawings/drawing11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88.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89.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94.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9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LT Std 45 Light"/>
                <a:ea typeface="Frutiger LT Std 45 Light"/>
                <a:cs typeface="Frutiger LT Std 45 Light"/>
              </a:defRPr>
            </a:pPr>
            <a:r>
              <a:rPr lang="en-GB"/>
              <a:t>Northern Ireland Assembly </a:t>
            </a:r>
          </a:p>
        </c:rich>
      </c:tx>
      <c:layout>
        <c:manualLayout>
          <c:xMode val="edge"/>
          <c:yMode val="edge"/>
          <c:x val="0.18348668680565872"/>
          <c:y val="7.1616964749821918E-2"/>
        </c:manualLayout>
      </c:layout>
      <c:overlay val="0"/>
      <c:spPr>
        <a:noFill/>
        <a:ln w="25400">
          <a:noFill/>
        </a:ln>
      </c:spPr>
    </c:title>
    <c:autoTitleDeleted val="0"/>
    <c:plotArea>
      <c:layout>
        <c:manualLayout>
          <c:layoutTarget val="inner"/>
          <c:xMode val="edge"/>
          <c:yMode val="edge"/>
          <c:x val="0.24111838132909441"/>
          <c:y val="0.14006839002961788"/>
          <c:w val="0.5152804574924823"/>
          <c:h val="0.78444426429105896"/>
        </c:manualLayout>
      </c:layout>
      <c:barChart>
        <c:barDir val="bar"/>
        <c:grouping val="clustered"/>
        <c:varyColors val="0"/>
        <c:ser>
          <c:idx val="0"/>
          <c:order val="0"/>
          <c:tx>
            <c:strRef>
              <c:f>'18 NI Assembly Visual'!$S$33</c:f>
              <c:strCache>
                <c:ptCount val="1"/>
                <c:pt idx="0">
                  <c:v>DUP</c:v>
                </c:pt>
              </c:strCache>
            </c:strRef>
          </c:tx>
          <c:spPr>
            <a:solidFill>
              <a:srgbClr val="00008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Visual'!$T$33:$Y$33</c:f>
              <c:numCache>
                <c:formatCode>#,##0_);\(#,##0\)</c:formatCode>
                <c:ptCount val="6"/>
                <c:pt idx="0">
                  <c:v>28</c:v>
                </c:pt>
                <c:pt idx="1">
                  <c:v>38</c:v>
                </c:pt>
                <c:pt idx="2">
                  <c:v>38</c:v>
                </c:pt>
                <c:pt idx="3">
                  <c:v>36</c:v>
                </c:pt>
                <c:pt idx="4">
                  <c:v>30</c:v>
                </c:pt>
                <c:pt idx="5">
                  <c:v>20</c:v>
                </c:pt>
              </c:numCache>
            </c:numRef>
          </c:val>
          <c:extLst>
            <c:ext xmlns:c16="http://schemas.microsoft.com/office/drawing/2014/chart" uri="{C3380CC4-5D6E-409C-BE32-E72D297353CC}">
              <c16:uniqueId val="{00000000-8001-4F31-BF22-6DDB5B81980E}"/>
            </c:ext>
          </c:extLst>
        </c:ser>
        <c:ser>
          <c:idx val="1"/>
          <c:order val="1"/>
          <c:tx>
            <c:strRef>
              <c:f>'18 NI Assembly Visual'!$S$34</c:f>
              <c:strCache>
                <c:ptCount val="1"/>
                <c:pt idx="0">
                  <c:v>Sinn Féin</c:v>
                </c:pt>
              </c:strCache>
            </c:strRef>
          </c:tx>
          <c:spPr>
            <a:solidFill>
              <a:srgbClr val="99CC0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Visual'!$T$34:$Y$34</c:f>
              <c:numCache>
                <c:formatCode>#,##0_);\(#,##0\)</c:formatCode>
                <c:ptCount val="6"/>
                <c:pt idx="0">
                  <c:v>27</c:v>
                </c:pt>
                <c:pt idx="1">
                  <c:v>28</c:v>
                </c:pt>
                <c:pt idx="2">
                  <c:v>29</c:v>
                </c:pt>
                <c:pt idx="3">
                  <c:v>28</c:v>
                </c:pt>
                <c:pt idx="4">
                  <c:v>24</c:v>
                </c:pt>
                <c:pt idx="5">
                  <c:v>18</c:v>
                </c:pt>
              </c:numCache>
            </c:numRef>
          </c:val>
          <c:extLst>
            <c:ext xmlns:c16="http://schemas.microsoft.com/office/drawing/2014/chart" uri="{C3380CC4-5D6E-409C-BE32-E72D297353CC}">
              <c16:uniqueId val="{00000001-8001-4F31-BF22-6DDB5B81980E}"/>
            </c:ext>
          </c:extLst>
        </c:ser>
        <c:ser>
          <c:idx val="2"/>
          <c:order val="2"/>
          <c:tx>
            <c:strRef>
              <c:f>'18 NI Assembly Visual'!$S$35</c:f>
              <c:strCache>
                <c:ptCount val="1"/>
                <c:pt idx="0">
                  <c:v>UUP</c:v>
                </c:pt>
              </c:strCache>
            </c:strRef>
          </c:tx>
          <c:spPr>
            <a:solidFill>
              <a:srgbClr val="99CCFF"/>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Visual'!$T$35:$Y$35</c:f>
              <c:numCache>
                <c:formatCode>#,##0_);\(#,##0\)</c:formatCode>
                <c:ptCount val="6"/>
                <c:pt idx="0">
                  <c:v>10</c:v>
                </c:pt>
                <c:pt idx="1">
                  <c:v>16</c:v>
                </c:pt>
                <c:pt idx="2">
                  <c:v>16</c:v>
                </c:pt>
                <c:pt idx="3">
                  <c:v>18</c:v>
                </c:pt>
                <c:pt idx="4">
                  <c:v>27</c:v>
                </c:pt>
                <c:pt idx="5">
                  <c:v>28</c:v>
                </c:pt>
              </c:numCache>
            </c:numRef>
          </c:val>
          <c:extLst>
            <c:ext xmlns:c16="http://schemas.microsoft.com/office/drawing/2014/chart" uri="{C3380CC4-5D6E-409C-BE32-E72D297353CC}">
              <c16:uniqueId val="{00000002-8001-4F31-BF22-6DDB5B81980E}"/>
            </c:ext>
          </c:extLst>
        </c:ser>
        <c:ser>
          <c:idx val="3"/>
          <c:order val="3"/>
          <c:tx>
            <c:strRef>
              <c:f>'18 NI Assembly Visual'!$S$36</c:f>
              <c:strCache>
                <c:ptCount val="1"/>
                <c:pt idx="0">
                  <c:v>SDLP</c:v>
                </c:pt>
              </c:strCache>
            </c:strRef>
          </c:tx>
          <c:spPr>
            <a:solidFill>
              <a:srgbClr val="CCFFCC"/>
            </a:solidFill>
            <a:ln>
              <a:solidFill>
                <a:schemeClr val="bg1">
                  <a:lumMod val="75000"/>
                </a:schemeClr>
              </a:solidFill>
            </a:ln>
            <a:effectLst/>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Visual'!$T$36:$Y$36</c:f>
              <c:numCache>
                <c:formatCode>#,##0_);\(#,##0\)</c:formatCode>
                <c:ptCount val="6"/>
                <c:pt idx="0">
                  <c:v>12</c:v>
                </c:pt>
                <c:pt idx="1">
                  <c:v>12</c:v>
                </c:pt>
                <c:pt idx="2">
                  <c:v>14</c:v>
                </c:pt>
                <c:pt idx="3">
                  <c:v>16</c:v>
                </c:pt>
                <c:pt idx="4">
                  <c:v>18</c:v>
                </c:pt>
                <c:pt idx="5">
                  <c:v>24</c:v>
                </c:pt>
              </c:numCache>
            </c:numRef>
          </c:val>
          <c:extLst>
            <c:ext xmlns:c16="http://schemas.microsoft.com/office/drawing/2014/chart" uri="{C3380CC4-5D6E-409C-BE32-E72D297353CC}">
              <c16:uniqueId val="{00000003-8001-4F31-BF22-6DDB5B81980E}"/>
            </c:ext>
          </c:extLst>
        </c:ser>
        <c:ser>
          <c:idx val="4"/>
          <c:order val="4"/>
          <c:tx>
            <c:strRef>
              <c:f>'18 NI Assembly Visual'!$S$37</c:f>
              <c:strCache>
                <c:ptCount val="1"/>
                <c:pt idx="0">
                  <c:v>Alliance</c:v>
                </c:pt>
              </c:strCache>
            </c:strRef>
          </c:tx>
          <c:spPr>
            <a:solidFill>
              <a:srgbClr val="FF960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Visual'!$T$37:$Y$37</c:f>
              <c:numCache>
                <c:formatCode>#,##0_);\(#,##0\)</c:formatCode>
                <c:ptCount val="6"/>
                <c:pt idx="0">
                  <c:v>8</c:v>
                </c:pt>
                <c:pt idx="1">
                  <c:v>8</c:v>
                </c:pt>
                <c:pt idx="2">
                  <c:v>8</c:v>
                </c:pt>
                <c:pt idx="3">
                  <c:v>7</c:v>
                </c:pt>
                <c:pt idx="4">
                  <c:v>6</c:v>
                </c:pt>
                <c:pt idx="5">
                  <c:v>6</c:v>
                </c:pt>
              </c:numCache>
            </c:numRef>
          </c:val>
          <c:extLst>
            <c:ext xmlns:c16="http://schemas.microsoft.com/office/drawing/2014/chart" uri="{C3380CC4-5D6E-409C-BE32-E72D297353CC}">
              <c16:uniqueId val="{00000004-8001-4F31-BF22-6DDB5B81980E}"/>
            </c:ext>
          </c:extLst>
        </c:ser>
        <c:ser>
          <c:idx val="5"/>
          <c:order val="5"/>
          <c:tx>
            <c:strRef>
              <c:f>'18 NI Assembly Visual'!$S$38</c:f>
              <c:strCache>
                <c:ptCount val="1"/>
                <c:pt idx="0">
                  <c:v>Other</c:v>
                </c:pt>
              </c:strCache>
            </c:strRef>
          </c:tx>
          <c:spPr>
            <a:solidFill>
              <a:schemeClr val="bg1">
                <a:lumMod val="75000"/>
              </a:schemeClr>
            </a:solidFill>
            <a:ln>
              <a:noFill/>
            </a:ln>
            <a:effectLst/>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Visual'!$T$38:$Y$38</c:f>
              <c:numCache>
                <c:formatCode>#,##0_);\(#,##0\)</c:formatCode>
                <c:ptCount val="6"/>
                <c:pt idx="0">
                  <c:v>5</c:v>
                </c:pt>
                <c:pt idx="1">
                  <c:v>6</c:v>
                </c:pt>
                <c:pt idx="2">
                  <c:v>3</c:v>
                </c:pt>
                <c:pt idx="3">
                  <c:v>3</c:v>
                </c:pt>
                <c:pt idx="4">
                  <c:v>3</c:v>
                </c:pt>
                <c:pt idx="5">
                  <c:v>12</c:v>
                </c:pt>
              </c:numCache>
            </c:numRef>
          </c:val>
          <c:extLst>
            <c:ext xmlns:c16="http://schemas.microsoft.com/office/drawing/2014/chart" uri="{C3380CC4-5D6E-409C-BE32-E72D297353CC}">
              <c16:uniqueId val="{00000005-8001-4F31-BF22-6DDB5B81980E}"/>
            </c:ext>
          </c:extLst>
        </c:ser>
        <c:dLbls>
          <c:showLegendKey val="0"/>
          <c:showVal val="0"/>
          <c:showCatName val="0"/>
          <c:showSerName val="0"/>
          <c:showPercent val="0"/>
          <c:showBubbleSize val="0"/>
        </c:dLbls>
        <c:gapWidth val="202"/>
        <c:axId val="411509368"/>
        <c:axId val="411509760"/>
      </c:barChart>
      <c:catAx>
        <c:axId val="41150936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11509760"/>
        <c:crosses val="autoZero"/>
        <c:auto val="1"/>
        <c:lblAlgn val="ctr"/>
        <c:lblOffset val="100"/>
        <c:noMultiLvlLbl val="0"/>
      </c:catAx>
      <c:valAx>
        <c:axId val="411509760"/>
        <c:scaling>
          <c:orientation val="minMax"/>
        </c:scaling>
        <c:delete val="0"/>
        <c:axPos val="b"/>
        <c:numFmt formatCode="#,##0_);\(#,##0\)" sourceLinked="1"/>
        <c:majorTickMark val="none"/>
        <c:minorTickMark val="none"/>
        <c:tickLblPos val="nextTo"/>
        <c:spPr>
          <a:noFill/>
          <a:ln>
            <a:solidFill>
              <a:schemeClr val="tx1"/>
            </a:solidFill>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11509368"/>
        <c:crosses val="autoZero"/>
        <c:crossBetween val="between"/>
        <c:majorUnit val="25"/>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NI</a:t>
            </a:r>
          </a:p>
        </c:rich>
      </c:tx>
      <c:layout>
        <c:manualLayout>
          <c:xMode val="edge"/>
          <c:yMode val="edge"/>
          <c:x val="0.12902932952747859"/>
          <c:y val="6.085978797261863E-2"/>
        </c:manualLayout>
      </c:layout>
      <c:overlay val="0"/>
      <c:spPr>
        <a:noFill/>
        <a:ln w="25400">
          <a:noFill/>
        </a:ln>
      </c:spPr>
    </c:title>
    <c:autoTitleDeleted val="0"/>
    <c:plotArea>
      <c:layout>
        <c:manualLayout>
          <c:layoutTarget val="inner"/>
          <c:xMode val="edge"/>
          <c:yMode val="edge"/>
          <c:x val="0.21718021835514426"/>
          <c:y val="0.16259849556338971"/>
          <c:w val="0.49593018601051481"/>
          <c:h val="0.74671761204112219"/>
        </c:manualLayout>
      </c:layout>
      <c:barChart>
        <c:barDir val="bar"/>
        <c:grouping val="stacked"/>
        <c:varyColors val="0"/>
        <c:ser>
          <c:idx val="0"/>
          <c:order val="0"/>
          <c:tx>
            <c:strRef>
              <c:f>'GE-NI Visual'!$J$6:$J$7</c:f>
              <c:strCache>
                <c:ptCount val="2"/>
                <c:pt idx="0">
                  <c:v>UUP</c:v>
                </c:pt>
              </c:strCache>
            </c:strRef>
          </c:tx>
          <c:spPr>
            <a:solidFill>
              <a:srgbClr val="00539F"/>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Visual'!$J$42:$J$69</c15:sqref>
                  </c15:fullRef>
                </c:ext>
              </c:extLst>
              <c:f>'GE-NI Visual'!$J$54:$J$68</c:f>
              <c:numCache>
                <c:formatCode>0</c:formatCode>
                <c:ptCount val="15"/>
                <c:pt idx="0" formatCode="#,##0_);\(#,##0\)">
                  <c:v>0</c:v>
                </c:pt>
                <c:pt idx="1" formatCode="General">
                  <c:v>8</c:v>
                </c:pt>
                <c:pt idx="2" formatCode="General">
                  <c:v>11</c:v>
                </c:pt>
                <c:pt idx="3" formatCode="General">
                  <c:v>12</c:v>
                </c:pt>
                <c:pt idx="4" formatCode="General">
                  <c:v>12</c:v>
                </c:pt>
                <c:pt idx="5" formatCode="General">
                  <c:v>10</c:v>
                </c:pt>
                <c:pt idx="6" formatCode="General">
                  <c:v>9</c:v>
                </c:pt>
                <c:pt idx="7" formatCode="General">
                  <c:v>10</c:v>
                </c:pt>
                <c:pt idx="8" formatCode="General">
                  <c:v>8</c:v>
                </c:pt>
                <c:pt idx="9">
                  <c:v>10</c:v>
                </c:pt>
                <c:pt idx="10">
                  <c:v>10</c:v>
                </c:pt>
                <c:pt idx="11">
                  <c:v>10</c:v>
                </c:pt>
                <c:pt idx="12">
                  <c:v>12</c:v>
                </c:pt>
                <c:pt idx="13">
                  <c:v>10</c:v>
                </c:pt>
                <c:pt idx="14">
                  <c:v>10</c:v>
                </c:pt>
              </c:numCache>
            </c:numRef>
          </c:val>
          <c:extLst>
            <c:ext xmlns:c16="http://schemas.microsoft.com/office/drawing/2014/chart" uri="{C3380CC4-5D6E-409C-BE32-E72D297353CC}">
              <c16:uniqueId val="{00000000-B466-4610-8158-3CDE7E3D50BF}"/>
            </c:ext>
          </c:extLst>
        </c:ser>
        <c:ser>
          <c:idx val="1"/>
          <c:order val="1"/>
          <c:tx>
            <c:strRef>
              <c:f>'GE-NI Visual'!$K$6:$K$7</c:f>
              <c:strCache>
                <c:ptCount val="2"/>
                <c:pt idx="0">
                  <c:v>SDLP</c:v>
                </c:pt>
              </c:strCache>
            </c:strRef>
          </c:tx>
          <c:spPr>
            <a:solidFill>
              <a:srgbClr val="4EA268"/>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Visual'!$K$42:$K$69</c15:sqref>
                  </c15:fullRef>
                </c:ext>
              </c:extLst>
              <c:f>'GE-NI Visual'!$K$54:$K$68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2</c:v>
                </c:pt>
                <c:pt idx="7" formatCode="General">
                  <c:v>2</c:v>
                </c:pt>
                <c:pt idx="8" formatCode="General">
                  <c:v>2</c:v>
                </c:pt>
                <c:pt idx="9">
                  <c:v>2</c:v>
                </c:pt>
                <c:pt idx="10">
                  <c:v>2</c:v>
                </c:pt>
                <c:pt idx="11">
                  <c:v>2</c:v>
                </c:pt>
                <c:pt idx="12">
                  <c:v>0</c:v>
                </c:pt>
                <c:pt idx="13">
                  <c:v>2</c:v>
                </c:pt>
                <c:pt idx="14">
                  <c:v>2</c:v>
                </c:pt>
              </c:numCache>
            </c:numRef>
          </c:val>
          <c:extLst>
            <c:ext xmlns:c16="http://schemas.microsoft.com/office/drawing/2014/chart" uri="{C3380CC4-5D6E-409C-BE32-E72D297353CC}">
              <c16:uniqueId val="{00000001-B466-4610-8158-3CDE7E3D50BF}"/>
            </c:ext>
          </c:extLst>
        </c:ser>
        <c:ser>
          <c:idx val="2"/>
          <c:order val="2"/>
          <c:tx>
            <c:strRef>
              <c:f>'GE-NI Visual'!$L$6:$L$7</c:f>
              <c:strCache>
                <c:ptCount val="2"/>
                <c:pt idx="0">
                  <c:v>DUP</c:v>
                </c:pt>
              </c:strCache>
            </c:strRef>
          </c:tx>
          <c:spPr>
            <a:solidFill>
              <a:srgbClr val="CC3300"/>
            </a:solidFill>
            <a:ln w="25400">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Visual'!$L$42:$L$69</c15:sqref>
                  </c15:fullRef>
                </c:ext>
              </c:extLst>
              <c:f>'GE-NI Visual'!$L$54:$L$68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466-4610-8158-3CDE7E3D50BF}"/>
            </c:ext>
          </c:extLst>
        </c:ser>
        <c:ser>
          <c:idx val="3"/>
          <c:order val="3"/>
          <c:tx>
            <c:strRef>
              <c:f>'GE-NI Visual'!$M$6:$M$7</c:f>
              <c:strCache>
                <c:ptCount val="2"/>
                <c:pt idx="0">
                  <c:v>SF</c:v>
                </c:pt>
              </c:strCache>
            </c:strRef>
          </c:tx>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Visual'!$M$42:$M$69</c15:sqref>
                  </c15:fullRef>
                </c:ext>
              </c:extLst>
              <c:f>'GE-NI Visual'!$M$54:$M$68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3-B466-4610-8158-3CDE7E3D50BF}"/>
            </c:ext>
          </c:extLst>
        </c:ser>
        <c:dLbls>
          <c:showLegendKey val="0"/>
          <c:showVal val="0"/>
          <c:showCatName val="0"/>
          <c:showSerName val="0"/>
          <c:showPercent val="0"/>
          <c:showBubbleSize val="0"/>
        </c:dLbls>
        <c:gapWidth val="65"/>
        <c:overlap val="100"/>
        <c:axId val="462142832"/>
        <c:axId val="461926304"/>
      </c:barChart>
      <c:catAx>
        <c:axId val="46214283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1926304"/>
        <c:crosses val="autoZero"/>
        <c:auto val="1"/>
        <c:lblAlgn val="ctr"/>
        <c:lblOffset val="100"/>
        <c:noMultiLvlLbl val="0"/>
      </c:catAx>
      <c:valAx>
        <c:axId val="461926304"/>
        <c:scaling>
          <c:orientation val="minMax"/>
          <c:max val="20"/>
        </c:scaling>
        <c:delete val="1"/>
        <c:axPos val="b"/>
        <c:numFmt formatCode="0" sourceLinked="0"/>
        <c:majorTickMark val="out"/>
        <c:minorTickMark val="none"/>
        <c:tickLblPos val="nextTo"/>
        <c:crossAx val="462142832"/>
        <c:crosses val="autoZero"/>
        <c:crossBetween val="between"/>
        <c:majorUnit val="10"/>
      </c:valAx>
      <c:spPr>
        <a:noFill/>
        <a:ln w="25400">
          <a:noFill/>
        </a:ln>
      </c:spPr>
    </c:plotArea>
    <c:legend>
      <c:legendPos val="r"/>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UK INDEPENDENCE PARTY</a:t>
            </a:r>
          </a:p>
        </c:rich>
      </c:tx>
      <c:layout>
        <c:manualLayout>
          <c:xMode val="edge"/>
          <c:yMode val="edge"/>
          <c:x val="0.17586620882775922"/>
          <c:y val="0.15840022983350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7030A0"/>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NAW'!$U$13:$Z$13</c:f>
              <c:numCache>
                <c:formatCode>0.0%</c:formatCode>
                <c:ptCount val="6"/>
                <c:pt idx="1">
                  <c:v>2.9000000000000001E-2</c:v>
                </c:pt>
                <c:pt idx="2">
                  <c:v>2.8950605209337194E-2</c:v>
                </c:pt>
                <c:pt idx="3">
                  <c:v>4.5600000000000002E-2</c:v>
                </c:pt>
                <c:pt idx="4">
                  <c:v>0.12741412392465942</c:v>
                </c:pt>
                <c:pt idx="5">
                  <c:v>1.1665035712277149E-2</c:v>
                </c:pt>
              </c:numCache>
            </c:numRef>
          </c:val>
          <c:extLst>
            <c:ext xmlns:c16="http://schemas.microsoft.com/office/drawing/2014/chart" uri="{C3380CC4-5D6E-409C-BE32-E72D297353CC}">
              <c16:uniqueId val="{00000000-ACD9-40A3-986F-59E2A4C56EAC}"/>
            </c:ext>
          </c:extLst>
        </c:ser>
        <c:ser>
          <c:idx val="1"/>
          <c:order val="1"/>
          <c:tx>
            <c:v>% Seats</c:v>
          </c:tx>
          <c:spPr>
            <a:solidFill>
              <a:srgbClr val="7030A0">
                <a:alpha val="50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NAW'!$AB$13:$AG$13</c:f>
              <c:numCache>
                <c:formatCode>0.0%</c:formatCode>
                <c:ptCount val="6"/>
                <c:pt idx="0">
                  <c:v>0</c:v>
                </c:pt>
                <c:pt idx="1">
                  <c:v>0</c:v>
                </c:pt>
                <c:pt idx="2">
                  <c:v>0</c:v>
                </c:pt>
                <c:pt idx="3">
                  <c:v>0</c:v>
                </c:pt>
                <c:pt idx="4">
                  <c:v>0.11666666666666667</c:v>
                </c:pt>
                <c:pt idx="5">
                  <c:v>0</c:v>
                </c:pt>
              </c:numCache>
            </c:numRef>
          </c:val>
          <c:extLst>
            <c:ext xmlns:c16="http://schemas.microsoft.com/office/drawing/2014/chart" uri="{C3380CC4-5D6E-409C-BE32-E72D297353CC}">
              <c16:uniqueId val="{00000001-ACD9-40A3-986F-59E2A4C56EAC}"/>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717692580602243"/>
          <c:y val="0.2813573640827306"/>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b="1" cap="none" baseline="0"/>
              <a:t>Senedd Members by party</a:t>
            </a:r>
          </a:p>
        </c:rich>
      </c:tx>
      <c:layout>
        <c:manualLayout>
          <c:xMode val="edge"/>
          <c:yMode val="edge"/>
          <c:x val="0.1122482950068617"/>
          <c:y val="3.1880975596344507E-2"/>
        </c:manualLayout>
      </c:layout>
      <c:overlay val="0"/>
      <c:spPr>
        <a:noFill/>
        <a:ln w="25400">
          <a:noFill/>
        </a:ln>
      </c:spPr>
    </c:title>
    <c:autoTitleDeleted val="0"/>
    <c:plotArea>
      <c:layout>
        <c:manualLayout>
          <c:layoutTarget val="inner"/>
          <c:xMode val="edge"/>
          <c:yMode val="edge"/>
          <c:x val="0.24159471445379677"/>
          <c:y val="0.13680420689463288"/>
          <c:w val="0.67300307461567299"/>
          <c:h val="0.57827828884541665"/>
        </c:manualLayout>
      </c:layout>
      <c:barChart>
        <c:barDir val="bar"/>
        <c:grouping val="clustered"/>
        <c:varyColors val="0"/>
        <c:ser>
          <c:idx val="0"/>
          <c:order val="0"/>
          <c:tx>
            <c:strRef>
              <c:f>'16 NAW Visual'!$A$11</c:f>
              <c:strCache>
                <c:ptCount val="1"/>
                <c:pt idx="0">
                  <c:v>LAB</c:v>
                </c:pt>
              </c:strCache>
            </c:strRef>
          </c:tx>
          <c:spPr>
            <a:solidFill>
              <a:srgbClr val="D50000"/>
            </a:solidFill>
            <a:ln w="25400">
              <a:noFill/>
            </a:ln>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Visual'!$B$11:$G$11</c:f>
              <c:numCache>
                <c:formatCode>#,##0_);\(#,##0\)</c:formatCode>
                <c:ptCount val="6"/>
                <c:pt idx="0">
                  <c:v>30</c:v>
                </c:pt>
                <c:pt idx="1">
                  <c:v>29</c:v>
                </c:pt>
                <c:pt idx="2">
                  <c:v>30</c:v>
                </c:pt>
                <c:pt idx="3">
                  <c:v>26</c:v>
                </c:pt>
                <c:pt idx="4">
                  <c:v>30</c:v>
                </c:pt>
                <c:pt idx="5">
                  <c:v>28</c:v>
                </c:pt>
              </c:numCache>
            </c:numRef>
          </c:val>
          <c:extLst>
            <c:ext xmlns:c16="http://schemas.microsoft.com/office/drawing/2014/chart" uri="{C3380CC4-5D6E-409C-BE32-E72D297353CC}">
              <c16:uniqueId val="{00000000-C8CE-4F16-9790-DA1150BB97CC}"/>
            </c:ext>
          </c:extLst>
        </c:ser>
        <c:ser>
          <c:idx val="1"/>
          <c:order val="1"/>
          <c:tx>
            <c:strRef>
              <c:f>'16 NAW Visual'!$A$12</c:f>
              <c:strCache>
                <c:ptCount val="1"/>
                <c:pt idx="0">
                  <c:v>PC</c:v>
                </c:pt>
              </c:strCache>
            </c:strRef>
          </c:tx>
          <c:spPr>
            <a:solidFill>
              <a:srgbClr val="348837"/>
            </a:solidFill>
            <a:ln w="25400">
              <a:noFill/>
            </a:ln>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Visual'!$B$12:$G$12</c:f>
              <c:numCache>
                <c:formatCode>#,##0_);\(#,##0\)</c:formatCode>
                <c:ptCount val="6"/>
                <c:pt idx="0">
                  <c:v>13</c:v>
                </c:pt>
                <c:pt idx="1">
                  <c:v>12</c:v>
                </c:pt>
                <c:pt idx="2">
                  <c:v>11</c:v>
                </c:pt>
                <c:pt idx="3">
                  <c:v>15</c:v>
                </c:pt>
                <c:pt idx="4">
                  <c:v>12</c:v>
                </c:pt>
                <c:pt idx="5">
                  <c:v>17</c:v>
                </c:pt>
              </c:numCache>
            </c:numRef>
          </c:val>
          <c:extLst>
            <c:ext xmlns:c16="http://schemas.microsoft.com/office/drawing/2014/chart" uri="{C3380CC4-5D6E-409C-BE32-E72D297353CC}">
              <c16:uniqueId val="{00000001-C8CE-4F16-9790-DA1150BB97CC}"/>
            </c:ext>
          </c:extLst>
        </c:ser>
        <c:ser>
          <c:idx val="2"/>
          <c:order val="2"/>
          <c:tx>
            <c:strRef>
              <c:f>'16 NAW Visual'!$A$13</c:f>
              <c:strCache>
                <c:ptCount val="1"/>
                <c:pt idx="0">
                  <c:v>CON</c:v>
                </c:pt>
              </c:strCache>
            </c:strRef>
          </c:tx>
          <c:spPr>
            <a:solidFill>
              <a:srgbClr val="00539F"/>
            </a:solidFill>
            <a:ln w="25400">
              <a:noFill/>
            </a:ln>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Visual'!$B$13:$G$13</c:f>
              <c:numCache>
                <c:formatCode>#,##0_);\(#,##0\)</c:formatCode>
                <c:ptCount val="6"/>
                <c:pt idx="0">
                  <c:v>16</c:v>
                </c:pt>
                <c:pt idx="1">
                  <c:v>11</c:v>
                </c:pt>
                <c:pt idx="2">
                  <c:v>14</c:v>
                </c:pt>
                <c:pt idx="3">
                  <c:v>12</c:v>
                </c:pt>
                <c:pt idx="4">
                  <c:v>11</c:v>
                </c:pt>
                <c:pt idx="5">
                  <c:v>9</c:v>
                </c:pt>
              </c:numCache>
            </c:numRef>
          </c:val>
          <c:extLst>
            <c:ext xmlns:c16="http://schemas.microsoft.com/office/drawing/2014/chart" uri="{C3380CC4-5D6E-409C-BE32-E72D297353CC}">
              <c16:uniqueId val="{00000002-C8CE-4F16-9790-DA1150BB97CC}"/>
            </c:ext>
          </c:extLst>
        </c:ser>
        <c:ser>
          <c:idx val="3"/>
          <c:order val="3"/>
          <c:tx>
            <c:strRef>
              <c:f>'16 NAW Visual'!$A$14</c:f>
              <c:strCache>
                <c:ptCount val="1"/>
                <c:pt idx="0">
                  <c:v>UKIP</c:v>
                </c:pt>
              </c:strCache>
            </c:strRef>
          </c:tx>
          <c:spPr>
            <a:solidFill>
              <a:srgbClr val="722889"/>
            </a:solidFill>
            <a:ln w="25400">
              <a:noFill/>
            </a:ln>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Visual'!$B$14:$G$14</c:f>
              <c:numCache>
                <c:formatCode>#,##0_);\(#,##0\)</c:formatCode>
                <c:ptCount val="6"/>
                <c:pt idx="0">
                  <c:v>0</c:v>
                </c:pt>
                <c:pt idx="1">
                  <c:v>7</c:v>
                </c:pt>
                <c:pt idx="2">
                  <c:v>0</c:v>
                </c:pt>
                <c:pt idx="3">
                  <c:v>0</c:v>
                </c:pt>
                <c:pt idx="4">
                  <c:v>0</c:v>
                </c:pt>
                <c:pt idx="5">
                  <c:v>0</c:v>
                </c:pt>
              </c:numCache>
            </c:numRef>
          </c:val>
          <c:extLst>
            <c:ext xmlns:c16="http://schemas.microsoft.com/office/drawing/2014/chart" uri="{C3380CC4-5D6E-409C-BE32-E72D297353CC}">
              <c16:uniqueId val="{00000003-C8CE-4F16-9790-DA1150BB97CC}"/>
            </c:ext>
          </c:extLst>
        </c:ser>
        <c:ser>
          <c:idx val="4"/>
          <c:order val="4"/>
          <c:tx>
            <c:strRef>
              <c:f>'16 NAW Visual'!$A$15</c:f>
              <c:strCache>
                <c:ptCount val="1"/>
                <c:pt idx="0">
                  <c:v>LD</c:v>
                </c:pt>
              </c:strCache>
            </c:strRef>
          </c:tx>
          <c:spPr>
            <a:solidFill>
              <a:srgbClr val="FAA01A"/>
            </a:solidFill>
            <a:ln w="25400">
              <a:noFill/>
            </a:ln>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Visual'!$B$15:$G$15</c:f>
              <c:numCache>
                <c:formatCode>#,##0_);\(#,##0\)</c:formatCode>
                <c:ptCount val="6"/>
                <c:pt idx="0">
                  <c:v>1</c:v>
                </c:pt>
                <c:pt idx="1">
                  <c:v>1</c:v>
                </c:pt>
                <c:pt idx="2">
                  <c:v>5</c:v>
                </c:pt>
                <c:pt idx="3">
                  <c:v>6</c:v>
                </c:pt>
                <c:pt idx="4">
                  <c:v>6</c:v>
                </c:pt>
                <c:pt idx="5">
                  <c:v>6</c:v>
                </c:pt>
              </c:numCache>
            </c:numRef>
          </c:val>
          <c:extLst>
            <c:ext xmlns:c16="http://schemas.microsoft.com/office/drawing/2014/chart" uri="{C3380CC4-5D6E-409C-BE32-E72D297353CC}">
              <c16:uniqueId val="{00000004-C8CE-4F16-9790-DA1150BB97CC}"/>
            </c:ext>
          </c:extLst>
        </c:ser>
        <c:ser>
          <c:idx val="5"/>
          <c:order val="5"/>
          <c:tx>
            <c:strRef>
              <c:f>'16 NAW Visual'!$A$16</c:f>
              <c:strCache>
                <c:ptCount val="1"/>
                <c:pt idx="0">
                  <c:v>Other</c:v>
                </c:pt>
              </c:strCache>
            </c:strRef>
          </c:tx>
          <c:spPr>
            <a:solidFill>
              <a:schemeClr val="bg1">
                <a:lumMod val="75000"/>
              </a:schemeClr>
            </a:solidFill>
          </c:spPr>
          <c:invertIfNegative val="0"/>
          <c:cat>
            <c:numRef>
              <c:f>'16 NAW Visual'!$B$10:$G$10</c:f>
              <c:numCache>
                <c:formatCode>0</c:formatCode>
                <c:ptCount val="6"/>
                <c:pt idx="0">
                  <c:v>2021</c:v>
                </c:pt>
                <c:pt idx="1">
                  <c:v>2016</c:v>
                </c:pt>
                <c:pt idx="2">
                  <c:v>2011</c:v>
                </c:pt>
                <c:pt idx="3">
                  <c:v>2007</c:v>
                </c:pt>
                <c:pt idx="4">
                  <c:v>2003</c:v>
                </c:pt>
                <c:pt idx="5">
                  <c:v>1999</c:v>
                </c:pt>
              </c:numCache>
            </c:numRef>
          </c:cat>
          <c:val>
            <c:numRef>
              <c:f>'16 NAW Visual'!$B$16:$G$16</c:f>
              <c:numCache>
                <c:formatCode>#,##0_);\(#,##0\)</c:formatCode>
                <c:ptCount val="6"/>
                <c:pt idx="0">
                  <c:v>0</c:v>
                </c:pt>
                <c:pt idx="1">
                  <c:v>0</c:v>
                </c:pt>
                <c:pt idx="2">
                  <c:v>0</c:v>
                </c:pt>
                <c:pt idx="3">
                  <c:v>1</c:v>
                </c:pt>
                <c:pt idx="4">
                  <c:v>1</c:v>
                </c:pt>
                <c:pt idx="5">
                  <c:v>0</c:v>
                </c:pt>
              </c:numCache>
            </c:numRef>
          </c:val>
          <c:extLst>
            <c:ext xmlns:c16="http://schemas.microsoft.com/office/drawing/2014/chart" uri="{C3380CC4-5D6E-409C-BE32-E72D297353CC}">
              <c16:uniqueId val="{00000005-C8CE-4F16-9790-DA1150BB97CC}"/>
            </c:ext>
          </c:extLst>
        </c:ser>
        <c:dLbls>
          <c:showLegendKey val="0"/>
          <c:showVal val="0"/>
          <c:showCatName val="0"/>
          <c:showSerName val="0"/>
          <c:showPercent val="0"/>
          <c:showBubbleSize val="0"/>
        </c:dLbls>
        <c:gapWidth val="90"/>
        <c:axId val="471983304"/>
        <c:axId val="471983696"/>
      </c:barChart>
      <c:catAx>
        <c:axId val="471983304"/>
        <c:scaling>
          <c:orientation val="minMax"/>
        </c:scaling>
        <c:delete val="0"/>
        <c:axPos val="l"/>
        <c:numFmt formatCode="0"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1983696"/>
        <c:crosses val="autoZero"/>
        <c:auto val="1"/>
        <c:lblAlgn val="ctr"/>
        <c:lblOffset val="100"/>
        <c:noMultiLvlLbl val="0"/>
      </c:catAx>
      <c:valAx>
        <c:axId val="471983696"/>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1983304"/>
        <c:crosses val="autoZero"/>
        <c:crossBetween val="between"/>
        <c:majorUnit val="10"/>
      </c:valAx>
      <c:spPr>
        <a:noFill/>
        <a:ln w="25400">
          <a:noFill/>
        </a:ln>
      </c:spPr>
    </c:plotArea>
    <c:legend>
      <c:legendPos val="r"/>
      <c:layout>
        <c:manualLayout>
          <c:xMode val="edge"/>
          <c:yMode val="edge"/>
          <c:x val="0.15662090449429408"/>
          <c:y val="0.77385166921474891"/>
          <c:w val="0.6750150018524026"/>
          <c:h val="0.10129564193168433"/>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29411938939379"/>
          <c:y val="0.14724595266299678"/>
          <c:w val="0.88442275124966108"/>
          <c:h val="0.72150558613801596"/>
        </c:manualLayout>
      </c:layout>
      <c:barChart>
        <c:barDir val="col"/>
        <c:grouping val="clustered"/>
        <c:varyColors val="0"/>
        <c:ser>
          <c:idx val="0"/>
          <c:order val="0"/>
          <c:tx>
            <c:strRef>
              <c:f>'[4]Historical Summary (Visual)'!$C$13</c:f>
              <c:strCache>
                <c:ptCount val="1"/>
                <c:pt idx="0">
                  <c:v>Vote share</c:v>
                </c:pt>
              </c:strCache>
            </c:strRef>
          </c:tx>
          <c:spPr>
            <a:solidFill>
              <a:srgbClr val="00539F"/>
            </a:solidFill>
            <a:ln w="25400">
              <a:noFill/>
            </a:ln>
          </c:spPr>
          <c:invertIfNegative val="0"/>
          <c:cat>
            <c:numRef>
              <c:f>'[4]Historical Summary (Visual)'!$D$12:$H$12</c:f>
              <c:numCache>
                <c:formatCode>General</c:formatCode>
                <c:ptCount val="5"/>
                <c:pt idx="0">
                  <c:v>1999</c:v>
                </c:pt>
                <c:pt idx="1">
                  <c:v>2003</c:v>
                </c:pt>
                <c:pt idx="2">
                  <c:v>2007</c:v>
                </c:pt>
                <c:pt idx="3">
                  <c:v>2011</c:v>
                </c:pt>
                <c:pt idx="4">
                  <c:v>2016</c:v>
                </c:pt>
              </c:numCache>
            </c:numRef>
          </c:cat>
          <c:val>
            <c:numRef>
              <c:f>'[4]Historical Summary (Visual)'!$D$13:$H$13</c:f>
              <c:numCache>
                <c:formatCode>General</c:formatCode>
                <c:ptCount val="5"/>
                <c:pt idx="0">
                  <c:v>0.16152848638753101</c:v>
                </c:pt>
                <c:pt idx="1">
                  <c:v>0.19551653080841783</c:v>
                </c:pt>
                <c:pt idx="2">
                  <c:v>0.21910431680832085</c:v>
                </c:pt>
                <c:pt idx="3">
                  <c:v>0.2376862414330653</c:v>
                </c:pt>
                <c:pt idx="4">
                  <c:v>0.1998124007250299</c:v>
                </c:pt>
              </c:numCache>
            </c:numRef>
          </c:val>
          <c:extLst>
            <c:ext xmlns:c16="http://schemas.microsoft.com/office/drawing/2014/chart" uri="{C3380CC4-5D6E-409C-BE32-E72D297353CC}">
              <c16:uniqueId val="{00000000-79B1-493B-B0A1-2CB933063C5A}"/>
            </c:ext>
          </c:extLst>
        </c:ser>
        <c:ser>
          <c:idx val="1"/>
          <c:order val="1"/>
          <c:tx>
            <c:strRef>
              <c:f>'[4]Historical Summary (Visual)'!$C$14</c:f>
              <c:strCache>
                <c:ptCount val="1"/>
                <c:pt idx="0">
                  <c:v>% Seats </c:v>
                </c:pt>
              </c:strCache>
            </c:strRef>
          </c:tx>
          <c:spPr>
            <a:solidFill>
              <a:schemeClr val="accent4">
                <a:lumMod val="40000"/>
                <a:lumOff val="60000"/>
              </a:schemeClr>
            </a:solidFill>
            <a:ln w="25400">
              <a:noFill/>
            </a:ln>
          </c:spPr>
          <c:invertIfNegative val="0"/>
          <c:cat>
            <c:numRef>
              <c:f>'[4]Historical Summary (Visual)'!$D$12:$H$12</c:f>
              <c:numCache>
                <c:formatCode>General</c:formatCode>
                <c:ptCount val="5"/>
                <c:pt idx="0">
                  <c:v>1999</c:v>
                </c:pt>
                <c:pt idx="1">
                  <c:v>2003</c:v>
                </c:pt>
                <c:pt idx="2">
                  <c:v>2007</c:v>
                </c:pt>
                <c:pt idx="3">
                  <c:v>2011</c:v>
                </c:pt>
                <c:pt idx="4">
                  <c:v>2016</c:v>
                </c:pt>
              </c:numCache>
            </c:numRef>
          </c:cat>
          <c:val>
            <c:numRef>
              <c:f>'[4]Historical Summary (Visual)'!$D$14:$H$14</c:f>
              <c:numCache>
                <c:formatCode>General</c:formatCode>
                <c:ptCount val="5"/>
                <c:pt idx="0">
                  <c:v>0.15</c:v>
                </c:pt>
                <c:pt idx="1">
                  <c:v>0.18333333333333332</c:v>
                </c:pt>
                <c:pt idx="2">
                  <c:v>0.2</c:v>
                </c:pt>
                <c:pt idx="3">
                  <c:v>0.23333333333333334</c:v>
                </c:pt>
                <c:pt idx="4">
                  <c:v>0.18333333333333332</c:v>
                </c:pt>
              </c:numCache>
            </c:numRef>
          </c:val>
          <c:extLst>
            <c:ext xmlns:c16="http://schemas.microsoft.com/office/drawing/2014/chart" uri="{C3380CC4-5D6E-409C-BE32-E72D297353CC}">
              <c16:uniqueId val="{00000001-79B1-493B-B0A1-2CB933063C5A}"/>
            </c:ext>
          </c:extLst>
        </c:ser>
        <c:dLbls>
          <c:showLegendKey val="0"/>
          <c:showVal val="0"/>
          <c:showCatName val="0"/>
          <c:showSerName val="0"/>
          <c:showPercent val="0"/>
          <c:showBubbleSize val="0"/>
        </c:dLbls>
        <c:gapWidth val="200"/>
        <c:axId val="471984480"/>
        <c:axId val="471984872"/>
      </c:barChart>
      <c:catAx>
        <c:axId val="4719844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1984872"/>
        <c:crosses val="autoZero"/>
        <c:auto val="1"/>
        <c:lblAlgn val="ctr"/>
        <c:lblOffset val="100"/>
        <c:noMultiLvlLbl val="0"/>
      </c:catAx>
      <c:valAx>
        <c:axId val="471984872"/>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1984480"/>
        <c:crosses val="autoZero"/>
        <c:crossBetween val="between"/>
        <c:majorUnit val="0.1"/>
      </c:valAx>
      <c:spPr>
        <a:noFill/>
        <a:ln w="25400">
          <a:noFill/>
        </a:ln>
      </c:spPr>
    </c:plotArea>
    <c:legend>
      <c:legendPos val="r"/>
      <c:layout>
        <c:manualLayout>
          <c:xMode val="edge"/>
          <c:yMode val="edge"/>
          <c:x val="0.22878267522832707"/>
          <c:y val="0.11520785708238084"/>
          <c:w val="0.62361739837870822"/>
          <c:h val="0.12903274187500757"/>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Labour</a:t>
            </a:r>
          </a:p>
        </c:rich>
      </c:tx>
      <c:layout>
        <c:manualLayout>
          <c:xMode val="edge"/>
          <c:yMode val="edge"/>
          <c:x val="0.39761000463177404"/>
          <c:y val="5.7971014492753624E-3"/>
        </c:manualLayout>
      </c:layout>
      <c:overlay val="0"/>
      <c:spPr>
        <a:noFill/>
        <a:ln w="25400">
          <a:noFill/>
        </a:ln>
      </c:spPr>
    </c:title>
    <c:autoTitleDeleted val="0"/>
    <c:plotArea>
      <c:layout>
        <c:manualLayout>
          <c:layoutTarget val="inner"/>
          <c:xMode val="edge"/>
          <c:yMode val="edge"/>
          <c:x val="0.13729411938939379"/>
          <c:y val="0.19364015966297507"/>
          <c:w val="0.88442275124966108"/>
          <c:h val="0.6808227811624461"/>
        </c:manualLayout>
      </c:layout>
      <c:barChart>
        <c:barDir val="col"/>
        <c:grouping val="clustered"/>
        <c:varyColors val="0"/>
        <c:ser>
          <c:idx val="0"/>
          <c:order val="0"/>
          <c:tx>
            <c:strRef>
              <c:f>'[4]Historical Summary (Visual)'!$C$26</c:f>
              <c:strCache>
                <c:ptCount val="1"/>
                <c:pt idx="0">
                  <c:v>Vote share</c:v>
                </c:pt>
              </c:strCache>
            </c:strRef>
          </c:tx>
          <c:spPr>
            <a:solidFill>
              <a:srgbClr val="D50000"/>
            </a:solidFill>
            <a:ln w="25400">
              <a:noFill/>
            </a:ln>
          </c:spPr>
          <c:invertIfNegative val="0"/>
          <c:cat>
            <c:numRef>
              <c:f>'[4]Historical Summary (Visual)'!$D$25:$H$25</c:f>
              <c:numCache>
                <c:formatCode>General</c:formatCode>
                <c:ptCount val="5"/>
                <c:pt idx="0">
                  <c:v>1999</c:v>
                </c:pt>
                <c:pt idx="1">
                  <c:v>2003</c:v>
                </c:pt>
                <c:pt idx="2">
                  <c:v>2007</c:v>
                </c:pt>
                <c:pt idx="3">
                  <c:v>2011</c:v>
                </c:pt>
                <c:pt idx="4">
                  <c:v>2016</c:v>
                </c:pt>
              </c:numCache>
            </c:numRef>
          </c:cat>
          <c:val>
            <c:numRef>
              <c:f>'[4]Historical Summary (Visual)'!$D$26:$H$26</c:f>
              <c:numCache>
                <c:formatCode>General</c:formatCode>
                <c:ptCount val="5"/>
                <c:pt idx="0">
                  <c:v>0.36493793402726665</c:v>
                </c:pt>
                <c:pt idx="1">
                  <c:v>0.38283688485315259</c:v>
                </c:pt>
                <c:pt idx="2">
                  <c:v>0.3092256659146142</c:v>
                </c:pt>
                <c:pt idx="3">
                  <c:v>0.39597269117520772</c:v>
                </c:pt>
                <c:pt idx="4">
                  <c:v>0.33088510380149089</c:v>
                </c:pt>
              </c:numCache>
            </c:numRef>
          </c:val>
          <c:extLst>
            <c:ext xmlns:c16="http://schemas.microsoft.com/office/drawing/2014/chart" uri="{C3380CC4-5D6E-409C-BE32-E72D297353CC}">
              <c16:uniqueId val="{00000000-4DDA-47A5-9DCE-9591AF1F9D86}"/>
            </c:ext>
          </c:extLst>
        </c:ser>
        <c:ser>
          <c:idx val="1"/>
          <c:order val="1"/>
          <c:tx>
            <c:strRef>
              <c:f>'[4]Historical Summary (Visual)'!$C$27</c:f>
              <c:strCache>
                <c:ptCount val="1"/>
                <c:pt idx="0">
                  <c:v>% Seats </c:v>
                </c:pt>
              </c:strCache>
            </c:strRef>
          </c:tx>
          <c:spPr>
            <a:solidFill>
              <a:srgbClr val="FF9393"/>
            </a:solidFill>
            <a:ln w="25400">
              <a:noFill/>
            </a:ln>
          </c:spPr>
          <c:invertIfNegative val="0"/>
          <c:cat>
            <c:numRef>
              <c:f>'[4]Historical Summary (Visual)'!$D$25:$H$25</c:f>
              <c:numCache>
                <c:formatCode>General</c:formatCode>
                <c:ptCount val="5"/>
                <c:pt idx="0">
                  <c:v>1999</c:v>
                </c:pt>
                <c:pt idx="1">
                  <c:v>2003</c:v>
                </c:pt>
                <c:pt idx="2">
                  <c:v>2007</c:v>
                </c:pt>
                <c:pt idx="3">
                  <c:v>2011</c:v>
                </c:pt>
                <c:pt idx="4">
                  <c:v>2016</c:v>
                </c:pt>
              </c:numCache>
            </c:numRef>
          </c:cat>
          <c:val>
            <c:numRef>
              <c:f>'[4]Historical Summary (Visual)'!$D$27:$H$27</c:f>
              <c:numCache>
                <c:formatCode>General</c:formatCode>
                <c:ptCount val="5"/>
                <c:pt idx="0">
                  <c:v>0.46666666666666667</c:v>
                </c:pt>
                <c:pt idx="1">
                  <c:v>0.5</c:v>
                </c:pt>
                <c:pt idx="2">
                  <c:v>0.43333333333333335</c:v>
                </c:pt>
                <c:pt idx="3">
                  <c:v>0.5</c:v>
                </c:pt>
                <c:pt idx="4">
                  <c:v>0.48333333333333334</c:v>
                </c:pt>
              </c:numCache>
            </c:numRef>
          </c:val>
          <c:extLst>
            <c:ext xmlns:c16="http://schemas.microsoft.com/office/drawing/2014/chart" uri="{C3380CC4-5D6E-409C-BE32-E72D297353CC}">
              <c16:uniqueId val="{00000001-4DDA-47A5-9DCE-9591AF1F9D86}"/>
            </c:ext>
          </c:extLst>
        </c:ser>
        <c:dLbls>
          <c:showLegendKey val="0"/>
          <c:showVal val="0"/>
          <c:showCatName val="0"/>
          <c:showSerName val="0"/>
          <c:showPercent val="0"/>
          <c:showBubbleSize val="0"/>
        </c:dLbls>
        <c:gapWidth val="190"/>
        <c:axId val="471985656"/>
        <c:axId val="471986048"/>
      </c:barChart>
      <c:catAx>
        <c:axId val="4719856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1986048"/>
        <c:crosses val="autoZero"/>
        <c:auto val="1"/>
        <c:lblAlgn val="ctr"/>
        <c:lblOffset val="100"/>
        <c:noMultiLvlLbl val="0"/>
      </c:catAx>
      <c:valAx>
        <c:axId val="471986048"/>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1985656"/>
        <c:crosses val="autoZero"/>
        <c:crossBetween val="between"/>
        <c:majorUnit val="0.1"/>
      </c:valAx>
      <c:spPr>
        <a:noFill/>
        <a:ln w="25400">
          <a:noFill/>
        </a:ln>
      </c:spPr>
    </c:plotArea>
    <c:legend>
      <c:legendPos val="r"/>
      <c:layout>
        <c:manualLayout>
          <c:xMode val="edge"/>
          <c:yMode val="edge"/>
          <c:x val="0.20343137254901961"/>
          <c:y val="8.9855072463768115E-2"/>
          <c:w val="0.59926470588235281"/>
          <c:h val="0.1217391304347826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Liberal</a:t>
            </a:r>
            <a:r>
              <a:rPr lang="en-GB"/>
              <a:t> </a:t>
            </a:r>
            <a:r>
              <a:rPr lang="en-GB" cap="all" baseline="0"/>
              <a:t>Democrats </a:t>
            </a:r>
          </a:p>
        </c:rich>
      </c:tx>
      <c:layout>
        <c:manualLayout>
          <c:xMode val="edge"/>
          <c:yMode val="edge"/>
          <c:x val="0.25681020641650565"/>
          <c:y val="6.2947131608548923E-2"/>
        </c:manualLayout>
      </c:layout>
      <c:overlay val="0"/>
      <c:spPr>
        <a:noFill/>
        <a:ln w="25400">
          <a:noFill/>
        </a:ln>
      </c:spPr>
    </c:title>
    <c:autoTitleDeleted val="0"/>
    <c:plotArea>
      <c:layout>
        <c:manualLayout>
          <c:layoutTarget val="inner"/>
          <c:xMode val="edge"/>
          <c:yMode val="edge"/>
          <c:x val="0.13729411938939379"/>
          <c:y val="0.21066360267198361"/>
          <c:w val="0.88442275124966108"/>
          <c:h val="0.66280107690401358"/>
        </c:manualLayout>
      </c:layout>
      <c:barChart>
        <c:barDir val="col"/>
        <c:grouping val="clustered"/>
        <c:varyColors val="0"/>
        <c:ser>
          <c:idx val="0"/>
          <c:order val="0"/>
          <c:tx>
            <c:strRef>
              <c:f>'[4]Historical Summary (Visual)'!$C$39</c:f>
              <c:strCache>
                <c:ptCount val="1"/>
                <c:pt idx="0">
                  <c:v>Vote share</c:v>
                </c:pt>
              </c:strCache>
            </c:strRef>
          </c:tx>
          <c:spPr>
            <a:solidFill>
              <a:srgbClr val="FAA01A"/>
            </a:solidFill>
            <a:ln w="25400">
              <a:noFill/>
            </a:ln>
          </c:spPr>
          <c:invertIfNegative val="0"/>
          <c:cat>
            <c:numRef>
              <c:f>'[4]Historical Summary (Visual)'!$D$38:$H$38</c:f>
              <c:numCache>
                <c:formatCode>General</c:formatCode>
                <c:ptCount val="5"/>
                <c:pt idx="0">
                  <c:v>1999</c:v>
                </c:pt>
                <c:pt idx="1">
                  <c:v>2003</c:v>
                </c:pt>
                <c:pt idx="2">
                  <c:v>2007</c:v>
                </c:pt>
                <c:pt idx="3">
                  <c:v>2011</c:v>
                </c:pt>
                <c:pt idx="4">
                  <c:v>2016</c:v>
                </c:pt>
              </c:numCache>
            </c:numRef>
          </c:cat>
          <c:val>
            <c:numRef>
              <c:f>'[4]Historical Summary (Visual)'!$D$39:$H$39</c:f>
              <c:numCache>
                <c:formatCode>General</c:formatCode>
                <c:ptCount val="5"/>
                <c:pt idx="0">
                  <c:v>0.13000212216365895</c:v>
                </c:pt>
                <c:pt idx="1">
                  <c:v>0.13420364921233571</c:v>
                </c:pt>
                <c:pt idx="2">
                  <c:v>0.13257868643100082</c:v>
                </c:pt>
                <c:pt idx="3">
                  <c:v>9.3042613799501725E-2</c:v>
                </c:pt>
                <c:pt idx="4">
                  <c:v>7.0629455544232084E-2</c:v>
                </c:pt>
              </c:numCache>
            </c:numRef>
          </c:val>
          <c:extLst>
            <c:ext xmlns:c16="http://schemas.microsoft.com/office/drawing/2014/chart" uri="{C3380CC4-5D6E-409C-BE32-E72D297353CC}">
              <c16:uniqueId val="{00000000-3758-4980-BF81-BD710B1ACD47}"/>
            </c:ext>
          </c:extLst>
        </c:ser>
        <c:ser>
          <c:idx val="1"/>
          <c:order val="1"/>
          <c:tx>
            <c:strRef>
              <c:f>'[4]Historical Summary (Visual)'!$C$40</c:f>
              <c:strCache>
                <c:ptCount val="1"/>
                <c:pt idx="0">
                  <c:v>% Seats </c:v>
                </c:pt>
              </c:strCache>
            </c:strRef>
          </c:tx>
          <c:spPr>
            <a:solidFill>
              <a:schemeClr val="accent5">
                <a:lumMod val="60000"/>
                <a:lumOff val="40000"/>
              </a:schemeClr>
            </a:solidFill>
            <a:ln w="25400">
              <a:noFill/>
            </a:ln>
          </c:spPr>
          <c:invertIfNegative val="0"/>
          <c:cat>
            <c:numRef>
              <c:f>'[4]Historical Summary (Visual)'!$D$38:$H$38</c:f>
              <c:numCache>
                <c:formatCode>General</c:formatCode>
                <c:ptCount val="5"/>
                <c:pt idx="0">
                  <c:v>1999</c:v>
                </c:pt>
                <c:pt idx="1">
                  <c:v>2003</c:v>
                </c:pt>
                <c:pt idx="2">
                  <c:v>2007</c:v>
                </c:pt>
                <c:pt idx="3">
                  <c:v>2011</c:v>
                </c:pt>
                <c:pt idx="4">
                  <c:v>2016</c:v>
                </c:pt>
              </c:numCache>
            </c:numRef>
          </c:cat>
          <c:val>
            <c:numRef>
              <c:f>'[4]Historical Summary (Visual)'!$D$40:$H$40</c:f>
              <c:numCache>
                <c:formatCode>General</c:formatCode>
                <c:ptCount val="5"/>
                <c:pt idx="0">
                  <c:v>0.1</c:v>
                </c:pt>
                <c:pt idx="1">
                  <c:v>0.1</c:v>
                </c:pt>
                <c:pt idx="2">
                  <c:v>0.1</c:v>
                </c:pt>
                <c:pt idx="3">
                  <c:v>8.3333333333333329E-2</c:v>
                </c:pt>
                <c:pt idx="4">
                  <c:v>1.6666666666666666E-2</c:v>
                </c:pt>
              </c:numCache>
            </c:numRef>
          </c:val>
          <c:extLst>
            <c:ext xmlns:c16="http://schemas.microsoft.com/office/drawing/2014/chart" uri="{C3380CC4-5D6E-409C-BE32-E72D297353CC}">
              <c16:uniqueId val="{00000001-3758-4980-BF81-BD710B1ACD47}"/>
            </c:ext>
          </c:extLst>
        </c:ser>
        <c:dLbls>
          <c:showLegendKey val="0"/>
          <c:showVal val="0"/>
          <c:showCatName val="0"/>
          <c:showSerName val="0"/>
          <c:showPercent val="0"/>
          <c:showBubbleSize val="0"/>
        </c:dLbls>
        <c:gapWidth val="190"/>
        <c:axId val="472764792"/>
        <c:axId val="472765184"/>
      </c:barChart>
      <c:catAx>
        <c:axId val="47276479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65184"/>
        <c:crosses val="autoZero"/>
        <c:auto val="1"/>
        <c:lblAlgn val="ctr"/>
        <c:lblOffset val="100"/>
        <c:noMultiLvlLbl val="0"/>
      </c:catAx>
      <c:valAx>
        <c:axId val="472765184"/>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64792"/>
        <c:crosses val="autoZero"/>
        <c:crossBetween val="between"/>
        <c:majorUnit val="0.1"/>
      </c:valAx>
      <c:spPr>
        <a:noFill/>
        <a:ln w="25400">
          <a:noFill/>
        </a:ln>
      </c:spPr>
    </c:plotArea>
    <c:legend>
      <c:legendPos val="r"/>
      <c:layout>
        <c:manualLayout>
          <c:xMode val="edge"/>
          <c:yMode val="edge"/>
          <c:x val="0.25641102554488382"/>
          <c:y val="0.18067271002889343"/>
          <c:w val="0.55677847961312532"/>
          <c:h val="0.20168111339023795"/>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Plaid Cymru</a:t>
            </a:r>
          </a:p>
        </c:rich>
      </c:tx>
      <c:layout>
        <c:manualLayout>
          <c:xMode val="edge"/>
          <c:yMode val="edge"/>
          <c:x val="0.39883192378730437"/>
          <c:y val="3.1152688482746996E-2"/>
        </c:manualLayout>
      </c:layout>
      <c:overlay val="0"/>
      <c:spPr>
        <a:noFill/>
        <a:ln w="25400">
          <a:noFill/>
        </a:ln>
      </c:spPr>
    </c:title>
    <c:autoTitleDeleted val="0"/>
    <c:plotArea>
      <c:layout>
        <c:manualLayout>
          <c:layoutTarget val="inner"/>
          <c:xMode val="edge"/>
          <c:yMode val="edge"/>
          <c:x val="0.13729411938939379"/>
          <c:y val="0.16077841314944621"/>
          <c:w val="0.88442275124966108"/>
          <c:h val="0.71558690550012949"/>
        </c:manualLayout>
      </c:layout>
      <c:barChart>
        <c:barDir val="col"/>
        <c:grouping val="clustered"/>
        <c:varyColors val="0"/>
        <c:ser>
          <c:idx val="0"/>
          <c:order val="0"/>
          <c:tx>
            <c:strRef>
              <c:f>'[4]Historical Summary (Visual)'!$C$52</c:f>
              <c:strCache>
                <c:ptCount val="1"/>
                <c:pt idx="0">
                  <c:v>Vote share</c:v>
                </c:pt>
              </c:strCache>
            </c:strRef>
          </c:tx>
          <c:spPr>
            <a:solidFill>
              <a:srgbClr val="348837"/>
            </a:solidFill>
            <a:ln w="25400">
              <a:noFill/>
            </a:ln>
          </c:spPr>
          <c:invertIfNegative val="0"/>
          <c:cat>
            <c:numRef>
              <c:f>'[4]Historical Summary (Visual)'!$D$51:$H$51</c:f>
              <c:numCache>
                <c:formatCode>General</c:formatCode>
                <c:ptCount val="5"/>
                <c:pt idx="0">
                  <c:v>1999</c:v>
                </c:pt>
                <c:pt idx="1">
                  <c:v>2003</c:v>
                </c:pt>
                <c:pt idx="2">
                  <c:v>2007</c:v>
                </c:pt>
                <c:pt idx="3">
                  <c:v>2011</c:v>
                </c:pt>
                <c:pt idx="4">
                  <c:v>2016</c:v>
                </c:pt>
              </c:numCache>
            </c:numRef>
          </c:cat>
          <c:val>
            <c:numRef>
              <c:f>'[4]Historical Summary (Visual)'!$D$52:$H$52</c:f>
              <c:numCache>
                <c:formatCode>General</c:formatCode>
                <c:ptCount val="5"/>
                <c:pt idx="0">
                  <c:v>0.29466789107089753</c:v>
                </c:pt>
                <c:pt idx="1">
                  <c:v>0.20450051883838993</c:v>
                </c:pt>
                <c:pt idx="2">
                  <c:v>0.21705298538874421</c:v>
                </c:pt>
                <c:pt idx="3">
                  <c:v>0.18581654366034978</c:v>
                </c:pt>
                <c:pt idx="4">
                  <c:v>0.20693045602453736</c:v>
                </c:pt>
              </c:numCache>
            </c:numRef>
          </c:val>
          <c:extLst>
            <c:ext xmlns:c16="http://schemas.microsoft.com/office/drawing/2014/chart" uri="{C3380CC4-5D6E-409C-BE32-E72D297353CC}">
              <c16:uniqueId val="{00000000-5993-4145-A9F4-AA8E1968D874}"/>
            </c:ext>
          </c:extLst>
        </c:ser>
        <c:ser>
          <c:idx val="1"/>
          <c:order val="1"/>
          <c:tx>
            <c:strRef>
              <c:f>'[4]Historical Summary (Visual)'!$C$53</c:f>
              <c:strCache>
                <c:ptCount val="1"/>
                <c:pt idx="0">
                  <c:v>% Seats </c:v>
                </c:pt>
              </c:strCache>
            </c:strRef>
          </c:tx>
          <c:spPr>
            <a:solidFill>
              <a:srgbClr val="90D492"/>
            </a:solidFill>
            <a:ln w="25400">
              <a:noFill/>
            </a:ln>
          </c:spPr>
          <c:invertIfNegative val="0"/>
          <c:cat>
            <c:numRef>
              <c:f>'[4]Historical Summary (Visual)'!$D$51:$H$51</c:f>
              <c:numCache>
                <c:formatCode>General</c:formatCode>
                <c:ptCount val="5"/>
                <c:pt idx="0">
                  <c:v>1999</c:v>
                </c:pt>
                <c:pt idx="1">
                  <c:v>2003</c:v>
                </c:pt>
                <c:pt idx="2">
                  <c:v>2007</c:v>
                </c:pt>
                <c:pt idx="3">
                  <c:v>2011</c:v>
                </c:pt>
                <c:pt idx="4">
                  <c:v>2016</c:v>
                </c:pt>
              </c:numCache>
            </c:numRef>
          </c:cat>
          <c:val>
            <c:numRef>
              <c:f>'[4]Historical Summary (Visual)'!$D$53:$H$53</c:f>
              <c:numCache>
                <c:formatCode>General</c:formatCode>
                <c:ptCount val="5"/>
                <c:pt idx="0">
                  <c:v>0.28333333333333333</c:v>
                </c:pt>
                <c:pt idx="1">
                  <c:v>0.2</c:v>
                </c:pt>
                <c:pt idx="2">
                  <c:v>0.25</c:v>
                </c:pt>
                <c:pt idx="3">
                  <c:v>0.18333333333333332</c:v>
                </c:pt>
                <c:pt idx="4">
                  <c:v>0.2</c:v>
                </c:pt>
              </c:numCache>
            </c:numRef>
          </c:val>
          <c:extLst>
            <c:ext xmlns:c16="http://schemas.microsoft.com/office/drawing/2014/chart" uri="{C3380CC4-5D6E-409C-BE32-E72D297353CC}">
              <c16:uniqueId val="{00000001-5993-4145-A9F4-AA8E1968D874}"/>
            </c:ext>
          </c:extLst>
        </c:ser>
        <c:dLbls>
          <c:showLegendKey val="0"/>
          <c:showVal val="0"/>
          <c:showCatName val="0"/>
          <c:showSerName val="0"/>
          <c:showPercent val="0"/>
          <c:showBubbleSize val="0"/>
        </c:dLbls>
        <c:gapWidth val="190"/>
        <c:axId val="472765968"/>
        <c:axId val="472766360"/>
      </c:barChart>
      <c:catAx>
        <c:axId val="4727659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66360"/>
        <c:crosses val="autoZero"/>
        <c:auto val="1"/>
        <c:lblAlgn val="ctr"/>
        <c:lblOffset val="100"/>
        <c:noMultiLvlLbl val="0"/>
      </c:catAx>
      <c:valAx>
        <c:axId val="472766360"/>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65968"/>
        <c:crosses val="autoZero"/>
        <c:crossBetween val="between"/>
        <c:majorUnit val="0.1"/>
      </c:valAx>
      <c:spPr>
        <a:noFill/>
        <a:ln w="25400">
          <a:noFill/>
        </a:ln>
      </c:spPr>
    </c:plotArea>
    <c:legend>
      <c:legendPos val="r"/>
      <c:layout>
        <c:manualLayout>
          <c:xMode val="edge"/>
          <c:yMode val="edge"/>
          <c:x val="0.22592670360649364"/>
          <c:y val="0.12385321100917432"/>
          <c:w val="0.6851875182268885"/>
          <c:h val="0.22018348623853215"/>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02377187511324"/>
          <c:y val="0.14679801612291513"/>
          <c:w val="0.88442275124966108"/>
          <c:h val="0.73016817302413994"/>
        </c:manualLayout>
      </c:layout>
      <c:barChart>
        <c:barDir val="col"/>
        <c:grouping val="clustered"/>
        <c:varyColors val="0"/>
        <c:ser>
          <c:idx val="0"/>
          <c:order val="0"/>
          <c:tx>
            <c:strRef>
              <c:f>'[4]Historical Summary (Visual)'!$C$63</c:f>
              <c:strCache>
                <c:ptCount val="1"/>
                <c:pt idx="0">
                  <c:v>Vote share</c:v>
                </c:pt>
              </c:strCache>
            </c:strRef>
          </c:tx>
          <c:spPr>
            <a:solidFill>
              <a:srgbClr val="722889"/>
            </a:solidFill>
            <a:ln w="25400">
              <a:noFill/>
            </a:ln>
          </c:spPr>
          <c:invertIfNegative val="0"/>
          <c:cat>
            <c:numRef>
              <c:f>'[4]Historical Summary (Visual)'!$D$62:$H$62</c:f>
              <c:numCache>
                <c:formatCode>General</c:formatCode>
                <c:ptCount val="5"/>
                <c:pt idx="0">
                  <c:v>1999</c:v>
                </c:pt>
                <c:pt idx="1">
                  <c:v>2003</c:v>
                </c:pt>
                <c:pt idx="2">
                  <c:v>2007</c:v>
                </c:pt>
                <c:pt idx="3">
                  <c:v>2011</c:v>
                </c:pt>
                <c:pt idx="4">
                  <c:v>2016</c:v>
                </c:pt>
              </c:numCache>
            </c:numRef>
          </c:cat>
          <c:val>
            <c:numRef>
              <c:f>'[4]Historical Summary (Visual)'!$D$63:$H$63</c:f>
              <c:numCache>
                <c:formatCode>General</c:formatCode>
                <c:ptCount val="5"/>
                <c:pt idx="0">
                  <c:v>0</c:v>
                </c:pt>
                <c:pt idx="1">
                  <c:v>2.9000000000000001E-2</c:v>
                </c:pt>
                <c:pt idx="2">
                  <c:v>2.8950605209337194E-2</c:v>
                </c:pt>
                <c:pt idx="3">
                  <c:v>2.2788612647848604E-2</c:v>
                </c:pt>
                <c:pt idx="4">
                  <c:v>0.12741412392465942</c:v>
                </c:pt>
              </c:numCache>
            </c:numRef>
          </c:val>
          <c:extLst>
            <c:ext xmlns:c16="http://schemas.microsoft.com/office/drawing/2014/chart" uri="{C3380CC4-5D6E-409C-BE32-E72D297353CC}">
              <c16:uniqueId val="{00000000-E61D-45C8-AE51-857282064E35}"/>
            </c:ext>
          </c:extLst>
        </c:ser>
        <c:ser>
          <c:idx val="1"/>
          <c:order val="1"/>
          <c:tx>
            <c:strRef>
              <c:f>'[4]Historical Summary (Visual)'!$C$64</c:f>
              <c:strCache>
                <c:ptCount val="1"/>
                <c:pt idx="0">
                  <c:v>% Seats </c:v>
                </c:pt>
              </c:strCache>
            </c:strRef>
          </c:tx>
          <c:spPr>
            <a:solidFill>
              <a:srgbClr val="AA47C9"/>
            </a:solidFill>
            <a:ln w="25400">
              <a:noFill/>
            </a:ln>
          </c:spPr>
          <c:invertIfNegative val="0"/>
          <c:cat>
            <c:numRef>
              <c:f>'[4]Historical Summary (Visual)'!$D$62:$H$62</c:f>
              <c:numCache>
                <c:formatCode>General</c:formatCode>
                <c:ptCount val="5"/>
                <c:pt idx="0">
                  <c:v>1999</c:v>
                </c:pt>
                <c:pt idx="1">
                  <c:v>2003</c:v>
                </c:pt>
                <c:pt idx="2">
                  <c:v>2007</c:v>
                </c:pt>
                <c:pt idx="3">
                  <c:v>2011</c:v>
                </c:pt>
                <c:pt idx="4">
                  <c:v>2016</c:v>
                </c:pt>
              </c:numCache>
            </c:numRef>
          </c:cat>
          <c:val>
            <c:numRef>
              <c:f>'[4]Historical Summary (Visual)'!$D$64:$H$64</c:f>
              <c:numCache>
                <c:formatCode>General</c:formatCode>
                <c:ptCount val="5"/>
                <c:pt idx="0">
                  <c:v>0</c:v>
                </c:pt>
                <c:pt idx="1">
                  <c:v>0</c:v>
                </c:pt>
                <c:pt idx="2">
                  <c:v>0</c:v>
                </c:pt>
                <c:pt idx="3">
                  <c:v>0</c:v>
                </c:pt>
                <c:pt idx="4">
                  <c:v>0.11666666666666667</c:v>
                </c:pt>
              </c:numCache>
            </c:numRef>
          </c:val>
          <c:extLst>
            <c:ext xmlns:c16="http://schemas.microsoft.com/office/drawing/2014/chart" uri="{C3380CC4-5D6E-409C-BE32-E72D297353CC}">
              <c16:uniqueId val="{00000001-E61D-45C8-AE51-857282064E35}"/>
            </c:ext>
          </c:extLst>
        </c:ser>
        <c:dLbls>
          <c:showLegendKey val="0"/>
          <c:showVal val="0"/>
          <c:showCatName val="0"/>
          <c:showSerName val="0"/>
          <c:showPercent val="0"/>
          <c:showBubbleSize val="0"/>
        </c:dLbls>
        <c:gapWidth val="190"/>
        <c:axId val="472767144"/>
        <c:axId val="472767536"/>
      </c:barChart>
      <c:catAx>
        <c:axId val="472767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67536"/>
        <c:crosses val="autoZero"/>
        <c:auto val="1"/>
        <c:lblAlgn val="ctr"/>
        <c:lblOffset val="100"/>
        <c:noMultiLvlLbl val="0"/>
      </c:catAx>
      <c:valAx>
        <c:axId val="472767536"/>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67144"/>
        <c:crosses val="autoZero"/>
        <c:crossBetween val="between"/>
        <c:majorUnit val="0.1"/>
      </c:valAx>
      <c:spPr>
        <a:noFill/>
        <a:ln w="25400">
          <a:noFill/>
        </a:ln>
      </c:spPr>
    </c:plotArea>
    <c:legend>
      <c:legendPos val="r"/>
      <c:layout>
        <c:manualLayout>
          <c:xMode val="edge"/>
          <c:yMode val="edge"/>
          <c:x val="0.2619930073316481"/>
          <c:y val="0.18396226415094338"/>
          <c:w val="0.5719568817735422"/>
          <c:h val="0.1320754716981132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CONSERVATIVE</a:t>
            </a:r>
          </a:p>
        </c:rich>
      </c:tx>
      <c:layout>
        <c:manualLayout>
          <c:xMode val="edge"/>
          <c:yMode val="edge"/>
          <c:x val="0.31131997973187625"/>
          <c:y val="0.158400126387502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00539F"/>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Parliament'!$S$16:$X$16</c:f>
              <c:numCache>
                <c:formatCode>0.0%</c:formatCode>
                <c:ptCount val="6"/>
                <c:pt idx="0">
                  <c:v>0.1545549816059377</c:v>
                </c:pt>
                <c:pt idx="1">
                  <c:v>0.16054308367625311</c:v>
                </c:pt>
                <c:pt idx="2">
                  <c:v>0.15345368479742194</c:v>
                </c:pt>
                <c:pt idx="3">
                  <c:v>0.13130761144410005</c:v>
                </c:pt>
                <c:pt idx="4">
                  <c:v>0.22477225703492187</c:v>
                </c:pt>
                <c:pt idx="5">
                  <c:v>0.22697553794825176</c:v>
                </c:pt>
              </c:numCache>
            </c:numRef>
          </c:val>
          <c:extLst>
            <c:ext xmlns:c16="http://schemas.microsoft.com/office/drawing/2014/chart" uri="{C3380CC4-5D6E-409C-BE32-E72D297353CC}">
              <c16:uniqueId val="{00000000-C7A9-4CBA-9F80-C59490975E82}"/>
            </c:ext>
          </c:extLst>
        </c:ser>
        <c:ser>
          <c:idx val="1"/>
          <c:order val="1"/>
          <c:tx>
            <c:v>% Seats</c:v>
          </c:tx>
          <c:spPr>
            <a:solidFill>
              <a:srgbClr val="00539F">
                <a:alpha val="59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Parliament'!$Z$16:$AE$16</c:f>
              <c:numCache>
                <c:formatCode>0.0%</c:formatCode>
                <c:ptCount val="6"/>
                <c:pt idx="0">
                  <c:v>0.13953488372093023</c:v>
                </c:pt>
                <c:pt idx="1">
                  <c:v>0.13953488372093023</c:v>
                </c:pt>
                <c:pt idx="2">
                  <c:v>0.13178294573643412</c:v>
                </c:pt>
                <c:pt idx="3">
                  <c:v>0.11627906976744186</c:v>
                </c:pt>
                <c:pt idx="4">
                  <c:v>0.24031007751937986</c:v>
                </c:pt>
                <c:pt idx="5">
                  <c:v>0.24031007751937986</c:v>
                </c:pt>
              </c:numCache>
            </c:numRef>
          </c:val>
          <c:extLst>
            <c:ext xmlns:c16="http://schemas.microsoft.com/office/drawing/2014/chart" uri="{C3380CC4-5D6E-409C-BE32-E72D297353CC}">
              <c16:uniqueId val="{00000001-C7A9-4CBA-9F80-C59490975E82}"/>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LABOUR</a:t>
            </a:r>
          </a:p>
        </c:rich>
      </c:tx>
      <c:layout>
        <c:manualLayout>
          <c:xMode val="edge"/>
          <c:yMode val="edge"/>
          <c:x val="0.40686592056663906"/>
          <c:y val="0.15840022983350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'17 Scottish Parliament'!$S$12:$X$12</c:f>
              <c:strCache>
                <c:ptCount val="6"/>
                <c:pt idx="0">
                  <c:v>Vote share</c:v>
                </c:pt>
              </c:strCache>
            </c:strRef>
          </c:tx>
          <c:spPr>
            <a:solidFill>
              <a:srgbClr val="D50000"/>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Parliament'!$S$17:$X$17</c:f>
              <c:numCache>
                <c:formatCode>0.0%</c:formatCode>
                <c:ptCount val="6"/>
                <c:pt idx="0">
                  <c:v>0.36210605284485287</c:v>
                </c:pt>
                <c:pt idx="1">
                  <c:v>0.31966238374673772</c:v>
                </c:pt>
                <c:pt idx="2">
                  <c:v>0.3080979497818177</c:v>
                </c:pt>
                <c:pt idx="3">
                  <c:v>0.28992400213863329</c:v>
                </c:pt>
                <c:pt idx="4">
                  <c:v>0.20814890999922234</c:v>
                </c:pt>
                <c:pt idx="5">
                  <c:v>0.19754428872696733</c:v>
                </c:pt>
              </c:numCache>
            </c:numRef>
          </c:val>
          <c:extLst>
            <c:ext xmlns:c16="http://schemas.microsoft.com/office/drawing/2014/chart" uri="{C3380CC4-5D6E-409C-BE32-E72D297353CC}">
              <c16:uniqueId val="{00000000-5665-4902-898F-FA86713D361F}"/>
            </c:ext>
          </c:extLst>
        </c:ser>
        <c:ser>
          <c:idx val="1"/>
          <c:order val="1"/>
          <c:tx>
            <c:v>% Seats</c:v>
          </c:tx>
          <c:spPr>
            <a:solidFill>
              <a:srgbClr val="D50000">
                <a:alpha val="59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Parliament'!$Z$17:$AE$17</c:f>
              <c:numCache>
                <c:formatCode>0.0%</c:formatCode>
                <c:ptCount val="6"/>
                <c:pt idx="0">
                  <c:v>0.43410852713178294</c:v>
                </c:pt>
                <c:pt idx="1">
                  <c:v>0.38759689922480622</c:v>
                </c:pt>
                <c:pt idx="2">
                  <c:v>0.35658914728682173</c:v>
                </c:pt>
                <c:pt idx="3">
                  <c:v>0.2868217054263566</c:v>
                </c:pt>
                <c:pt idx="4">
                  <c:v>0.18604651162790697</c:v>
                </c:pt>
                <c:pt idx="5">
                  <c:v>0.17054263565891473</c:v>
                </c:pt>
              </c:numCache>
            </c:numRef>
          </c:val>
          <c:extLst>
            <c:ext xmlns:c16="http://schemas.microsoft.com/office/drawing/2014/chart" uri="{C3380CC4-5D6E-409C-BE32-E72D297353CC}">
              <c16:uniqueId val="{00000001-5665-4902-898F-FA86713D361F}"/>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u="none"/>
              <a:t>SCOTTISH</a:t>
            </a:r>
            <a:r>
              <a:rPr lang="en-GB" sz="1200" u="none" baseline="0"/>
              <a:t> NATIONAL PARTY</a:t>
            </a:r>
            <a:endParaRPr lang="en-GB" u="none"/>
          </a:p>
        </c:rich>
      </c:tx>
      <c:layout>
        <c:manualLayout>
          <c:xMode val="edge"/>
          <c:yMode val="edge"/>
          <c:x val="0.19334124731537033"/>
          <c:y val="0.15840022983350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FFF685"/>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Parliament'!$S$15:$X$15</c:f>
              <c:numCache>
                <c:formatCode>0.0%</c:formatCode>
                <c:ptCount val="6"/>
                <c:pt idx="0">
                  <c:v>0.28013231933510518</c:v>
                </c:pt>
                <c:pt idx="1">
                  <c:v>0.22322322583540946</c:v>
                </c:pt>
                <c:pt idx="2">
                  <c:v>0.31320945129126354</c:v>
                </c:pt>
                <c:pt idx="3">
                  <c:v>0.447056766241754</c:v>
                </c:pt>
                <c:pt idx="4">
                  <c:v>0.44107927766295246</c:v>
                </c:pt>
                <c:pt idx="5">
                  <c:v>0.44037932100616972</c:v>
                </c:pt>
              </c:numCache>
            </c:numRef>
          </c:val>
          <c:extLst>
            <c:ext xmlns:c16="http://schemas.microsoft.com/office/drawing/2014/chart" uri="{C3380CC4-5D6E-409C-BE32-E72D297353CC}">
              <c16:uniqueId val="{00000000-EEC6-4F04-A50A-3C3E5EA1BB04}"/>
            </c:ext>
          </c:extLst>
        </c:ser>
        <c:ser>
          <c:idx val="1"/>
          <c:order val="1"/>
          <c:tx>
            <c:v>% Seats</c:v>
          </c:tx>
          <c:spPr>
            <a:solidFill>
              <a:srgbClr val="F7DB15"/>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Parliament'!$Z$15:$AE$15</c:f>
              <c:numCache>
                <c:formatCode>0.0%</c:formatCode>
                <c:ptCount val="6"/>
                <c:pt idx="0">
                  <c:v>0.27131782945736432</c:v>
                </c:pt>
                <c:pt idx="1">
                  <c:v>0.20930232558139536</c:v>
                </c:pt>
                <c:pt idx="2">
                  <c:v>0.36434108527131781</c:v>
                </c:pt>
                <c:pt idx="3">
                  <c:v>0.53488372093023251</c:v>
                </c:pt>
                <c:pt idx="4">
                  <c:v>0.48837209302325579</c:v>
                </c:pt>
                <c:pt idx="5">
                  <c:v>0.49612403100775193</c:v>
                </c:pt>
              </c:numCache>
            </c:numRef>
          </c:val>
          <c:extLst>
            <c:ext xmlns:c16="http://schemas.microsoft.com/office/drawing/2014/chart" uri="{C3380CC4-5D6E-409C-BE32-E72D297353CC}">
              <c16:uniqueId val="{00000001-EEC6-4F04-A50A-3C3E5EA1BB04}"/>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spPr>
            <a:solidFill>
              <a:srgbClr val="A1CDF0"/>
            </a:solidFill>
            <a:ln w="3175">
              <a:noFill/>
            </a:ln>
          </c:spPr>
          <c:invertIfNegative val="0"/>
          <c:cat>
            <c:numRef>
              <c:extLst>
                <c:ext xmlns:c15="http://schemas.microsoft.com/office/drawing/2012/chart" uri="{02D57815-91ED-43cb-92C2-25804820EDAC}">
                  <c15:fullRef>
                    <c15:sqref>'GE-NI Visual'!$A$42:$A$69</c15:sqref>
                  </c15:fullRef>
                </c:ext>
              </c:extLst>
              <c:f>'GE-NI Visual'!$A$42:$A$53</c:f>
              <c:numCache>
                <c:formatCode>General</c:formatCode>
                <c:ptCount val="12"/>
                <c:pt idx="0">
                  <c:v>2017</c:v>
                </c:pt>
                <c:pt idx="1">
                  <c:v>2015</c:v>
                </c:pt>
                <c:pt idx="2">
                  <c:v>2010</c:v>
                </c:pt>
                <c:pt idx="3">
                  <c:v>2005</c:v>
                </c:pt>
                <c:pt idx="4">
                  <c:v>2001</c:v>
                </c:pt>
                <c:pt idx="5">
                  <c:v>1997</c:v>
                </c:pt>
                <c:pt idx="6">
                  <c:v>1992</c:v>
                </c:pt>
                <c:pt idx="7">
                  <c:v>1987</c:v>
                </c:pt>
                <c:pt idx="8">
                  <c:v>1983</c:v>
                </c:pt>
                <c:pt idx="9">
                  <c:v>1979</c:v>
                </c:pt>
                <c:pt idx="10">
                  <c:v>1974</c:v>
                </c:pt>
                <c:pt idx="11">
                  <c:v>1974</c:v>
                </c:pt>
              </c:numCache>
            </c:numRef>
          </c:cat>
          <c:val>
            <c:numRef>
              <c:extLst>
                <c:ext xmlns:c15="http://schemas.microsoft.com/office/drawing/2012/chart" uri="{02D57815-91ED-43cb-92C2-25804820EDAC}">
                  <c15:fullRef>
                    <c15:sqref>'GE-NI Visual'!$J$42:$J$69</c15:sqref>
                  </c15:fullRef>
                </c:ext>
              </c:extLst>
              <c:f>'GE-NI Visual'!$J$42:$J$53</c:f>
              <c:numCache>
                <c:formatCode>0</c:formatCode>
                <c:ptCount val="12"/>
                <c:pt idx="0" formatCode="General">
                  <c:v>0</c:v>
                </c:pt>
                <c:pt idx="1">
                  <c:v>2</c:v>
                </c:pt>
                <c:pt idx="2">
                  <c:v>0</c:v>
                </c:pt>
                <c:pt idx="3">
                  <c:v>1</c:v>
                </c:pt>
                <c:pt idx="4">
                  <c:v>6</c:v>
                </c:pt>
                <c:pt idx="5">
                  <c:v>10</c:v>
                </c:pt>
                <c:pt idx="6">
                  <c:v>9</c:v>
                </c:pt>
                <c:pt idx="7">
                  <c:v>9</c:v>
                </c:pt>
                <c:pt idx="8">
                  <c:v>11</c:v>
                </c:pt>
                <c:pt idx="9">
                  <c:v>5</c:v>
                </c:pt>
                <c:pt idx="10">
                  <c:v>7</c:v>
                </c:pt>
                <c:pt idx="11">
                  <c:v>6</c:v>
                </c:pt>
              </c:numCache>
            </c:numRef>
          </c:val>
          <c:extLst>
            <c:ext xmlns:c16="http://schemas.microsoft.com/office/drawing/2014/chart" uri="{C3380CC4-5D6E-409C-BE32-E72D297353CC}">
              <c16:uniqueId val="{00000000-12F4-4654-85A4-7D7012B25E14}"/>
            </c:ext>
          </c:extLst>
        </c:ser>
        <c:ser>
          <c:idx val="1"/>
          <c:order val="1"/>
          <c:spPr>
            <a:solidFill>
              <a:srgbClr val="4EA268"/>
            </a:solidFill>
            <a:ln w="3175">
              <a:noFill/>
            </a:ln>
          </c:spPr>
          <c:invertIfNegative val="0"/>
          <c:dPt>
            <c:idx val="0"/>
            <c:invertIfNegative val="0"/>
            <c:bubble3D val="0"/>
            <c:extLst>
              <c:ext xmlns:c16="http://schemas.microsoft.com/office/drawing/2014/chart" uri="{C3380CC4-5D6E-409C-BE32-E72D297353CC}">
                <c16:uniqueId val="{00000001-12F4-4654-85A4-7D7012B25E14}"/>
              </c:ext>
            </c:extLst>
          </c:dPt>
          <c:dPt>
            <c:idx val="1"/>
            <c:invertIfNegative val="0"/>
            <c:bubble3D val="0"/>
            <c:extLst>
              <c:ext xmlns:c16="http://schemas.microsoft.com/office/drawing/2014/chart" uri="{C3380CC4-5D6E-409C-BE32-E72D297353CC}">
                <c16:uniqueId val="{00000002-12F4-4654-85A4-7D7012B25E14}"/>
              </c:ext>
            </c:extLst>
          </c:dPt>
          <c:dPt>
            <c:idx val="2"/>
            <c:invertIfNegative val="0"/>
            <c:bubble3D val="0"/>
            <c:extLst>
              <c:ext xmlns:c16="http://schemas.microsoft.com/office/drawing/2014/chart" uri="{C3380CC4-5D6E-409C-BE32-E72D297353CC}">
                <c16:uniqueId val="{00000003-12F4-4654-85A4-7D7012B25E14}"/>
              </c:ext>
            </c:extLst>
          </c:dPt>
          <c:dPt>
            <c:idx val="3"/>
            <c:invertIfNegative val="0"/>
            <c:bubble3D val="0"/>
            <c:extLst>
              <c:ext xmlns:c16="http://schemas.microsoft.com/office/drawing/2014/chart" uri="{C3380CC4-5D6E-409C-BE32-E72D297353CC}">
                <c16:uniqueId val="{00000004-12F4-4654-85A4-7D7012B25E14}"/>
              </c:ext>
            </c:extLst>
          </c:dPt>
          <c:dPt>
            <c:idx val="4"/>
            <c:invertIfNegative val="0"/>
            <c:bubble3D val="0"/>
            <c:extLst>
              <c:ext xmlns:c16="http://schemas.microsoft.com/office/drawing/2014/chart" uri="{C3380CC4-5D6E-409C-BE32-E72D297353CC}">
                <c16:uniqueId val="{00000005-12F4-4654-85A4-7D7012B25E14}"/>
              </c:ext>
            </c:extLst>
          </c:dPt>
          <c:dPt>
            <c:idx val="5"/>
            <c:invertIfNegative val="0"/>
            <c:bubble3D val="0"/>
            <c:extLst>
              <c:ext xmlns:c16="http://schemas.microsoft.com/office/drawing/2014/chart" uri="{C3380CC4-5D6E-409C-BE32-E72D297353CC}">
                <c16:uniqueId val="{00000006-12F4-4654-85A4-7D7012B25E14}"/>
              </c:ext>
            </c:extLst>
          </c:dPt>
          <c:dPt>
            <c:idx val="6"/>
            <c:invertIfNegative val="0"/>
            <c:bubble3D val="0"/>
            <c:extLst>
              <c:ext xmlns:c16="http://schemas.microsoft.com/office/drawing/2014/chart" uri="{C3380CC4-5D6E-409C-BE32-E72D297353CC}">
                <c16:uniqueId val="{00000007-12F4-4654-85A4-7D7012B25E14}"/>
              </c:ext>
            </c:extLst>
          </c:dPt>
          <c:dPt>
            <c:idx val="7"/>
            <c:invertIfNegative val="0"/>
            <c:bubble3D val="0"/>
            <c:extLst>
              <c:ext xmlns:c16="http://schemas.microsoft.com/office/drawing/2014/chart" uri="{C3380CC4-5D6E-409C-BE32-E72D297353CC}">
                <c16:uniqueId val="{00000008-12F4-4654-85A4-7D7012B25E14}"/>
              </c:ext>
            </c:extLst>
          </c:dPt>
          <c:dPt>
            <c:idx val="8"/>
            <c:invertIfNegative val="0"/>
            <c:bubble3D val="0"/>
            <c:extLst>
              <c:ext xmlns:c16="http://schemas.microsoft.com/office/drawing/2014/chart" uri="{C3380CC4-5D6E-409C-BE32-E72D297353CC}">
                <c16:uniqueId val="{00000009-12F4-4654-85A4-7D7012B25E14}"/>
              </c:ext>
            </c:extLst>
          </c:dPt>
          <c:dPt>
            <c:idx val="9"/>
            <c:invertIfNegative val="0"/>
            <c:bubble3D val="0"/>
            <c:extLst>
              <c:ext xmlns:c16="http://schemas.microsoft.com/office/drawing/2014/chart" uri="{C3380CC4-5D6E-409C-BE32-E72D297353CC}">
                <c16:uniqueId val="{0000000A-12F4-4654-85A4-7D7012B25E14}"/>
              </c:ext>
            </c:extLst>
          </c:dPt>
          <c:dPt>
            <c:idx val="10"/>
            <c:invertIfNegative val="0"/>
            <c:bubble3D val="0"/>
            <c:extLst>
              <c:ext xmlns:c16="http://schemas.microsoft.com/office/drawing/2014/chart" uri="{C3380CC4-5D6E-409C-BE32-E72D297353CC}">
                <c16:uniqueId val="{0000000B-12F4-4654-85A4-7D7012B25E14}"/>
              </c:ext>
            </c:extLst>
          </c:dPt>
          <c:cat>
            <c:numRef>
              <c:extLst>
                <c:ext xmlns:c15="http://schemas.microsoft.com/office/drawing/2012/chart" uri="{02D57815-91ED-43cb-92C2-25804820EDAC}">
                  <c15:fullRef>
                    <c15:sqref>'GE-NI Visual'!$A$42:$A$69</c15:sqref>
                  </c15:fullRef>
                </c:ext>
              </c:extLst>
              <c:f>'GE-NI Visual'!$A$42:$A$53</c:f>
              <c:numCache>
                <c:formatCode>General</c:formatCode>
                <c:ptCount val="12"/>
                <c:pt idx="0">
                  <c:v>2017</c:v>
                </c:pt>
                <c:pt idx="1">
                  <c:v>2015</c:v>
                </c:pt>
                <c:pt idx="2">
                  <c:v>2010</c:v>
                </c:pt>
                <c:pt idx="3">
                  <c:v>2005</c:v>
                </c:pt>
                <c:pt idx="4">
                  <c:v>2001</c:v>
                </c:pt>
                <c:pt idx="5">
                  <c:v>1997</c:v>
                </c:pt>
                <c:pt idx="6">
                  <c:v>1992</c:v>
                </c:pt>
                <c:pt idx="7">
                  <c:v>1987</c:v>
                </c:pt>
                <c:pt idx="8">
                  <c:v>1983</c:v>
                </c:pt>
                <c:pt idx="9">
                  <c:v>1979</c:v>
                </c:pt>
                <c:pt idx="10">
                  <c:v>1974</c:v>
                </c:pt>
                <c:pt idx="11">
                  <c:v>1974</c:v>
                </c:pt>
              </c:numCache>
            </c:numRef>
          </c:cat>
          <c:val>
            <c:numRef>
              <c:extLst>
                <c:ext xmlns:c15="http://schemas.microsoft.com/office/drawing/2012/chart" uri="{02D57815-91ED-43cb-92C2-25804820EDAC}">
                  <c15:fullRef>
                    <c15:sqref>'GE-NI Visual'!$K$42:$K$69</c15:sqref>
                  </c15:fullRef>
                </c:ext>
              </c:extLst>
              <c:f>'GE-NI Visual'!$K$42:$K$53</c:f>
              <c:numCache>
                <c:formatCode>0</c:formatCode>
                <c:ptCount val="12"/>
                <c:pt idx="0" formatCode="General">
                  <c:v>0</c:v>
                </c:pt>
                <c:pt idx="1">
                  <c:v>3</c:v>
                </c:pt>
                <c:pt idx="2">
                  <c:v>3</c:v>
                </c:pt>
                <c:pt idx="3">
                  <c:v>3</c:v>
                </c:pt>
                <c:pt idx="4">
                  <c:v>3</c:v>
                </c:pt>
                <c:pt idx="5">
                  <c:v>3</c:v>
                </c:pt>
                <c:pt idx="6">
                  <c:v>4</c:v>
                </c:pt>
                <c:pt idx="7">
                  <c:v>3</c:v>
                </c:pt>
                <c:pt idx="8">
                  <c:v>1</c:v>
                </c:pt>
                <c:pt idx="9">
                  <c:v>1</c:v>
                </c:pt>
                <c:pt idx="10">
                  <c:v>1</c:v>
                </c:pt>
                <c:pt idx="11">
                  <c:v>1</c:v>
                </c:pt>
              </c:numCache>
            </c:numRef>
          </c:val>
          <c:extLst>
            <c:ext xmlns:c16="http://schemas.microsoft.com/office/drawing/2014/chart" uri="{C3380CC4-5D6E-409C-BE32-E72D297353CC}">
              <c16:uniqueId val="{0000000C-12F4-4654-85A4-7D7012B25E14}"/>
            </c:ext>
          </c:extLst>
        </c:ser>
        <c:ser>
          <c:idx val="2"/>
          <c:order val="2"/>
          <c:spPr>
            <a:solidFill>
              <a:srgbClr val="CC3300"/>
            </a:solidFill>
            <a:ln w="25400">
              <a:noFill/>
            </a:ln>
          </c:spPr>
          <c:invertIfNegative val="0"/>
          <c:cat>
            <c:numRef>
              <c:extLst>
                <c:ext xmlns:c15="http://schemas.microsoft.com/office/drawing/2012/chart" uri="{02D57815-91ED-43cb-92C2-25804820EDAC}">
                  <c15:fullRef>
                    <c15:sqref>'GE-NI Visual'!$A$42:$A$69</c15:sqref>
                  </c15:fullRef>
                </c:ext>
              </c:extLst>
              <c:f>'GE-NI Visual'!$A$42:$A$53</c:f>
              <c:numCache>
                <c:formatCode>General</c:formatCode>
                <c:ptCount val="12"/>
                <c:pt idx="0">
                  <c:v>2017</c:v>
                </c:pt>
                <c:pt idx="1">
                  <c:v>2015</c:v>
                </c:pt>
                <c:pt idx="2">
                  <c:v>2010</c:v>
                </c:pt>
                <c:pt idx="3">
                  <c:v>2005</c:v>
                </c:pt>
                <c:pt idx="4">
                  <c:v>2001</c:v>
                </c:pt>
                <c:pt idx="5">
                  <c:v>1997</c:v>
                </c:pt>
                <c:pt idx="6">
                  <c:v>1992</c:v>
                </c:pt>
                <c:pt idx="7">
                  <c:v>1987</c:v>
                </c:pt>
                <c:pt idx="8">
                  <c:v>1983</c:v>
                </c:pt>
                <c:pt idx="9">
                  <c:v>1979</c:v>
                </c:pt>
                <c:pt idx="10">
                  <c:v>1974</c:v>
                </c:pt>
                <c:pt idx="11">
                  <c:v>1974</c:v>
                </c:pt>
              </c:numCache>
            </c:numRef>
          </c:cat>
          <c:val>
            <c:numRef>
              <c:extLst>
                <c:ext xmlns:c15="http://schemas.microsoft.com/office/drawing/2012/chart" uri="{02D57815-91ED-43cb-92C2-25804820EDAC}">
                  <c15:fullRef>
                    <c15:sqref>'GE-NI Visual'!$L$42:$L$69</c15:sqref>
                  </c15:fullRef>
                </c:ext>
              </c:extLst>
              <c:f>'GE-NI Visual'!$L$42:$L$53</c:f>
              <c:numCache>
                <c:formatCode>0</c:formatCode>
                <c:ptCount val="12"/>
                <c:pt idx="0" formatCode="General">
                  <c:v>10</c:v>
                </c:pt>
                <c:pt idx="1">
                  <c:v>8</c:v>
                </c:pt>
                <c:pt idx="2">
                  <c:v>8</c:v>
                </c:pt>
                <c:pt idx="3">
                  <c:v>9</c:v>
                </c:pt>
                <c:pt idx="4">
                  <c:v>5</c:v>
                </c:pt>
                <c:pt idx="5">
                  <c:v>2</c:v>
                </c:pt>
                <c:pt idx="6">
                  <c:v>3</c:v>
                </c:pt>
                <c:pt idx="7">
                  <c:v>3</c:v>
                </c:pt>
                <c:pt idx="8">
                  <c:v>3</c:v>
                </c:pt>
                <c:pt idx="9">
                  <c:v>3</c:v>
                </c:pt>
                <c:pt idx="10">
                  <c:v>1</c:v>
                </c:pt>
                <c:pt idx="11">
                  <c:v>1</c:v>
                </c:pt>
              </c:numCache>
            </c:numRef>
          </c:val>
          <c:extLst>
            <c:ext xmlns:c16="http://schemas.microsoft.com/office/drawing/2014/chart" uri="{C3380CC4-5D6E-409C-BE32-E72D297353CC}">
              <c16:uniqueId val="{0000000D-12F4-4654-85A4-7D7012B25E14}"/>
            </c:ext>
          </c:extLst>
        </c:ser>
        <c:ser>
          <c:idx val="3"/>
          <c:order val="3"/>
          <c:spPr>
            <a:solidFill>
              <a:srgbClr val="02665F"/>
            </a:solidFill>
          </c:spPr>
          <c:invertIfNegative val="0"/>
          <c:cat>
            <c:numRef>
              <c:extLst>
                <c:ext xmlns:c15="http://schemas.microsoft.com/office/drawing/2012/chart" uri="{02D57815-91ED-43cb-92C2-25804820EDAC}">
                  <c15:fullRef>
                    <c15:sqref>'GE-NI Visual'!$A$42:$A$69</c15:sqref>
                  </c15:fullRef>
                </c:ext>
              </c:extLst>
              <c:f>'GE-NI Visual'!$A$42:$A$53</c:f>
              <c:numCache>
                <c:formatCode>General</c:formatCode>
                <c:ptCount val="12"/>
                <c:pt idx="0">
                  <c:v>2017</c:v>
                </c:pt>
                <c:pt idx="1">
                  <c:v>2015</c:v>
                </c:pt>
                <c:pt idx="2">
                  <c:v>2010</c:v>
                </c:pt>
                <c:pt idx="3">
                  <c:v>2005</c:v>
                </c:pt>
                <c:pt idx="4">
                  <c:v>2001</c:v>
                </c:pt>
                <c:pt idx="5">
                  <c:v>1997</c:v>
                </c:pt>
                <c:pt idx="6">
                  <c:v>1992</c:v>
                </c:pt>
                <c:pt idx="7">
                  <c:v>1987</c:v>
                </c:pt>
                <c:pt idx="8">
                  <c:v>1983</c:v>
                </c:pt>
                <c:pt idx="9">
                  <c:v>1979</c:v>
                </c:pt>
                <c:pt idx="10">
                  <c:v>1974</c:v>
                </c:pt>
                <c:pt idx="11">
                  <c:v>1974</c:v>
                </c:pt>
              </c:numCache>
            </c:numRef>
          </c:cat>
          <c:val>
            <c:numRef>
              <c:extLst>
                <c:ext xmlns:c15="http://schemas.microsoft.com/office/drawing/2012/chart" uri="{02D57815-91ED-43cb-92C2-25804820EDAC}">
                  <c15:fullRef>
                    <c15:sqref>'GE-NI Visual'!$M$42:$M$69</c15:sqref>
                  </c15:fullRef>
                </c:ext>
              </c:extLst>
              <c:f>'GE-NI Visual'!$M$42:$M$53</c:f>
              <c:numCache>
                <c:formatCode>0</c:formatCode>
                <c:ptCount val="12"/>
                <c:pt idx="0" formatCode="General">
                  <c:v>7</c:v>
                </c:pt>
                <c:pt idx="1">
                  <c:v>4</c:v>
                </c:pt>
                <c:pt idx="2">
                  <c:v>5</c:v>
                </c:pt>
                <c:pt idx="3">
                  <c:v>5</c:v>
                </c:pt>
                <c:pt idx="4">
                  <c:v>4</c:v>
                </c:pt>
                <c:pt idx="5">
                  <c:v>2</c:v>
                </c:pt>
                <c:pt idx="6">
                  <c:v>0</c:v>
                </c:pt>
                <c:pt idx="7">
                  <c:v>1</c:v>
                </c:pt>
                <c:pt idx="8">
                  <c:v>1</c:v>
                </c:pt>
                <c:pt idx="9" formatCode="#,##0.0;\-#,##0.0">
                  <c:v>0</c:v>
                </c:pt>
                <c:pt idx="10" formatCode="#,##0.0;\-#,##0.0">
                  <c:v>0</c:v>
                </c:pt>
                <c:pt idx="11" formatCode="#,##0.0;\-#,##0.0">
                  <c:v>0</c:v>
                </c:pt>
              </c:numCache>
            </c:numRef>
          </c:val>
          <c:extLst>
            <c:ext xmlns:c16="http://schemas.microsoft.com/office/drawing/2014/chart" uri="{C3380CC4-5D6E-409C-BE32-E72D297353CC}">
              <c16:uniqueId val="{0000000E-12F4-4654-85A4-7D7012B25E14}"/>
            </c:ext>
          </c:extLst>
        </c:ser>
        <c:dLbls>
          <c:showLegendKey val="0"/>
          <c:showVal val="0"/>
          <c:showCatName val="0"/>
          <c:showSerName val="0"/>
          <c:showPercent val="0"/>
          <c:showBubbleSize val="0"/>
        </c:dLbls>
        <c:gapWidth val="65"/>
        <c:overlap val="100"/>
        <c:axId val="461927088"/>
        <c:axId val="461927480"/>
      </c:barChart>
      <c:catAx>
        <c:axId val="461927088"/>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1927480"/>
        <c:crosses val="autoZero"/>
        <c:auto val="1"/>
        <c:lblAlgn val="ctr"/>
        <c:lblOffset val="100"/>
        <c:noMultiLvlLbl val="0"/>
      </c:catAx>
      <c:valAx>
        <c:axId val="461927480"/>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1927088"/>
        <c:crosses val="autoZero"/>
        <c:crossBetween val="between"/>
      </c:valAx>
      <c:spPr>
        <a:noFill/>
        <a:ln w="25400">
          <a:noFill/>
        </a:ln>
      </c:spPr>
    </c:plotArea>
    <c:legend>
      <c:legendPos val="r"/>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LIBERAL</a:t>
            </a:r>
            <a:r>
              <a:rPr lang="en-GB" u="none" baseline="0"/>
              <a:t> DEMOCRATS</a:t>
            </a:r>
            <a:endParaRPr lang="en-GB" u="none"/>
          </a:p>
        </c:rich>
      </c:tx>
      <c:layout>
        <c:manualLayout>
          <c:xMode val="edge"/>
          <c:yMode val="edge"/>
          <c:x val="0.22080287057392473"/>
          <c:y val="0.15840022983350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FAA01A"/>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Parliament'!$S$18:$X$18</c:f>
              <c:numCache>
                <c:formatCode>0.0%</c:formatCode>
                <c:ptCount val="6"/>
                <c:pt idx="0">
                  <c:v>0.13328037199112575</c:v>
                </c:pt>
                <c:pt idx="1">
                  <c:v>0.13572942683576358</c:v>
                </c:pt>
                <c:pt idx="2">
                  <c:v>0.13839189267108928</c:v>
                </c:pt>
                <c:pt idx="3">
                  <c:v>6.5622776444481959E-2</c:v>
                </c:pt>
                <c:pt idx="4">
                  <c:v>6.5175945611135391E-2</c:v>
                </c:pt>
                <c:pt idx="5">
                  <c:v>5.9982003017955449E-2</c:v>
                </c:pt>
              </c:numCache>
            </c:numRef>
          </c:val>
          <c:extLst>
            <c:ext xmlns:c16="http://schemas.microsoft.com/office/drawing/2014/chart" uri="{C3380CC4-5D6E-409C-BE32-E72D297353CC}">
              <c16:uniqueId val="{00000000-B80A-4215-B47E-BDEBA0B619ED}"/>
            </c:ext>
          </c:extLst>
        </c:ser>
        <c:ser>
          <c:idx val="1"/>
          <c:order val="1"/>
          <c:tx>
            <c:v>% Seats</c:v>
          </c:tx>
          <c:spPr>
            <a:solidFill>
              <a:srgbClr val="FAA01A">
                <a:alpha val="59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Parliament'!$Z$18:$AE$18</c:f>
              <c:numCache>
                <c:formatCode>0.0%</c:formatCode>
                <c:ptCount val="6"/>
                <c:pt idx="0">
                  <c:v>0.13178294573643412</c:v>
                </c:pt>
                <c:pt idx="1">
                  <c:v>0.13178294573643412</c:v>
                </c:pt>
                <c:pt idx="2">
                  <c:v>0.12403100775193798</c:v>
                </c:pt>
                <c:pt idx="3">
                  <c:v>3.875968992248062E-2</c:v>
                </c:pt>
                <c:pt idx="4">
                  <c:v>3.875968992248062E-2</c:v>
                </c:pt>
                <c:pt idx="5">
                  <c:v>3.1007751937984496E-2</c:v>
                </c:pt>
              </c:numCache>
            </c:numRef>
          </c:val>
          <c:extLst>
            <c:ext xmlns:c16="http://schemas.microsoft.com/office/drawing/2014/chart" uri="{C3380CC4-5D6E-409C-BE32-E72D297353CC}">
              <c16:uniqueId val="{00000001-B80A-4215-B47E-BDEBA0B619ED}"/>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GREEN PARTY</a:t>
            </a:r>
          </a:p>
        </c:rich>
      </c:tx>
      <c:layout>
        <c:manualLayout>
          <c:xMode val="edge"/>
          <c:yMode val="edge"/>
          <c:x val="0.31131997973187625"/>
          <c:y val="0.158400126387502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78B82A"/>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Parliament'!$S$19:$X$19</c:f>
              <c:numCache>
                <c:formatCode>0.0%</c:formatCode>
                <c:ptCount val="6"/>
                <c:pt idx="0">
                  <c:v>1.7948255672125574E-2</c:v>
                </c:pt>
                <c:pt idx="1">
                  <c:v>3.4482389680909116E-2</c:v>
                </c:pt>
                <c:pt idx="2">
                  <c:v>2.1170599425324191E-2</c:v>
                </c:pt>
                <c:pt idx="3">
                  <c:v>2.1843355161864791E-2</c:v>
                </c:pt>
                <c:pt idx="4">
                  <c:v>3.5838204738105173E-2</c:v>
                </c:pt>
                <c:pt idx="5">
                  <c:v>4.674176176610384E-2</c:v>
                </c:pt>
              </c:numCache>
            </c:numRef>
          </c:val>
          <c:extLst>
            <c:ext xmlns:c16="http://schemas.microsoft.com/office/drawing/2014/chart" uri="{C3380CC4-5D6E-409C-BE32-E72D297353CC}">
              <c16:uniqueId val="{00000000-1A81-4824-A59E-65EDF7AC0B79}"/>
            </c:ext>
          </c:extLst>
        </c:ser>
        <c:ser>
          <c:idx val="1"/>
          <c:order val="1"/>
          <c:tx>
            <c:v>% Seats</c:v>
          </c:tx>
          <c:spPr>
            <a:solidFill>
              <a:srgbClr val="78B82A">
                <a:alpha val="58824"/>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'17 Scottish Parliament'!$Z$19:$AE$19</c:f>
              <c:numCache>
                <c:formatCode>0.0%</c:formatCode>
                <c:ptCount val="6"/>
                <c:pt idx="0">
                  <c:v>7.7519379844961239E-3</c:v>
                </c:pt>
                <c:pt idx="1">
                  <c:v>5.4263565891472867E-2</c:v>
                </c:pt>
                <c:pt idx="2">
                  <c:v>1.5503875968992248E-2</c:v>
                </c:pt>
                <c:pt idx="3">
                  <c:v>1.5503875968992248E-2</c:v>
                </c:pt>
                <c:pt idx="4">
                  <c:v>4.6511627906976744E-2</c:v>
                </c:pt>
                <c:pt idx="5">
                  <c:v>6.2015503875968991E-2</c:v>
                </c:pt>
              </c:numCache>
            </c:numRef>
          </c:val>
          <c:extLst>
            <c:ext xmlns:c16="http://schemas.microsoft.com/office/drawing/2014/chart" uri="{C3380CC4-5D6E-409C-BE32-E72D297353CC}">
              <c16:uniqueId val="{00000001-1A81-4824-A59E-65EDF7AC0B79}"/>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47817805960095"/>
          <c:y val="0.18134292816047004"/>
          <c:w val="0.49768332055838155"/>
          <c:h val="0.60624095901055841"/>
        </c:manualLayout>
      </c:layout>
      <c:barChart>
        <c:barDir val="bar"/>
        <c:grouping val="clustered"/>
        <c:varyColors val="0"/>
        <c:ser>
          <c:idx val="0"/>
          <c:order val="0"/>
          <c:tx>
            <c:strRef>
              <c:f>'17 Scottish Parliament Visual'!$A$69</c:f>
              <c:strCache>
                <c:ptCount val="1"/>
                <c:pt idx="0">
                  <c:v>SNP</c:v>
                </c:pt>
              </c:strCache>
            </c:strRef>
          </c:tx>
          <c:spPr>
            <a:solidFill>
              <a:srgbClr val="FFF685"/>
            </a:solidFill>
            <a:ln w="25400">
              <a:noFill/>
            </a:ln>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Visual'!$B$69:$G$69</c:f>
              <c:numCache>
                <c:formatCode>#,##0_);\(#,##0\)</c:formatCode>
                <c:ptCount val="6"/>
                <c:pt idx="0">
                  <c:v>64</c:v>
                </c:pt>
                <c:pt idx="1">
                  <c:v>63</c:v>
                </c:pt>
                <c:pt idx="2">
                  <c:v>69</c:v>
                </c:pt>
                <c:pt idx="3">
                  <c:v>47</c:v>
                </c:pt>
                <c:pt idx="4">
                  <c:v>27</c:v>
                </c:pt>
                <c:pt idx="5">
                  <c:v>35</c:v>
                </c:pt>
              </c:numCache>
            </c:numRef>
          </c:val>
          <c:extLst>
            <c:ext xmlns:c16="http://schemas.microsoft.com/office/drawing/2014/chart" uri="{C3380CC4-5D6E-409C-BE32-E72D297353CC}">
              <c16:uniqueId val="{00000000-B910-47DF-AB42-53B9E4006B58}"/>
            </c:ext>
          </c:extLst>
        </c:ser>
        <c:ser>
          <c:idx val="1"/>
          <c:order val="1"/>
          <c:tx>
            <c:strRef>
              <c:f>'17 Scottish Parliament Visual'!$A$70</c:f>
              <c:strCache>
                <c:ptCount val="1"/>
                <c:pt idx="0">
                  <c:v>LAB</c:v>
                </c:pt>
              </c:strCache>
            </c:strRef>
          </c:tx>
          <c:spPr>
            <a:solidFill>
              <a:srgbClr val="D50000"/>
            </a:solidFill>
            <a:ln w="25400">
              <a:noFill/>
            </a:ln>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Visual'!$B$70:$G$70</c:f>
              <c:numCache>
                <c:formatCode>#,##0_);\(#,##0\)</c:formatCode>
                <c:ptCount val="6"/>
                <c:pt idx="0">
                  <c:v>22</c:v>
                </c:pt>
                <c:pt idx="1">
                  <c:v>24</c:v>
                </c:pt>
                <c:pt idx="2">
                  <c:v>37</c:v>
                </c:pt>
                <c:pt idx="3">
                  <c:v>46</c:v>
                </c:pt>
                <c:pt idx="4">
                  <c:v>50</c:v>
                </c:pt>
                <c:pt idx="5">
                  <c:v>56</c:v>
                </c:pt>
              </c:numCache>
            </c:numRef>
          </c:val>
          <c:extLst>
            <c:ext xmlns:c16="http://schemas.microsoft.com/office/drawing/2014/chart" uri="{C3380CC4-5D6E-409C-BE32-E72D297353CC}">
              <c16:uniqueId val="{00000001-B910-47DF-AB42-53B9E4006B58}"/>
            </c:ext>
          </c:extLst>
        </c:ser>
        <c:ser>
          <c:idx val="2"/>
          <c:order val="2"/>
          <c:tx>
            <c:strRef>
              <c:f>'17 Scottish Parliament Visual'!$A$71</c:f>
              <c:strCache>
                <c:ptCount val="1"/>
                <c:pt idx="0">
                  <c:v>CON</c:v>
                </c:pt>
              </c:strCache>
            </c:strRef>
          </c:tx>
          <c:spPr>
            <a:solidFill>
              <a:srgbClr val="00539F"/>
            </a:solidFill>
            <a:ln w="25400">
              <a:noFill/>
            </a:ln>
          </c:spPr>
          <c:invertIfNegative val="0"/>
          <c:dPt>
            <c:idx val="0"/>
            <c:invertIfNegative val="0"/>
            <c:bubble3D val="0"/>
            <c:extLst>
              <c:ext xmlns:c16="http://schemas.microsoft.com/office/drawing/2014/chart" uri="{C3380CC4-5D6E-409C-BE32-E72D297353CC}">
                <c16:uniqueId val="{00000002-B910-47DF-AB42-53B9E4006B58}"/>
              </c:ext>
            </c:extLst>
          </c:dPt>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Visual'!$B$71:$G$71</c:f>
              <c:numCache>
                <c:formatCode>#,##0_);\(#,##0\)</c:formatCode>
                <c:ptCount val="6"/>
                <c:pt idx="0">
                  <c:v>31</c:v>
                </c:pt>
                <c:pt idx="1">
                  <c:v>31</c:v>
                </c:pt>
                <c:pt idx="2">
                  <c:v>15</c:v>
                </c:pt>
                <c:pt idx="3">
                  <c:v>17</c:v>
                </c:pt>
                <c:pt idx="4">
                  <c:v>18</c:v>
                </c:pt>
                <c:pt idx="5">
                  <c:v>18</c:v>
                </c:pt>
              </c:numCache>
            </c:numRef>
          </c:val>
          <c:extLst>
            <c:ext xmlns:c16="http://schemas.microsoft.com/office/drawing/2014/chart" uri="{C3380CC4-5D6E-409C-BE32-E72D297353CC}">
              <c16:uniqueId val="{00000003-B910-47DF-AB42-53B9E4006B58}"/>
            </c:ext>
          </c:extLst>
        </c:ser>
        <c:ser>
          <c:idx val="3"/>
          <c:order val="3"/>
          <c:tx>
            <c:strRef>
              <c:f>'17 Scottish Parliament Visual'!$A$72</c:f>
              <c:strCache>
                <c:ptCount val="1"/>
                <c:pt idx="0">
                  <c:v>LD</c:v>
                </c:pt>
              </c:strCache>
            </c:strRef>
          </c:tx>
          <c:spPr>
            <a:solidFill>
              <a:srgbClr val="FAA01A"/>
            </a:solidFill>
            <a:ln w="25400">
              <a:noFill/>
            </a:ln>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Visual'!$B$72:$G$72</c:f>
              <c:numCache>
                <c:formatCode>#,##0_);\(#,##0\)</c:formatCode>
                <c:ptCount val="6"/>
                <c:pt idx="0">
                  <c:v>4</c:v>
                </c:pt>
                <c:pt idx="1">
                  <c:v>5</c:v>
                </c:pt>
                <c:pt idx="2">
                  <c:v>5</c:v>
                </c:pt>
                <c:pt idx="3">
                  <c:v>16</c:v>
                </c:pt>
                <c:pt idx="4">
                  <c:v>17</c:v>
                </c:pt>
                <c:pt idx="5">
                  <c:v>17</c:v>
                </c:pt>
              </c:numCache>
            </c:numRef>
          </c:val>
          <c:extLst>
            <c:ext xmlns:c16="http://schemas.microsoft.com/office/drawing/2014/chart" uri="{C3380CC4-5D6E-409C-BE32-E72D297353CC}">
              <c16:uniqueId val="{00000004-B910-47DF-AB42-53B9E4006B58}"/>
            </c:ext>
          </c:extLst>
        </c:ser>
        <c:ser>
          <c:idx val="4"/>
          <c:order val="4"/>
          <c:tx>
            <c:strRef>
              <c:f>'17 Scottish Parliament Visual'!$A$73</c:f>
              <c:strCache>
                <c:ptCount val="1"/>
                <c:pt idx="0">
                  <c:v>GRN</c:v>
                </c:pt>
              </c:strCache>
            </c:strRef>
          </c:tx>
          <c:spPr>
            <a:solidFill>
              <a:srgbClr val="78B82A"/>
            </a:solidFill>
            <a:ln w="25400">
              <a:noFill/>
            </a:ln>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Visual'!$B$73:$G$73</c:f>
              <c:numCache>
                <c:formatCode>#,##0_);\(#,##0\)</c:formatCode>
                <c:ptCount val="6"/>
                <c:pt idx="0">
                  <c:v>8</c:v>
                </c:pt>
                <c:pt idx="1">
                  <c:v>6</c:v>
                </c:pt>
                <c:pt idx="2">
                  <c:v>2</c:v>
                </c:pt>
                <c:pt idx="3">
                  <c:v>2</c:v>
                </c:pt>
                <c:pt idx="4">
                  <c:v>7</c:v>
                </c:pt>
                <c:pt idx="5">
                  <c:v>1</c:v>
                </c:pt>
              </c:numCache>
            </c:numRef>
          </c:val>
          <c:extLst>
            <c:ext xmlns:c16="http://schemas.microsoft.com/office/drawing/2014/chart" uri="{C3380CC4-5D6E-409C-BE32-E72D297353CC}">
              <c16:uniqueId val="{00000005-B910-47DF-AB42-53B9E4006B58}"/>
            </c:ext>
          </c:extLst>
        </c:ser>
        <c:ser>
          <c:idx val="5"/>
          <c:order val="5"/>
          <c:tx>
            <c:strRef>
              <c:f>'17 Scottish Parliament Visual'!$A$74</c:f>
              <c:strCache>
                <c:ptCount val="1"/>
                <c:pt idx="0">
                  <c:v>SSP</c:v>
                </c:pt>
              </c:strCache>
            </c:strRef>
          </c:tx>
          <c:spPr>
            <a:solidFill>
              <a:srgbClr val="0070C0"/>
            </a:solidFill>
            <a:ln w="25400">
              <a:noFill/>
            </a:ln>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Visual'!$B$74:$G$74</c:f>
              <c:numCache>
                <c:formatCode>#,##0_);\(#,##0\)</c:formatCode>
                <c:ptCount val="6"/>
                <c:pt idx="0">
                  <c:v>0</c:v>
                </c:pt>
                <c:pt idx="1">
                  <c:v>0</c:v>
                </c:pt>
                <c:pt idx="2">
                  <c:v>0</c:v>
                </c:pt>
                <c:pt idx="3">
                  <c:v>0</c:v>
                </c:pt>
                <c:pt idx="4">
                  <c:v>6</c:v>
                </c:pt>
                <c:pt idx="5">
                  <c:v>1</c:v>
                </c:pt>
              </c:numCache>
            </c:numRef>
          </c:val>
          <c:extLst>
            <c:ext xmlns:c16="http://schemas.microsoft.com/office/drawing/2014/chart" uri="{C3380CC4-5D6E-409C-BE32-E72D297353CC}">
              <c16:uniqueId val="{00000006-B910-47DF-AB42-53B9E4006B58}"/>
            </c:ext>
          </c:extLst>
        </c:ser>
        <c:ser>
          <c:idx val="6"/>
          <c:order val="6"/>
          <c:tx>
            <c:strRef>
              <c:f>'17 Scottish Parliament Visual'!$A$75</c:f>
              <c:strCache>
                <c:ptCount val="1"/>
                <c:pt idx="0">
                  <c:v>Other</c:v>
                </c:pt>
              </c:strCache>
            </c:strRef>
          </c:tx>
          <c:spPr>
            <a:solidFill>
              <a:schemeClr val="bg1">
                <a:lumMod val="65000"/>
              </a:schemeClr>
            </a:solidFill>
            <a:ln>
              <a:noFill/>
            </a:ln>
            <a:effectLst/>
          </c:spPr>
          <c:invertIfNegative val="0"/>
          <c:cat>
            <c:numRef>
              <c:f>'17 Scottish Parliament Visual'!$B$68:$G$68</c:f>
              <c:numCache>
                <c:formatCode>0</c:formatCode>
                <c:ptCount val="6"/>
                <c:pt idx="0">
                  <c:v>2021</c:v>
                </c:pt>
                <c:pt idx="1">
                  <c:v>2016</c:v>
                </c:pt>
                <c:pt idx="2">
                  <c:v>2011</c:v>
                </c:pt>
                <c:pt idx="3">
                  <c:v>2007</c:v>
                </c:pt>
                <c:pt idx="4">
                  <c:v>2003</c:v>
                </c:pt>
                <c:pt idx="5">
                  <c:v>1999</c:v>
                </c:pt>
              </c:numCache>
            </c:numRef>
          </c:cat>
          <c:val>
            <c:numRef>
              <c:f>'17 Scottish Parliament Visual'!$C$75:$G$75</c:f>
              <c:numCache>
                <c:formatCode>#,##0_);\(#,##0\)</c:formatCode>
                <c:ptCount val="5"/>
                <c:pt idx="0">
                  <c:v>0</c:v>
                </c:pt>
                <c:pt idx="1">
                  <c:v>1</c:v>
                </c:pt>
                <c:pt idx="2">
                  <c:v>1</c:v>
                </c:pt>
                <c:pt idx="3">
                  <c:v>4</c:v>
                </c:pt>
                <c:pt idx="4">
                  <c:v>1</c:v>
                </c:pt>
              </c:numCache>
            </c:numRef>
          </c:val>
          <c:extLst>
            <c:ext xmlns:c16="http://schemas.microsoft.com/office/drawing/2014/chart" uri="{C3380CC4-5D6E-409C-BE32-E72D297353CC}">
              <c16:uniqueId val="{00000007-B910-47DF-AB42-53B9E4006B58}"/>
            </c:ext>
          </c:extLst>
        </c:ser>
        <c:dLbls>
          <c:showLegendKey val="0"/>
          <c:showVal val="0"/>
          <c:showCatName val="0"/>
          <c:showSerName val="0"/>
          <c:showPercent val="0"/>
          <c:showBubbleSize val="0"/>
        </c:dLbls>
        <c:gapWidth val="34"/>
        <c:axId val="472768320"/>
        <c:axId val="472768712"/>
      </c:barChart>
      <c:catAx>
        <c:axId val="472768320"/>
        <c:scaling>
          <c:orientation val="minMax"/>
        </c:scaling>
        <c:delete val="0"/>
        <c:axPos val="l"/>
        <c:numFmt formatCode="0"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68712"/>
        <c:crosses val="autoZero"/>
        <c:auto val="1"/>
        <c:lblAlgn val="ctr"/>
        <c:lblOffset val="100"/>
        <c:noMultiLvlLbl val="0"/>
      </c:catAx>
      <c:valAx>
        <c:axId val="472768712"/>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2768320"/>
        <c:crosses val="autoZero"/>
        <c:crossBetween val="between"/>
        <c:majorUnit val="25"/>
      </c:valAx>
      <c:spPr>
        <a:noFill/>
        <a:ln w="25400">
          <a:noFill/>
        </a:ln>
      </c:spPr>
    </c:plotArea>
    <c:legend>
      <c:legendPos val="r"/>
      <c:layout>
        <c:manualLayout>
          <c:xMode val="edge"/>
          <c:yMode val="edge"/>
          <c:x val="0"/>
          <c:y val="0.86075523168299606"/>
          <c:w val="0.84070796460176989"/>
          <c:h val="0.13817490205028718"/>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Conservative</a:t>
            </a:r>
          </a:p>
        </c:rich>
      </c:tx>
      <c:layout>
        <c:manualLayout>
          <c:xMode val="edge"/>
          <c:yMode val="edge"/>
          <c:x val="0.34858741018028483"/>
          <c:y val="2.5045960164070402E-2"/>
        </c:manualLayout>
      </c:layout>
      <c:overlay val="0"/>
      <c:spPr>
        <a:noFill/>
        <a:ln w="25400">
          <a:noFill/>
        </a:ln>
      </c:spPr>
    </c:title>
    <c:autoTitleDeleted val="0"/>
    <c:plotArea>
      <c:layout>
        <c:manualLayout>
          <c:layoutTarget val="inner"/>
          <c:xMode val="edge"/>
          <c:yMode val="edge"/>
          <c:x val="0.13729411938939379"/>
          <c:y val="0.11774720217091519"/>
          <c:w val="0.88442275124966108"/>
          <c:h val="0.76213707353413185"/>
        </c:manualLayout>
      </c:layout>
      <c:barChart>
        <c:barDir val="col"/>
        <c:grouping val="clustered"/>
        <c:varyColors val="0"/>
        <c:ser>
          <c:idx val="0"/>
          <c:order val="0"/>
          <c:tx>
            <c:strRef>
              <c:f>'17 SP Party charts '!$C$23</c:f>
              <c:strCache>
                <c:ptCount val="1"/>
                <c:pt idx="0">
                  <c:v>% Seats </c:v>
                </c:pt>
              </c:strCache>
            </c:strRef>
          </c:tx>
          <c:spPr>
            <a:solidFill>
              <a:srgbClr val="00539F"/>
            </a:solidFill>
            <a:ln w="25400">
              <a:noFill/>
            </a:ln>
          </c:spPr>
          <c:invertIfNegative val="0"/>
          <c:cat>
            <c:numRef>
              <c:f>'17 SP Party charts '!$D$22:$H$22</c:f>
              <c:numCache>
                <c:formatCode>General</c:formatCode>
                <c:ptCount val="5"/>
                <c:pt idx="0">
                  <c:v>1999</c:v>
                </c:pt>
                <c:pt idx="1">
                  <c:v>2003</c:v>
                </c:pt>
                <c:pt idx="2">
                  <c:v>2007</c:v>
                </c:pt>
                <c:pt idx="3">
                  <c:v>2011</c:v>
                </c:pt>
                <c:pt idx="4">
                  <c:v>2016</c:v>
                </c:pt>
              </c:numCache>
            </c:numRef>
          </c:cat>
          <c:val>
            <c:numRef>
              <c:f>'17 SP Party charts '!$D$23:$H$23</c:f>
              <c:numCache>
                <c:formatCode>0.0%</c:formatCode>
                <c:ptCount val="5"/>
                <c:pt idx="0">
                  <c:v>0.13953488372093023</c:v>
                </c:pt>
                <c:pt idx="1">
                  <c:v>0.13953488372093023</c:v>
                </c:pt>
                <c:pt idx="2">
                  <c:v>0.13178294573643412</c:v>
                </c:pt>
                <c:pt idx="3">
                  <c:v>0.11627906976744186</c:v>
                </c:pt>
                <c:pt idx="4">
                  <c:v>0.24031007751937986</c:v>
                </c:pt>
              </c:numCache>
            </c:numRef>
          </c:val>
          <c:extLst>
            <c:ext xmlns:c16="http://schemas.microsoft.com/office/drawing/2014/chart" uri="{C3380CC4-5D6E-409C-BE32-E72D297353CC}">
              <c16:uniqueId val="{00000000-F385-4DDA-971F-70B9C24448CD}"/>
            </c:ext>
          </c:extLst>
        </c:ser>
        <c:ser>
          <c:idx val="1"/>
          <c:order val="1"/>
          <c:tx>
            <c:strRef>
              <c:f>'17 SP Party charts '!$C$24</c:f>
              <c:strCache>
                <c:ptCount val="1"/>
                <c:pt idx="0">
                  <c:v>Vote share</c:v>
                </c:pt>
              </c:strCache>
            </c:strRef>
          </c:tx>
          <c:spPr>
            <a:solidFill>
              <a:schemeClr val="accent4">
                <a:lumMod val="60000"/>
                <a:lumOff val="40000"/>
              </a:schemeClr>
            </a:solidFill>
            <a:ln w="25400">
              <a:noFill/>
            </a:ln>
          </c:spPr>
          <c:invertIfNegative val="0"/>
          <c:cat>
            <c:numRef>
              <c:f>'17 SP Party charts '!$D$22:$H$22</c:f>
              <c:numCache>
                <c:formatCode>General</c:formatCode>
                <c:ptCount val="5"/>
                <c:pt idx="0">
                  <c:v>1999</c:v>
                </c:pt>
                <c:pt idx="1">
                  <c:v>2003</c:v>
                </c:pt>
                <c:pt idx="2">
                  <c:v>2007</c:v>
                </c:pt>
                <c:pt idx="3">
                  <c:v>2011</c:v>
                </c:pt>
                <c:pt idx="4">
                  <c:v>2016</c:v>
                </c:pt>
              </c:numCache>
            </c:numRef>
          </c:cat>
          <c:val>
            <c:numRef>
              <c:f>'17 SP Party charts '!$D$24:$H$24</c:f>
              <c:numCache>
                <c:formatCode>0.0%</c:formatCode>
                <c:ptCount val="5"/>
                <c:pt idx="0">
                  <c:v>0.1545549816059377</c:v>
                </c:pt>
                <c:pt idx="1">
                  <c:v>0.16054308367625311</c:v>
                </c:pt>
                <c:pt idx="2">
                  <c:v>0.15345368479742194</c:v>
                </c:pt>
                <c:pt idx="3">
                  <c:v>0.13130761144410005</c:v>
                </c:pt>
                <c:pt idx="4">
                  <c:v>0.22477225703492187</c:v>
                </c:pt>
              </c:numCache>
            </c:numRef>
          </c:val>
          <c:extLst>
            <c:ext xmlns:c16="http://schemas.microsoft.com/office/drawing/2014/chart" uri="{C3380CC4-5D6E-409C-BE32-E72D297353CC}">
              <c16:uniqueId val="{00000001-F385-4DDA-971F-70B9C24448CD}"/>
            </c:ext>
          </c:extLst>
        </c:ser>
        <c:dLbls>
          <c:showLegendKey val="0"/>
          <c:showVal val="0"/>
          <c:showCatName val="0"/>
          <c:showSerName val="0"/>
          <c:showPercent val="0"/>
          <c:showBubbleSize val="0"/>
        </c:dLbls>
        <c:gapWidth val="200"/>
        <c:axId val="472769496"/>
        <c:axId val="472769888"/>
      </c:barChart>
      <c:catAx>
        <c:axId val="47276949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69888"/>
        <c:crosses val="autoZero"/>
        <c:auto val="1"/>
        <c:lblAlgn val="ctr"/>
        <c:lblOffset val="100"/>
        <c:noMultiLvlLbl val="0"/>
      </c:catAx>
      <c:valAx>
        <c:axId val="472769888"/>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69496"/>
        <c:crosses val="autoZero"/>
        <c:crossBetween val="between"/>
        <c:majorUnit val="0.1"/>
      </c:valAx>
      <c:spPr>
        <a:noFill/>
        <a:ln w="25400">
          <a:noFill/>
        </a:ln>
      </c:spPr>
    </c:plotArea>
    <c:legend>
      <c:legendPos val="r"/>
      <c:layout>
        <c:manualLayout>
          <c:xMode val="edge"/>
          <c:yMode val="edge"/>
          <c:x val="0.22404428954577399"/>
          <c:y val="0.16450307347945142"/>
          <c:w val="0.63114926207994504"/>
          <c:h val="0.12987058435877336"/>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Labour</a:t>
            </a:r>
          </a:p>
        </c:rich>
      </c:tx>
      <c:overlay val="0"/>
      <c:spPr>
        <a:noFill/>
        <a:ln w="25400">
          <a:noFill/>
        </a:ln>
      </c:spPr>
    </c:title>
    <c:autoTitleDeleted val="0"/>
    <c:plotArea>
      <c:layout>
        <c:manualLayout>
          <c:layoutTarget val="inner"/>
          <c:xMode val="edge"/>
          <c:yMode val="edge"/>
          <c:x val="0.13729411938939379"/>
          <c:y val="0.19364015966297507"/>
          <c:w val="0.88442275124966108"/>
          <c:h val="0.6808227811624461"/>
        </c:manualLayout>
      </c:layout>
      <c:barChart>
        <c:barDir val="col"/>
        <c:grouping val="clustered"/>
        <c:varyColors val="0"/>
        <c:ser>
          <c:idx val="0"/>
          <c:order val="0"/>
          <c:tx>
            <c:strRef>
              <c:f>'17 SP Party charts '!$C$34</c:f>
              <c:strCache>
                <c:ptCount val="1"/>
                <c:pt idx="0">
                  <c:v>% Seats </c:v>
                </c:pt>
              </c:strCache>
            </c:strRef>
          </c:tx>
          <c:spPr>
            <a:solidFill>
              <a:srgbClr val="D50000"/>
            </a:solidFill>
            <a:ln w="25400">
              <a:noFill/>
            </a:ln>
          </c:spPr>
          <c:invertIfNegative val="0"/>
          <c:cat>
            <c:numRef>
              <c:f>'17 SP Party charts '!$D$22:$H$22</c:f>
              <c:numCache>
                <c:formatCode>General</c:formatCode>
                <c:ptCount val="5"/>
                <c:pt idx="0">
                  <c:v>1999</c:v>
                </c:pt>
                <c:pt idx="1">
                  <c:v>2003</c:v>
                </c:pt>
                <c:pt idx="2">
                  <c:v>2007</c:v>
                </c:pt>
                <c:pt idx="3">
                  <c:v>2011</c:v>
                </c:pt>
                <c:pt idx="4">
                  <c:v>2016</c:v>
                </c:pt>
              </c:numCache>
            </c:numRef>
          </c:cat>
          <c:val>
            <c:numRef>
              <c:f>'17 SP Party charts '!$D$34:$H$34</c:f>
              <c:numCache>
                <c:formatCode>0.0%</c:formatCode>
                <c:ptCount val="5"/>
                <c:pt idx="0">
                  <c:v>0.43410852713178294</c:v>
                </c:pt>
                <c:pt idx="1">
                  <c:v>0.38759689922480622</c:v>
                </c:pt>
                <c:pt idx="2">
                  <c:v>0.35658914728682173</c:v>
                </c:pt>
                <c:pt idx="3">
                  <c:v>0.2868217054263566</c:v>
                </c:pt>
                <c:pt idx="4">
                  <c:v>0.18604651162790697</c:v>
                </c:pt>
              </c:numCache>
            </c:numRef>
          </c:val>
          <c:extLst>
            <c:ext xmlns:c16="http://schemas.microsoft.com/office/drawing/2014/chart" uri="{C3380CC4-5D6E-409C-BE32-E72D297353CC}">
              <c16:uniqueId val="{00000000-0170-440E-AF72-E00133946FEB}"/>
            </c:ext>
          </c:extLst>
        </c:ser>
        <c:ser>
          <c:idx val="1"/>
          <c:order val="1"/>
          <c:tx>
            <c:strRef>
              <c:f>'17 SP Party charts '!$C$35</c:f>
              <c:strCache>
                <c:ptCount val="1"/>
                <c:pt idx="0">
                  <c:v>Vote share</c:v>
                </c:pt>
              </c:strCache>
            </c:strRef>
          </c:tx>
          <c:spPr>
            <a:solidFill>
              <a:srgbClr val="FF9393"/>
            </a:solidFill>
            <a:ln w="25400">
              <a:noFill/>
            </a:ln>
          </c:spPr>
          <c:invertIfNegative val="0"/>
          <c:cat>
            <c:numRef>
              <c:f>'17 SP Party charts '!$D$22:$H$22</c:f>
              <c:numCache>
                <c:formatCode>General</c:formatCode>
                <c:ptCount val="5"/>
                <c:pt idx="0">
                  <c:v>1999</c:v>
                </c:pt>
                <c:pt idx="1">
                  <c:v>2003</c:v>
                </c:pt>
                <c:pt idx="2">
                  <c:v>2007</c:v>
                </c:pt>
                <c:pt idx="3">
                  <c:v>2011</c:v>
                </c:pt>
                <c:pt idx="4">
                  <c:v>2016</c:v>
                </c:pt>
              </c:numCache>
            </c:numRef>
          </c:cat>
          <c:val>
            <c:numRef>
              <c:f>'17 SP Party charts '!$D$35:$H$35</c:f>
              <c:numCache>
                <c:formatCode>0.0%</c:formatCode>
                <c:ptCount val="5"/>
                <c:pt idx="0">
                  <c:v>0.36210605284485287</c:v>
                </c:pt>
                <c:pt idx="1">
                  <c:v>0.31966238374673772</c:v>
                </c:pt>
                <c:pt idx="2">
                  <c:v>0.3080979497818177</c:v>
                </c:pt>
                <c:pt idx="3">
                  <c:v>0.28992400213863329</c:v>
                </c:pt>
                <c:pt idx="4">
                  <c:v>0.20814890999922234</c:v>
                </c:pt>
              </c:numCache>
            </c:numRef>
          </c:val>
          <c:extLst>
            <c:ext xmlns:c16="http://schemas.microsoft.com/office/drawing/2014/chart" uri="{C3380CC4-5D6E-409C-BE32-E72D297353CC}">
              <c16:uniqueId val="{00000001-0170-440E-AF72-E00133946FEB}"/>
            </c:ext>
          </c:extLst>
        </c:ser>
        <c:dLbls>
          <c:showLegendKey val="0"/>
          <c:showVal val="0"/>
          <c:showCatName val="0"/>
          <c:showSerName val="0"/>
          <c:showPercent val="0"/>
          <c:showBubbleSize val="0"/>
        </c:dLbls>
        <c:gapWidth val="190"/>
        <c:axId val="472770672"/>
        <c:axId val="472771064"/>
      </c:barChart>
      <c:catAx>
        <c:axId val="47277067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1064"/>
        <c:crosses val="autoZero"/>
        <c:auto val="1"/>
        <c:lblAlgn val="ctr"/>
        <c:lblOffset val="100"/>
        <c:noMultiLvlLbl val="0"/>
      </c:catAx>
      <c:valAx>
        <c:axId val="472771064"/>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70672"/>
        <c:crosses val="autoZero"/>
        <c:crossBetween val="between"/>
        <c:majorUnit val="0.1"/>
      </c:valAx>
      <c:spPr>
        <a:noFill/>
        <a:ln w="25400">
          <a:noFill/>
        </a:ln>
      </c:spPr>
    </c:plotArea>
    <c:legend>
      <c:legendPos val="r"/>
      <c:layout>
        <c:manualLayout>
          <c:xMode val="edge"/>
          <c:yMode val="edge"/>
          <c:x val="0.35616438356164382"/>
          <c:y val="0.18442665978228129"/>
          <c:w val="0.59452054794520548"/>
          <c:h val="0.13114797125769112"/>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Liberal Democrats </a:t>
            </a:r>
          </a:p>
        </c:rich>
      </c:tx>
      <c:layout>
        <c:manualLayout>
          <c:xMode val="edge"/>
          <c:yMode val="edge"/>
          <c:x val="0.22413853023989316"/>
          <c:y val="4.6576590503334445E-2"/>
        </c:manualLayout>
      </c:layout>
      <c:overlay val="0"/>
      <c:spPr>
        <a:noFill/>
        <a:ln w="25400">
          <a:noFill/>
        </a:ln>
      </c:spPr>
    </c:title>
    <c:autoTitleDeleted val="0"/>
    <c:plotArea>
      <c:layout>
        <c:manualLayout>
          <c:layoutTarget val="inner"/>
          <c:xMode val="edge"/>
          <c:yMode val="edge"/>
          <c:x val="0.13729411938939379"/>
          <c:y val="0.13972566600583833"/>
          <c:w val="0.88442275124966108"/>
          <c:h val="0.73373902522233136"/>
        </c:manualLayout>
      </c:layout>
      <c:barChart>
        <c:barDir val="col"/>
        <c:grouping val="clustered"/>
        <c:varyColors val="0"/>
        <c:ser>
          <c:idx val="0"/>
          <c:order val="0"/>
          <c:tx>
            <c:strRef>
              <c:f>'17 SP Party charts '!$C$45</c:f>
              <c:strCache>
                <c:ptCount val="1"/>
                <c:pt idx="0">
                  <c:v>% Seats </c:v>
                </c:pt>
              </c:strCache>
            </c:strRef>
          </c:tx>
          <c:spPr>
            <a:solidFill>
              <a:srgbClr val="FAA01A"/>
            </a:solidFill>
            <a:ln w="25400">
              <a:noFill/>
            </a:ln>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'!$D$45:$H$45</c:f>
              <c:numCache>
                <c:formatCode>0.0%</c:formatCode>
                <c:ptCount val="5"/>
                <c:pt idx="0">
                  <c:v>0.13178294573643412</c:v>
                </c:pt>
                <c:pt idx="1">
                  <c:v>0.13178294573643412</c:v>
                </c:pt>
                <c:pt idx="2">
                  <c:v>0.12403100775193798</c:v>
                </c:pt>
                <c:pt idx="3">
                  <c:v>3.875968992248062E-2</c:v>
                </c:pt>
                <c:pt idx="4">
                  <c:v>3.875968992248062E-2</c:v>
                </c:pt>
              </c:numCache>
            </c:numRef>
          </c:val>
          <c:extLst>
            <c:ext xmlns:c16="http://schemas.microsoft.com/office/drawing/2014/chart" uri="{C3380CC4-5D6E-409C-BE32-E72D297353CC}">
              <c16:uniqueId val="{00000000-C70E-4AC4-9C31-6E0BE566864F}"/>
            </c:ext>
          </c:extLst>
        </c:ser>
        <c:ser>
          <c:idx val="1"/>
          <c:order val="1"/>
          <c:tx>
            <c:strRef>
              <c:f>'17 SP Party charts '!$C$46</c:f>
              <c:strCache>
                <c:ptCount val="1"/>
                <c:pt idx="0">
                  <c:v>Vote share</c:v>
                </c:pt>
              </c:strCache>
            </c:strRef>
          </c:tx>
          <c:spPr>
            <a:solidFill>
              <a:srgbClr val="FFDC6D"/>
            </a:solidFill>
            <a:ln w="25400">
              <a:noFill/>
            </a:ln>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'!$D$46:$H$46</c:f>
              <c:numCache>
                <c:formatCode>0.0%</c:formatCode>
                <c:ptCount val="5"/>
                <c:pt idx="0">
                  <c:v>0.13328037199112575</c:v>
                </c:pt>
                <c:pt idx="1">
                  <c:v>0.13572942683576358</c:v>
                </c:pt>
                <c:pt idx="2">
                  <c:v>0.13839189267108928</c:v>
                </c:pt>
                <c:pt idx="3">
                  <c:v>6.5622776444481959E-2</c:v>
                </c:pt>
                <c:pt idx="4">
                  <c:v>6.5175945611135391E-2</c:v>
                </c:pt>
              </c:numCache>
            </c:numRef>
          </c:val>
          <c:extLst>
            <c:ext xmlns:c16="http://schemas.microsoft.com/office/drawing/2014/chart" uri="{C3380CC4-5D6E-409C-BE32-E72D297353CC}">
              <c16:uniqueId val="{00000001-C70E-4AC4-9C31-6E0BE566864F}"/>
            </c:ext>
          </c:extLst>
        </c:ser>
        <c:dLbls>
          <c:showLegendKey val="0"/>
          <c:showVal val="0"/>
          <c:showCatName val="0"/>
          <c:showSerName val="0"/>
          <c:showPercent val="0"/>
          <c:showBubbleSize val="0"/>
        </c:dLbls>
        <c:gapWidth val="190"/>
        <c:axId val="472771848"/>
        <c:axId val="472772240"/>
      </c:barChart>
      <c:catAx>
        <c:axId val="47277184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2240"/>
        <c:crosses val="autoZero"/>
        <c:auto val="1"/>
        <c:lblAlgn val="ctr"/>
        <c:lblOffset val="100"/>
        <c:noMultiLvlLbl val="0"/>
      </c:catAx>
      <c:valAx>
        <c:axId val="472772240"/>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71848"/>
        <c:crosses val="autoZero"/>
        <c:crossBetween val="between"/>
        <c:majorUnit val="0.1"/>
      </c:valAx>
      <c:spPr>
        <a:noFill/>
        <a:ln w="25400">
          <a:noFill/>
        </a:ln>
      </c:spPr>
    </c:plotArea>
    <c:legend>
      <c:legendPos val="r"/>
      <c:layout>
        <c:manualLayout>
          <c:xMode val="edge"/>
          <c:yMode val="edge"/>
          <c:x val="0.26229565566599256"/>
          <c:y val="0.18650876973711619"/>
          <c:w val="0.55737848342727658"/>
          <c:h val="0.1984135316418781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4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Scottish National Party</a:t>
            </a:r>
          </a:p>
        </c:rich>
      </c:tx>
      <c:layout>
        <c:manualLayout>
          <c:xMode val="edge"/>
          <c:yMode val="edge"/>
          <c:x val="0.17643259475139628"/>
          <c:y val="7.2085072600567512E-2"/>
        </c:manualLayout>
      </c:layout>
      <c:overlay val="0"/>
      <c:spPr>
        <a:noFill/>
        <a:ln w="25400">
          <a:noFill/>
        </a:ln>
      </c:spPr>
    </c:title>
    <c:autoTitleDeleted val="0"/>
    <c:plotArea>
      <c:layout>
        <c:manualLayout>
          <c:layoutTarget val="inner"/>
          <c:xMode val="edge"/>
          <c:yMode val="edge"/>
          <c:x val="0.13729411938939379"/>
          <c:y val="0.22808441525351522"/>
          <c:w val="0.88442275124966108"/>
          <c:h val="0.64828051230977646"/>
        </c:manualLayout>
      </c:layout>
      <c:barChart>
        <c:barDir val="col"/>
        <c:grouping val="clustered"/>
        <c:varyColors val="0"/>
        <c:ser>
          <c:idx val="0"/>
          <c:order val="0"/>
          <c:tx>
            <c:strRef>
              <c:f>'17 SP Party charts '!$C$12</c:f>
              <c:strCache>
                <c:ptCount val="1"/>
                <c:pt idx="0">
                  <c:v>% Seats </c:v>
                </c:pt>
              </c:strCache>
            </c:strRef>
          </c:tx>
          <c:spPr>
            <a:solidFill>
              <a:srgbClr val="FFF685"/>
            </a:solidFill>
            <a:ln w="25400">
              <a:noFill/>
            </a:ln>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'!$D$12:$H$12</c:f>
              <c:numCache>
                <c:formatCode>0.0%</c:formatCode>
                <c:ptCount val="5"/>
                <c:pt idx="0">
                  <c:v>0.27131782945736432</c:v>
                </c:pt>
                <c:pt idx="1">
                  <c:v>0.20930232558139536</c:v>
                </c:pt>
                <c:pt idx="2">
                  <c:v>0.36434108527131781</c:v>
                </c:pt>
                <c:pt idx="3">
                  <c:v>0.53488372093023251</c:v>
                </c:pt>
                <c:pt idx="4">
                  <c:v>0.48837209302325579</c:v>
                </c:pt>
              </c:numCache>
            </c:numRef>
          </c:val>
          <c:extLst>
            <c:ext xmlns:c16="http://schemas.microsoft.com/office/drawing/2014/chart" uri="{C3380CC4-5D6E-409C-BE32-E72D297353CC}">
              <c16:uniqueId val="{00000000-5BB1-4F7A-B6D7-3A1799633EA5}"/>
            </c:ext>
          </c:extLst>
        </c:ser>
        <c:ser>
          <c:idx val="1"/>
          <c:order val="1"/>
          <c:tx>
            <c:strRef>
              <c:f>'17 SP Party charts '!$C$13</c:f>
              <c:strCache>
                <c:ptCount val="1"/>
                <c:pt idx="0">
                  <c:v>Vote share</c:v>
                </c:pt>
              </c:strCache>
            </c:strRef>
          </c:tx>
          <c:spPr>
            <a:solidFill>
              <a:srgbClr val="F2E100"/>
            </a:solidFill>
            <a:ln w="25400">
              <a:noFill/>
            </a:ln>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'!$D$13:$H$13</c:f>
              <c:numCache>
                <c:formatCode>0.0%</c:formatCode>
                <c:ptCount val="5"/>
                <c:pt idx="0">
                  <c:v>0.28013231933510518</c:v>
                </c:pt>
                <c:pt idx="1">
                  <c:v>0.22322322583540946</c:v>
                </c:pt>
                <c:pt idx="2">
                  <c:v>0.31320945129126354</c:v>
                </c:pt>
                <c:pt idx="3">
                  <c:v>0.447056766241754</c:v>
                </c:pt>
                <c:pt idx="4">
                  <c:v>0.44107927766295246</c:v>
                </c:pt>
              </c:numCache>
            </c:numRef>
          </c:val>
          <c:extLst>
            <c:ext xmlns:c16="http://schemas.microsoft.com/office/drawing/2014/chart" uri="{C3380CC4-5D6E-409C-BE32-E72D297353CC}">
              <c16:uniqueId val="{00000001-5BB1-4F7A-B6D7-3A1799633EA5}"/>
            </c:ext>
          </c:extLst>
        </c:ser>
        <c:dLbls>
          <c:showLegendKey val="0"/>
          <c:showVal val="0"/>
          <c:showCatName val="0"/>
          <c:showSerName val="0"/>
          <c:showPercent val="0"/>
          <c:showBubbleSize val="0"/>
        </c:dLbls>
        <c:gapWidth val="190"/>
        <c:axId val="472773024"/>
        <c:axId val="472773416"/>
      </c:barChart>
      <c:catAx>
        <c:axId val="47277302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3416"/>
        <c:crosses val="autoZero"/>
        <c:auto val="1"/>
        <c:lblAlgn val="ctr"/>
        <c:lblOffset val="100"/>
        <c:noMultiLvlLbl val="0"/>
      </c:catAx>
      <c:valAx>
        <c:axId val="472773416"/>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73024"/>
        <c:crosses val="autoZero"/>
        <c:crossBetween val="between"/>
        <c:majorUnit val="0.1"/>
      </c:valAx>
      <c:spPr>
        <a:noFill/>
        <a:ln w="25400">
          <a:noFill/>
        </a:ln>
      </c:spPr>
    </c:plotArea>
    <c:legend>
      <c:legendPos val="r"/>
      <c:layout>
        <c:manualLayout>
          <c:xMode val="edge"/>
          <c:yMode val="edge"/>
          <c:x val="7.161803713527852E-2"/>
          <c:y val="0.17603074896536811"/>
          <c:w val="0.6870026525198939"/>
          <c:h val="0.21722925083802727"/>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cap="all" baseline="0"/>
              <a:t>Green Party</a:t>
            </a:r>
          </a:p>
        </c:rich>
      </c:tx>
      <c:layout>
        <c:manualLayout>
          <c:xMode val="edge"/>
          <c:yMode val="edge"/>
          <c:x val="0.30091927323137646"/>
          <c:y val="6.7919217253242042E-2"/>
        </c:manualLayout>
      </c:layout>
      <c:overlay val="0"/>
      <c:spPr>
        <a:noFill/>
        <a:ln w="25400">
          <a:noFill/>
        </a:ln>
      </c:spPr>
    </c:title>
    <c:autoTitleDeleted val="0"/>
    <c:plotArea>
      <c:layout>
        <c:manualLayout>
          <c:layoutTarget val="inner"/>
          <c:xMode val="edge"/>
          <c:yMode val="edge"/>
          <c:x val="0.15402377187511324"/>
          <c:y val="0.14679801612291513"/>
          <c:w val="0.88442275124966108"/>
          <c:h val="0.73016817302413994"/>
        </c:manualLayout>
      </c:layout>
      <c:barChart>
        <c:barDir val="col"/>
        <c:grouping val="clustered"/>
        <c:varyColors val="0"/>
        <c:ser>
          <c:idx val="0"/>
          <c:order val="0"/>
          <c:tx>
            <c:strRef>
              <c:f>'17 SP Party charts '!$C$57</c:f>
              <c:strCache>
                <c:ptCount val="1"/>
                <c:pt idx="0">
                  <c:v>% Seats </c:v>
                </c:pt>
              </c:strCache>
            </c:strRef>
          </c:tx>
          <c:spPr>
            <a:solidFill>
              <a:srgbClr val="78B82A"/>
            </a:solidFill>
            <a:ln w="25400">
              <a:noFill/>
            </a:ln>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'!$D$57:$H$57</c:f>
              <c:numCache>
                <c:formatCode>0.0%</c:formatCode>
                <c:ptCount val="5"/>
                <c:pt idx="0">
                  <c:v>7.7519379844961239E-3</c:v>
                </c:pt>
                <c:pt idx="1">
                  <c:v>5.4263565891472867E-2</c:v>
                </c:pt>
                <c:pt idx="2">
                  <c:v>1.5503875968992248E-2</c:v>
                </c:pt>
                <c:pt idx="3">
                  <c:v>1.5503875968992248E-2</c:v>
                </c:pt>
                <c:pt idx="4">
                  <c:v>4.6511627906976744E-2</c:v>
                </c:pt>
              </c:numCache>
            </c:numRef>
          </c:val>
          <c:extLst>
            <c:ext xmlns:c16="http://schemas.microsoft.com/office/drawing/2014/chart" uri="{C3380CC4-5D6E-409C-BE32-E72D297353CC}">
              <c16:uniqueId val="{00000000-95F9-485D-991F-9EB3D79A0B94}"/>
            </c:ext>
          </c:extLst>
        </c:ser>
        <c:ser>
          <c:idx val="1"/>
          <c:order val="1"/>
          <c:tx>
            <c:strRef>
              <c:f>'17 SP Party charts '!$C$58</c:f>
              <c:strCache>
                <c:ptCount val="1"/>
                <c:pt idx="0">
                  <c:v>Vote share</c:v>
                </c:pt>
              </c:strCache>
            </c:strRef>
          </c:tx>
          <c:spPr>
            <a:solidFill>
              <a:schemeClr val="accent3">
                <a:lumMod val="60000"/>
                <a:lumOff val="40000"/>
              </a:schemeClr>
            </a:solidFill>
            <a:ln>
              <a:noFill/>
            </a:ln>
            <a:effectLst/>
          </c:spPr>
          <c:invertIfNegative val="0"/>
          <c:cat>
            <c:numRef>
              <c:f>'17 SP Party charts '!$D$11:$H$11</c:f>
              <c:numCache>
                <c:formatCode>General</c:formatCode>
                <c:ptCount val="5"/>
                <c:pt idx="0">
                  <c:v>1999</c:v>
                </c:pt>
                <c:pt idx="1">
                  <c:v>2003</c:v>
                </c:pt>
                <c:pt idx="2">
                  <c:v>2007</c:v>
                </c:pt>
                <c:pt idx="3">
                  <c:v>2011</c:v>
                </c:pt>
                <c:pt idx="4">
                  <c:v>2016</c:v>
                </c:pt>
              </c:numCache>
            </c:numRef>
          </c:cat>
          <c:val>
            <c:numRef>
              <c:f>'17 SP Party charts '!$D$58:$H$58</c:f>
              <c:numCache>
                <c:formatCode>0.0%</c:formatCode>
                <c:ptCount val="5"/>
                <c:pt idx="0">
                  <c:v>1.7948255672125574E-2</c:v>
                </c:pt>
                <c:pt idx="1">
                  <c:v>3.4482389680909116E-2</c:v>
                </c:pt>
                <c:pt idx="2">
                  <c:v>2.1170599425324191E-2</c:v>
                </c:pt>
                <c:pt idx="3">
                  <c:v>2.1843355161864791E-2</c:v>
                </c:pt>
                <c:pt idx="4">
                  <c:v>3.5838204738105173E-2</c:v>
                </c:pt>
              </c:numCache>
            </c:numRef>
          </c:val>
          <c:extLst>
            <c:ext xmlns:c16="http://schemas.microsoft.com/office/drawing/2014/chart" uri="{C3380CC4-5D6E-409C-BE32-E72D297353CC}">
              <c16:uniqueId val="{00000001-95F9-485D-991F-9EB3D79A0B94}"/>
            </c:ext>
          </c:extLst>
        </c:ser>
        <c:dLbls>
          <c:showLegendKey val="0"/>
          <c:showVal val="0"/>
          <c:showCatName val="0"/>
          <c:showSerName val="0"/>
          <c:showPercent val="0"/>
          <c:showBubbleSize val="0"/>
        </c:dLbls>
        <c:gapWidth val="190"/>
        <c:axId val="472774200"/>
        <c:axId val="472774592"/>
      </c:barChart>
      <c:catAx>
        <c:axId val="47277420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4592"/>
        <c:crosses val="autoZero"/>
        <c:auto val="1"/>
        <c:lblAlgn val="ctr"/>
        <c:lblOffset val="100"/>
        <c:noMultiLvlLbl val="0"/>
      </c:catAx>
      <c:valAx>
        <c:axId val="472774592"/>
        <c:scaling>
          <c:orientation val="minMax"/>
          <c:max val="0.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2774200"/>
        <c:crosses val="autoZero"/>
        <c:crossBetween val="between"/>
        <c:majorUnit val="0.1"/>
      </c:valAx>
      <c:spPr>
        <a:noFill/>
        <a:ln w="25400">
          <a:noFill/>
        </a:ln>
      </c:spPr>
    </c:plotArea>
    <c:legend>
      <c:legendPos val="r"/>
      <c:layout>
        <c:manualLayout>
          <c:xMode val="edge"/>
          <c:yMode val="edge"/>
          <c:x val="0.28296732139251823"/>
          <c:y val="0.18846153846153846"/>
          <c:w val="0.57142943670502722"/>
          <c:h val="0.13076923076923075"/>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37816223676265"/>
          <c:y val="0.20627473379299091"/>
          <c:w val="0.54732468300617354"/>
          <c:h val="0.70547849788007266"/>
        </c:manualLayout>
      </c:layout>
      <c:barChart>
        <c:barDir val="bar"/>
        <c:grouping val="clustered"/>
        <c:varyColors val="0"/>
        <c:ser>
          <c:idx val="0"/>
          <c:order val="0"/>
          <c:tx>
            <c:strRef>
              <c:f>'18 NI Assembly Visual'!$S$33</c:f>
              <c:strCache>
                <c:ptCount val="1"/>
                <c:pt idx="0">
                  <c:v>DUP</c:v>
                </c:pt>
              </c:strCache>
            </c:strRef>
          </c:tx>
          <c:spPr>
            <a:solidFill>
              <a:srgbClr val="CC330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Visual'!$T$33:$Y$33</c:f>
              <c:numCache>
                <c:formatCode>#,##0_);\(#,##0\)</c:formatCode>
                <c:ptCount val="6"/>
                <c:pt idx="0">
                  <c:v>28</c:v>
                </c:pt>
                <c:pt idx="1">
                  <c:v>38</c:v>
                </c:pt>
                <c:pt idx="2">
                  <c:v>38</c:v>
                </c:pt>
                <c:pt idx="3">
                  <c:v>36</c:v>
                </c:pt>
                <c:pt idx="4">
                  <c:v>30</c:v>
                </c:pt>
                <c:pt idx="5">
                  <c:v>20</c:v>
                </c:pt>
              </c:numCache>
            </c:numRef>
          </c:val>
          <c:extLst>
            <c:ext xmlns:c16="http://schemas.microsoft.com/office/drawing/2014/chart" uri="{C3380CC4-5D6E-409C-BE32-E72D297353CC}">
              <c16:uniqueId val="{00000000-0F5D-4FC4-8DFA-014A298D40FF}"/>
            </c:ext>
          </c:extLst>
        </c:ser>
        <c:ser>
          <c:idx val="1"/>
          <c:order val="1"/>
          <c:tx>
            <c:strRef>
              <c:f>'18 NI Assembly Visual'!$S$34</c:f>
              <c:strCache>
                <c:ptCount val="1"/>
                <c:pt idx="0">
                  <c:v>Sinn Féin</c:v>
                </c:pt>
              </c:strCache>
            </c:strRef>
          </c:tx>
          <c:spPr>
            <a:solidFill>
              <a:srgbClr val="02665F"/>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Visual'!$T$34:$Y$34</c:f>
              <c:numCache>
                <c:formatCode>#,##0_);\(#,##0\)</c:formatCode>
                <c:ptCount val="6"/>
                <c:pt idx="0">
                  <c:v>27</c:v>
                </c:pt>
                <c:pt idx="1">
                  <c:v>28</c:v>
                </c:pt>
                <c:pt idx="2">
                  <c:v>29</c:v>
                </c:pt>
                <c:pt idx="3">
                  <c:v>28</c:v>
                </c:pt>
                <c:pt idx="4">
                  <c:v>24</c:v>
                </c:pt>
                <c:pt idx="5">
                  <c:v>18</c:v>
                </c:pt>
              </c:numCache>
            </c:numRef>
          </c:val>
          <c:extLst>
            <c:ext xmlns:c16="http://schemas.microsoft.com/office/drawing/2014/chart" uri="{C3380CC4-5D6E-409C-BE32-E72D297353CC}">
              <c16:uniqueId val="{00000001-0F5D-4FC4-8DFA-014A298D40FF}"/>
            </c:ext>
          </c:extLst>
        </c:ser>
        <c:ser>
          <c:idx val="2"/>
          <c:order val="2"/>
          <c:tx>
            <c:strRef>
              <c:f>'18 NI Assembly Visual'!$S$35</c:f>
              <c:strCache>
                <c:ptCount val="1"/>
                <c:pt idx="0">
                  <c:v>UUP</c:v>
                </c:pt>
              </c:strCache>
            </c:strRef>
          </c:tx>
          <c:spPr>
            <a:solidFill>
              <a:srgbClr val="A1CDF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Visual'!$T$35:$Y$35</c:f>
              <c:numCache>
                <c:formatCode>#,##0_);\(#,##0\)</c:formatCode>
                <c:ptCount val="6"/>
                <c:pt idx="0">
                  <c:v>10</c:v>
                </c:pt>
                <c:pt idx="1">
                  <c:v>16</c:v>
                </c:pt>
                <c:pt idx="2">
                  <c:v>16</c:v>
                </c:pt>
                <c:pt idx="3">
                  <c:v>18</c:v>
                </c:pt>
                <c:pt idx="4">
                  <c:v>27</c:v>
                </c:pt>
                <c:pt idx="5">
                  <c:v>28</c:v>
                </c:pt>
              </c:numCache>
            </c:numRef>
          </c:val>
          <c:extLst>
            <c:ext xmlns:c16="http://schemas.microsoft.com/office/drawing/2014/chart" uri="{C3380CC4-5D6E-409C-BE32-E72D297353CC}">
              <c16:uniqueId val="{00000002-0F5D-4FC4-8DFA-014A298D40FF}"/>
            </c:ext>
          </c:extLst>
        </c:ser>
        <c:ser>
          <c:idx val="3"/>
          <c:order val="3"/>
          <c:tx>
            <c:strRef>
              <c:f>'18 NI Assembly Visual'!$S$36</c:f>
              <c:strCache>
                <c:ptCount val="1"/>
                <c:pt idx="0">
                  <c:v>SDLP</c:v>
                </c:pt>
              </c:strCache>
            </c:strRef>
          </c:tx>
          <c:spPr>
            <a:solidFill>
              <a:srgbClr val="4EAF2D"/>
            </a:solidFill>
            <a:ln>
              <a:noFill/>
            </a:ln>
            <a:effectLst/>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Visual'!$T$36:$Y$36</c:f>
              <c:numCache>
                <c:formatCode>#,##0_);\(#,##0\)</c:formatCode>
                <c:ptCount val="6"/>
                <c:pt idx="0">
                  <c:v>12</c:v>
                </c:pt>
                <c:pt idx="1">
                  <c:v>12</c:v>
                </c:pt>
                <c:pt idx="2">
                  <c:v>14</c:v>
                </c:pt>
                <c:pt idx="3">
                  <c:v>16</c:v>
                </c:pt>
                <c:pt idx="4">
                  <c:v>18</c:v>
                </c:pt>
                <c:pt idx="5">
                  <c:v>24</c:v>
                </c:pt>
              </c:numCache>
            </c:numRef>
          </c:val>
          <c:extLst>
            <c:ext xmlns:c16="http://schemas.microsoft.com/office/drawing/2014/chart" uri="{C3380CC4-5D6E-409C-BE32-E72D297353CC}">
              <c16:uniqueId val="{00000003-0F5D-4FC4-8DFA-014A298D40FF}"/>
            </c:ext>
          </c:extLst>
        </c:ser>
        <c:ser>
          <c:idx val="4"/>
          <c:order val="4"/>
          <c:tx>
            <c:strRef>
              <c:f>'18 NI Assembly Visual'!$S$37</c:f>
              <c:strCache>
                <c:ptCount val="1"/>
                <c:pt idx="0">
                  <c:v>Alliance</c:v>
                </c:pt>
              </c:strCache>
            </c:strRef>
          </c:tx>
          <c:spPr>
            <a:solidFill>
              <a:srgbClr val="CDAF2D"/>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Visual'!$T$37:$Y$37</c:f>
              <c:numCache>
                <c:formatCode>#,##0_);\(#,##0\)</c:formatCode>
                <c:ptCount val="6"/>
                <c:pt idx="0">
                  <c:v>8</c:v>
                </c:pt>
                <c:pt idx="1">
                  <c:v>8</c:v>
                </c:pt>
                <c:pt idx="2">
                  <c:v>8</c:v>
                </c:pt>
                <c:pt idx="3">
                  <c:v>7</c:v>
                </c:pt>
                <c:pt idx="4">
                  <c:v>6</c:v>
                </c:pt>
                <c:pt idx="5">
                  <c:v>6</c:v>
                </c:pt>
              </c:numCache>
            </c:numRef>
          </c:val>
          <c:extLst>
            <c:ext xmlns:c16="http://schemas.microsoft.com/office/drawing/2014/chart" uri="{C3380CC4-5D6E-409C-BE32-E72D297353CC}">
              <c16:uniqueId val="{00000004-0F5D-4FC4-8DFA-014A298D40FF}"/>
            </c:ext>
          </c:extLst>
        </c:ser>
        <c:ser>
          <c:idx val="5"/>
          <c:order val="5"/>
          <c:tx>
            <c:strRef>
              <c:f>'18 NI Assembly Visual'!$S$38</c:f>
              <c:strCache>
                <c:ptCount val="1"/>
                <c:pt idx="0">
                  <c:v>Other</c:v>
                </c:pt>
              </c:strCache>
            </c:strRef>
          </c:tx>
          <c:spPr>
            <a:solidFill>
              <a:srgbClr val="909090"/>
            </a:solidFill>
            <a:ln>
              <a:noFill/>
            </a:ln>
            <a:effectLst/>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Visual'!$T$38:$Y$38</c:f>
              <c:numCache>
                <c:formatCode>#,##0_);\(#,##0\)</c:formatCode>
                <c:ptCount val="6"/>
                <c:pt idx="0">
                  <c:v>5</c:v>
                </c:pt>
                <c:pt idx="1">
                  <c:v>6</c:v>
                </c:pt>
                <c:pt idx="2">
                  <c:v>3</c:v>
                </c:pt>
                <c:pt idx="3">
                  <c:v>3</c:v>
                </c:pt>
                <c:pt idx="4">
                  <c:v>3</c:v>
                </c:pt>
                <c:pt idx="5">
                  <c:v>12</c:v>
                </c:pt>
              </c:numCache>
            </c:numRef>
          </c:val>
          <c:extLst>
            <c:ext xmlns:c16="http://schemas.microsoft.com/office/drawing/2014/chart" uri="{C3380CC4-5D6E-409C-BE32-E72D297353CC}">
              <c16:uniqueId val="{00000005-0F5D-4FC4-8DFA-014A298D40FF}"/>
            </c:ext>
          </c:extLst>
        </c:ser>
        <c:dLbls>
          <c:showLegendKey val="0"/>
          <c:showVal val="0"/>
          <c:showCatName val="0"/>
          <c:showSerName val="0"/>
          <c:showPercent val="0"/>
          <c:showBubbleSize val="0"/>
        </c:dLbls>
        <c:gapWidth val="202"/>
        <c:axId val="472775376"/>
        <c:axId val="472775768"/>
      </c:barChart>
      <c:catAx>
        <c:axId val="47277537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5768"/>
        <c:crosses val="autoZero"/>
        <c:auto val="1"/>
        <c:lblAlgn val="ctr"/>
        <c:lblOffset val="100"/>
        <c:noMultiLvlLbl val="0"/>
      </c:catAx>
      <c:valAx>
        <c:axId val="472775768"/>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2775376"/>
        <c:crosses val="autoZero"/>
        <c:crossBetween val="between"/>
        <c:majorUnit val="25"/>
      </c:valAx>
      <c:spPr>
        <a:noFill/>
        <a:ln w="25400">
          <a:noFill/>
        </a:ln>
      </c:spPr>
    </c:plotArea>
    <c:legend>
      <c:legendPos val="r"/>
      <c:layout>
        <c:manualLayout>
          <c:xMode val="edge"/>
          <c:yMode val="edge"/>
          <c:x val="0.59311666403598784"/>
          <c:y val="0.20472625398975547"/>
          <c:w val="0.38967333308688523"/>
          <c:h val="0.321243523316062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427795432131625E-2"/>
          <c:y val="0.14609207632829679"/>
          <c:w val="0.90517764802262535"/>
          <c:h val="0.75369794991842254"/>
        </c:manualLayout>
      </c:layout>
      <c:barChart>
        <c:barDir val="col"/>
        <c:grouping val="clustered"/>
        <c:varyColors val="0"/>
        <c:ser>
          <c:idx val="0"/>
          <c:order val="0"/>
          <c:tx>
            <c:strRef>
              <c:f>'18 NI Assembly Visual'!$S$33</c:f>
              <c:strCache>
                <c:ptCount val="1"/>
                <c:pt idx="0">
                  <c:v>DUP</c:v>
                </c:pt>
              </c:strCache>
            </c:strRef>
          </c:tx>
          <c:spPr>
            <a:solidFill>
              <a:srgbClr val="CC3300"/>
            </a:solidFill>
            <a:ln w="25400">
              <a:noFill/>
            </a:ln>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Visual'!$U$33:$Y$33</c:f>
              <c:numCache>
                <c:formatCode>#,##0_);\(#,##0\)</c:formatCode>
                <c:ptCount val="5"/>
                <c:pt idx="0">
                  <c:v>38</c:v>
                </c:pt>
                <c:pt idx="1">
                  <c:v>38</c:v>
                </c:pt>
                <c:pt idx="2">
                  <c:v>36</c:v>
                </c:pt>
                <c:pt idx="3">
                  <c:v>30</c:v>
                </c:pt>
                <c:pt idx="4">
                  <c:v>20</c:v>
                </c:pt>
              </c:numCache>
            </c:numRef>
          </c:val>
          <c:extLst>
            <c:ext xmlns:c16="http://schemas.microsoft.com/office/drawing/2014/chart" uri="{C3380CC4-5D6E-409C-BE32-E72D297353CC}">
              <c16:uniqueId val="{00000000-2350-4DC8-BB22-F1269D1E0B55}"/>
            </c:ext>
          </c:extLst>
        </c:ser>
        <c:ser>
          <c:idx val="1"/>
          <c:order val="1"/>
          <c:tx>
            <c:strRef>
              <c:f>'18 NI Assembly Visual'!$S$34</c:f>
              <c:strCache>
                <c:ptCount val="1"/>
                <c:pt idx="0">
                  <c:v>Sinn Féin</c:v>
                </c:pt>
              </c:strCache>
            </c:strRef>
          </c:tx>
          <c:spPr>
            <a:solidFill>
              <a:srgbClr val="02665F"/>
            </a:solidFill>
            <a:ln w="25400">
              <a:noFill/>
            </a:ln>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Visual'!$U$34:$Y$34</c:f>
              <c:numCache>
                <c:formatCode>#,##0_);\(#,##0\)</c:formatCode>
                <c:ptCount val="5"/>
                <c:pt idx="0">
                  <c:v>28</c:v>
                </c:pt>
                <c:pt idx="1">
                  <c:v>29</c:v>
                </c:pt>
                <c:pt idx="2">
                  <c:v>28</c:v>
                </c:pt>
                <c:pt idx="3">
                  <c:v>24</c:v>
                </c:pt>
                <c:pt idx="4">
                  <c:v>18</c:v>
                </c:pt>
              </c:numCache>
            </c:numRef>
          </c:val>
          <c:extLst>
            <c:ext xmlns:c16="http://schemas.microsoft.com/office/drawing/2014/chart" uri="{C3380CC4-5D6E-409C-BE32-E72D297353CC}">
              <c16:uniqueId val="{00000001-2350-4DC8-BB22-F1269D1E0B55}"/>
            </c:ext>
          </c:extLst>
        </c:ser>
        <c:ser>
          <c:idx val="2"/>
          <c:order val="2"/>
          <c:tx>
            <c:strRef>
              <c:f>'18 NI Assembly Visual'!$S$35</c:f>
              <c:strCache>
                <c:ptCount val="1"/>
                <c:pt idx="0">
                  <c:v>UUP</c:v>
                </c:pt>
              </c:strCache>
            </c:strRef>
          </c:tx>
          <c:spPr>
            <a:solidFill>
              <a:srgbClr val="A1CDF0"/>
            </a:solidFill>
            <a:ln w="25400">
              <a:noFill/>
            </a:ln>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Visual'!$U$35:$Y$35</c:f>
              <c:numCache>
                <c:formatCode>#,##0_);\(#,##0\)</c:formatCode>
                <c:ptCount val="5"/>
                <c:pt idx="0">
                  <c:v>16</c:v>
                </c:pt>
                <c:pt idx="1">
                  <c:v>16</c:v>
                </c:pt>
                <c:pt idx="2">
                  <c:v>18</c:v>
                </c:pt>
                <c:pt idx="3">
                  <c:v>27</c:v>
                </c:pt>
                <c:pt idx="4">
                  <c:v>28</c:v>
                </c:pt>
              </c:numCache>
            </c:numRef>
          </c:val>
          <c:extLst>
            <c:ext xmlns:c16="http://schemas.microsoft.com/office/drawing/2014/chart" uri="{C3380CC4-5D6E-409C-BE32-E72D297353CC}">
              <c16:uniqueId val="{00000002-2350-4DC8-BB22-F1269D1E0B55}"/>
            </c:ext>
          </c:extLst>
        </c:ser>
        <c:ser>
          <c:idx val="3"/>
          <c:order val="3"/>
          <c:tx>
            <c:strRef>
              <c:f>'18 NI Assembly Visual'!$S$36</c:f>
              <c:strCache>
                <c:ptCount val="1"/>
                <c:pt idx="0">
                  <c:v>SDLP</c:v>
                </c:pt>
              </c:strCache>
            </c:strRef>
          </c:tx>
          <c:spPr>
            <a:solidFill>
              <a:srgbClr val="4EAF2D"/>
            </a:solidFill>
            <a:ln>
              <a:solidFill>
                <a:schemeClr val="bg1">
                  <a:lumMod val="75000"/>
                </a:schemeClr>
              </a:solidFill>
            </a:ln>
            <a:effectLst/>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Visual'!$U$36:$Y$36</c:f>
              <c:numCache>
                <c:formatCode>#,##0_);\(#,##0\)</c:formatCode>
                <c:ptCount val="5"/>
                <c:pt idx="0">
                  <c:v>12</c:v>
                </c:pt>
                <c:pt idx="1">
                  <c:v>14</c:v>
                </c:pt>
                <c:pt idx="2">
                  <c:v>16</c:v>
                </c:pt>
                <c:pt idx="3">
                  <c:v>18</c:v>
                </c:pt>
                <c:pt idx="4">
                  <c:v>24</c:v>
                </c:pt>
              </c:numCache>
            </c:numRef>
          </c:val>
          <c:extLst>
            <c:ext xmlns:c16="http://schemas.microsoft.com/office/drawing/2014/chart" uri="{C3380CC4-5D6E-409C-BE32-E72D297353CC}">
              <c16:uniqueId val="{00000003-2350-4DC8-BB22-F1269D1E0B55}"/>
            </c:ext>
          </c:extLst>
        </c:ser>
        <c:ser>
          <c:idx val="4"/>
          <c:order val="4"/>
          <c:tx>
            <c:strRef>
              <c:f>'18 NI Assembly Visual'!$S$37</c:f>
              <c:strCache>
                <c:ptCount val="1"/>
                <c:pt idx="0">
                  <c:v>Alliance</c:v>
                </c:pt>
              </c:strCache>
            </c:strRef>
          </c:tx>
          <c:spPr>
            <a:solidFill>
              <a:srgbClr val="CDAF2D"/>
            </a:solidFill>
            <a:ln w="25400">
              <a:noFill/>
            </a:ln>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Visual'!$U$37:$Y$37</c:f>
              <c:numCache>
                <c:formatCode>#,##0_);\(#,##0\)</c:formatCode>
                <c:ptCount val="5"/>
                <c:pt idx="0">
                  <c:v>8</c:v>
                </c:pt>
                <c:pt idx="1">
                  <c:v>8</c:v>
                </c:pt>
                <c:pt idx="2">
                  <c:v>7</c:v>
                </c:pt>
                <c:pt idx="3">
                  <c:v>6</c:v>
                </c:pt>
                <c:pt idx="4">
                  <c:v>6</c:v>
                </c:pt>
              </c:numCache>
            </c:numRef>
          </c:val>
          <c:extLst>
            <c:ext xmlns:c16="http://schemas.microsoft.com/office/drawing/2014/chart" uri="{C3380CC4-5D6E-409C-BE32-E72D297353CC}">
              <c16:uniqueId val="{00000004-2350-4DC8-BB22-F1269D1E0B55}"/>
            </c:ext>
          </c:extLst>
        </c:ser>
        <c:ser>
          <c:idx val="5"/>
          <c:order val="5"/>
          <c:tx>
            <c:strRef>
              <c:f>'18 NI Assembly Visual'!$S$38</c:f>
              <c:strCache>
                <c:ptCount val="1"/>
                <c:pt idx="0">
                  <c:v>Other</c:v>
                </c:pt>
              </c:strCache>
            </c:strRef>
          </c:tx>
          <c:spPr>
            <a:solidFill>
              <a:srgbClr val="909090"/>
            </a:solidFill>
            <a:ln>
              <a:noFill/>
            </a:ln>
            <a:effectLst/>
          </c:spPr>
          <c:invertIfNegative val="0"/>
          <c:cat>
            <c:numRef>
              <c:f>'18 NI Assembly Visual'!$U$32:$Y$32</c:f>
              <c:numCache>
                <c:formatCode>0</c:formatCode>
                <c:ptCount val="5"/>
                <c:pt idx="0" formatCode="General">
                  <c:v>2016</c:v>
                </c:pt>
                <c:pt idx="1">
                  <c:v>2011</c:v>
                </c:pt>
                <c:pt idx="2">
                  <c:v>2007</c:v>
                </c:pt>
                <c:pt idx="3">
                  <c:v>2003</c:v>
                </c:pt>
                <c:pt idx="4">
                  <c:v>1998</c:v>
                </c:pt>
              </c:numCache>
            </c:numRef>
          </c:cat>
          <c:val>
            <c:numRef>
              <c:f>'18 NI Assembly Visual'!$U$38:$Y$38</c:f>
              <c:numCache>
                <c:formatCode>#,##0_);\(#,##0\)</c:formatCode>
                <c:ptCount val="5"/>
                <c:pt idx="0">
                  <c:v>6</c:v>
                </c:pt>
                <c:pt idx="1">
                  <c:v>3</c:v>
                </c:pt>
                <c:pt idx="2">
                  <c:v>3</c:v>
                </c:pt>
                <c:pt idx="3">
                  <c:v>3</c:v>
                </c:pt>
                <c:pt idx="4">
                  <c:v>12</c:v>
                </c:pt>
              </c:numCache>
            </c:numRef>
          </c:val>
          <c:extLst>
            <c:ext xmlns:c16="http://schemas.microsoft.com/office/drawing/2014/chart" uri="{C3380CC4-5D6E-409C-BE32-E72D297353CC}">
              <c16:uniqueId val="{00000005-2350-4DC8-BB22-F1269D1E0B55}"/>
            </c:ext>
          </c:extLst>
        </c:ser>
        <c:dLbls>
          <c:showLegendKey val="0"/>
          <c:showVal val="0"/>
          <c:showCatName val="0"/>
          <c:showSerName val="0"/>
          <c:showPercent val="0"/>
          <c:showBubbleSize val="0"/>
        </c:dLbls>
        <c:gapWidth val="202"/>
        <c:axId val="472776552"/>
        <c:axId val="472776944"/>
      </c:barChart>
      <c:catAx>
        <c:axId val="47277655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2776944"/>
        <c:crosses val="autoZero"/>
        <c:auto val="1"/>
        <c:lblAlgn val="ctr"/>
        <c:lblOffset val="100"/>
        <c:noMultiLvlLbl val="0"/>
      </c:catAx>
      <c:valAx>
        <c:axId val="472776944"/>
        <c:scaling>
          <c:orientation val="minMax"/>
          <c:max val="40"/>
        </c:scaling>
        <c:delete val="0"/>
        <c:axPos val="l"/>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2776552"/>
        <c:crosses val="autoZero"/>
        <c:crossBetween val="between"/>
        <c:majorUnit val="10"/>
      </c:valAx>
      <c:spPr>
        <a:noFill/>
        <a:ln w="25400">
          <a:noFill/>
        </a:ln>
      </c:spPr>
    </c:plotArea>
    <c:legend>
      <c:legendPos val="r"/>
      <c:layout>
        <c:manualLayout>
          <c:xMode val="edge"/>
          <c:yMode val="edge"/>
          <c:x val="0.25049701789264411"/>
          <c:y val="0.12096774193548387"/>
          <c:w val="0.74155069582504973"/>
          <c:h val="8.467741935483869E-2"/>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4117216140349"/>
          <c:y val="1.715254400181938E-2"/>
          <c:w val="0.82931792849316543"/>
          <c:h val="0.92141036099012463"/>
        </c:manualLayout>
      </c:layout>
      <c:barChart>
        <c:barDir val="bar"/>
        <c:grouping val="stacked"/>
        <c:varyColors val="0"/>
        <c:ser>
          <c:idx val="0"/>
          <c:order val="0"/>
          <c:tx>
            <c:strRef>
              <c:f>'5 Women MPs Visual'!$D$5</c:f>
              <c:strCache>
                <c:ptCount val="1"/>
                <c:pt idx="0">
                  <c:v>LAB</c:v>
                </c:pt>
              </c:strCache>
            </c:strRef>
          </c:tx>
          <c:spPr>
            <a:solidFill>
              <a:srgbClr val="CC3300"/>
            </a:solidFill>
          </c:spPr>
          <c:invertIfNegative val="0"/>
          <c:cat>
            <c:strRef>
              <c:f>'5 Women MPs Visual'!$A$6:$B$32</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strCache>
            </c:strRef>
          </c:cat>
          <c:val>
            <c:numRef>
              <c:f>'5 Women MPs Visual'!$D$6:$D$32</c:f>
              <c:numCache>
                <c:formatCode>General</c:formatCode>
                <c:ptCount val="27"/>
                <c:pt idx="0">
                  <c:v>0</c:v>
                </c:pt>
                <c:pt idx="1">
                  <c:v>0</c:v>
                </c:pt>
                <c:pt idx="2">
                  <c:v>3</c:v>
                </c:pt>
                <c:pt idx="3">
                  <c:v>1</c:v>
                </c:pt>
                <c:pt idx="4">
                  <c:v>9</c:v>
                </c:pt>
                <c:pt idx="5">
                  <c:v>0</c:v>
                </c:pt>
                <c:pt idx="6">
                  <c:v>1</c:v>
                </c:pt>
                <c:pt idx="7">
                  <c:v>21</c:v>
                </c:pt>
                <c:pt idx="8">
                  <c:v>14</c:v>
                </c:pt>
                <c:pt idx="9">
                  <c:v>11</c:v>
                </c:pt>
                <c:pt idx="10">
                  <c:v>14</c:v>
                </c:pt>
                <c:pt idx="11">
                  <c:v>13</c:v>
                </c:pt>
                <c:pt idx="12">
                  <c:v>18</c:v>
                </c:pt>
                <c:pt idx="13">
                  <c:v>19</c:v>
                </c:pt>
                <c:pt idx="14">
                  <c:v>10</c:v>
                </c:pt>
                <c:pt idx="15">
                  <c:v>13</c:v>
                </c:pt>
                <c:pt idx="16">
                  <c:v>18</c:v>
                </c:pt>
                <c:pt idx="17">
                  <c:v>11</c:v>
                </c:pt>
                <c:pt idx="18">
                  <c:v>10</c:v>
                </c:pt>
                <c:pt idx="19">
                  <c:v>21</c:v>
                </c:pt>
                <c:pt idx="20">
                  <c:v>37</c:v>
                </c:pt>
                <c:pt idx="21">
                  <c:v>101</c:v>
                </c:pt>
                <c:pt idx="22">
                  <c:v>95</c:v>
                </c:pt>
                <c:pt idx="23">
                  <c:v>98</c:v>
                </c:pt>
                <c:pt idx="24">
                  <c:v>81</c:v>
                </c:pt>
                <c:pt idx="25">
                  <c:v>99</c:v>
                </c:pt>
                <c:pt idx="26">
                  <c:v>119</c:v>
                </c:pt>
              </c:numCache>
            </c:numRef>
          </c:val>
          <c:extLst>
            <c:ext xmlns:c16="http://schemas.microsoft.com/office/drawing/2014/chart" uri="{C3380CC4-5D6E-409C-BE32-E72D297353CC}">
              <c16:uniqueId val="{00000000-51A2-4ADA-A11E-E251D30D8AC6}"/>
            </c:ext>
          </c:extLst>
        </c:ser>
        <c:ser>
          <c:idx val="3"/>
          <c:order val="1"/>
          <c:tx>
            <c:strRef>
              <c:f>'5 Women MPs Visual'!$C$5</c:f>
              <c:strCache>
                <c:ptCount val="1"/>
                <c:pt idx="0">
                  <c:v>CON</c:v>
                </c:pt>
              </c:strCache>
            </c:strRef>
          </c:tx>
          <c:spPr>
            <a:solidFill>
              <a:srgbClr val="00539F"/>
            </a:solidFill>
          </c:spPr>
          <c:invertIfNegative val="0"/>
          <c:dPt>
            <c:idx val="0"/>
            <c:invertIfNegative val="0"/>
            <c:bubble3D val="0"/>
            <c:extLst>
              <c:ext xmlns:c16="http://schemas.microsoft.com/office/drawing/2014/chart" uri="{C3380CC4-5D6E-409C-BE32-E72D297353CC}">
                <c16:uniqueId val="{00000001-51A2-4ADA-A11E-E251D30D8AC6}"/>
              </c:ext>
            </c:extLst>
          </c:dPt>
          <c:dPt>
            <c:idx val="1"/>
            <c:invertIfNegative val="0"/>
            <c:bubble3D val="0"/>
            <c:extLst>
              <c:ext xmlns:c16="http://schemas.microsoft.com/office/drawing/2014/chart" uri="{C3380CC4-5D6E-409C-BE32-E72D297353CC}">
                <c16:uniqueId val="{00000002-51A2-4ADA-A11E-E251D30D8AC6}"/>
              </c:ext>
            </c:extLst>
          </c:dPt>
          <c:dPt>
            <c:idx val="2"/>
            <c:invertIfNegative val="0"/>
            <c:bubble3D val="0"/>
            <c:extLst>
              <c:ext xmlns:c16="http://schemas.microsoft.com/office/drawing/2014/chart" uri="{C3380CC4-5D6E-409C-BE32-E72D297353CC}">
                <c16:uniqueId val="{00000003-51A2-4ADA-A11E-E251D30D8AC6}"/>
              </c:ext>
            </c:extLst>
          </c:dPt>
          <c:dPt>
            <c:idx val="3"/>
            <c:invertIfNegative val="0"/>
            <c:bubble3D val="0"/>
            <c:spPr>
              <a:solidFill>
                <a:srgbClr val="00539F"/>
              </a:solidFill>
              <a:ln>
                <a:solidFill>
                  <a:schemeClr val="accent4">
                    <a:lumMod val="20000"/>
                    <a:lumOff val="80000"/>
                  </a:schemeClr>
                </a:solidFill>
              </a:ln>
            </c:spPr>
            <c:extLst>
              <c:ext xmlns:c16="http://schemas.microsoft.com/office/drawing/2014/chart" uri="{C3380CC4-5D6E-409C-BE32-E72D297353CC}">
                <c16:uniqueId val="{00000005-51A2-4ADA-A11E-E251D30D8AC6}"/>
              </c:ext>
            </c:extLst>
          </c:dPt>
          <c:dPt>
            <c:idx val="4"/>
            <c:invertIfNegative val="0"/>
            <c:bubble3D val="0"/>
            <c:extLst>
              <c:ext xmlns:c16="http://schemas.microsoft.com/office/drawing/2014/chart" uri="{C3380CC4-5D6E-409C-BE32-E72D297353CC}">
                <c16:uniqueId val="{00000006-51A2-4ADA-A11E-E251D30D8AC6}"/>
              </c:ext>
            </c:extLst>
          </c:dPt>
          <c:dPt>
            <c:idx val="5"/>
            <c:invertIfNegative val="0"/>
            <c:bubble3D val="0"/>
            <c:extLst>
              <c:ext xmlns:c16="http://schemas.microsoft.com/office/drawing/2014/chart" uri="{C3380CC4-5D6E-409C-BE32-E72D297353CC}">
                <c16:uniqueId val="{00000007-51A2-4ADA-A11E-E251D30D8AC6}"/>
              </c:ext>
            </c:extLst>
          </c:dPt>
          <c:dPt>
            <c:idx val="6"/>
            <c:invertIfNegative val="0"/>
            <c:bubble3D val="0"/>
            <c:extLst>
              <c:ext xmlns:c16="http://schemas.microsoft.com/office/drawing/2014/chart" uri="{C3380CC4-5D6E-409C-BE32-E72D297353CC}">
                <c16:uniqueId val="{00000008-51A2-4ADA-A11E-E251D30D8AC6}"/>
              </c:ext>
            </c:extLst>
          </c:dPt>
          <c:dPt>
            <c:idx val="7"/>
            <c:invertIfNegative val="0"/>
            <c:bubble3D val="0"/>
            <c:extLst>
              <c:ext xmlns:c16="http://schemas.microsoft.com/office/drawing/2014/chart" uri="{C3380CC4-5D6E-409C-BE32-E72D297353CC}">
                <c16:uniqueId val="{00000009-51A2-4ADA-A11E-E251D30D8AC6}"/>
              </c:ext>
            </c:extLst>
          </c:dPt>
          <c:dPt>
            <c:idx val="8"/>
            <c:invertIfNegative val="0"/>
            <c:bubble3D val="0"/>
            <c:extLst>
              <c:ext xmlns:c16="http://schemas.microsoft.com/office/drawing/2014/chart" uri="{C3380CC4-5D6E-409C-BE32-E72D297353CC}">
                <c16:uniqueId val="{0000000A-51A2-4ADA-A11E-E251D30D8AC6}"/>
              </c:ext>
            </c:extLst>
          </c:dPt>
          <c:dPt>
            <c:idx val="9"/>
            <c:invertIfNegative val="0"/>
            <c:bubble3D val="0"/>
            <c:extLst>
              <c:ext xmlns:c16="http://schemas.microsoft.com/office/drawing/2014/chart" uri="{C3380CC4-5D6E-409C-BE32-E72D297353CC}">
                <c16:uniqueId val="{0000000B-51A2-4ADA-A11E-E251D30D8AC6}"/>
              </c:ext>
            </c:extLst>
          </c:dPt>
          <c:dPt>
            <c:idx val="10"/>
            <c:invertIfNegative val="0"/>
            <c:bubble3D val="0"/>
            <c:extLst>
              <c:ext xmlns:c16="http://schemas.microsoft.com/office/drawing/2014/chart" uri="{C3380CC4-5D6E-409C-BE32-E72D297353CC}">
                <c16:uniqueId val="{0000000C-51A2-4ADA-A11E-E251D30D8AC6}"/>
              </c:ext>
            </c:extLst>
          </c:dPt>
          <c:dPt>
            <c:idx val="11"/>
            <c:invertIfNegative val="0"/>
            <c:bubble3D val="0"/>
            <c:extLst>
              <c:ext xmlns:c16="http://schemas.microsoft.com/office/drawing/2014/chart" uri="{C3380CC4-5D6E-409C-BE32-E72D297353CC}">
                <c16:uniqueId val="{0000000D-51A2-4ADA-A11E-E251D30D8AC6}"/>
              </c:ext>
            </c:extLst>
          </c:dPt>
          <c:dPt>
            <c:idx val="12"/>
            <c:invertIfNegative val="0"/>
            <c:bubble3D val="0"/>
            <c:extLst>
              <c:ext xmlns:c16="http://schemas.microsoft.com/office/drawing/2014/chart" uri="{C3380CC4-5D6E-409C-BE32-E72D297353CC}">
                <c16:uniqueId val="{0000000E-51A2-4ADA-A11E-E251D30D8AC6}"/>
              </c:ext>
            </c:extLst>
          </c:dPt>
          <c:dPt>
            <c:idx val="13"/>
            <c:invertIfNegative val="0"/>
            <c:bubble3D val="0"/>
            <c:extLst>
              <c:ext xmlns:c16="http://schemas.microsoft.com/office/drawing/2014/chart" uri="{C3380CC4-5D6E-409C-BE32-E72D297353CC}">
                <c16:uniqueId val="{0000000F-51A2-4ADA-A11E-E251D30D8AC6}"/>
              </c:ext>
            </c:extLst>
          </c:dPt>
          <c:dPt>
            <c:idx val="14"/>
            <c:invertIfNegative val="0"/>
            <c:bubble3D val="0"/>
            <c:extLst>
              <c:ext xmlns:c16="http://schemas.microsoft.com/office/drawing/2014/chart" uri="{C3380CC4-5D6E-409C-BE32-E72D297353CC}">
                <c16:uniqueId val="{00000010-51A2-4ADA-A11E-E251D30D8AC6}"/>
              </c:ext>
            </c:extLst>
          </c:dPt>
          <c:dPt>
            <c:idx val="15"/>
            <c:invertIfNegative val="0"/>
            <c:bubble3D val="0"/>
            <c:extLst>
              <c:ext xmlns:c16="http://schemas.microsoft.com/office/drawing/2014/chart" uri="{C3380CC4-5D6E-409C-BE32-E72D297353CC}">
                <c16:uniqueId val="{00000011-51A2-4ADA-A11E-E251D30D8AC6}"/>
              </c:ext>
            </c:extLst>
          </c:dPt>
          <c:dPt>
            <c:idx val="16"/>
            <c:invertIfNegative val="0"/>
            <c:bubble3D val="0"/>
            <c:extLst>
              <c:ext xmlns:c16="http://schemas.microsoft.com/office/drawing/2014/chart" uri="{C3380CC4-5D6E-409C-BE32-E72D297353CC}">
                <c16:uniqueId val="{00000012-51A2-4ADA-A11E-E251D30D8AC6}"/>
              </c:ext>
            </c:extLst>
          </c:dPt>
          <c:dPt>
            <c:idx val="17"/>
            <c:invertIfNegative val="0"/>
            <c:bubble3D val="0"/>
            <c:extLst>
              <c:ext xmlns:c16="http://schemas.microsoft.com/office/drawing/2014/chart" uri="{C3380CC4-5D6E-409C-BE32-E72D297353CC}">
                <c16:uniqueId val="{00000013-51A2-4ADA-A11E-E251D30D8AC6}"/>
              </c:ext>
            </c:extLst>
          </c:dPt>
          <c:dPt>
            <c:idx val="18"/>
            <c:invertIfNegative val="0"/>
            <c:bubble3D val="0"/>
            <c:extLst>
              <c:ext xmlns:c16="http://schemas.microsoft.com/office/drawing/2014/chart" uri="{C3380CC4-5D6E-409C-BE32-E72D297353CC}">
                <c16:uniqueId val="{00000014-51A2-4ADA-A11E-E251D30D8AC6}"/>
              </c:ext>
            </c:extLst>
          </c:dPt>
          <c:cat>
            <c:strRef>
              <c:f>'5 Women MPs Visual'!$A$6:$B$32</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strCache>
            </c:strRef>
          </c:cat>
          <c:val>
            <c:numRef>
              <c:f>'5 Women MPs Visual'!$C$6:$C$32</c:f>
              <c:numCache>
                <c:formatCode>General</c:formatCode>
                <c:ptCount val="27"/>
                <c:pt idx="0">
                  <c:v>0</c:v>
                </c:pt>
                <c:pt idx="1">
                  <c:v>1</c:v>
                </c:pt>
                <c:pt idx="2">
                  <c:v>3</c:v>
                </c:pt>
                <c:pt idx="3">
                  <c:v>3</c:v>
                </c:pt>
                <c:pt idx="4">
                  <c:v>3</c:v>
                </c:pt>
                <c:pt idx="5">
                  <c:v>13</c:v>
                </c:pt>
                <c:pt idx="6">
                  <c:v>6</c:v>
                </c:pt>
                <c:pt idx="7">
                  <c:v>1</c:v>
                </c:pt>
                <c:pt idx="8">
                  <c:v>6</c:v>
                </c:pt>
                <c:pt idx="9">
                  <c:v>6</c:v>
                </c:pt>
                <c:pt idx="10">
                  <c:v>10</c:v>
                </c:pt>
                <c:pt idx="11">
                  <c:v>12</c:v>
                </c:pt>
                <c:pt idx="12">
                  <c:v>11</c:v>
                </c:pt>
                <c:pt idx="13">
                  <c:v>7</c:v>
                </c:pt>
                <c:pt idx="14">
                  <c:v>15</c:v>
                </c:pt>
                <c:pt idx="15">
                  <c:v>9</c:v>
                </c:pt>
                <c:pt idx="16">
                  <c:v>7</c:v>
                </c:pt>
                <c:pt idx="17">
                  <c:v>8</c:v>
                </c:pt>
                <c:pt idx="18">
                  <c:v>13</c:v>
                </c:pt>
                <c:pt idx="19">
                  <c:v>17</c:v>
                </c:pt>
                <c:pt idx="20">
                  <c:v>20</c:v>
                </c:pt>
                <c:pt idx="21">
                  <c:v>13</c:v>
                </c:pt>
                <c:pt idx="22">
                  <c:v>14</c:v>
                </c:pt>
                <c:pt idx="23">
                  <c:v>17</c:v>
                </c:pt>
                <c:pt idx="24">
                  <c:v>49</c:v>
                </c:pt>
                <c:pt idx="25">
                  <c:v>68</c:v>
                </c:pt>
                <c:pt idx="26">
                  <c:v>67</c:v>
                </c:pt>
              </c:numCache>
            </c:numRef>
          </c:val>
          <c:extLst>
            <c:ext xmlns:c16="http://schemas.microsoft.com/office/drawing/2014/chart" uri="{C3380CC4-5D6E-409C-BE32-E72D297353CC}">
              <c16:uniqueId val="{00000015-51A2-4ADA-A11E-E251D30D8AC6}"/>
            </c:ext>
          </c:extLst>
        </c:ser>
        <c:ser>
          <c:idx val="1"/>
          <c:order val="2"/>
          <c:tx>
            <c:strRef>
              <c:f>'5 Women MPs Visual'!$E$5</c:f>
              <c:strCache>
                <c:ptCount val="1"/>
                <c:pt idx="0">
                  <c:v>LD</c:v>
                </c:pt>
              </c:strCache>
            </c:strRef>
          </c:tx>
          <c:spPr>
            <a:solidFill>
              <a:srgbClr val="FAA01A"/>
            </a:solidFill>
          </c:spPr>
          <c:invertIfNegative val="0"/>
          <c:cat>
            <c:strRef>
              <c:f>'5 Women MPs Visual'!$A$6:$B$32</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strCache>
            </c:strRef>
          </c:cat>
          <c:val>
            <c:numRef>
              <c:f>'5 Women MPs Visual'!$E$6:$E$32</c:f>
              <c:numCache>
                <c:formatCode>General</c:formatCode>
                <c:ptCount val="27"/>
                <c:pt idx="0">
                  <c:v>0</c:v>
                </c:pt>
                <c:pt idx="1">
                  <c:v>1</c:v>
                </c:pt>
                <c:pt idx="2">
                  <c:v>2</c:v>
                </c:pt>
                <c:pt idx="3">
                  <c:v>0</c:v>
                </c:pt>
                <c:pt idx="4">
                  <c:v>1</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2</c:v>
                </c:pt>
                <c:pt idx="20">
                  <c:v>2</c:v>
                </c:pt>
                <c:pt idx="21">
                  <c:v>3</c:v>
                </c:pt>
                <c:pt idx="22">
                  <c:v>5</c:v>
                </c:pt>
                <c:pt idx="23">
                  <c:v>10</c:v>
                </c:pt>
                <c:pt idx="24">
                  <c:v>7</c:v>
                </c:pt>
                <c:pt idx="25">
                  <c:v>0</c:v>
                </c:pt>
                <c:pt idx="26">
                  <c:v>4</c:v>
                </c:pt>
              </c:numCache>
            </c:numRef>
          </c:val>
          <c:extLst>
            <c:ext xmlns:c16="http://schemas.microsoft.com/office/drawing/2014/chart" uri="{C3380CC4-5D6E-409C-BE32-E72D297353CC}">
              <c16:uniqueId val="{00000016-51A2-4ADA-A11E-E251D30D8AC6}"/>
            </c:ext>
          </c:extLst>
        </c:ser>
        <c:ser>
          <c:idx val="2"/>
          <c:order val="3"/>
          <c:tx>
            <c:strRef>
              <c:f>'5 Women MPs Visual'!$F$5</c:f>
              <c:strCache>
                <c:ptCount val="1"/>
                <c:pt idx="0">
                  <c:v>Other</c:v>
                </c:pt>
              </c:strCache>
            </c:strRef>
          </c:tx>
          <c:spPr>
            <a:solidFill>
              <a:srgbClr val="909090"/>
            </a:solidFill>
          </c:spPr>
          <c:invertIfNegative val="0"/>
          <c:cat>
            <c:strRef>
              <c:f>'5 Women MPs Visual'!$A$6:$B$32</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strCache>
            </c:strRef>
          </c:cat>
          <c:val>
            <c:numRef>
              <c:f>'5 Women MPs Visual'!$F$6:$F$32</c:f>
              <c:numCache>
                <c:formatCode>General</c:formatCode>
                <c:ptCount val="27"/>
                <c:pt idx="0">
                  <c:v>1</c:v>
                </c:pt>
                <c:pt idx="1">
                  <c:v>0</c:v>
                </c:pt>
                <c:pt idx="2">
                  <c:v>0</c:v>
                </c:pt>
                <c:pt idx="3">
                  <c:v>0</c:v>
                </c:pt>
                <c:pt idx="4">
                  <c:v>1</c:v>
                </c:pt>
                <c:pt idx="5">
                  <c:v>1</c:v>
                </c:pt>
                <c:pt idx="6">
                  <c:v>1</c:v>
                </c:pt>
                <c:pt idx="7">
                  <c:v>1</c:v>
                </c:pt>
                <c:pt idx="8">
                  <c:v>1</c:v>
                </c:pt>
                <c:pt idx="9">
                  <c:v>0</c:v>
                </c:pt>
                <c:pt idx="10">
                  <c:v>0</c:v>
                </c:pt>
                <c:pt idx="11">
                  <c:v>0</c:v>
                </c:pt>
                <c:pt idx="12">
                  <c:v>0</c:v>
                </c:pt>
                <c:pt idx="13">
                  <c:v>0</c:v>
                </c:pt>
                <c:pt idx="14">
                  <c:v>1</c:v>
                </c:pt>
                <c:pt idx="15">
                  <c:v>1</c:v>
                </c:pt>
                <c:pt idx="16">
                  <c:v>2</c:v>
                </c:pt>
                <c:pt idx="17">
                  <c:v>0</c:v>
                </c:pt>
                <c:pt idx="18">
                  <c:v>0</c:v>
                </c:pt>
                <c:pt idx="19">
                  <c:v>1</c:v>
                </c:pt>
                <c:pt idx="20">
                  <c:v>1</c:v>
                </c:pt>
                <c:pt idx="21">
                  <c:v>3</c:v>
                </c:pt>
                <c:pt idx="22">
                  <c:v>4</c:v>
                </c:pt>
                <c:pt idx="23">
                  <c:v>3</c:v>
                </c:pt>
                <c:pt idx="24">
                  <c:v>6</c:v>
                </c:pt>
                <c:pt idx="25">
                  <c:v>24</c:v>
                </c:pt>
                <c:pt idx="26">
                  <c:v>18</c:v>
                </c:pt>
              </c:numCache>
            </c:numRef>
          </c:val>
          <c:extLst>
            <c:ext xmlns:c16="http://schemas.microsoft.com/office/drawing/2014/chart" uri="{C3380CC4-5D6E-409C-BE32-E72D297353CC}">
              <c16:uniqueId val="{00000017-51A2-4ADA-A11E-E251D30D8AC6}"/>
            </c:ext>
          </c:extLst>
        </c:ser>
        <c:dLbls>
          <c:showLegendKey val="0"/>
          <c:showVal val="0"/>
          <c:showCatName val="0"/>
          <c:showSerName val="0"/>
          <c:showPercent val="0"/>
          <c:showBubbleSize val="0"/>
        </c:dLbls>
        <c:gapWidth val="20"/>
        <c:overlap val="100"/>
        <c:axId val="710290944"/>
        <c:axId val="710290160"/>
      </c:barChart>
      <c:catAx>
        <c:axId val="710290944"/>
        <c:scaling>
          <c:orientation val="maxMin"/>
        </c:scaling>
        <c:delete val="0"/>
        <c:axPos val="l"/>
        <c:numFmt formatCode="dd/mm/yyyy" sourceLinked="0"/>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710290160"/>
        <c:crosses val="autoZero"/>
        <c:auto val="1"/>
        <c:lblAlgn val="ctr"/>
        <c:lblOffset val="100"/>
        <c:noMultiLvlLbl val="0"/>
      </c:catAx>
      <c:valAx>
        <c:axId val="710290160"/>
        <c:scaling>
          <c:orientation val="minMax"/>
          <c:max val="210"/>
          <c:min val="0"/>
        </c:scaling>
        <c:delete val="0"/>
        <c:axPos val="b"/>
        <c:numFmt formatCode="General" sourceLinked="0"/>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710290944"/>
        <c:crosses val="max"/>
        <c:crossBetween val="between"/>
      </c:valAx>
      <c:spPr>
        <a:noFill/>
        <a:ln w="25400">
          <a:noFill/>
        </a:ln>
      </c:spPr>
    </c:plotArea>
    <c:legend>
      <c:legendPos val="r"/>
      <c:layout>
        <c:manualLayout>
          <c:xMode val="edge"/>
          <c:yMode val="edge"/>
          <c:x val="0.79475847576705805"/>
          <c:y val="0.26438368906134291"/>
          <c:w val="0.11122658250630729"/>
          <c:h val="0.22528798303752967"/>
        </c:manualLayout>
      </c:layout>
      <c:overlay val="0"/>
      <c:txPr>
        <a:bodyPr/>
        <a:lstStyle/>
        <a:p>
          <a:pPr>
            <a:defRPr sz="1100"/>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panose="020B04020202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cap="all" baseline="0"/>
            </a:pPr>
            <a:r>
              <a:rPr lang="en-GB" b="1" cap="all" baseline="0"/>
              <a:t>Democratic Unionist Party</a:t>
            </a:r>
          </a:p>
        </c:rich>
      </c:tx>
      <c:layout>
        <c:manualLayout>
          <c:xMode val="edge"/>
          <c:yMode val="edge"/>
          <c:x val="0.10061895606165322"/>
          <c:y val="3.2348575734783891E-2"/>
        </c:manualLayout>
      </c:layout>
      <c:overlay val="0"/>
      <c:spPr>
        <a:noFill/>
        <a:ln w="25400">
          <a:noFill/>
        </a:ln>
      </c:spPr>
    </c:title>
    <c:autoTitleDeleted val="0"/>
    <c:plotArea>
      <c:layout/>
      <c:barChart>
        <c:barDir val="col"/>
        <c:grouping val="clustered"/>
        <c:varyColors val="0"/>
        <c:ser>
          <c:idx val="1"/>
          <c:order val="0"/>
          <c:tx>
            <c:strRef>
              <c:f>'18 NI Party charts '!$G$59</c:f>
              <c:strCache>
                <c:ptCount val="1"/>
                <c:pt idx="0">
                  <c:v>% seats</c:v>
                </c:pt>
              </c:strCache>
            </c:strRef>
          </c:tx>
          <c:spPr>
            <a:solidFill>
              <a:srgbClr val="CC3300"/>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'!$H$60:$M$60</c:f>
              <c:numCache>
                <c:formatCode>0.0%</c:formatCode>
                <c:ptCount val="6"/>
                <c:pt idx="0">
                  <c:v>0.18518518518518517</c:v>
                </c:pt>
                <c:pt idx="1">
                  <c:v>0.27777777777777779</c:v>
                </c:pt>
                <c:pt idx="2">
                  <c:v>0.33333333333333331</c:v>
                </c:pt>
                <c:pt idx="3">
                  <c:v>0.35185185185185186</c:v>
                </c:pt>
                <c:pt idx="4">
                  <c:v>0.35185185185185186</c:v>
                </c:pt>
                <c:pt idx="5">
                  <c:v>0.31111111111111112</c:v>
                </c:pt>
              </c:numCache>
            </c:numRef>
          </c:val>
          <c:extLst>
            <c:ext xmlns:c16="http://schemas.microsoft.com/office/drawing/2014/chart" uri="{C3380CC4-5D6E-409C-BE32-E72D297353CC}">
              <c16:uniqueId val="{00000000-5812-44C6-B18C-00EA1347A376}"/>
            </c:ext>
          </c:extLst>
        </c:ser>
        <c:ser>
          <c:idx val="0"/>
          <c:order val="1"/>
          <c:tx>
            <c:strRef>
              <c:f>'18 NI Party charts '!$G$52</c:f>
              <c:strCache>
                <c:ptCount val="1"/>
                <c:pt idx="0">
                  <c:v>% 1st pref votes</c:v>
                </c:pt>
              </c:strCache>
            </c:strRef>
          </c:tx>
          <c:spPr>
            <a:solidFill>
              <a:srgbClr val="FF7F57"/>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'!$H$53:$M$53</c:f>
              <c:numCache>
                <c:formatCode>0.0%</c:formatCode>
                <c:ptCount val="6"/>
                <c:pt idx="0">
                  <c:v>0.18132416738147103</c:v>
                </c:pt>
                <c:pt idx="1">
                  <c:v>0.25339160326323001</c:v>
                </c:pt>
                <c:pt idx="2">
                  <c:v>0.30090842849547961</c:v>
                </c:pt>
                <c:pt idx="3">
                  <c:v>0.29987275854044071</c:v>
                </c:pt>
                <c:pt idx="4">
                  <c:v>0.29175296337370915</c:v>
                </c:pt>
                <c:pt idx="5">
                  <c:v>0.2806034992499829</c:v>
                </c:pt>
              </c:numCache>
            </c:numRef>
          </c:val>
          <c:extLst>
            <c:ext xmlns:c16="http://schemas.microsoft.com/office/drawing/2014/chart" uri="{C3380CC4-5D6E-409C-BE32-E72D297353CC}">
              <c16:uniqueId val="{00000001-5812-44C6-B18C-00EA1347A376}"/>
            </c:ext>
          </c:extLst>
        </c:ser>
        <c:dLbls>
          <c:showLegendKey val="0"/>
          <c:showVal val="0"/>
          <c:showCatName val="0"/>
          <c:showSerName val="0"/>
          <c:showPercent val="0"/>
          <c:showBubbleSize val="0"/>
        </c:dLbls>
        <c:gapWidth val="90"/>
        <c:axId val="472777728"/>
        <c:axId val="472778120"/>
      </c:barChart>
      <c:catAx>
        <c:axId val="472777728"/>
        <c:scaling>
          <c:orientation val="minMax"/>
        </c:scaling>
        <c:delete val="0"/>
        <c:axPos val="b"/>
        <c:numFmt formatCode="0_ ;\-0\ "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2778120"/>
        <c:crosses val="autoZero"/>
        <c:auto val="1"/>
        <c:lblAlgn val="ctr"/>
        <c:lblOffset val="100"/>
        <c:noMultiLvlLbl val="0"/>
      </c:catAx>
      <c:valAx>
        <c:axId val="472778120"/>
        <c:scaling>
          <c:orientation val="minMax"/>
          <c:max val="0.5"/>
        </c:scaling>
        <c:delete val="0"/>
        <c:axPos val="l"/>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2777728"/>
        <c:crosses val="autoZero"/>
        <c:crossBetween val="between"/>
        <c:majorUnit val="0.1"/>
      </c:valAx>
      <c:spPr>
        <a:noFill/>
        <a:ln w="25400">
          <a:noFill/>
        </a:ln>
      </c:spPr>
    </c:plotArea>
    <c:legend>
      <c:legendPos val="r"/>
      <c:layout>
        <c:manualLayout>
          <c:xMode val="edge"/>
          <c:yMode val="edge"/>
          <c:x val="0.10752497278624126"/>
          <c:y val="0.1929434256523114"/>
          <c:w val="0.52223580748058673"/>
          <c:h val="8.3916083916083906E-2"/>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1" cap="all" baseline="0"/>
              <a:t>Sinn Féin</a:t>
            </a:r>
          </a:p>
        </c:rich>
      </c:tx>
      <c:layout>
        <c:manualLayout>
          <c:xMode val="edge"/>
          <c:yMode val="edge"/>
          <c:x val="0.13445245480659943"/>
          <c:y val="4.1591025944722144E-2"/>
        </c:manualLayout>
      </c:layout>
      <c:overlay val="0"/>
      <c:spPr>
        <a:noFill/>
        <a:ln w="25400">
          <a:noFill/>
        </a:ln>
      </c:spPr>
    </c:title>
    <c:autoTitleDeleted val="0"/>
    <c:plotArea>
      <c:layout>
        <c:manualLayout>
          <c:layoutTarget val="inner"/>
          <c:xMode val="edge"/>
          <c:yMode val="edge"/>
          <c:x val="0.12326560737724875"/>
          <c:y val="0.17574519074197587"/>
          <c:w val="0.54893159383642487"/>
          <c:h val="0.69617009601595814"/>
        </c:manualLayout>
      </c:layout>
      <c:barChart>
        <c:barDir val="col"/>
        <c:grouping val="clustered"/>
        <c:varyColors val="0"/>
        <c:ser>
          <c:idx val="1"/>
          <c:order val="0"/>
          <c:tx>
            <c:strRef>
              <c:f>'18 NI Party charts '!$G$59</c:f>
              <c:strCache>
                <c:ptCount val="1"/>
                <c:pt idx="0">
                  <c:v>% seats</c:v>
                </c:pt>
              </c:strCache>
            </c:strRef>
          </c:tx>
          <c:spPr>
            <a:solidFill>
              <a:srgbClr val="02665F"/>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'!$H$61:$M$61</c:f>
              <c:numCache>
                <c:formatCode>0.0%</c:formatCode>
                <c:ptCount val="6"/>
                <c:pt idx="0">
                  <c:v>0.16666666666666666</c:v>
                </c:pt>
                <c:pt idx="1">
                  <c:v>0.22222222222222221</c:v>
                </c:pt>
                <c:pt idx="2">
                  <c:v>0.25925925925925924</c:v>
                </c:pt>
                <c:pt idx="3">
                  <c:v>0.26851851851851855</c:v>
                </c:pt>
                <c:pt idx="4">
                  <c:v>0.25925925925925924</c:v>
                </c:pt>
                <c:pt idx="5">
                  <c:v>0.3</c:v>
                </c:pt>
              </c:numCache>
            </c:numRef>
          </c:val>
          <c:extLst>
            <c:ext xmlns:c16="http://schemas.microsoft.com/office/drawing/2014/chart" uri="{C3380CC4-5D6E-409C-BE32-E72D297353CC}">
              <c16:uniqueId val="{00000000-591A-485A-B366-797F72BC0A39}"/>
            </c:ext>
          </c:extLst>
        </c:ser>
        <c:ser>
          <c:idx val="0"/>
          <c:order val="1"/>
          <c:tx>
            <c:strRef>
              <c:f>'18 NI Party charts '!$G$52</c:f>
              <c:strCache>
                <c:ptCount val="1"/>
                <c:pt idx="0">
                  <c:v>% 1st pref votes</c:v>
                </c:pt>
              </c:strCache>
            </c:strRef>
          </c:tx>
          <c:spPr>
            <a:solidFill>
              <a:srgbClr val="04C0B3"/>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'!$H$54:$M$54</c:f>
              <c:numCache>
                <c:formatCode>0.0%</c:formatCode>
                <c:ptCount val="6"/>
                <c:pt idx="0">
                  <c:v>0.17631457151849131</c:v>
                </c:pt>
                <c:pt idx="1">
                  <c:v>0.23176679496873617</c:v>
                </c:pt>
                <c:pt idx="2">
                  <c:v>0.26158134063823224</c:v>
                </c:pt>
                <c:pt idx="3">
                  <c:v>0.26932574115883423</c:v>
                </c:pt>
                <c:pt idx="4">
                  <c:v>0.24021690599300025</c:v>
                </c:pt>
                <c:pt idx="5">
                  <c:v>0.27914952415926503</c:v>
                </c:pt>
              </c:numCache>
            </c:numRef>
          </c:val>
          <c:extLst>
            <c:ext xmlns:c16="http://schemas.microsoft.com/office/drawing/2014/chart" uri="{C3380CC4-5D6E-409C-BE32-E72D297353CC}">
              <c16:uniqueId val="{00000001-591A-485A-B366-797F72BC0A39}"/>
            </c:ext>
          </c:extLst>
        </c:ser>
        <c:dLbls>
          <c:showLegendKey val="0"/>
          <c:showVal val="0"/>
          <c:showCatName val="0"/>
          <c:showSerName val="0"/>
          <c:showPercent val="0"/>
          <c:showBubbleSize val="0"/>
        </c:dLbls>
        <c:gapWidth val="90"/>
        <c:axId val="472778904"/>
        <c:axId val="472779296"/>
      </c:barChart>
      <c:catAx>
        <c:axId val="472778904"/>
        <c:scaling>
          <c:orientation val="minMax"/>
        </c:scaling>
        <c:delete val="0"/>
        <c:axPos val="b"/>
        <c:numFmt formatCode="0_ ;\-0\ "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2779296"/>
        <c:crosses val="autoZero"/>
        <c:auto val="1"/>
        <c:lblAlgn val="ctr"/>
        <c:lblOffset val="100"/>
        <c:noMultiLvlLbl val="0"/>
      </c:catAx>
      <c:valAx>
        <c:axId val="472779296"/>
        <c:scaling>
          <c:orientation val="minMax"/>
          <c:max val="0.5"/>
        </c:scaling>
        <c:delete val="0"/>
        <c:axPos val="l"/>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2778904"/>
        <c:crosses val="autoZero"/>
        <c:crossBetween val="between"/>
        <c:majorUnit val="0.1"/>
      </c:valAx>
      <c:spPr>
        <a:noFill/>
        <a:ln w="25400">
          <a:noFill/>
        </a:ln>
      </c:spPr>
    </c:plotArea>
    <c:legend>
      <c:legendPos val="r"/>
      <c:layout>
        <c:manualLayout>
          <c:xMode val="edge"/>
          <c:yMode val="edge"/>
          <c:x val="0.11654738469500392"/>
          <c:y val="0.17907975033740403"/>
          <c:w val="0.58324700114964967"/>
          <c:h val="8.3916083916083906E-2"/>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1" cap="all" baseline="0"/>
              <a:t>Ulster Unionist Party</a:t>
            </a:r>
          </a:p>
        </c:rich>
      </c:tx>
      <c:layout>
        <c:manualLayout>
          <c:xMode val="edge"/>
          <c:yMode val="edge"/>
          <c:x val="0.11988618807573341"/>
          <c:y val="5.5454701259629521E-2"/>
        </c:manualLayout>
      </c:layout>
      <c:overlay val="0"/>
      <c:spPr>
        <a:noFill/>
        <a:ln w="25400">
          <a:noFill/>
        </a:ln>
      </c:spPr>
    </c:title>
    <c:autoTitleDeleted val="0"/>
    <c:plotArea>
      <c:layout/>
      <c:barChart>
        <c:barDir val="col"/>
        <c:grouping val="clustered"/>
        <c:varyColors val="0"/>
        <c:ser>
          <c:idx val="1"/>
          <c:order val="0"/>
          <c:tx>
            <c:strRef>
              <c:f>'18 NI Party charts '!$G$59</c:f>
              <c:strCache>
                <c:ptCount val="1"/>
                <c:pt idx="0">
                  <c:v>% seats</c:v>
                </c:pt>
              </c:strCache>
            </c:strRef>
          </c:tx>
          <c:spPr>
            <a:solidFill>
              <a:srgbClr val="A1CDF0"/>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'!$H$62:$M$62</c:f>
              <c:numCache>
                <c:formatCode>0.0%</c:formatCode>
                <c:ptCount val="6"/>
                <c:pt idx="0">
                  <c:v>0.25925925925925924</c:v>
                </c:pt>
                <c:pt idx="1">
                  <c:v>0.25</c:v>
                </c:pt>
                <c:pt idx="2">
                  <c:v>0.16666666666666666</c:v>
                </c:pt>
                <c:pt idx="3">
                  <c:v>0.14814814814814814</c:v>
                </c:pt>
                <c:pt idx="4">
                  <c:v>0.14814814814814814</c:v>
                </c:pt>
                <c:pt idx="5">
                  <c:v>0.1111111111111111</c:v>
                </c:pt>
              </c:numCache>
            </c:numRef>
          </c:val>
          <c:extLst>
            <c:ext xmlns:c16="http://schemas.microsoft.com/office/drawing/2014/chart" uri="{C3380CC4-5D6E-409C-BE32-E72D297353CC}">
              <c16:uniqueId val="{00000000-EF5F-45C0-8D6D-D5A35EBF6E9C}"/>
            </c:ext>
          </c:extLst>
        </c:ser>
        <c:ser>
          <c:idx val="0"/>
          <c:order val="1"/>
          <c:tx>
            <c:strRef>
              <c:f>'18 NI Party charts '!$G$52</c:f>
              <c:strCache>
                <c:ptCount val="1"/>
                <c:pt idx="0">
                  <c:v>% 1st pref votes</c:v>
                </c:pt>
              </c:strCache>
            </c:strRef>
          </c:tx>
          <c:spPr>
            <a:solidFill>
              <a:srgbClr val="4A9DE2"/>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'!$H$55:$M$55</c:f>
              <c:numCache>
                <c:formatCode>0.0%</c:formatCode>
                <c:ptCount val="6"/>
                <c:pt idx="0">
                  <c:v>0.21255916420341994</c:v>
                </c:pt>
                <c:pt idx="1">
                  <c:v>0.22346916834342234</c:v>
                </c:pt>
                <c:pt idx="2">
                  <c:v>0.14941772790024235</c:v>
                </c:pt>
                <c:pt idx="3">
                  <c:v>0.13227520423614322</c:v>
                </c:pt>
                <c:pt idx="4">
                  <c:v>0.12573922311359478</c:v>
                </c:pt>
                <c:pt idx="5">
                  <c:v>0.12860957407741672</c:v>
                </c:pt>
              </c:numCache>
            </c:numRef>
          </c:val>
          <c:extLst>
            <c:ext xmlns:c16="http://schemas.microsoft.com/office/drawing/2014/chart" uri="{C3380CC4-5D6E-409C-BE32-E72D297353CC}">
              <c16:uniqueId val="{00000001-EF5F-45C0-8D6D-D5A35EBF6E9C}"/>
            </c:ext>
          </c:extLst>
        </c:ser>
        <c:dLbls>
          <c:showLegendKey val="0"/>
          <c:showVal val="0"/>
          <c:showCatName val="0"/>
          <c:showSerName val="0"/>
          <c:showPercent val="0"/>
          <c:showBubbleSize val="0"/>
        </c:dLbls>
        <c:gapWidth val="90"/>
        <c:axId val="472780080"/>
        <c:axId val="473408120"/>
      </c:barChart>
      <c:catAx>
        <c:axId val="472780080"/>
        <c:scaling>
          <c:orientation val="minMax"/>
        </c:scaling>
        <c:delete val="0"/>
        <c:axPos val="b"/>
        <c:numFmt formatCode="0_ ;\-0\ "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3408120"/>
        <c:crosses val="autoZero"/>
        <c:auto val="1"/>
        <c:lblAlgn val="ctr"/>
        <c:lblOffset val="100"/>
        <c:noMultiLvlLbl val="0"/>
      </c:catAx>
      <c:valAx>
        <c:axId val="473408120"/>
        <c:scaling>
          <c:orientation val="minMax"/>
          <c:max val="0.5"/>
        </c:scaling>
        <c:delete val="0"/>
        <c:axPos val="l"/>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2780080"/>
        <c:crosses val="autoZero"/>
        <c:crossBetween val="between"/>
        <c:majorUnit val="0.1"/>
      </c:valAx>
      <c:spPr>
        <a:noFill/>
        <a:ln w="25400">
          <a:noFill/>
        </a:ln>
      </c:spPr>
    </c:plotArea>
    <c:legend>
      <c:legendPos val="r"/>
      <c:layout>
        <c:manualLayout>
          <c:xMode val="edge"/>
          <c:yMode val="edge"/>
          <c:x val="0.1402087789347492"/>
          <c:y val="0.1929434256523114"/>
          <c:w val="0.51099416920710994"/>
          <c:h val="7.6923076923076927E-2"/>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GB" b="1" cap="all" baseline="0"/>
              <a:t>Social Democrat &amp; Labour Party</a:t>
            </a:r>
          </a:p>
        </c:rich>
      </c:tx>
      <c:layout>
        <c:manualLayout>
          <c:xMode val="edge"/>
          <c:yMode val="edge"/>
          <c:x val="9.5592626681821197E-2"/>
          <c:y val="1.8484900419876507E-2"/>
        </c:manualLayout>
      </c:layout>
      <c:overlay val="0"/>
      <c:spPr>
        <a:noFill/>
        <a:ln w="25400">
          <a:noFill/>
        </a:ln>
      </c:spPr>
    </c:title>
    <c:autoTitleDeleted val="0"/>
    <c:plotArea>
      <c:layout>
        <c:manualLayout>
          <c:layoutTarget val="inner"/>
          <c:xMode val="edge"/>
          <c:yMode val="edge"/>
          <c:x val="7.8949488861738817E-2"/>
          <c:y val="0.15813832309204351"/>
          <c:w val="0.55153712699135382"/>
          <c:h val="0.73826945672222688"/>
        </c:manualLayout>
      </c:layout>
      <c:barChart>
        <c:barDir val="col"/>
        <c:grouping val="clustered"/>
        <c:varyColors val="0"/>
        <c:ser>
          <c:idx val="1"/>
          <c:order val="0"/>
          <c:tx>
            <c:strRef>
              <c:f>'18 NI Party charts '!$G$59</c:f>
              <c:strCache>
                <c:ptCount val="1"/>
                <c:pt idx="0">
                  <c:v>% seats</c:v>
                </c:pt>
              </c:strCache>
            </c:strRef>
          </c:tx>
          <c:spPr>
            <a:solidFill>
              <a:srgbClr val="4EAF2D"/>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'!$H$63:$M$63</c:f>
              <c:numCache>
                <c:formatCode>0.0%</c:formatCode>
                <c:ptCount val="6"/>
                <c:pt idx="0">
                  <c:v>0.22222222222222221</c:v>
                </c:pt>
                <c:pt idx="1">
                  <c:v>0.16666666666666666</c:v>
                </c:pt>
                <c:pt idx="2">
                  <c:v>0.14814814814814814</c:v>
                </c:pt>
                <c:pt idx="3">
                  <c:v>0.12962962962962962</c:v>
                </c:pt>
                <c:pt idx="4">
                  <c:v>0.1111111111111111</c:v>
                </c:pt>
                <c:pt idx="5">
                  <c:v>0.13333333333333333</c:v>
                </c:pt>
              </c:numCache>
            </c:numRef>
          </c:val>
          <c:extLst>
            <c:ext xmlns:c16="http://schemas.microsoft.com/office/drawing/2014/chart" uri="{C3380CC4-5D6E-409C-BE32-E72D297353CC}">
              <c16:uniqueId val="{00000000-9A9B-4A76-AD3D-431A1556125F}"/>
            </c:ext>
          </c:extLst>
        </c:ser>
        <c:ser>
          <c:idx val="0"/>
          <c:order val="1"/>
          <c:tx>
            <c:strRef>
              <c:f>'18 NI Party charts '!$G$52</c:f>
              <c:strCache>
                <c:ptCount val="1"/>
                <c:pt idx="0">
                  <c:v>% 1st pref votes</c:v>
                </c:pt>
              </c:strCache>
            </c:strRef>
          </c:tx>
          <c:spPr>
            <a:solidFill>
              <a:srgbClr val="78D458"/>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'!$H$56:$M$56</c:f>
              <c:numCache>
                <c:formatCode>0.0%</c:formatCode>
                <c:ptCount val="6"/>
                <c:pt idx="0">
                  <c:v>0.21964097279218014</c:v>
                </c:pt>
                <c:pt idx="1">
                  <c:v>0.16738649681238421</c:v>
                </c:pt>
                <c:pt idx="2">
                  <c:v>0.15234248811770892</c:v>
                </c:pt>
                <c:pt idx="3">
                  <c:v>0.14248323344425404</c:v>
                </c:pt>
                <c:pt idx="4">
                  <c:v>0.1200674050496176</c:v>
                </c:pt>
                <c:pt idx="5">
                  <c:v>0.11945251862594375</c:v>
                </c:pt>
              </c:numCache>
            </c:numRef>
          </c:val>
          <c:extLst>
            <c:ext xmlns:c16="http://schemas.microsoft.com/office/drawing/2014/chart" uri="{C3380CC4-5D6E-409C-BE32-E72D297353CC}">
              <c16:uniqueId val="{00000001-9A9B-4A76-AD3D-431A1556125F}"/>
            </c:ext>
          </c:extLst>
        </c:ser>
        <c:dLbls>
          <c:showLegendKey val="0"/>
          <c:showVal val="0"/>
          <c:showCatName val="0"/>
          <c:showSerName val="0"/>
          <c:showPercent val="0"/>
          <c:showBubbleSize val="0"/>
        </c:dLbls>
        <c:gapWidth val="90"/>
        <c:axId val="473408904"/>
        <c:axId val="473409296"/>
      </c:barChart>
      <c:catAx>
        <c:axId val="473408904"/>
        <c:scaling>
          <c:orientation val="minMax"/>
        </c:scaling>
        <c:delete val="0"/>
        <c:axPos val="b"/>
        <c:numFmt formatCode="0_ ;\-0\ "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3409296"/>
        <c:crosses val="autoZero"/>
        <c:auto val="1"/>
        <c:lblAlgn val="ctr"/>
        <c:lblOffset val="100"/>
        <c:noMultiLvlLbl val="0"/>
      </c:catAx>
      <c:valAx>
        <c:axId val="473409296"/>
        <c:scaling>
          <c:orientation val="minMax"/>
          <c:max val="0.5"/>
        </c:scaling>
        <c:delete val="0"/>
        <c:axPos val="l"/>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3408904"/>
        <c:crosses val="autoZero"/>
        <c:crossBetween val="between"/>
        <c:majorUnit val="0.1"/>
      </c:valAx>
      <c:spPr>
        <a:noFill/>
        <a:ln w="25400">
          <a:noFill/>
        </a:ln>
      </c:spPr>
    </c:plotArea>
    <c:legend>
      <c:legendPos val="r"/>
      <c:layout>
        <c:manualLayout>
          <c:xMode val="edge"/>
          <c:yMode val="edge"/>
          <c:x val="0.12209385989909345"/>
          <c:y val="0.16059484991752754"/>
          <c:w val="0.52500900197392686"/>
          <c:h val="7.6923076923076927E-2"/>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1" cap="all" baseline="0"/>
              <a:t>Alliance Party</a:t>
            </a:r>
          </a:p>
        </c:rich>
      </c:tx>
      <c:layout>
        <c:manualLayout>
          <c:xMode val="edge"/>
          <c:yMode val="edge"/>
          <c:x val="0.11912343855258833"/>
          <c:y val="4.1591025944722144E-2"/>
        </c:manualLayout>
      </c:layout>
      <c:overlay val="0"/>
      <c:spPr>
        <a:noFill/>
        <a:ln w="25400">
          <a:noFill/>
        </a:ln>
      </c:spPr>
    </c:title>
    <c:autoTitleDeleted val="0"/>
    <c:plotArea>
      <c:layout/>
      <c:barChart>
        <c:barDir val="col"/>
        <c:grouping val="clustered"/>
        <c:varyColors val="0"/>
        <c:ser>
          <c:idx val="1"/>
          <c:order val="0"/>
          <c:tx>
            <c:strRef>
              <c:f>'18 NI Party charts '!$G$59</c:f>
              <c:strCache>
                <c:ptCount val="1"/>
                <c:pt idx="0">
                  <c:v>% seats</c:v>
                </c:pt>
              </c:strCache>
            </c:strRef>
          </c:tx>
          <c:spPr>
            <a:solidFill>
              <a:srgbClr val="CDAF2D"/>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'!$H$64:$M$64</c:f>
              <c:numCache>
                <c:formatCode>0.0%</c:formatCode>
                <c:ptCount val="6"/>
                <c:pt idx="0">
                  <c:v>5.5555555555555552E-2</c:v>
                </c:pt>
                <c:pt idx="1">
                  <c:v>5.5555555555555552E-2</c:v>
                </c:pt>
                <c:pt idx="2">
                  <c:v>6.4814814814814811E-2</c:v>
                </c:pt>
                <c:pt idx="3">
                  <c:v>7.407407407407407E-2</c:v>
                </c:pt>
                <c:pt idx="4">
                  <c:v>7.407407407407407E-2</c:v>
                </c:pt>
                <c:pt idx="5">
                  <c:v>8.8888888888888892E-2</c:v>
                </c:pt>
              </c:numCache>
            </c:numRef>
          </c:val>
          <c:extLst>
            <c:ext xmlns:c16="http://schemas.microsoft.com/office/drawing/2014/chart" uri="{C3380CC4-5D6E-409C-BE32-E72D297353CC}">
              <c16:uniqueId val="{00000000-53DA-49F4-9000-8574CE733BE4}"/>
            </c:ext>
          </c:extLst>
        </c:ser>
        <c:ser>
          <c:idx val="0"/>
          <c:order val="1"/>
          <c:tx>
            <c:strRef>
              <c:f>'18 NI Party charts '!$G$52</c:f>
              <c:strCache>
                <c:ptCount val="1"/>
                <c:pt idx="0">
                  <c:v>% 1st pref votes</c:v>
                </c:pt>
              </c:strCache>
            </c:strRef>
          </c:tx>
          <c:spPr>
            <a:solidFill>
              <a:srgbClr val="E4D284"/>
            </a:solidFill>
            <a:ln w="25400">
              <a:noFill/>
            </a:ln>
          </c:spPr>
          <c:invertIfNegative val="0"/>
          <c:cat>
            <c:numRef>
              <c:f>'18 NI Party charts '!$H$51:$M$51</c:f>
              <c:numCache>
                <c:formatCode>0_ ;\-0\ </c:formatCode>
                <c:ptCount val="6"/>
                <c:pt idx="0">
                  <c:v>1998</c:v>
                </c:pt>
                <c:pt idx="1">
                  <c:v>2003</c:v>
                </c:pt>
                <c:pt idx="2">
                  <c:v>2007</c:v>
                </c:pt>
                <c:pt idx="3">
                  <c:v>2011</c:v>
                </c:pt>
                <c:pt idx="4">
                  <c:v>2016</c:v>
                </c:pt>
                <c:pt idx="5">
                  <c:v>2017</c:v>
                </c:pt>
              </c:numCache>
            </c:numRef>
          </c:cat>
          <c:val>
            <c:numRef>
              <c:f>'18 NI Party charts '!$H$57:$M$57</c:f>
              <c:numCache>
                <c:formatCode>0.0%</c:formatCode>
                <c:ptCount val="6"/>
                <c:pt idx="0">
                  <c:v>6.49630667267308E-2</c:v>
                </c:pt>
                <c:pt idx="1">
                  <c:v>3.6129634930060418E-2</c:v>
                </c:pt>
                <c:pt idx="2">
                  <c:v>5.2351614412592548E-2</c:v>
                </c:pt>
                <c:pt idx="3">
                  <c:v>7.6881345072189133E-2</c:v>
                </c:pt>
                <c:pt idx="4">
                  <c:v>6.9777188863764023E-2</c:v>
                </c:pt>
                <c:pt idx="5">
                  <c:v>9.0521152972370733E-2</c:v>
                </c:pt>
              </c:numCache>
            </c:numRef>
          </c:val>
          <c:extLst>
            <c:ext xmlns:c16="http://schemas.microsoft.com/office/drawing/2014/chart" uri="{C3380CC4-5D6E-409C-BE32-E72D297353CC}">
              <c16:uniqueId val="{00000001-53DA-49F4-9000-8574CE733BE4}"/>
            </c:ext>
          </c:extLst>
        </c:ser>
        <c:dLbls>
          <c:showLegendKey val="0"/>
          <c:showVal val="0"/>
          <c:showCatName val="0"/>
          <c:showSerName val="0"/>
          <c:showPercent val="0"/>
          <c:showBubbleSize val="0"/>
        </c:dLbls>
        <c:gapWidth val="90"/>
        <c:axId val="473410080"/>
        <c:axId val="473410472"/>
      </c:barChart>
      <c:catAx>
        <c:axId val="473410080"/>
        <c:scaling>
          <c:orientation val="minMax"/>
        </c:scaling>
        <c:delete val="0"/>
        <c:axPos val="b"/>
        <c:numFmt formatCode="0_ ;\-0\ "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3410472"/>
        <c:crosses val="autoZero"/>
        <c:auto val="1"/>
        <c:lblAlgn val="ctr"/>
        <c:lblOffset val="100"/>
        <c:noMultiLvlLbl val="0"/>
      </c:catAx>
      <c:valAx>
        <c:axId val="473410472"/>
        <c:scaling>
          <c:orientation val="minMax"/>
          <c:max val="0.5"/>
        </c:scaling>
        <c:delete val="0"/>
        <c:axPos val="l"/>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3410080"/>
        <c:crosses val="autoZero"/>
        <c:crossBetween val="between"/>
        <c:majorUnit val="0.1"/>
      </c:valAx>
      <c:spPr>
        <a:noFill/>
        <a:ln w="25400">
          <a:noFill/>
        </a:ln>
      </c:spPr>
    </c:plotArea>
    <c:legend>
      <c:legendPos val="r"/>
      <c:layout>
        <c:manualLayout>
          <c:xMode val="edge"/>
          <c:yMode val="edge"/>
          <c:x val="0.10692992771021194"/>
          <c:y val="0.18832183667134972"/>
          <c:w val="0.53318009161898239"/>
          <c:h val="8.3916339725826961E-2"/>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baseline="0">
                <a:solidFill>
                  <a:srgbClr val="000000"/>
                </a:solidFill>
                <a:latin typeface="Frutiger LT Std 45 Light"/>
                <a:ea typeface="Frutiger LT Std 45 Light"/>
                <a:cs typeface="Frutiger LT Std 45 Light"/>
              </a:defRPr>
            </a:pPr>
            <a:r>
              <a:rPr lang="en-GB"/>
              <a:t>London Assembly seats won by party, 2000-2012</a:t>
            </a:r>
          </a:p>
        </c:rich>
      </c:tx>
      <c:layout>
        <c:manualLayout>
          <c:xMode val="edge"/>
          <c:yMode val="edge"/>
          <c:x val="6.8002725620835855E-2"/>
          <c:y val="0.10261030529078602"/>
        </c:manualLayout>
      </c:layout>
      <c:overlay val="0"/>
      <c:spPr>
        <a:noFill/>
        <a:ln w="25400">
          <a:noFill/>
        </a:ln>
      </c:spPr>
    </c:title>
    <c:autoTitleDeleted val="0"/>
    <c:plotArea>
      <c:layout>
        <c:manualLayout>
          <c:layoutTarget val="inner"/>
          <c:xMode val="edge"/>
          <c:yMode val="edge"/>
          <c:x val="0.24737802617354401"/>
          <c:y val="0.22009152702066087"/>
          <c:w val="0.52628861296184137"/>
          <c:h val="0.70547849788007266"/>
        </c:manualLayout>
      </c:layout>
      <c:barChart>
        <c:barDir val="bar"/>
        <c:grouping val="clustered"/>
        <c:varyColors val="0"/>
        <c:ser>
          <c:idx val="0"/>
          <c:order val="0"/>
          <c:tx>
            <c:strRef>
              <c:f>'20 London Assembly Visual'!$A$6</c:f>
              <c:strCache>
                <c:ptCount val="1"/>
                <c:pt idx="0">
                  <c:v>CON</c:v>
                </c:pt>
              </c:strCache>
            </c:strRef>
          </c:tx>
          <c:spPr>
            <a:solidFill>
              <a:srgbClr val="0000FF"/>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Visual'!$B$6:$F$6</c:f>
              <c:numCache>
                <c:formatCode>#,##0_);\(#,##0\)</c:formatCode>
                <c:ptCount val="5"/>
                <c:pt idx="0" formatCode="General">
                  <c:v>8</c:v>
                </c:pt>
                <c:pt idx="1">
                  <c:v>9</c:v>
                </c:pt>
                <c:pt idx="2">
                  <c:v>11</c:v>
                </c:pt>
                <c:pt idx="3">
                  <c:v>9</c:v>
                </c:pt>
                <c:pt idx="4">
                  <c:v>9</c:v>
                </c:pt>
              </c:numCache>
            </c:numRef>
          </c:val>
          <c:extLst>
            <c:ext xmlns:c16="http://schemas.microsoft.com/office/drawing/2014/chart" uri="{C3380CC4-5D6E-409C-BE32-E72D297353CC}">
              <c16:uniqueId val="{00000000-6324-4FD1-9B05-F527C1726947}"/>
            </c:ext>
          </c:extLst>
        </c:ser>
        <c:ser>
          <c:idx val="1"/>
          <c:order val="1"/>
          <c:tx>
            <c:strRef>
              <c:f>'20 London Assembly Visual'!$A$7</c:f>
              <c:strCache>
                <c:ptCount val="1"/>
                <c:pt idx="0">
                  <c:v>LAB</c:v>
                </c:pt>
              </c:strCache>
            </c:strRef>
          </c:tx>
          <c:spPr>
            <a:solidFill>
              <a:srgbClr val="FF0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Visual'!$B$7:$F$7</c:f>
              <c:numCache>
                <c:formatCode>#,##0_);\(#,##0\)</c:formatCode>
                <c:ptCount val="5"/>
                <c:pt idx="0" formatCode="General">
                  <c:v>12</c:v>
                </c:pt>
                <c:pt idx="1">
                  <c:v>12</c:v>
                </c:pt>
                <c:pt idx="2">
                  <c:v>8</c:v>
                </c:pt>
                <c:pt idx="3">
                  <c:v>7</c:v>
                </c:pt>
                <c:pt idx="4">
                  <c:v>9</c:v>
                </c:pt>
              </c:numCache>
            </c:numRef>
          </c:val>
          <c:extLst>
            <c:ext xmlns:c16="http://schemas.microsoft.com/office/drawing/2014/chart" uri="{C3380CC4-5D6E-409C-BE32-E72D297353CC}">
              <c16:uniqueId val="{00000001-6324-4FD1-9B05-F527C1726947}"/>
            </c:ext>
          </c:extLst>
        </c:ser>
        <c:ser>
          <c:idx val="2"/>
          <c:order val="2"/>
          <c:tx>
            <c:strRef>
              <c:f>'20 London Assembly Visual'!$A$8</c:f>
              <c:strCache>
                <c:ptCount val="1"/>
                <c:pt idx="0">
                  <c:v>LD</c:v>
                </c:pt>
              </c:strCache>
            </c:strRef>
          </c:tx>
          <c:spPr>
            <a:solidFill>
              <a:srgbClr val="FFC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Visual'!$B$8:$F$8</c:f>
              <c:numCache>
                <c:formatCode>#,##0_);\(#,##0\)</c:formatCode>
                <c:ptCount val="5"/>
                <c:pt idx="0" formatCode="General">
                  <c:v>1</c:v>
                </c:pt>
                <c:pt idx="1">
                  <c:v>2</c:v>
                </c:pt>
                <c:pt idx="2">
                  <c:v>3</c:v>
                </c:pt>
                <c:pt idx="3">
                  <c:v>5</c:v>
                </c:pt>
                <c:pt idx="4">
                  <c:v>4</c:v>
                </c:pt>
              </c:numCache>
            </c:numRef>
          </c:val>
          <c:extLst>
            <c:ext xmlns:c16="http://schemas.microsoft.com/office/drawing/2014/chart" uri="{C3380CC4-5D6E-409C-BE32-E72D297353CC}">
              <c16:uniqueId val="{00000002-6324-4FD1-9B05-F527C1726947}"/>
            </c:ext>
          </c:extLst>
        </c:ser>
        <c:ser>
          <c:idx val="3"/>
          <c:order val="3"/>
          <c:tx>
            <c:strRef>
              <c:f>'20 London Assembly Visual'!$A$9</c:f>
              <c:strCache>
                <c:ptCount val="1"/>
                <c:pt idx="0">
                  <c:v>Green</c:v>
                </c:pt>
              </c:strCache>
            </c:strRef>
          </c:tx>
          <c:spPr>
            <a:solidFill>
              <a:srgbClr val="008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Visual'!$B$9:$F$9</c:f>
              <c:numCache>
                <c:formatCode>#,##0_);\(#,##0\)</c:formatCode>
                <c:ptCount val="5"/>
                <c:pt idx="0" formatCode="General">
                  <c:v>2</c:v>
                </c:pt>
                <c:pt idx="1">
                  <c:v>2</c:v>
                </c:pt>
                <c:pt idx="2">
                  <c:v>2</c:v>
                </c:pt>
                <c:pt idx="3">
                  <c:v>2</c:v>
                </c:pt>
                <c:pt idx="4">
                  <c:v>3</c:v>
                </c:pt>
              </c:numCache>
            </c:numRef>
          </c:val>
          <c:extLst>
            <c:ext xmlns:c16="http://schemas.microsoft.com/office/drawing/2014/chart" uri="{C3380CC4-5D6E-409C-BE32-E72D297353CC}">
              <c16:uniqueId val="{00000003-6324-4FD1-9B05-F527C1726947}"/>
            </c:ext>
          </c:extLst>
        </c:ser>
        <c:ser>
          <c:idx val="4"/>
          <c:order val="4"/>
          <c:tx>
            <c:strRef>
              <c:f>'20 London Assembly Visual'!$A$10</c:f>
              <c:strCache>
                <c:ptCount val="1"/>
                <c:pt idx="0">
                  <c:v>UKIP</c:v>
                </c:pt>
              </c:strCache>
            </c:strRef>
          </c:tx>
          <c:spPr>
            <a:solidFill>
              <a:srgbClr val="70147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Visual'!$B$10:$F$10</c:f>
              <c:numCache>
                <c:formatCode>#,##0_);\(#,##0\)</c:formatCode>
                <c:ptCount val="5"/>
                <c:pt idx="0" formatCode="General">
                  <c:v>2</c:v>
                </c:pt>
                <c:pt idx="1">
                  <c:v>0</c:v>
                </c:pt>
                <c:pt idx="2">
                  <c:v>0</c:v>
                </c:pt>
                <c:pt idx="3">
                  <c:v>2</c:v>
                </c:pt>
                <c:pt idx="4">
                  <c:v>0</c:v>
                </c:pt>
              </c:numCache>
            </c:numRef>
          </c:val>
          <c:extLst>
            <c:ext xmlns:c16="http://schemas.microsoft.com/office/drawing/2014/chart" uri="{C3380CC4-5D6E-409C-BE32-E72D297353CC}">
              <c16:uniqueId val="{00000004-6324-4FD1-9B05-F527C1726947}"/>
            </c:ext>
          </c:extLst>
        </c:ser>
        <c:ser>
          <c:idx val="5"/>
          <c:order val="5"/>
          <c:tx>
            <c:strRef>
              <c:f>'20 London Assembly Visual'!$A$11</c:f>
              <c:strCache>
                <c:ptCount val="1"/>
                <c:pt idx="0">
                  <c:v>BNP</c:v>
                </c:pt>
              </c:strCache>
            </c:strRef>
          </c:tx>
          <c:spPr>
            <a:solidFill>
              <a:schemeClr val="bg1">
                <a:lumMod val="75000"/>
              </a:schemeClr>
            </a:solidFill>
            <a:ln>
              <a:noFill/>
            </a:ln>
            <a:effectLst/>
          </c:spPr>
          <c:invertIfNegative val="0"/>
          <c:dPt>
            <c:idx val="1"/>
            <c:invertIfNegative val="0"/>
            <c:bubble3D val="0"/>
            <c:spPr>
              <a:solidFill>
                <a:srgbClr val="666699"/>
              </a:solidFill>
              <a:ln w="25400">
                <a:noFill/>
              </a:ln>
            </c:spPr>
            <c:extLst>
              <c:ext xmlns:c16="http://schemas.microsoft.com/office/drawing/2014/chart" uri="{C3380CC4-5D6E-409C-BE32-E72D297353CC}">
                <c16:uniqueId val="{00000006-6324-4FD1-9B05-F527C1726947}"/>
              </c:ext>
            </c:extLst>
          </c:dPt>
          <c:cat>
            <c:numRef>
              <c:f>'20 London Assembly Visual'!$B$5:$F$5</c:f>
              <c:numCache>
                <c:formatCode>General</c:formatCode>
                <c:ptCount val="5"/>
                <c:pt idx="0">
                  <c:v>2016</c:v>
                </c:pt>
                <c:pt idx="1">
                  <c:v>2012</c:v>
                </c:pt>
                <c:pt idx="2">
                  <c:v>2008</c:v>
                </c:pt>
                <c:pt idx="3">
                  <c:v>2004</c:v>
                </c:pt>
                <c:pt idx="4">
                  <c:v>2000</c:v>
                </c:pt>
              </c:numCache>
            </c:numRef>
          </c:cat>
          <c:val>
            <c:numRef>
              <c:f>'20 London Assembly Visual'!$B$11:$F$11</c:f>
              <c:numCache>
                <c:formatCode>#,##0_);\(#,##0\)</c:formatCode>
                <c:ptCount val="5"/>
                <c:pt idx="0" formatCode="General">
                  <c:v>0</c:v>
                </c:pt>
                <c:pt idx="1">
                  <c:v>0</c:v>
                </c:pt>
                <c:pt idx="2">
                  <c:v>1</c:v>
                </c:pt>
                <c:pt idx="3">
                  <c:v>0</c:v>
                </c:pt>
                <c:pt idx="4">
                  <c:v>0</c:v>
                </c:pt>
              </c:numCache>
            </c:numRef>
          </c:val>
          <c:extLst>
            <c:ext xmlns:c16="http://schemas.microsoft.com/office/drawing/2014/chart" uri="{C3380CC4-5D6E-409C-BE32-E72D297353CC}">
              <c16:uniqueId val="{00000007-6324-4FD1-9B05-F527C1726947}"/>
            </c:ext>
          </c:extLst>
        </c:ser>
        <c:dLbls>
          <c:showLegendKey val="0"/>
          <c:showVal val="0"/>
          <c:showCatName val="0"/>
          <c:showSerName val="0"/>
          <c:showPercent val="0"/>
          <c:showBubbleSize val="0"/>
        </c:dLbls>
        <c:gapWidth val="90"/>
        <c:axId val="473411256"/>
        <c:axId val="473411648"/>
      </c:barChart>
      <c:catAx>
        <c:axId val="473411256"/>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1648"/>
        <c:crosses val="autoZero"/>
        <c:auto val="1"/>
        <c:lblAlgn val="ctr"/>
        <c:lblOffset val="100"/>
        <c:noMultiLvlLbl val="0"/>
      </c:catAx>
      <c:valAx>
        <c:axId val="473411648"/>
        <c:scaling>
          <c:orientation val="minMax"/>
        </c:scaling>
        <c:delete val="0"/>
        <c:axPos val="b"/>
        <c:numFmt formatCode="General"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1256"/>
        <c:crosses val="autoZero"/>
        <c:crossBetween val="between"/>
        <c:majorUnit val="5"/>
      </c:valAx>
      <c:spPr>
        <a:noFill/>
        <a:ln w="25400">
          <a:noFill/>
        </a:ln>
      </c:spPr>
    </c:plotArea>
    <c:legend>
      <c:legendPos val="r"/>
      <c:layout>
        <c:manualLayout>
          <c:xMode val="edge"/>
          <c:yMode val="edge"/>
          <c:x val="0.59134766807995154"/>
          <c:y val="0.22631578947368422"/>
          <c:w val="0.38942408641227544"/>
          <c:h val="0.31842105263157894"/>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586474212680755E-2"/>
          <c:y val="0.16906923053434708"/>
          <c:w val="0.92577526493398854"/>
          <c:h val="0.72715000498355431"/>
        </c:manualLayout>
      </c:layout>
      <c:barChart>
        <c:barDir val="col"/>
        <c:grouping val="clustered"/>
        <c:varyColors val="0"/>
        <c:ser>
          <c:idx val="0"/>
          <c:order val="0"/>
          <c:tx>
            <c:strRef>
              <c:f>'20a London 2016'!$A$6</c:f>
              <c:strCache>
                <c:ptCount val="1"/>
                <c:pt idx="0">
                  <c:v>CON</c:v>
                </c:pt>
              </c:strCache>
            </c:strRef>
          </c:tx>
          <c:spPr>
            <a:solidFill>
              <a:srgbClr val="00539F"/>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2016'!$B$6:$G$6</c:f>
              <c:numCache>
                <c:formatCode>#,##0_);\(#,##0\)</c:formatCode>
                <c:ptCount val="6"/>
                <c:pt idx="0">
                  <c:v>9</c:v>
                </c:pt>
                <c:pt idx="1">
                  <c:v>9</c:v>
                </c:pt>
                <c:pt idx="2">
                  <c:v>11</c:v>
                </c:pt>
                <c:pt idx="3">
                  <c:v>9</c:v>
                </c:pt>
                <c:pt idx="4" formatCode="General">
                  <c:v>8</c:v>
                </c:pt>
                <c:pt idx="5" formatCode="General">
                  <c:v>9</c:v>
                </c:pt>
              </c:numCache>
            </c:numRef>
          </c:val>
          <c:extLst>
            <c:ext xmlns:c16="http://schemas.microsoft.com/office/drawing/2014/chart" uri="{C3380CC4-5D6E-409C-BE32-E72D297353CC}">
              <c16:uniqueId val="{00000000-1493-4814-B471-974E265B3E96}"/>
            </c:ext>
          </c:extLst>
        </c:ser>
        <c:ser>
          <c:idx val="1"/>
          <c:order val="1"/>
          <c:tx>
            <c:strRef>
              <c:f>'20a London 2016'!$A$7</c:f>
              <c:strCache>
                <c:ptCount val="1"/>
                <c:pt idx="0">
                  <c:v>LAB</c:v>
                </c:pt>
              </c:strCache>
            </c:strRef>
          </c:tx>
          <c:spPr>
            <a:solidFill>
              <a:srgbClr val="D50000"/>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2016'!$B$7:$G$7</c:f>
              <c:numCache>
                <c:formatCode>#,##0_);\(#,##0\)</c:formatCode>
                <c:ptCount val="6"/>
                <c:pt idx="0">
                  <c:v>9</c:v>
                </c:pt>
                <c:pt idx="1">
                  <c:v>7</c:v>
                </c:pt>
                <c:pt idx="2">
                  <c:v>8</c:v>
                </c:pt>
                <c:pt idx="3">
                  <c:v>12</c:v>
                </c:pt>
                <c:pt idx="4" formatCode="General">
                  <c:v>12</c:v>
                </c:pt>
                <c:pt idx="5" formatCode="General">
                  <c:v>11</c:v>
                </c:pt>
              </c:numCache>
            </c:numRef>
          </c:val>
          <c:extLst>
            <c:ext xmlns:c16="http://schemas.microsoft.com/office/drawing/2014/chart" uri="{C3380CC4-5D6E-409C-BE32-E72D297353CC}">
              <c16:uniqueId val="{00000001-1493-4814-B471-974E265B3E96}"/>
            </c:ext>
          </c:extLst>
        </c:ser>
        <c:ser>
          <c:idx val="2"/>
          <c:order val="2"/>
          <c:tx>
            <c:strRef>
              <c:f>'20a London 2016'!$A$8</c:f>
              <c:strCache>
                <c:ptCount val="1"/>
                <c:pt idx="0">
                  <c:v>LD</c:v>
                </c:pt>
              </c:strCache>
            </c:strRef>
          </c:tx>
          <c:spPr>
            <a:solidFill>
              <a:srgbClr val="FAA01A"/>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2016'!$B$8:$G$8</c:f>
              <c:numCache>
                <c:formatCode>#,##0_);\(#,##0\)</c:formatCode>
                <c:ptCount val="6"/>
                <c:pt idx="0">
                  <c:v>4</c:v>
                </c:pt>
                <c:pt idx="1">
                  <c:v>5</c:v>
                </c:pt>
                <c:pt idx="2">
                  <c:v>3</c:v>
                </c:pt>
                <c:pt idx="3">
                  <c:v>2</c:v>
                </c:pt>
                <c:pt idx="4" formatCode="General">
                  <c:v>1</c:v>
                </c:pt>
                <c:pt idx="5" formatCode="General">
                  <c:v>2</c:v>
                </c:pt>
              </c:numCache>
            </c:numRef>
          </c:val>
          <c:extLst>
            <c:ext xmlns:c16="http://schemas.microsoft.com/office/drawing/2014/chart" uri="{C3380CC4-5D6E-409C-BE32-E72D297353CC}">
              <c16:uniqueId val="{00000002-1493-4814-B471-974E265B3E96}"/>
            </c:ext>
          </c:extLst>
        </c:ser>
        <c:ser>
          <c:idx val="3"/>
          <c:order val="3"/>
          <c:tx>
            <c:strRef>
              <c:f>'20a London 2016'!$A$9</c:f>
              <c:strCache>
                <c:ptCount val="1"/>
                <c:pt idx="0">
                  <c:v>Green</c:v>
                </c:pt>
              </c:strCache>
            </c:strRef>
          </c:tx>
          <c:spPr>
            <a:solidFill>
              <a:srgbClr val="78B82A"/>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2016'!$B$9:$G$9</c:f>
              <c:numCache>
                <c:formatCode>#,##0_);\(#,##0\)</c:formatCode>
                <c:ptCount val="6"/>
                <c:pt idx="0">
                  <c:v>3</c:v>
                </c:pt>
                <c:pt idx="1">
                  <c:v>2</c:v>
                </c:pt>
                <c:pt idx="2">
                  <c:v>2</c:v>
                </c:pt>
                <c:pt idx="3">
                  <c:v>2</c:v>
                </c:pt>
                <c:pt idx="4" formatCode="General">
                  <c:v>2</c:v>
                </c:pt>
                <c:pt idx="5" formatCode="General">
                  <c:v>3</c:v>
                </c:pt>
              </c:numCache>
            </c:numRef>
          </c:val>
          <c:extLst>
            <c:ext xmlns:c16="http://schemas.microsoft.com/office/drawing/2014/chart" uri="{C3380CC4-5D6E-409C-BE32-E72D297353CC}">
              <c16:uniqueId val="{00000003-1493-4814-B471-974E265B3E96}"/>
            </c:ext>
          </c:extLst>
        </c:ser>
        <c:ser>
          <c:idx val="4"/>
          <c:order val="4"/>
          <c:tx>
            <c:strRef>
              <c:f>'20a London 2016'!$A$10</c:f>
              <c:strCache>
                <c:ptCount val="1"/>
                <c:pt idx="0">
                  <c:v>UKIP</c:v>
                </c:pt>
              </c:strCache>
            </c:strRef>
          </c:tx>
          <c:spPr>
            <a:solidFill>
              <a:srgbClr val="722889"/>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2016'!$B$10:$G$10</c:f>
              <c:numCache>
                <c:formatCode>#,##0_);\(#,##0\)</c:formatCode>
                <c:ptCount val="6"/>
                <c:pt idx="0">
                  <c:v>0</c:v>
                </c:pt>
                <c:pt idx="1">
                  <c:v>2</c:v>
                </c:pt>
                <c:pt idx="2">
                  <c:v>0</c:v>
                </c:pt>
                <c:pt idx="3">
                  <c:v>0</c:v>
                </c:pt>
                <c:pt idx="4" formatCode="General">
                  <c:v>2</c:v>
                </c:pt>
                <c:pt idx="5" formatCode="General">
                  <c:v>0</c:v>
                </c:pt>
              </c:numCache>
            </c:numRef>
          </c:val>
          <c:extLst>
            <c:ext xmlns:c16="http://schemas.microsoft.com/office/drawing/2014/chart" uri="{C3380CC4-5D6E-409C-BE32-E72D297353CC}">
              <c16:uniqueId val="{00000004-1493-4814-B471-974E265B3E96}"/>
            </c:ext>
          </c:extLst>
        </c:ser>
        <c:ser>
          <c:idx val="5"/>
          <c:order val="5"/>
          <c:tx>
            <c:strRef>
              <c:f>'20a London 2016'!$A$11</c:f>
              <c:strCache>
                <c:ptCount val="1"/>
                <c:pt idx="0">
                  <c:v>BNP</c:v>
                </c:pt>
              </c:strCache>
            </c:strRef>
          </c:tx>
          <c:spPr>
            <a:solidFill>
              <a:srgbClr val="909090"/>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2016'!$B$11:$G$11</c:f>
              <c:numCache>
                <c:formatCode>#,##0_);\(#,##0\)</c:formatCode>
                <c:ptCount val="6"/>
                <c:pt idx="0">
                  <c:v>0</c:v>
                </c:pt>
                <c:pt idx="1">
                  <c:v>0</c:v>
                </c:pt>
                <c:pt idx="2">
                  <c:v>1</c:v>
                </c:pt>
                <c:pt idx="3">
                  <c:v>0</c:v>
                </c:pt>
                <c:pt idx="4" formatCode="General">
                  <c:v>0</c:v>
                </c:pt>
                <c:pt idx="5" formatCode="General">
                  <c:v>0</c:v>
                </c:pt>
              </c:numCache>
            </c:numRef>
          </c:val>
          <c:extLst>
            <c:ext xmlns:c16="http://schemas.microsoft.com/office/drawing/2014/chart" uri="{C3380CC4-5D6E-409C-BE32-E72D297353CC}">
              <c16:uniqueId val="{00000005-1493-4814-B471-974E265B3E96}"/>
            </c:ext>
          </c:extLst>
        </c:ser>
        <c:dLbls>
          <c:showLegendKey val="0"/>
          <c:showVal val="0"/>
          <c:showCatName val="0"/>
          <c:showSerName val="0"/>
          <c:showPercent val="0"/>
          <c:showBubbleSize val="0"/>
        </c:dLbls>
        <c:gapWidth val="219"/>
        <c:overlap val="-27"/>
        <c:axId val="473412432"/>
        <c:axId val="473412824"/>
      </c:barChart>
      <c:catAx>
        <c:axId val="4734124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3412824"/>
        <c:crosses val="autoZero"/>
        <c:auto val="1"/>
        <c:lblAlgn val="ctr"/>
        <c:lblOffset val="100"/>
        <c:noMultiLvlLbl val="0"/>
      </c:catAx>
      <c:valAx>
        <c:axId val="473412824"/>
        <c:scaling>
          <c:orientation val="minMax"/>
          <c:max val="12"/>
        </c:scaling>
        <c:delete val="0"/>
        <c:axPos val="l"/>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3412432"/>
        <c:crosses val="autoZero"/>
        <c:crossBetween val="between"/>
      </c:valAx>
      <c:spPr>
        <a:noFill/>
        <a:ln w="25400">
          <a:noFill/>
        </a:ln>
      </c:spPr>
    </c:plotArea>
    <c:legend>
      <c:legendPos val="r"/>
      <c:layout>
        <c:manualLayout>
          <c:xMode val="edge"/>
          <c:yMode val="edge"/>
          <c:x val="0.13036863813075997"/>
          <c:y val="8.0735439715605165E-2"/>
          <c:w val="0.75142314990512338"/>
          <c:h val="0.10509478720223263"/>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baseline="0">
                <a:solidFill>
                  <a:srgbClr val="000000"/>
                </a:solidFill>
                <a:latin typeface="Frutiger LT Std 45 Light"/>
                <a:ea typeface="Frutiger LT Std 45 Light"/>
                <a:cs typeface="Frutiger LT Std 45 Light"/>
              </a:defRPr>
            </a:pPr>
            <a:r>
              <a:rPr lang="en-GB"/>
              <a:t>London Assembly seats won by party, 2000-2012</a:t>
            </a:r>
          </a:p>
        </c:rich>
      </c:tx>
      <c:layout>
        <c:manualLayout>
          <c:xMode val="edge"/>
          <c:yMode val="edge"/>
          <c:x val="6.8002725620835855E-2"/>
          <c:y val="0.10261030529078602"/>
        </c:manualLayout>
      </c:layout>
      <c:overlay val="0"/>
      <c:spPr>
        <a:noFill/>
        <a:ln w="25400">
          <a:noFill/>
        </a:ln>
      </c:spPr>
    </c:title>
    <c:autoTitleDeleted val="0"/>
    <c:plotArea>
      <c:layout>
        <c:manualLayout>
          <c:layoutTarget val="inner"/>
          <c:xMode val="edge"/>
          <c:yMode val="edge"/>
          <c:x val="0.24737802617354401"/>
          <c:y val="0.22009152702066087"/>
          <c:w val="0.52628861296184137"/>
          <c:h val="0.70547849788007266"/>
        </c:manualLayout>
      </c:layout>
      <c:barChart>
        <c:barDir val="bar"/>
        <c:grouping val="clustered"/>
        <c:varyColors val="0"/>
        <c:ser>
          <c:idx val="0"/>
          <c:order val="0"/>
          <c:tx>
            <c:strRef>
              <c:f>'20 London Assembly Visual'!$A$6</c:f>
              <c:strCache>
                <c:ptCount val="1"/>
                <c:pt idx="0">
                  <c:v>CON</c:v>
                </c:pt>
              </c:strCache>
            </c:strRef>
          </c:tx>
          <c:spPr>
            <a:solidFill>
              <a:srgbClr val="0000FF"/>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Visual'!$B$6:$F$6</c:f>
              <c:numCache>
                <c:formatCode>#,##0_);\(#,##0\)</c:formatCode>
                <c:ptCount val="5"/>
                <c:pt idx="0" formatCode="General">
                  <c:v>8</c:v>
                </c:pt>
                <c:pt idx="1">
                  <c:v>9</c:v>
                </c:pt>
                <c:pt idx="2">
                  <c:v>11</c:v>
                </c:pt>
                <c:pt idx="3">
                  <c:v>9</c:v>
                </c:pt>
                <c:pt idx="4">
                  <c:v>9</c:v>
                </c:pt>
              </c:numCache>
            </c:numRef>
          </c:val>
          <c:extLst>
            <c:ext xmlns:c16="http://schemas.microsoft.com/office/drawing/2014/chart" uri="{C3380CC4-5D6E-409C-BE32-E72D297353CC}">
              <c16:uniqueId val="{00000000-B81C-4424-9F9A-AC57D067762D}"/>
            </c:ext>
          </c:extLst>
        </c:ser>
        <c:ser>
          <c:idx val="1"/>
          <c:order val="1"/>
          <c:tx>
            <c:strRef>
              <c:f>'20 London Assembly Visual'!$A$7</c:f>
              <c:strCache>
                <c:ptCount val="1"/>
                <c:pt idx="0">
                  <c:v>LAB</c:v>
                </c:pt>
              </c:strCache>
            </c:strRef>
          </c:tx>
          <c:spPr>
            <a:solidFill>
              <a:srgbClr val="FF0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Visual'!$B$7:$F$7</c:f>
              <c:numCache>
                <c:formatCode>#,##0_);\(#,##0\)</c:formatCode>
                <c:ptCount val="5"/>
                <c:pt idx="0" formatCode="General">
                  <c:v>12</c:v>
                </c:pt>
                <c:pt idx="1">
                  <c:v>12</c:v>
                </c:pt>
                <c:pt idx="2">
                  <c:v>8</c:v>
                </c:pt>
                <c:pt idx="3">
                  <c:v>7</c:v>
                </c:pt>
                <c:pt idx="4">
                  <c:v>9</c:v>
                </c:pt>
              </c:numCache>
            </c:numRef>
          </c:val>
          <c:extLst>
            <c:ext xmlns:c16="http://schemas.microsoft.com/office/drawing/2014/chart" uri="{C3380CC4-5D6E-409C-BE32-E72D297353CC}">
              <c16:uniqueId val="{00000001-B81C-4424-9F9A-AC57D067762D}"/>
            </c:ext>
          </c:extLst>
        </c:ser>
        <c:ser>
          <c:idx val="2"/>
          <c:order val="2"/>
          <c:tx>
            <c:strRef>
              <c:f>'20 London Assembly Visual'!$A$8</c:f>
              <c:strCache>
                <c:ptCount val="1"/>
                <c:pt idx="0">
                  <c:v>LD</c:v>
                </c:pt>
              </c:strCache>
            </c:strRef>
          </c:tx>
          <c:spPr>
            <a:solidFill>
              <a:srgbClr val="FFC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Visual'!$B$8:$F$8</c:f>
              <c:numCache>
                <c:formatCode>#,##0_);\(#,##0\)</c:formatCode>
                <c:ptCount val="5"/>
                <c:pt idx="0" formatCode="General">
                  <c:v>1</c:v>
                </c:pt>
                <c:pt idx="1">
                  <c:v>2</c:v>
                </c:pt>
                <c:pt idx="2">
                  <c:v>3</c:v>
                </c:pt>
                <c:pt idx="3">
                  <c:v>5</c:v>
                </c:pt>
                <c:pt idx="4">
                  <c:v>4</c:v>
                </c:pt>
              </c:numCache>
            </c:numRef>
          </c:val>
          <c:extLst>
            <c:ext xmlns:c16="http://schemas.microsoft.com/office/drawing/2014/chart" uri="{C3380CC4-5D6E-409C-BE32-E72D297353CC}">
              <c16:uniqueId val="{00000002-B81C-4424-9F9A-AC57D067762D}"/>
            </c:ext>
          </c:extLst>
        </c:ser>
        <c:ser>
          <c:idx val="3"/>
          <c:order val="3"/>
          <c:tx>
            <c:strRef>
              <c:f>'20 London Assembly Visual'!$A$9</c:f>
              <c:strCache>
                <c:ptCount val="1"/>
                <c:pt idx="0">
                  <c:v>Green</c:v>
                </c:pt>
              </c:strCache>
            </c:strRef>
          </c:tx>
          <c:spPr>
            <a:solidFill>
              <a:srgbClr val="008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Visual'!$B$9:$F$9</c:f>
              <c:numCache>
                <c:formatCode>#,##0_);\(#,##0\)</c:formatCode>
                <c:ptCount val="5"/>
                <c:pt idx="0" formatCode="General">
                  <c:v>2</c:v>
                </c:pt>
                <c:pt idx="1">
                  <c:v>2</c:v>
                </c:pt>
                <c:pt idx="2">
                  <c:v>2</c:v>
                </c:pt>
                <c:pt idx="3">
                  <c:v>2</c:v>
                </c:pt>
                <c:pt idx="4">
                  <c:v>3</c:v>
                </c:pt>
              </c:numCache>
            </c:numRef>
          </c:val>
          <c:extLst>
            <c:ext xmlns:c16="http://schemas.microsoft.com/office/drawing/2014/chart" uri="{C3380CC4-5D6E-409C-BE32-E72D297353CC}">
              <c16:uniqueId val="{00000003-B81C-4424-9F9A-AC57D067762D}"/>
            </c:ext>
          </c:extLst>
        </c:ser>
        <c:ser>
          <c:idx val="4"/>
          <c:order val="4"/>
          <c:tx>
            <c:strRef>
              <c:f>'20 London Assembly Visual'!$A$10</c:f>
              <c:strCache>
                <c:ptCount val="1"/>
                <c:pt idx="0">
                  <c:v>UKIP</c:v>
                </c:pt>
              </c:strCache>
            </c:strRef>
          </c:tx>
          <c:spPr>
            <a:solidFill>
              <a:srgbClr val="70147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Visual'!$B$10:$F$10</c:f>
              <c:numCache>
                <c:formatCode>#,##0_);\(#,##0\)</c:formatCode>
                <c:ptCount val="5"/>
                <c:pt idx="0" formatCode="General">
                  <c:v>2</c:v>
                </c:pt>
                <c:pt idx="1">
                  <c:v>0</c:v>
                </c:pt>
                <c:pt idx="2">
                  <c:v>0</c:v>
                </c:pt>
                <c:pt idx="3">
                  <c:v>2</c:v>
                </c:pt>
                <c:pt idx="4">
                  <c:v>0</c:v>
                </c:pt>
              </c:numCache>
            </c:numRef>
          </c:val>
          <c:extLst>
            <c:ext xmlns:c16="http://schemas.microsoft.com/office/drawing/2014/chart" uri="{C3380CC4-5D6E-409C-BE32-E72D297353CC}">
              <c16:uniqueId val="{00000004-B81C-4424-9F9A-AC57D067762D}"/>
            </c:ext>
          </c:extLst>
        </c:ser>
        <c:ser>
          <c:idx val="5"/>
          <c:order val="5"/>
          <c:tx>
            <c:strRef>
              <c:f>'20 London Assembly Visual'!$A$11</c:f>
              <c:strCache>
                <c:ptCount val="1"/>
                <c:pt idx="0">
                  <c:v>BNP</c:v>
                </c:pt>
              </c:strCache>
            </c:strRef>
          </c:tx>
          <c:spPr>
            <a:solidFill>
              <a:schemeClr val="bg1">
                <a:lumMod val="75000"/>
              </a:schemeClr>
            </a:solidFill>
            <a:ln>
              <a:noFill/>
            </a:ln>
            <a:effectLst/>
          </c:spPr>
          <c:invertIfNegative val="0"/>
          <c:dPt>
            <c:idx val="1"/>
            <c:invertIfNegative val="0"/>
            <c:bubble3D val="0"/>
            <c:spPr>
              <a:solidFill>
                <a:srgbClr val="666699"/>
              </a:solidFill>
              <a:ln w="25400">
                <a:noFill/>
              </a:ln>
            </c:spPr>
            <c:extLst>
              <c:ext xmlns:c16="http://schemas.microsoft.com/office/drawing/2014/chart" uri="{C3380CC4-5D6E-409C-BE32-E72D297353CC}">
                <c16:uniqueId val="{00000006-B81C-4424-9F9A-AC57D067762D}"/>
              </c:ext>
            </c:extLst>
          </c:dPt>
          <c:cat>
            <c:numRef>
              <c:f>'20 London Assembly Visual'!$B$5:$F$5</c:f>
              <c:numCache>
                <c:formatCode>General</c:formatCode>
                <c:ptCount val="5"/>
                <c:pt idx="0">
                  <c:v>2016</c:v>
                </c:pt>
                <c:pt idx="1">
                  <c:v>2012</c:v>
                </c:pt>
                <c:pt idx="2">
                  <c:v>2008</c:v>
                </c:pt>
                <c:pt idx="3">
                  <c:v>2004</c:v>
                </c:pt>
                <c:pt idx="4">
                  <c:v>2000</c:v>
                </c:pt>
              </c:numCache>
            </c:numRef>
          </c:cat>
          <c:val>
            <c:numRef>
              <c:f>'20 London Assembly Visual'!$B$11:$F$11</c:f>
              <c:numCache>
                <c:formatCode>#,##0_);\(#,##0\)</c:formatCode>
                <c:ptCount val="5"/>
                <c:pt idx="0" formatCode="General">
                  <c:v>0</c:v>
                </c:pt>
                <c:pt idx="1">
                  <c:v>0</c:v>
                </c:pt>
                <c:pt idx="2">
                  <c:v>1</c:v>
                </c:pt>
                <c:pt idx="3">
                  <c:v>0</c:v>
                </c:pt>
                <c:pt idx="4">
                  <c:v>0</c:v>
                </c:pt>
              </c:numCache>
            </c:numRef>
          </c:val>
          <c:extLst>
            <c:ext xmlns:c16="http://schemas.microsoft.com/office/drawing/2014/chart" uri="{C3380CC4-5D6E-409C-BE32-E72D297353CC}">
              <c16:uniqueId val="{00000007-B81C-4424-9F9A-AC57D067762D}"/>
            </c:ext>
          </c:extLst>
        </c:ser>
        <c:dLbls>
          <c:showLegendKey val="0"/>
          <c:showVal val="0"/>
          <c:showCatName val="0"/>
          <c:showSerName val="0"/>
          <c:showPercent val="0"/>
          <c:showBubbleSize val="0"/>
        </c:dLbls>
        <c:gapWidth val="90"/>
        <c:axId val="473413608"/>
        <c:axId val="473414000"/>
      </c:barChart>
      <c:catAx>
        <c:axId val="47341360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4000"/>
        <c:crosses val="autoZero"/>
        <c:auto val="1"/>
        <c:lblAlgn val="ctr"/>
        <c:lblOffset val="100"/>
        <c:noMultiLvlLbl val="0"/>
      </c:catAx>
      <c:valAx>
        <c:axId val="473414000"/>
        <c:scaling>
          <c:orientation val="minMax"/>
        </c:scaling>
        <c:delete val="0"/>
        <c:axPos val="b"/>
        <c:numFmt formatCode="General"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3608"/>
        <c:crosses val="autoZero"/>
        <c:crossBetween val="between"/>
        <c:majorUnit val="5"/>
      </c:valAx>
      <c:spPr>
        <a:noFill/>
        <a:ln w="25400">
          <a:noFill/>
        </a:ln>
      </c:spPr>
    </c:plotArea>
    <c:legend>
      <c:legendPos val="r"/>
      <c:layout>
        <c:manualLayout>
          <c:xMode val="edge"/>
          <c:yMode val="edge"/>
          <c:x val="0.59134766807995154"/>
          <c:y val="0.22631578947368422"/>
          <c:w val="0.38942408641227544"/>
          <c:h val="0.31842105263157894"/>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baseline="0">
                <a:solidFill>
                  <a:srgbClr val="000000"/>
                </a:solidFill>
                <a:latin typeface="Frutiger LT Std 45 Light"/>
                <a:ea typeface="Frutiger LT Std 45 Light"/>
                <a:cs typeface="Frutiger LT Std 45 Light"/>
              </a:defRPr>
            </a:pPr>
            <a:r>
              <a:rPr lang="en-GB"/>
              <a:t>London Assembly seats won by party, 2000-2012</a:t>
            </a:r>
          </a:p>
        </c:rich>
      </c:tx>
      <c:layout>
        <c:manualLayout>
          <c:xMode val="edge"/>
          <c:yMode val="edge"/>
          <c:x val="6.8002725620835855E-2"/>
          <c:y val="0.10261030529078602"/>
        </c:manualLayout>
      </c:layout>
      <c:overlay val="0"/>
      <c:spPr>
        <a:noFill/>
        <a:ln w="25400">
          <a:noFill/>
        </a:ln>
      </c:spPr>
    </c:title>
    <c:autoTitleDeleted val="0"/>
    <c:plotArea>
      <c:layout>
        <c:manualLayout>
          <c:layoutTarget val="inner"/>
          <c:xMode val="edge"/>
          <c:yMode val="edge"/>
          <c:x val="0.24737802617354401"/>
          <c:y val="0.22009152702066087"/>
          <c:w val="0.52628861296184137"/>
          <c:h val="0.70547849788007266"/>
        </c:manualLayout>
      </c:layout>
      <c:barChart>
        <c:barDir val="bar"/>
        <c:grouping val="clustered"/>
        <c:varyColors val="0"/>
        <c:ser>
          <c:idx val="0"/>
          <c:order val="0"/>
          <c:tx>
            <c:strRef>
              <c:f>'20 London Assembly Visual'!$A$6</c:f>
              <c:strCache>
                <c:ptCount val="1"/>
                <c:pt idx="0">
                  <c:v>CON</c:v>
                </c:pt>
              </c:strCache>
            </c:strRef>
          </c:tx>
          <c:spPr>
            <a:solidFill>
              <a:srgbClr val="0000FF"/>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Visual'!$B$6:$F$6</c:f>
              <c:numCache>
                <c:formatCode>#,##0_);\(#,##0\)</c:formatCode>
                <c:ptCount val="5"/>
                <c:pt idx="0" formatCode="General">
                  <c:v>8</c:v>
                </c:pt>
                <c:pt idx="1">
                  <c:v>9</c:v>
                </c:pt>
                <c:pt idx="2">
                  <c:v>11</c:v>
                </c:pt>
                <c:pt idx="3">
                  <c:v>9</c:v>
                </c:pt>
                <c:pt idx="4">
                  <c:v>9</c:v>
                </c:pt>
              </c:numCache>
            </c:numRef>
          </c:val>
          <c:extLst>
            <c:ext xmlns:c16="http://schemas.microsoft.com/office/drawing/2014/chart" uri="{C3380CC4-5D6E-409C-BE32-E72D297353CC}">
              <c16:uniqueId val="{00000000-5C4C-486C-914B-64824F9FD672}"/>
            </c:ext>
          </c:extLst>
        </c:ser>
        <c:ser>
          <c:idx val="1"/>
          <c:order val="1"/>
          <c:tx>
            <c:strRef>
              <c:f>'20 London Assembly Visual'!$A$7</c:f>
              <c:strCache>
                <c:ptCount val="1"/>
                <c:pt idx="0">
                  <c:v>LAB</c:v>
                </c:pt>
              </c:strCache>
            </c:strRef>
          </c:tx>
          <c:spPr>
            <a:solidFill>
              <a:srgbClr val="FF0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Visual'!$B$7:$F$7</c:f>
              <c:numCache>
                <c:formatCode>#,##0_);\(#,##0\)</c:formatCode>
                <c:ptCount val="5"/>
                <c:pt idx="0" formatCode="General">
                  <c:v>12</c:v>
                </c:pt>
                <c:pt idx="1">
                  <c:v>12</c:v>
                </c:pt>
                <c:pt idx="2">
                  <c:v>8</c:v>
                </c:pt>
                <c:pt idx="3">
                  <c:v>7</c:v>
                </c:pt>
                <c:pt idx="4">
                  <c:v>9</c:v>
                </c:pt>
              </c:numCache>
            </c:numRef>
          </c:val>
          <c:extLst>
            <c:ext xmlns:c16="http://schemas.microsoft.com/office/drawing/2014/chart" uri="{C3380CC4-5D6E-409C-BE32-E72D297353CC}">
              <c16:uniqueId val="{00000001-5C4C-486C-914B-64824F9FD672}"/>
            </c:ext>
          </c:extLst>
        </c:ser>
        <c:ser>
          <c:idx val="2"/>
          <c:order val="2"/>
          <c:tx>
            <c:strRef>
              <c:f>'20 London Assembly Visual'!$A$8</c:f>
              <c:strCache>
                <c:ptCount val="1"/>
                <c:pt idx="0">
                  <c:v>LD</c:v>
                </c:pt>
              </c:strCache>
            </c:strRef>
          </c:tx>
          <c:spPr>
            <a:solidFill>
              <a:srgbClr val="FFC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Visual'!$B$8:$F$8</c:f>
              <c:numCache>
                <c:formatCode>#,##0_);\(#,##0\)</c:formatCode>
                <c:ptCount val="5"/>
                <c:pt idx="0" formatCode="General">
                  <c:v>1</c:v>
                </c:pt>
                <c:pt idx="1">
                  <c:v>2</c:v>
                </c:pt>
                <c:pt idx="2">
                  <c:v>3</c:v>
                </c:pt>
                <c:pt idx="3">
                  <c:v>5</c:v>
                </c:pt>
                <c:pt idx="4">
                  <c:v>4</c:v>
                </c:pt>
              </c:numCache>
            </c:numRef>
          </c:val>
          <c:extLst>
            <c:ext xmlns:c16="http://schemas.microsoft.com/office/drawing/2014/chart" uri="{C3380CC4-5D6E-409C-BE32-E72D297353CC}">
              <c16:uniqueId val="{00000002-5C4C-486C-914B-64824F9FD672}"/>
            </c:ext>
          </c:extLst>
        </c:ser>
        <c:ser>
          <c:idx val="3"/>
          <c:order val="3"/>
          <c:tx>
            <c:strRef>
              <c:f>'20 London Assembly Visual'!$A$9</c:f>
              <c:strCache>
                <c:ptCount val="1"/>
                <c:pt idx="0">
                  <c:v>Green</c:v>
                </c:pt>
              </c:strCache>
            </c:strRef>
          </c:tx>
          <c:spPr>
            <a:solidFill>
              <a:srgbClr val="00800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Visual'!$B$9:$F$9</c:f>
              <c:numCache>
                <c:formatCode>#,##0_);\(#,##0\)</c:formatCode>
                <c:ptCount val="5"/>
                <c:pt idx="0" formatCode="General">
                  <c:v>2</c:v>
                </c:pt>
                <c:pt idx="1">
                  <c:v>2</c:v>
                </c:pt>
                <c:pt idx="2">
                  <c:v>2</c:v>
                </c:pt>
                <c:pt idx="3">
                  <c:v>2</c:v>
                </c:pt>
                <c:pt idx="4">
                  <c:v>3</c:v>
                </c:pt>
              </c:numCache>
            </c:numRef>
          </c:val>
          <c:extLst>
            <c:ext xmlns:c16="http://schemas.microsoft.com/office/drawing/2014/chart" uri="{C3380CC4-5D6E-409C-BE32-E72D297353CC}">
              <c16:uniqueId val="{00000003-5C4C-486C-914B-64824F9FD672}"/>
            </c:ext>
          </c:extLst>
        </c:ser>
        <c:ser>
          <c:idx val="4"/>
          <c:order val="4"/>
          <c:tx>
            <c:strRef>
              <c:f>'20 London Assembly Visual'!$A$10</c:f>
              <c:strCache>
                <c:ptCount val="1"/>
                <c:pt idx="0">
                  <c:v>UKIP</c:v>
                </c:pt>
              </c:strCache>
            </c:strRef>
          </c:tx>
          <c:spPr>
            <a:solidFill>
              <a:srgbClr val="701470"/>
            </a:solidFill>
            <a:ln w="25400">
              <a:noFill/>
            </a:ln>
          </c:spPr>
          <c:invertIfNegative val="0"/>
          <c:cat>
            <c:numRef>
              <c:f>'20 London Assembly Visual'!$B$5:$F$5</c:f>
              <c:numCache>
                <c:formatCode>General</c:formatCode>
                <c:ptCount val="5"/>
                <c:pt idx="0">
                  <c:v>2016</c:v>
                </c:pt>
                <c:pt idx="1">
                  <c:v>2012</c:v>
                </c:pt>
                <c:pt idx="2">
                  <c:v>2008</c:v>
                </c:pt>
                <c:pt idx="3">
                  <c:v>2004</c:v>
                </c:pt>
                <c:pt idx="4">
                  <c:v>2000</c:v>
                </c:pt>
              </c:numCache>
            </c:numRef>
          </c:cat>
          <c:val>
            <c:numRef>
              <c:f>'20 London Assembly Visual'!$B$10:$F$10</c:f>
              <c:numCache>
                <c:formatCode>#,##0_);\(#,##0\)</c:formatCode>
                <c:ptCount val="5"/>
                <c:pt idx="0" formatCode="General">
                  <c:v>2</c:v>
                </c:pt>
                <c:pt idx="1">
                  <c:v>0</c:v>
                </c:pt>
                <c:pt idx="2">
                  <c:v>0</c:v>
                </c:pt>
                <c:pt idx="3">
                  <c:v>2</c:v>
                </c:pt>
                <c:pt idx="4">
                  <c:v>0</c:v>
                </c:pt>
              </c:numCache>
            </c:numRef>
          </c:val>
          <c:extLst>
            <c:ext xmlns:c16="http://schemas.microsoft.com/office/drawing/2014/chart" uri="{C3380CC4-5D6E-409C-BE32-E72D297353CC}">
              <c16:uniqueId val="{00000004-5C4C-486C-914B-64824F9FD672}"/>
            </c:ext>
          </c:extLst>
        </c:ser>
        <c:ser>
          <c:idx val="5"/>
          <c:order val="5"/>
          <c:tx>
            <c:strRef>
              <c:f>'20 London Assembly Visual'!$A$11</c:f>
              <c:strCache>
                <c:ptCount val="1"/>
                <c:pt idx="0">
                  <c:v>BNP</c:v>
                </c:pt>
              </c:strCache>
            </c:strRef>
          </c:tx>
          <c:spPr>
            <a:solidFill>
              <a:schemeClr val="bg1">
                <a:lumMod val="75000"/>
              </a:schemeClr>
            </a:solidFill>
            <a:ln>
              <a:noFill/>
            </a:ln>
            <a:effectLst/>
          </c:spPr>
          <c:invertIfNegative val="0"/>
          <c:dPt>
            <c:idx val="1"/>
            <c:invertIfNegative val="0"/>
            <c:bubble3D val="0"/>
            <c:spPr>
              <a:solidFill>
                <a:srgbClr val="666699"/>
              </a:solidFill>
              <a:ln w="25400">
                <a:noFill/>
              </a:ln>
            </c:spPr>
            <c:extLst>
              <c:ext xmlns:c16="http://schemas.microsoft.com/office/drawing/2014/chart" uri="{C3380CC4-5D6E-409C-BE32-E72D297353CC}">
                <c16:uniqueId val="{00000006-5C4C-486C-914B-64824F9FD672}"/>
              </c:ext>
            </c:extLst>
          </c:dPt>
          <c:cat>
            <c:numRef>
              <c:f>'20 London Assembly Visual'!$B$5:$F$5</c:f>
              <c:numCache>
                <c:formatCode>General</c:formatCode>
                <c:ptCount val="5"/>
                <c:pt idx="0">
                  <c:v>2016</c:v>
                </c:pt>
                <c:pt idx="1">
                  <c:v>2012</c:v>
                </c:pt>
                <c:pt idx="2">
                  <c:v>2008</c:v>
                </c:pt>
                <c:pt idx="3">
                  <c:v>2004</c:v>
                </c:pt>
                <c:pt idx="4">
                  <c:v>2000</c:v>
                </c:pt>
              </c:numCache>
            </c:numRef>
          </c:cat>
          <c:val>
            <c:numRef>
              <c:f>'20 London Assembly Visual'!$B$11:$F$11</c:f>
              <c:numCache>
                <c:formatCode>#,##0_);\(#,##0\)</c:formatCode>
                <c:ptCount val="5"/>
                <c:pt idx="0" formatCode="General">
                  <c:v>0</c:v>
                </c:pt>
                <c:pt idx="1">
                  <c:v>0</c:v>
                </c:pt>
                <c:pt idx="2">
                  <c:v>1</c:v>
                </c:pt>
                <c:pt idx="3">
                  <c:v>0</c:v>
                </c:pt>
                <c:pt idx="4">
                  <c:v>0</c:v>
                </c:pt>
              </c:numCache>
            </c:numRef>
          </c:val>
          <c:extLst>
            <c:ext xmlns:c16="http://schemas.microsoft.com/office/drawing/2014/chart" uri="{C3380CC4-5D6E-409C-BE32-E72D297353CC}">
              <c16:uniqueId val="{00000007-5C4C-486C-914B-64824F9FD672}"/>
            </c:ext>
          </c:extLst>
        </c:ser>
        <c:dLbls>
          <c:showLegendKey val="0"/>
          <c:showVal val="0"/>
          <c:showCatName val="0"/>
          <c:showSerName val="0"/>
          <c:showPercent val="0"/>
          <c:showBubbleSize val="0"/>
        </c:dLbls>
        <c:gapWidth val="90"/>
        <c:axId val="473414784"/>
        <c:axId val="473415176"/>
      </c:barChart>
      <c:catAx>
        <c:axId val="47341478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5176"/>
        <c:crosses val="autoZero"/>
        <c:auto val="1"/>
        <c:lblAlgn val="ctr"/>
        <c:lblOffset val="100"/>
        <c:noMultiLvlLbl val="0"/>
      </c:catAx>
      <c:valAx>
        <c:axId val="473415176"/>
        <c:scaling>
          <c:orientation val="minMax"/>
        </c:scaling>
        <c:delete val="0"/>
        <c:axPos val="b"/>
        <c:numFmt formatCode="General"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4784"/>
        <c:crosses val="autoZero"/>
        <c:crossBetween val="between"/>
        <c:majorUnit val="5"/>
      </c:valAx>
      <c:spPr>
        <a:noFill/>
        <a:ln w="25400">
          <a:noFill/>
        </a:ln>
      </c:spPr>
    </c:plotArea>
    <c:legend>
      <c:legendPos val="r"/>
      <c:layout>
        <c:manualLayout>
          <c:xMode val="edge"/>
          <c:yMode val="edge"/>
          <c:x val="0.59134766807995154"/>
          <c:y val="0.22631578947368422"/>
          <c:w val="0.38942408641227544"/>
          <c:h val="0.31842105263157894"/>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solidFill>
                  <a:schemeClr val="tx1">
                    <a:lumMod val="75000"/>
                    <a:lumOff val="25000"/>
                  </a:schemeClr>
                </a:solidFill>
              </a:defRPr>
            </a:pPr>
            <a:r>
              <a:rPr lang="en-GB" b="1" cap="none" baseline="0">
                <a:solidFill>
                  <a:schemeClr val="tx1">
                    <a:lumMod val="75000"/>
                    <a:lumOff val="25000"/>
                  </a:schemeClr>
                </a:solidFill>
              </a:rPr>
              <a:t>Number of UK female MEPs </a:t>
            </a:r>
          </a:p>
        </c:rich>
      </c:tx>
      <c:layout>
        <c:manualLayout>
          <c:xMode val="edge"/>
          <c:yMode val="edge"/>
          <c:x val="4.6415549407675387E-2"/>
          <c:y val="6.9816272965879335E-4"/>
        </c:manualLayout>
      </c:layout>
      <c:overlay val="0"/>
      <c:spPr>
        <a:noFill/>
        <a:ln w="25400">
          <a:noFill/>
        </a:ln>
      </c:spPr>
    </c:title>
    <c:autoTitleDeleted val="0"/>
    <c:plotArea>
      <c:layout>
        <c:manualLayout>
          <c:layoutTarget val="inner"/>
          <c:xMode val="edge"/>
          <c:yMode val="edge"/>
          <c:x val="0.29103553947648436"/>
          <c:y val="0.15283711594874169"/>
          <c:w val="0.62244222174930841"/>
          <c:h val="0.75235016211208894"/>
        </c:manualLayout>
      </c:layout>
      <c:barChart>
        <c:barDir val="bar"/>
        <c:grouping val="clustered"/>
        <c:varyColors val="0"/>
        <c:ser>
          <c:idx val="0"/>
          <c:order val="0"/>
          <c:tx>
            <c:strRef>
              <c:f>'22-23 Women MEPs Visual'!$B$9</c:f>
              <c:strCache>
                <c:ptCount val="1"/>
                <c:pt idx="0">
                  <c:v>CON</c:v>
                </c:pt>
              </c:strCache>
            </c:strRef>
          </c:tx>
          <c:spPr>
            <a:solidFill>
              <a:srgbClr val="00539F"/>
            </a:solidFill>
            <a:ln w="25400">
              <a:noFill/>
            </a:ln>
          </c:spPr>
          <c:invertIfNegative val="0"/>
          <c:cat>
            <c:numRef>
              <c:f>'22-23 Women MEPs Visual'!$A$10:$A$18</c:f>
              <c:numCache>
                <c:formatCode>General</c:formatCode>
                <c:ptCount val="9"/>
                <c:pt idx="0">
                  <c:v>2019</c:v>
                </c:pt>
                <c:pt idx="1">
                  <c:v>2014</c:v>
                </c:pt>
                <c:pt idx="2">
                  <c:v>2009</c:v>
                </c:pt>
                <c:pt idx="3">
                  <c:v>2004</c:v>
                </c:pt>
                <c:pt idx="4">
                  <c:v>1999</c:v>
                </c:pt>
                <c:pt idx="5">
                  <c:v>1994</c:v>
                </c:pt>
                <c:pt idx="6">
                  <c:v>1989</c:v>
                </c:pt>
                <c:pt idx="7">
                  <c:v>1984</c:v>
                </c:pt>
                <c:pt idx="8">
                  <c:v>1979</c:v>
                </c:pt>
              </c:numCache>
            </c:numRef>
          </c:cat>
          <c:val>
            <c:numRef>
              <c:f>'22-23 Women MEPs Visual'!$B$10:$B$18</c:f>
              <c:numCache>
                <c:formatCode>General</c:formatCode>
                <c:ptCount val="9"/>
                <c:pt idx="0">
                  <c:v>2</c:v>
                </c:pt>
                <c:pt idx="1">
                  <c:v>6</c:v>
                </c:pt>
                <c:pt idx="2">
                  <c:v>6</c:v>
                </c:pt>
                <c:pt idx="3">
                  <c:v>2</c:v>
                </c:pt>
                <c:pt idx="4">
                  <c:v>3</c:v>
                </c:pt>
                <c:pt idx="5">
                  <c:v>2</c:v>
                </c:pt>
                <c:pt idx="6">
                  <c:v>4</c:v>
                </c:pt>
                <c:pt idx="7">
                  <c:v>6</c:v>
                </c:pt>
                <c:pt idx="8">
                  <c:v>6</c:v>
                </c:pt>
              </c:numCache>
            </c:numRef>
          </c:val>
          <c:extLst>
            <c:ext xmlns:c16="http://schemas.microsoft.com/office/drawing/2014/chart" uri="{C3380CC4-5D6E-409C-BE32-E72D297353CC}">
              <c16:uniqueId val="{00000000-5845-439D-985A-F738B2040519}"/>
            </c:ext>
          </c:extLst>
        </c:ser>
        <c:ser>
          <c:idx val="1"/>
          <c:order val="1"/>
          <c:tx>
            <c:strRef>
              <c:f>'22-23 Women MEPs Visual'!$C$9</c:f>
              <c:strCache>
                <c:ptCount val="1"/>
                <c:pt idx="0">
                  <c:v>LAB</c:v>
                </c:pt>
              </c:strCache>
            </c:strRef>
          </c:tx>
          <c:spPr>
            <a:solidFill>
              <a:srgbClr val="D50000"/>
            </a:solidFill>
            <a:ln w="25400">
              <a:noFill/>
            </a:ln>
          </c:spPr>
          <c:invertIfNegative val="0"/>
          <c:cat>
            <c:numRef>
              <c:f>'22-23 Women MEPs Visual'!$A$10:$A$18</c:f>
              <c:numCache>
                <c:formatCode>General</c:formatCode>
                <c:ptCount val="9"/>
                <c:pt idx="0">
                  <c:v>2019</c:v>
                </c:pt>
                <c:pt idx="1">
                  <c:v>2014</c:v>
                </c:pt>
                <c:pt idx="2">
                  <c:v>2009</c:v>
                </c:pt>
                <c:pt idx="3">
                  <c:v>2004</c:v>
                </c:pt>
                <c:pt idx="4">
                  <c:v>1999</c:v>
                </c:pt>
                <c:pt idx="5">
                  <c:v>1994</c:v>
                </c:pt>
                <c:pt idx="6">
                  <c:v>1989</c:v>
                </c:pt>
                <c:pt idx="7">
                  <c:v>1984</c:v>
                </c:pt>
                <c:pt idx="8">
                  <c:v>1979</c:v>
                </c:pt>
              </c:numCache>
            </c:numRef>
          </c:cat>
          <c:val>
            <c:numRef>
              <c:f>'22-23 Women MEPs Visual'!$C$10:$C$18</c:f>
              <c:numCache>
                <c:formatCode>General</c:formatCode>
                <c:ptCount val="9"/>
                <c:pt idx="0">
                  <c:v>5</c:v>
                </c:pt>
                <c:pt idx="1">
                  <c:v>11</c:v>
                </c:pt>
                <c:pt idx="2">
                  <c:v>5</c:v>
                </c:pt>
                <c:pt idx="3">
                  <c:v>7</c:v>
                </c:pt>
                <c:pt idx="4">
                  <c:v>10</c:v>
                </c:pt>
                <c:pt idx="5">
                  <c:v>13</c:v>
                </c:pt>
                <c:pt idx="6">
                  <c:v>7</c:v>
                </c:pt>
                <c:pt idx="7">
                  <c:v>5</c:v>
                </c:pt>
                <c:pt idx="8">
                  <c:v>4</c:v>
                </c:pt>
              </c:numCache>
            </c:numRef>
          </c:val>
          <c:extLst>
            <c:ext xmlns:c16="http://schemas.microsoft.com/office/drawing/2014/chart" uri="{C3380CC4-5D6E-409C-BE32-E72D297353CC}">
              <c16:uniqueId val="{00000001-5845-439D-985A-F738B2040519}"/>
            </c:ext>
          </c:extLst>
        </c:ser>
        <c:ser>
          <c:idx val="2"/>
          <c:order val="2"/>
          <c:tx>
            <c:strRef>
              <c:f>'22-23 Women MEPs Visual'!$D$9</c:f>
              <c:strCache>
                <c:ptCount val="1"/>
                <c:pt idx="0">
                  <c:v>LD</c:v>
                </c:pt>
              </c:strCache>
            </c:strRef>
          </c:tx>
          <c:spPr>
            <a:solidFill>
              <a:srgbClr val="FAA01A"/>
            </a:solidFill>
            <a:ln w="25400">
              <a:noFill/>
            </a:ln>
          </c:spPr>
          <c:invertIfNegative val="0"/>
          <c:cat>
            <c:numRef>
              <c:f>'22-23 Women MEPs Visual'!$A$10:$A$18</c:f>
              <c:numCache>
                <c:formatCode>General</c:formatCode>
                <c:ptCount val="9"/>
                <c:pt idx="0">
                  <c:v>2019</c:v>
                </c:pt>
                <c:pt idx="1">
                  <c:v>2014</c:v>
                </c:pt>
                <c:pt idx="2">
                  <c:v>2009</c:v>
                </c:pt>
                <c:pt idx="3">
                  <c:v>2004</c:v>
                </c:pt>
                <c:pt idx="4">
                  <c:v>1999</c:v>
                </c:pt>
                <c:pt idx="5">
                  <c:v>1994</c:v>
                </c:pt>
                <c:pt idx="6">
                  <c:v>1989</c:v>
                </c:pt>
                <c:pt idx="7">
                  <c:v>1984</c:v>
                </c:pt>
                <c:pt idx="8">
                  <c:v>1979</c:v>
                </c:pt>
              </c:numCache>
            </c:numRef>
          </c:cat>
          <c:val>
            <c:numRef>
              <c:f>'22-23 Women MEPs Visual'!$D$10:$D$18</c:f>
              <c:numCache>
                <c:formatCode>General</c:formatCode>
                <c:ptCount val="9"/>
                <c:pt idx="0">
                  <c:v>9</c:v>
                </c:pt>
                <c:pt idx="1">
                  <c:v>1</c:v>
                </c:pt>
                <c:pt idx="2">
                  <c:v>6</c:v>
                </c:pt>
                <c:pt idx="3">
                  <c:v>6</c:v>
                </c:pt>
                <c:pt idx="4">
                  <c:v>5</c:v>
                </c:pt>
                <c:pt idx="5">
                  <c:v>0</c:v>
                </c:pt>
                <c:pt idx="6">
                  <c:v>0</c:v>
                </c:pt>
                <c:pt idx="7">
                  <c:v>0</c:v>
                </c:pt>
                <c:pt idx="8">
                  <c:v>0</c:v>
                </c:pt>
              </c:numCache>
            </c:numRef>
          </c:val>
          <c:extLst>
            <c:ext xmlns:c16="http://schemas.microsoft.com/office/drawing/2014/chart" uri="{C3380CC4-5D6E-409C-BE32-E72D297353CC}">
              <c16:uniqueId val="{00000002-5845-439D-985A-F738B2040519}"/>
            </c:ext>
          </c:extLst>
        </c:ser>
        <c:ser>
          <c:idx val="3"/>
          <c:order val="3"/>
          <c:tx>
            <c:strRef>
              <c:f>'22-23 Women MEPs Visual'!$E$9</c:f>
              <c:strCache>
                <c:ptCount val="1"/>
                <c:pt idx="0">
                  <c:v>Other</c:v>
                </c:pt>
              </c:strCache>
            </c:strRef>
          </c:tx>
          <c:spPr>
            <a:solidFill>
              <a:srgbClr val="909090"/>
            </a:solidFill>
            <a:ln>
              <a:noFill/>
            </a:ln>
            <a:effectLst/>
          </c:spPr>
          <c:invertIfNegative val="0"/>
          <c:cat>
            <c:numRef>
              <c:f>'22-23 Women MEPs Visual'!$A$10:$A$18</c:f>
              <c:numCache>
                <c:formatCode>General</c:formatCode>
                <c:ptCount val="9"/>
                <c:pt idx="0">
                  <c:v>2019</c:v>
                </c:pt>
                <c:pt idx="1">
                  <c:v>2014</c:v>
                </c:pt>
                <c:pt idx="2">
                  <c:v>2009</c:v>
                </c:pt>
                <c:pt idx="3">
                  <c:v>2004</c:v>
                </c:pt>
                <c:pt idx="4">
                  <c:v>1999</c:v>
                </c:pt>
                <c:pt idx="5">
                  <c:v>1994</c:v>
                </c:pt>
                <c:pt idx="6">
                  <c:v>1989</c:v>
                </c:pt>
                <c:pt idx="7">
                  <c:v>1984</c:v>
                </c:pt>
                <c:pt idx="8">
                  <c:v>1979</c:v>
                </c:pt>
              </c:numCache>
            </c:numRef>
          </c:cat>
          <c:val>
            <c:numRef>
              <c:f>'22-23 Women MEPs Visual'!$E$10:$E$18</c:f>
              <c:numCache>
                <c:formatCode>#,##0_);\(#,##0\)</c:formatCode>
                <c:ptCount val="9"/>
                <c:pt idx="0" formatCode="General">
                  <c:v>15</c:v>
                </c:pt>
                <c:pt idx="1">
                  <c:v>12</c:v>
                </c:pt>
                <c:pt idx="2" formatCode="General">
                  <c:v>7</c:v>
                </c:pt>
                <c:pt idx="3" formatCode="General">
                  <c:v>4</c:v>
                </c:pt>
                <c:pt idx="4" formatCode="General">
                  <c:v>3</c:v>
                </c:pt>
                <c:pt idx="5" formatCode="General">
                  <c:v>1</c:v>
                </c:pt>
                <c:pt idx="6" formatCode="General">
                  <c:v>1</c:v>
                </c:pt>
                <c:pt idx="7" formatCode="General">
                  <c:v>1</c:v>
                </c:pt>
                <c:pt idx="8" formatCode="General">
                  <c:v>1</c:v>
                </c:pt>
              </c:numCache>
            </c:numRef>
          </c:val>
          <c:extLst>
            <c:ext xmlns:c16="http://schemas.microsoft.com/office/drawing/2014/chart" uri="{C3380CC4-5D6E-409C-BE32-E72D297353CC}">
              <c16:uniqueId val="{00000003-5845-439D-985A-F738B2040519}"/>
            </c:ext>
          </c:extLst>
        </c:ser>
        <c:dLbls>
          <c:showLegendKey val="0"/>
          <c:showVal val="0"/>
          <c:showCatName val="0"/>
          <c:showSerName val="0"/>
          <c:showPercent val="0"/>
          <c:showBubbleSize val="0"/>
        </c:dLbls>
        <c:gapWidth val="100"/>
        <c:axId val="473415960"/>
        <c:axId val="473416352"/>
      </c:barChart>
      <c:catAx>
        <c:axId val="473415960"/>
        <c:scaling>
          <c:orientation val="minMax"/>
        </c:scaling>
        <c:delete val="0"/>
        <c:axPos val="l"/>
        <c:numFmt formatCode="General" sourceLinked="1"/>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73416352"/>
        <c:crosses val="autoZero"/>
        <c:auto val="1"/>
        <c:lblAlgn val="ctr"/>
        <c:lblOffset val="100"/>
        <c:noMultiLvlLbl val="0"/>
      </c:catAx>
      <c:valAx>
        <c:axId val="473416352"/>
        <c:scaling>
          <c:orientation val="minMax"/>
        </c:scaling>
        <c:delete val="0"/>
        <c:axPos val="b"/>
        <c:numFmt formatCode="General"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73415960"/>
        <c:crosses val="autoZero"/>
        <c:crossBetween val="between"/>
        <c:majorUnit val="5"/>
      </c:valAx>
      <c:spPr>
        <a:noFill/>
        <a:ln w="25400">
          <a:noFill/>
        </a:ln>
      </c:spPr>
    </c:plotArea>
    <c:legend>
      <c:legendPos val="r"/>
      <c:layout>
        <c:manualLayout>
          <c:xMode val="edge"/>
          <c:yMode val="edge"/>
          <c:x val="0.55135135135135138"/>
          <c:y val="0.13823560290257833"/>
          <c:w val="0.427027027027027"/>
          <c:h val="0.2264708970202254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388779178971708E-2"/>
          <c:y val="0.15189593368625859"/>
          <c:w val="0.83733078345553824"/>
          <c:h val="0.62077707883475386"/>
        </c:manualLayout>
      </c:layout>
      <c:lineChart>
        <c:grouping val="standard"/>
        <c:varyColors val="0"/>
        <c:ser>
          <c:idx val="0"/>
          <c:order val="0"/>
          <c:spPr>
            <a:ln w="19050">
              <a:solidFill>
                <a:srgbClr val="00539F"/>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Data'!$B$4:$B$31</c:f>
              <c:numCache>
                <c:formatCode>0.0%</c:formatCode>
                <c:ptCount val="28"/>
                <c:pt idx="0">
                  <c:v>0.38700000000000001</c:v>
                </c:pt>
                <c:pt idx="1">
                  <c:v>0.38500000000000001</c:v>
                </c:pt>
                <c:pt idx="2">
                  <c:v>0.38</c:v>
                </c:pt>
                <c:pt idx="3">
                  <c:v>0.46799999999999997</c:v>
                </c:pt>
                <c:pt idx="4">
                  <c:v>0.38100000000000001</c:v>
                </c:pt>
                <c:pt idx="5">
                  <c:v>0.6070000000000001</c:v>
                </c:pt>
                <c:pt idx="6">
                  <c:v>0.53300000000000003</c:v>
                </c:pt>
                <c:pt idx="7">
                  <c:v>0.39600000000000002</c:v>
                </c:pt>
                <c:pt idx="8">
                  <c:v>0.43419937295463329</c:v>
                </c:pt>
                <c:pt idx="9">
                  <c:v>0.47971443732075225</c:v>
                </c:pt>
                <c:pt idx="10">
                  <c:v>0.49742248884508511</c:v>
                </c:pt>
                <c:pt idx="11">
                  <c:v>0.49352355260367892</c:v>
                </c:pt>
                <c:pt idx="12">
                  <c:v>0.43397974368145265</c:v>
                </c:pt>
                <c:pt idx="13">
                  <c:v>0.41879922817548976</c:v>
                </c:pt>
                <c:pt idx="14">
                  <c:v>0.46375786484701709</c:v>
                </c:pt>
                <c:pt idx="15">
                  <c:v>0.37881680381869115</c:v>
                </c:pt>
                <c:pt idx="16">
                  <c:v>0.35844077296788557</c:v>
                </c:pt>
                <c:pt idx="17">
                  <c:v>0.43873560032390646</c:v>
                </c:pt>
                <c:pt idx="18">
                  <c:v>0.42425280810424471</c:v>
                </c:pt>
                <c:pt idx="19">
                  <c:v>0.42301756881076047</c:v>
                </c:pt>
                <c:pt idx="20">
                  <c:v>0.41925911747561451</c:v>
                </c:pt>
                <c:pt idx="21">
                  <c:v>0.3068738684338479</c:v>
                </c:pt>
                <c:pt idx="22">
                  <c:v>0.31620942434825633</c:v>
                </c:pt>
                <c:pt idx="23">
                  <c:v>0.32358737182998254</c:v>
                </c:pt>
                <c:pt idx="24">
                  <c:v>0.36054287169823473</c:v>
                </c:pt>
                <c:pt idx="25">
                  <c:v>0.36809512175258569</c:v>
                </c:pt>
                <c:pt idx="26">
                  <c:v>0.42344523333194956</c:v>
                </c:pt>
                <c:pt idx="27">
                  <c:v>0.43625932440414555</c:v>
                </c:pt>
              </c:numCache>
            </c:numRef>
          </c:val>
          <c:smooth val="0"/>
          <c:extLst>
            <c:ext xmlns:c16="http://schemas.microsoft.com/office/drawing/2014/chart" uri="{C3380CC4-5D6E-409C-BE32-E72D297353CC}">
              <c16:uniqueId val="{00000000-961D-40EE-B444-8A962C55CFD4}"/>
            </c:ext>
          </c:extLst>
        </c:ser>
        <c:ser>
          <c:idx val="1"/>
          <c:order val="1"/>
          <c:spPr>
            <a:ln w="19050">
              <a:solidFill>
                <a:srgbClr val="D50000"/>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Data'!$C$4:$C$31</c:f>
              <c:numCache>
                <c:formatCode>0.0%</c:formatCode>
                <c:ptCount val="28"/>
                <c:pt idx="0">
                  <c:v>0.20800000000000002</c:v>
                </c:pt>
                <c:pt idx="1">
                  <c:v>0.29699999999999999</c:v>
                </c:pt>
                <c:pt idx="2">
                  <c:v>0.307</c:v>
                </c:pt>
                <c:pt idx="3">
                  <c:v>0.33299999999999996</c:v>
                </c:pt>
                <c:pt idx="4">
                  <c:v>0.371</c:v>
                </c:pt>
                <c:pt idx="5">
                  <c:v>0.309</c:v>
                </c:pt>
                <c:pt idx="6">
                  <c:v>0.38</c:v>
                </c:pt>
                <c:pt idx="7">
                  <c:v>0.48</c:v>
                </c:pt>
                <c:pt idx="8">
                  <c:v>0.46109342130672404</c:v>
                </c:pt>
                <c:pt idx="9">
                  <c:v>0.48778127213331768</c:v>
                </c:pt>
                <c:pt idx="10">
                  <c:v>0.4635792088925863</c:v>
                </c:pt>
                <c:pt idx="11">
                  <c:v>0.43844254308599195</c:v>
                </c:pt>
                <c:pt idx="12">
                  <c:v>0.44132562041465734</c:v>
                </c:pt>
                <c:pt idx="13">
                  <c:v>0.48035028529698076</c:v>
                </c:pt>
                <c:pt idx="14">
                  <c:v>0.43072305542625494</c:v>
                </c:pt>
                <c:pt idx="15">
                  <c:v>0.37158761336332596</c:v>
                </c:pt>
                <c:pt idx="16">
                  <c:v>0.39251218536889654</c:v>
                </c:pt>
                <c:pt idx="17">
                  <c:v>0.36936947209413862</c:v>
                </c:pt>
                <c:pt idx="18">
                  <c:v>0.27572939340331598</c:v>
                </c:pt>
                <c:pt idx="19">
                  <c:v>0.30832883844973336</c:v>
                </c:pt>
                <c:pt idx="20">
                  <c:v>0.34391796721813606</c:v>
                </c:pt>
                <c:pt idx="21">
                  <c:v>0.43207966148999988</c:v>
                </c:pt>
                <c:pt idx="22">
                  <c:v>0.40675075717601555</c:v>
                </c:pt>
                <c:pt idx="23">
                  <c:v>0.35185857345393912</c:v>
                </c:pt>
                <c:pt idx="24">
                  <c:v>0.28990271495133119</c:v>
                </c:pt>
                <c:pt idx="25">
                  <c:v>0.30449710888508835</c:v>
                </c:pt>
                <c:pt idx="26">
                  <c:v>0.39988239400641062</c:v>
                </c:pt>
                <c:pt idx="27">
                  <c:v>0.32076640581293681</c:v>
                </c:pt>
              </c:numCache>
            </c:numRef>
          </c:val>
          <c:smooth val="0"/>
          <c:extLst>
            <c:ext xmlns:c16="http://schemas.microsoft.com/office/drawing/2014/chart" uri="{C3380CC4-5D6E-409C-BE32-E72D297353CC}">
              <c16:uniqueId val="{00000001-961D-40EE-B444-8A962C55CFD4}"/>
            </c:ext>
          </c:extLst>
        </c:ser>
        <c:ser>
          <c:idx val="2"/>
          <c:order val="2"/>
          <c:spPr>
            <a:ln w="19050">
              <a:solidFill>
                <a:srgbClr val="FAA01A"/>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Data'!$D$4:$D$31</c:f>
              <c:numCache>
                <c:formatCode>0.0%</c:formatCode>
                <c:ptCount val="28"/>
                <c:pt idx="0">
                  <c:v>0.25600000000000001</c:v>
                </c:pt>
                <c:pt idx="1">
                  <c:v>0.28799999999999998</c:v>
                </c:pt>
                <c:pt idx="2">
                  <c:v>0.29699999999999999</c:v>
                </c:pt>
                <c:pt idx="3">
                  <c:v>0.17800000000000002</c:v>
                </c:pt>
                <c:pt idx="4">
                  <c:v>0.23499999999999999</c:v>
                </c:pt>
                <c:pt idx="5">
                  <c:v>7.0000000000000007E-2</c:v>
                </c:pt>
                <c:pt idx="6">
                  <c:v>6.7000000000000004E-2</c:v>
                </c:pt>
                <c:pt idx="7">
                  <c:v>0.09</c:v>
                </c:pt>
                <c:pt idx="8">
                  <c:v>9.1115209819400869E-2</c:v>
                </c:pt>
                <c:pt idx="9">
                  <c:v>2.5546608802432907E-2</c:v>
                </c:pt>
                <c:pt idx="10">
                  <c:v>2.6995863822088781E-2</c:v>
                </c:pt>
                <c:pt idx="11">
                  <c:v>5.8887431103112509E-2</c:v>
                </c:pt>
                <c:pt idx="12">
                  <c:v>0.11206083143496937</c:v>
                </c:pt>
                <c:pt idx="13">
                  <c:v>8.5365068672744335E-2</c:v>
                </c:pt>
                <c:pt idx="14">
                  <c:v>7.4688660684757741E-2</c:v>
                </c:pt>
                <c:pt idx="15">
                  <c:v>0.19334676700139586</c:v>
                </c:pt>
                <c:pt idx="16">
                  <c:v>0.18317465311713577</c:v>
                </c:pt>
                <c:pt idx="17">
                  <c:v>0.13816834768451164</c:v>
                </c:pt>
                <c:pt idx="18">
                  <c:v>0.25368961704941034</c:v>
                </c:pt>
                <c:pt idx="19">
                  <c:v>0.22569100035666001</c:v>
                </c:pt>
                <c:pt idx="20">
                  <c:v>0.17848494056388403</c:v>
                </c:pt>
                <c:pt idx="21">
                  <c:v>0.16757972918739727</c:v>
                </c:pt>
                <c:pt idx="22">
                  <c:v>0.18258622784066209</c:v>
                </c:pt>
                <c:pt idx="23">
                  <c:v>0.2204708103685985</c:v>
                </c:pt>
                <c:pt idx="24">
                  <c:v>0.23027281016009241</c:v>
                </c:pt>
                <c:pt idx="25">
                  <c:v>7.8700219887612999E-2</c:v>
                </c:pt>
                <c:pt idx="26">
                  <c:v>7.3650807826235773E-2</c:v>
                </c:pt>
                <c:pt idx="27">
                  <c:v>0.11546218214406084</c:v>
                </c:pt>
              </c:numCache>
            </c:numRef>
          </c:val>
          <c:smooth val="0"/>
          <c:extLst>
            <c:ext xmlns:c16="http://schemas.microsoft.com/office/drawing/2014/chart" uri="{C3380CC4-5D6E-409C-BE32-E72D297353CC}">
              <c16:uniqueId val="{00000002-961D-40EE-B444-8A962C55CFD4}"/>
            </c:ext>
          </c:extLst>
        </c:ser>
        <c:ser>
          <c:idx val="3"/>
          <c:order val="3"/>
          <c:spPr>
            <a:ln w="19050">
              <a:solidFill>
                <a:srgbClr val="348837"/>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Data'!$E$4:$E$31</c:f>
              <c:numCache>
                <c:formatCode>0.0%</c:formatCode>
                <c:ptCount val="28"/>
                <c:pt idx="0">
                  <c:v>0</c:v>
                </c:pt>
                <c:pt idx="1">
                  <c:v>0</c:v>
                </c:pt>
                <c:pt idx="2">
                  <c:v>0</c:v>
                </c:pt>
                <c:pt idx="3">
                  <c:v>0</c:v>
                </c:pt>
                <c:pt idx="4">
                  <c:v>0</c:v>
                </c:pt>
                <c:pt idx="5">
                  <c:v>1E-3</c:v>
                </c:pt>
                <c:pt idx="6">
                  <c:v>1E-3</c:v>
                </c:pt>
                <c:pt idx="7">
                  <c:v>2E-3</c:v>
                </c:pt>
                <c:pt idx="8">
                  <c:v>9.4845095381049412E-4</c:v>
                </c:pt>
                <c:pt idx="9">
                  <c:v>6.371038453040946E-4</c:v>
                </c:pt>
                <c:pt idx="10">
                  <c:v>2.1386987887657607E-3</c:v>
                </c:pt>
                <c:pt idx="11">
                  <c:v>3.5642335840823766E-3</c:v>
                </c:pt>
                <c:pt idx="12">
                  <c:v>4.8288059202633623E-3</c:v>
                </c:pt>
                <c:pt idx="13">
                  <c:v>6.9520175631924992E-3</c:v>
                </c:pt>
                <c:pt idx="14">
                  <c:v>1.6998462998395684E-2</c:v>
                </c:pt>
                <c:pt idx="15">
                  <c:v>2.5671660535768769E-2</c:v>
                </c:pt>
                <c:pt idx="16">
                  <c:v>3.4462791321035413E-2</c:v>
                </c:pt>
                <c:pt idx="17">
                  <c:v>2.0396387575916771E-2</c:v>
                </c:pt>
                <c:pt idx="18">
                  <c:v>1.4909261433640363E-2</c:v>
                </c:pt>
                <c:pt idx="19">
                  <c:v>1.6602490201379189E-2</c:v>
                </c:pt>
                <c:pt idx="20">
                  <c:v>2.3338765780071765E-2</c:v>
                </c:pt>
                <c:pt idx="21">
                  <c:v>2.5013517105451064E-2</c:v>
                </c:pt>
                <c:pt idx="22">
                  <c:v>2.5038776127308503E-2</c:v>
                </c:pt>
                <c:pt idx="23">
                  <c:v>2.1625680378039164E-2</c:v>
                </c:pt>
                <c:pt idx="24">
                  <c:v>2.2123038288977444E-2</c:v>
                </c:pt>
                <c:pt idx="25">
                  <c:v>5.3297499796400354E-2</c:v>
                </c:pt>
                <c:pt idx="26">
                  <c:v>3.5462333865697589E-2</c:v>
                </c:pt>
                <c:pt idx="27">
                  <c:v>4.3594683719147584E-2</c:v>
                </c:pt>
              </c:numCache>
            </c:numRef>
          </c:val>
          <c:smooth val="0"/>
          <c:extLst>
            <c:ext xmlns:c16="http://schemas.microsoft.com/office/drawing/2014/chart" uri="{C3380CC4-5D6E-409C-BE32-E72D297353CC}">
              <c16:uniqueId val="{00000003-961D-40EE-B444-8A962C55CFD4}"/>
            </c:ext>
          </c:extLst>
        </c:ser>
        <c:ser>
          <c:idx val="4"/>
          <c:order val="4"/>
          <c:spPr>
            <a:ln w="19050">
              <a:solidFill>
                <a:srgbClr val="909090"/>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Data'!$F$4:$F$31</c:f>
              <c:numCache>
                <c:formatCode>0.0%</c:formatCode>
                <c:ptCount val="28"/>
                <c:pt idx="0">
                  <c:v>0.14900000000000002</c:v>
                </c:pt>
                <c:pt idx="1">
                  <c:v>3.0000000000000027E-2</c:v>
                </c:pt>
                <c:pt idx="2">
                  <c:v>1.6000000000000014E-2</c:v>
                </c:pt>
                <c:pt idx="3">
                  <c:v>2.1000000000000019E-2</c:v>
                </c:pt>
                <c:pt idx="4">
                  <c:v>1.3000000000000012E-2</c:v>
                </c:pt>
                <c:pt idx="5">
                  <c:v>1.299999999999979E-2</c:v>
                </c:pt>
                <c:pt idx="6">
                  <c:v>1.9000000000000017E-2</c:v>
                </c:pt>
                <c:pt idx="7">
                  <c:v>3.2000000000000028E-2</c:v>
                </c:pt>
                <c:pt idx="8">
                  <c:v>1.2643544965431297E-2</c:v>
                </c:pt>
                <c:pt idx="9">
                  <c:v>6.3205778981930694E-3</c:v>
                </c:pt>
                <c:pt idx="10">
                  <c:v>9.8637396514741349E-3</c:v>
                </c:pt>
                <c:pt idx="11">
                  <c:v>5.5822396231341997E-3</c:v>
                </c:pt>
                <c:pt idx="12">
                  <c:v>7.8049985486573492E-3</c:v>
                </c:pt>
                <c:pt idx="13">
                  <c:v>8.5334002915926632E-3</c:v>
                </c:pt>
                <c:pt idx="14">
                  <c:v>1.3831956043574567E-2</c:v>
                </c:pt>
                <c:pt idx="15">
                  <c:v>3.057715528081828E-2</c:v>
                </c:pt>
                <c:pt idx="16">
                  <c:v>3.140959722504677E-2</c:v>
                </c:pt>
                <c:pt idx="17">
                  <c:v>3.3330192321526564E-2</c:v>
                </c:pt>
                <c:pt idx="18">
                  <c:v>3.1418920009388618E-2</c:v>
                </c:pt>
                <c:pt idx="19">
                  <c:v>2.6360102181467004E-2</c:v>
                </c:pt>
                <c:pt idx="20">
                  <c:v>3.4999208962293582E-2</c:v>
                </c:pt>
                <c:pt idx="21">
                  <c:v>6.8453223783303874E-2</c:v>
                </c:pt>
                <c:pt idx="22">
                  <c:v>6.941481450775755E-2</c:v>
                </c:pt>
                <c:pt idx="23">
                  <c:v>8.2457563969440706E-2</c:v>
                </c:pt>
                <c:pt idx="24">
                  <c:v>9.7158564901364208E-2</c:v>
                </c:pt>
                <c:pt idx="25">
                  <c:v>0.19541004967831266</c:v>
                </c:pt>
                <c:pt idx="26">
                  <c:v>6.7559230969706396E-2</c:v>
                </c:pt>
                <c:pt idx="27">
                  <c:v>8.3917403919709144E-2</c:v>
                </c:pt>
              </c:numCache>
            </c:numRef>
          </c:val>
          <c:smooth val="0"/>
          <c:extLst>
            <c:ext xmlns:c16="http://schemas.microsoft.com/office/drawing/2014/chart" uri="{C3380CC4-5D6E-409C-BE32-E72D297353CC}">
              <c16:uniqueId val="{00000004-961D-40EE-B444-8A962C55CFD4}"/>
            </c:ext>
          </c:extLst>
        </c:ser>
        <c:ser>
          <c:idx val="5"/>
          <c:order val="5"/>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5-961D-40EE-B444-8A962C55CFD4}"/>
            </c:ext>
          </c:extLst>
        </c:ser>
        <c:ser>
          <c:idx val="6"/>
          <c:order val="6"/>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6-961D-40EE-B444-8A962C55CFD4}"/>
            </c:ext>
          </c:extLst>
        </c:ser>
        <c:ser>
          <c:idx val="7"/>
          <c:order val="7"/>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7-961D-40EE-B444-8A962C55CFD4}"/>
            </c:ext>
          </c:extLst>
        </c:ser>
        <c:dLbls>
          <c:showLegendKey val="0"/>
          <c:showVal val="0"/>
          <c:showCatName val="0"/>
          <c:showSerName val="0"/>
          <c:showPercent val="0"/>
          <c:showBubbleSize val="0"/>
        </c:dLbls>
        <c:smooth val="0"/>
        <c:axId val="460674448"/>
        <c:axId val="460674840"/>
      </c:lineChart>
      <c:dateAx>
        <c:axId val="460674448"/>
        <c:scaling>
          <c:orientation val="minMax"/>
        </c:scaling>
        <c:delete val="0"/>
        <c:axPos val="b"/>
        <c:numFmt formatCode="dd/mm/yyyy" sourceLinked="0"/>
        <c:majorTickMark val="out"/>
        <c:minorTickMark val="none"/>
        <c:tickLblPos val="nextTo"/>
        <c:spPr>
          <a:ln>
            <a:solidFill>
              <a:schemeClr val="tx1">
                <a:lumMod val="75000"/>
                <a:lumOff val="25000"/>
              </a:schemeClr>
            </a:solidFill>
          </a:ln>
        </c:spPr>
        <c:txPr>
          <a:bodyPr rot="-5400000" vert="horz"/>
          <a:lstStyle/>
          <a:p>
            <a:pPr>
              <a:defRPr/>
            </a:pPr>
            <a:endParaRPr lang="en-US"/>
          </a:p>
        </c:txPr>
        <c:crossAx val="460674840"/>
        <c:crosses val="autoZero"/>
        <c:auto val="0"/>
        <c:lblOffset val="100"/>
        <c:baseTimeUnit val="days"/>
        <c:majorUnit val="1"/>
      </c:dateAx>
      <c:valAx>
        <c:axId val="460674840"/>
        <c:scaling>
          <c:orientation val="minMax"/>
        </c:scaling>
        <c:delete val="0"/>
        <c:axPos val="l"/>
        <c:numFmt formatCode="0%" sourceLinked="0"/>
        <c:majorTickMark val="out"/>
        <c:minorTickMark val="none"/>
        <c:tickLblPos val="nextTo"/>
        <c:spPr>
          <a:ln>
            <a:solidFill>
              <a:schemeClr val="tx1">
                <a:lumMod val="75000"/>
                <a:lumOff val="25000"/>
              </a:schemeClr>
            </a:solidFill>
          </a:ln>
        </c:spPr>
        <c:txPr>
          <a:bodyPr rot="0" vert="horz"/>
          <a:lstStyle/>
          <a:p>
            <a:pPr>
              <a:defRPr/>
            </a:pPr>
            <a:endParaRPr lang="en-US"/>
          </a:p>
        </c:txPr>
        <c:crossAx val="460674448"/>
        <c:crosses val="autoZero"/>
        <c:crossBetween val="midCat"/>
      </c:valAx>
      <c:spPr>
        <a:noFill/>
      </c:spPr>
    </c:plotArea>
    <c:plotVisOnly val="1"/>
    <c:dispBlanksAs val="gap"/>
    <c:showDLblsOverMax val="0"/>
  </c:chart>
  <c:spPr>
    <a:noFill/>
    <a:ln>
      <a:noFill/>
    </a:ln>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886968393620498E-2"/>
          <c:y val="0.13133278835869092"/>
          <c:w val="0.89768894270619259"/>
          <c:h val="0.76845050965974337"/>
        </c:manualLayout>
      </c:layout>
      <c:lineChart>
        <c:grouping val="standard"/>
        <c:varyColors val="0"/>
        <c:ser>
          <c:idx val="0"/>
          <c:order val="0"/>
          <c:tx>
            <c:strRef>
              <c:f>'24 Councillors graph '!$V$7:$V$10</c:f>
              <c:strCache>
                <c:ptCount val="4"/>
                <c:pt idx="0">
                  <c:v>CON </c:v>
                </c:pt>
              </c:strCache>
            </c:strRef>
          </c:tx>
          <c:spPr>
            <a:ln w="25400">
              <a:solidFill>
                <a:srgbClr val="00539F"/>
              </a:solidFill>
              <a:prstDash val="solid"/>
            </a:ln>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'!$V$11:$V$58</c:f>
              <c:numCache>
                <c:formatCode>General</c:formatCode>
                <c:ptCount val="48"/>
                <c:pt idx="0">
                  <c:v>7709</c:v>
                </c:pt>
                <c:pt idx="1">
                  <c:v>8102</c:v>
                </c:pt>
                <c:pt idx="2">
                  <c:v>8301</c:v>
                </c:pt>
                <c:pt idx="3">
                  <c:v>11077</c:v>
                </c:pt>
                <c:pt idx="4">
                  <c:v>12370</c:v>
                </c:pt>
                <c:pt idx="5">
                  <c:v>12645</c:v>
                </c:pt>
                <c:pt idx="6">
                  <c:v>12222</c:v>
                </c:pt>
                <c:pt idx="7">
                  <c:v>11738</c:v>
                </c:pt>
                <c:pt idx="8">
                  <c:v>10545</c:v>
                </c:pt>
                <c:pt idx="9">
                  <c:v>10447</c:v>
                </c:pt>
                <c:pt idx="10">
                  <c:v>10557</c:v>
                </c:pt>
                <c:pt idx="11">
                  <c:v>10393</c:v>
                </c:pt>
                <c:pt idx="12">
                  <c:v>10191</c:v>
                </c:pt>
                <c:pt idx="13">
                  <c:v>9216</c:v>
                </c:pt>
                <c:pt idx="14">
                  <c:v>9141</c:v>
                </c:pt>
                <c:pt idx="15">
                  <c:v>9150</c:v>
                </c:pt>
                <c:pt idx="16">
                  <c:v>9242</c:v>
                </c:pt>
                <c:pt idx="17">
                  <c:v>9020</c:v>
                </c:pt>
                <c:pt idx="18">
                  <c:v>7985</c:v>
                </c:pt>
                <c:pt idx="19">
                  <c:v>8288</c:v>
                </c:pt>
                <c:pt idx="20">
                  <c:v>7802</c:v>
                </c:pt>
                <c:pt idx="21">
                  <c:v>7286</c:v>
                </c:pt>
                <c:pt idx="22">
                  <c:v>4883</c:v>
                </c:pt>
                <c:pt idx="23">
                  <c:v>4276</c:v>
                </c:pt>
                <c:pt idx="24">
                  <c:v>4449</c:v>
                </c:pt>
                <c:pt idx="25">
                  <c:v>4772</c:v>
                </c:pt>
                <c:pt idx="26">
                  <c:v>6144</c:v>
                </c:pt>
                <c:pt idx="27">
                  <c:v>6785</c:v>
                </c:pt>
                <c:pt idx="28">
                  <c:v>6941</c:v>
                </c:pt>
                <c:pt idx="29">
                  <c:v>7178</c:v>
                </c:pt>
                <c:pt idx="30">
                  <c:v>7768</c:v>
                </c:pt>
                <c:pt idx="31">
                  <c:v>8038</c:v>
                </c:pt>
                <c:pt idx="32">
                  <c:v>8193</c:v>
                </c:pt>
                <c:pt idx="33">
                  <c:v>8495</c:v>
                </c:pt>
                <c:pt idx="34">
                  <c:v>9431</c:v>
                </c:pt>
                <c:pt idx="35">
                  <c:v>9721</c:v>
                </c:pt>
                <c:pt idx="36">
                  <c:v>9553</c:v>
                </c:pt>
                <c:pt idx="37">
                  <c:v>9406</c:v>
                </c:pt>
                <c:pt idx="38">
                  <c:v>9445</c:v>
                </c:pt>
                <c:pt idx="39">
                  <c:v>9004</c:v>
                </c:pt>
                <c:pt idx="40">
                  <c:v>8589</c:v>
                </c:pt>
                <c:pt idx="41">
                  <c:v>8261</c:v>
                </c:pt>
                <c:pt idx="42">
                  <c:v>8766</c:v>
                </c:pt>
                <c:pt idx="43" formatCode="#,##0">
                  <c:v>8709</c:v>
                </c:pt>
                <c:pt idx="44" formatCode="#,##0">
                  <c:v>9233</c:v>
                </c:pt>
                <c:pt idx="45" formatCode="#,##0">
                  <c:v>9102</c:v>
                </c:pt>
                <c:pt idx="46" formatCode="#,##0">
                  <c:v>7507</c:v>
                </c:pt>
                <c:pt idx="47" formatCode="#,##0">
                  <c:v>7562</c:v>
                </c:pt>
              </c:numCache>
            </c:numRef>
          </c:val>
          <c:smooth val="0"/>
          <c:extLst>
            <c:ext xmlns:c16="http://schemas.microsoft.com/office/drawing/2014/chart" uri="{C3380CC4-5D6E-409C-BE32-E72D297353CC}">
              <c16:uniqueId val="{00000000-5F2D-48D3-8739-C5B2126EC6D6}"/>
            </c:ext>
          </c:extLst>
        </c:ser>
        <c:ser>
          <c:idx val="1"/>
          <c:order val="1"/>
          <c:tx>
            <c:strRef>
              <c:f>'24 Councillors graph '!$W$7:$W$10</c:f>
              <c:strCache>
                <c:ptCount val="4"/>
                <c:pt idx="0">
                  <c:v>LAB </c:v>
                </c:pt>
              </c:strCache>
            </c:strRef>
          </c:tx>
          <c:spPr>
            <a:ln w="25400">
              <a:solidFill>
                <a:srgbClr val="D50000"/>
              </a:solidFill>
              <a:prstDash val="solid"/>
            </a:ln>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'!$W$11:$W$58</c:f>
              <c:numCache>
                <c:formatCode>General</c:formatCode>
                <c:ptCount val="48"/>
                <c:pt idx="0">
                  <c:v>9781</c:v>
                </c:pt>
                <c:pt idx="1">
                  <c:v>10325</c:v>
                </c:pt>
                <c:pt idx="2">
                  <c:v>10117</c:v>
                </c:pt>
                <c:pt idx="3">
                  <c:v>8213</c:v>
                </c:pt>
                <c:pt idx="4">
                  <c:v>7115</c:v>
                </c:pt>
                <c:pt idx="5">
                  <c:v>6644</c:v>
                </c:pt>
                <c:pt idx="6">
                  <c:v>7410</c:v>
                </c:pt>
                <c:pt idx="7">
                  <c:v>8011</c:v>
                </c:pt>
                <c:pt idx="8">
                  <c:v>8999</c:v>
                </c:pt>
                <c:pt idx="9">
                  <c:v>8774</c:v>
                </c:pt>
                <c:pt idx="10">
                  <c:v>8782</c:v>
                </c:pt>
                <c:pt idx="11">
                  <c:v>8870</c:v>
                </c:pt>
                <c:pt idx="12">
                  <c:v>8746</c:v>
                </c:pt>
                <c:pt idx="13">
                  <c:v>8759</c:v>
                </c:pt>
                <c:pt idx="14">
                  <c:v>8525</c:v>
                </c:pt>
                <c:pt idx="15">
                  <c:v>8601</c:v>
                </c:pt>
                <c:pt idx="16">
                  <c:v>8636</c:v>
                </c:pt>
                <c:pt idx="17">
                  <c:v>8920</c:v>
                </c:pt>
                <c:pt idx="18">
                  <c:v>9504</c:v>
                </c:pt>
                <c:pt idx="19">
                  <c:v>9102</c:v>
                </c:pt>
                <c:pt idx="20">
                  <c:v>9213</c:v>
                </c:pt>
                <c:pt idx="21">
                  <c:v>9257</c:v>
                </c:pt>
                <c:pt idx="22">
                  <c:v>10461</c:v>
                </c:pt>
                <c:pt idx="23">
                  <c:v>10929</c:v>
                </c:pt>
                <c:pt idx="24">
                  <c:v>10608</c:v>
                </c:pt>
                <c:pt idx="25">
                  <c:v>10411</c:v>
                </c:pt>
                <c:pt idx="26">
                  <c:v>9134</c:v>
                </c:pt>
                <c:pt idx="27">
                  <c:v>8529</c:v>
                </c:pt>
                <c:pt idx="28">
                  <c:v>8487</c:v>
                </c:pt>
                <c:pt idx="29">
                  <c:v>8117</c:v>
                </c:pt>
                <c:pt idx="30">
                  <c:v>7207</c:v>
                </c:pt>
                <c:pt idx="31">
                  <c:v>6669</c:v>
                </c:pt>
                <c:pt idx="32">
                  <c:v>6518</c:v>
                </c:pt>
                <c:pt idx="33">
                  <c:v>6176</c:v>
                </c:pt>
                <c:pt idx="34">
                  <c:v>5483</c:v>
                </c:pt>
                <c:pt idx="35">
                  <c:v>5122</c:v>
                </c:pt>
                <c:pt idx="36">
                  <c:v>4436</c:v>
                </c:pt>
                <c:pt idx="37">
                  <c:v>4831</c:v>
                </c:pt>
                <c:pt idx="38">
                  <c:v>5707</c:v>
                </c:pt>
                <c:pt idx="39">
                  <c:v>6559</c:v>
                </c:pt>
                <c:pt idx="40">
                  <c:v>6842</c:v>
                </c:pt>
                <c:pt idx="41">
                  <c:v>7129</c:v>
                </c:pt>
                <c:pt idx="42">
                  <c:v>6873</c:v>
                </c:pt>
                <c:pt idx="43" formatCode="#,##0">
                  <c:v>6851</c:v>
                </c:pt>
                <c:pt idx="44" formatCode="#,##0">
                  <c:v>6439</c:v>
                </c:pt>
                <c:pt idx="45" formatCode="#,##0">
                  <c:v>6485</c:v>
                </c:pt>
                <c:pt idx="46" formatCode="#,##0">
                  <c:v>6332</c:v>
                </c:pt>
                <c:pt idx="47" formatCode="#,##0">
                  <c:v>5849</c:v>
                </c:pt>
              </c:numCache>
            </c:numRef>
          </c:val>
          <c:smooth val="0"/>
          <c:extLst>
            <c:ext xmlns:c16="http://schemas.microsoft.com/office/drawing/2014/chart" uri="{C3380CC4-5D6E-409C-BE32-E72D297353CC}">
              <c16:uniqueId val="{00000001-5F2D-48D3-8739-C5B2126EC6D6}"/>
            </c:ext>
          </c:extLst>
        </c:ser>
        <c:ser>
          <c:idx val="2"/>
          <c:order val="2"/>
          <c:tx>
            <c:strRef>
              <c:f>'24 Councillors graph '!$X$7:$X$10</c:f>
              <c:strCache>
                <c:ptCount val="4"/>
                <c:pt idx="0">
                  <c:v>LD </c:v>
                </c:pt>
              </c:strCache>
            </c:strRef>
          </c:tx>
          <c:spPr>
            <a:ln w="28575" cap="rnd">
              <a:solidFill>
                <a:srgbClr val="FAA01A"/>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'!$X$11:$X$58</c:f>
              <c:numCache>
                <c:formatCode>General</c:formatCode>
                <c:ptCount val="48"/>
                <c:pt idx="0">
                  <c:v>1427</c:v>
                </c:pt>
                <c:pt idx="1">
                  <c:v>1474</c:v>
                </c:pt>
                <c:pt idx="2">
                  <c:v>1462</c:v>
                </c:pt>
                <c:pt idx="3">
                  <c:v>1113</c:v>
                </c:pt>
                <c:pt idx="4">
                  <c:v>950</c:v>
                </c:pt>
                <c:pt idx="5">
                  <c:v>923</c:v>
                </c:pt>
                <c:pt idx="6">
                  <c:v>1059</c:v>
                </c:pt>
                <c:pt idx="7">
                  <c:v>1149</c:v>
                </c:pt>
                <c:pt idx="8">
                  <c:v>1455</c:v>
                </c:pt>
                <c:pt idx="9">
                  <c:v>1850</c:v>
                </c:pt>
                <c:pt idx="10">
                  <c:v>2171</c:v>
                </c:pt>
                <c:pt idx="11">
                  <c:v>2331</c:v>
                </c:pt>
                <c:pt idx="12">
                  <c:v>2633</c:v>
                </c:pt>
                <c:pt idx="13">
                  <c:v>2971</c:v>
                </c:pt>
                <c:pt idx="14">
                  <c:v>3640</c:v>
                </c:pt>
                <c:pt idx="15">
                  <c:v>3518</c:v>
                </c:pt>
                <c:pt idx="16">
                  <c:v>3343</c:v>
                </c:pt>
                <c:pt idx="17">
                  <c:v>3265</c:v>
                </c:pt>
                <c:pt idx="18">
                  <c:v>3672</c:v>
                </c:pt>
                <c:pt idx="19">
                  <c:v>3728</c:v>
                </c:pt>
                <c:pt idx="20">
                  <c:v>4123</c:v>
                </c:pt>
                <c:pt idx="21">
                  <c:v>4551</c:v>
                </c:pt>
                <c:pt idx="22">
                  <c:v>4942</c:v>
                </c:pt>
                <c:pt idx="23">
                  <c:v>5078</c:v>
                </c:pt>
                <c:pt idx="24">
                  <c:v>4754</c:v>
                </c:pt>
                <c:pt idx="25">
                  <c:v>4629</c:v>
                </c:pt>
                <c:pt idx="26">
                  <c:v>4485</c:v>
                </c:pt>
                <c:pt idx="27">
                  <c:v>4457</c:v>
                </c:pt>
                <c:pt idx="28">
                  <c:v>4382</c:v>
                </c:pt>
                <c:pt idx="29">
                  <c:v>4379</c:v>
                </c:pt>
                <c:pt idx="30">
                  <c:v>4551</c:v>
                </c:pt>
                <c:pt idx="31">
                  <c:v>4714</c:v>
                </c:pt>
                <c:pt idx="32">
                  <c:v>4743</c:v>
                </c:pt>
                <c:pt idx="33">
                  <c:v>4723</c:v>
                </c:pt>
                <c:pt idx="34">
                  <c:v>4420</c:v>
                </c:pt>
                <c:pt idx="35">
                  <c:v>4467</c:v>
                </c:pt>
                <c:pt idx="36">
                  <c:v>4083</c:v>
                </c:pt>
                <c:pt idx="37">
                  <c:v>3944</c:v>
                </c:pt>
                <c:pt idx="38">
                  <c:v>3104</c:v>
                </c:pt>
                <c:pt idx="39">
                  <c:v>2711</c:v>
                </c:pt>
                <c:pt idx="40">
                  <c:v>2576</c:v>
                </c:pt>
                <c:pt idx="41">
                  <c:v>2235</c:v>
                </c:pt>
                <c:pt idx="42">
                  <c:v>1810</c:v>
                </c:pt>
                <c:pt idx="43" formatCode="#,##0">
                  <c:v>1822</c:v>
                </c:pt>
                <c:pt idx="44" formatCode="#,##0">
                  <c:v>1803</c:v>
                </c:pt>
                <c:pt idx="45" formatCode="#,##0">
                  <c:v>1873</c:v>
                </c:pt>
                <c:pt idx="46" formatCode="#,##0">
                  <c:v>2531</c:v>
                </c:pt>
                <c:pt idx="47" formatCode="#,##0">
                  <c:v>2487</c:v>
                </c:pt>
              </c:numCache>
            </c:numRef>
          </c:val>
          <c:smooth val="0"/>
          <c:extLst>
            <c:ext xmlns:c16="http://schemas.microsoft.com/office/drawing/2014/chart" uri="{C3380CC4-5D6E-409C-BE32-E72D297353CC}">
              <c16:uniqueId val="{00000002-5F2D-48D3-8739-C5B2126EC6D6}"/>
            </c:ext>
          </c:extLst>
        </c:ser>
        <c:ser>
          <c:idx val="3"/>
          <c:order val="3"/>
          <c:tx>
            <c:strRef>
              <c:f>'24 Councillors graph '!$Y$7:$Y$10</c:f>
              <c:strCache>
                <c:ptCount val="4"/>
                <c:pt idx="0">
                  <c:v>PC/SNP </c:v>
                </c:pt>
              </c:strCache>
            </c:strRef>
          </c:tx>
          <c:spPr>
            <a:ln w="28575" cap="rnd">
              <a:solidFill>
                <a:schemeClr val="accent2">
                  <a:lumMod val="75000"/>
                </a:schemeClr>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'!$Y$11:$Y$58</c:f>
              <c:numCache>
                <c:formatCode>General</c:formatCode>
                <c:ptCount val="48"/>
                <c:pt idx="0">
                  <c:v>65</c:v>
                </c:pt>
                <c:pt idx="1">
                  <c:v>145</c:v>
                </c:pt>
                <c:pt idx="2">
                  <c:v>145</c:v>
                </c:pt>
                <c:pt idx="3">
                  <c:v>223</c:v>
                </c:pt>
                <c:pt idx="4">
                  <c:v>349</c:v>
                </c:pt>
                <c:pt idx="5">
                  <c:v>349</c:v>
                </c:pt>
                <c:pt idx="6">
                  <c:v>301</c:v>
                </c:pt>
                <c:pt idx="7">
                  <c:v>186</c:v>
                </c:pt>
                <c:pt idx="8">
                  <c:v>172</c:v>
                </c:pt>
                <c:pt idx="9">
                  <c:v>177</c:v>
                </c:pt>
                <c:pt idx="10">
                  <c:v>175</c:v>
                </c:pt>
                <c:pt idx="11">
                  <c:v>179</c:v>
                </c:pt>
                <c:pt idx="12">
                  <c:v>177</c:v>
                </c:pt>
                <c:pt idx="13">
                  <c:v>191</c:v>
                </c:pt>
                <c:pt idx="14">
                  <c:v>203</c:v>
                </c:pt>
                <c:pt idx="15">
                  <c:v>254</c:v>
                </c:pt>
                <c:pt idx="16">
                  <c:v>258</c:v>
                </c:pt>
                <c:pt idx="17">
                  <c:v>264</c:v>
                </c:pt>
                <c:pt idx="18">
                  <c:v>292</c:v>
                </c:pt>
                <c:pt idx="19">
                  <c:v>334</c:v>
                </c:pt>
                <c:pt idx="20">
                  <c:v>358</c:v>
                </c:pt>
                <c:pt idx="21">
                  <c:v>392</c:v>
                </c:pt>
                <c:pt idx="22">
                  <c:v>294</c:v>
                </c:pt>
                <c:pt idx="23">
                  <c:v>298</c:v>
                </c:pt>
                <c:pt idx="24">
                  <c:v>301</c:v>
                </c:pt>
                <c:pt idx="25">
                  <c:v>304</c:v>
                </c:pt>
                <c:pt idx="26">
                  <c:v>444</c:v>
                </c:pt>
                <c:pt idx="27">
                  <c:v>447</c:v>
                </c:pt>
                <c:pt idx="28">
                  <c:v>418</c:v>
                </c:pt>
                <c:pt idx="29">
                  <c:v>415</c:v>
                </c:pt>
                <c:pt idx="30">
                  <c:v>388</c:v>
                </c:pt>
                <c:pt idx="31">
                  <c:v>355</c:v>
                </c:pt>
                <c:pt idx="32">
                  <c:v>357</c:v>
                </c:pt>
                <c:pt idx="33">
                  <c:v>364</c:v>
                </c:pt>
                <c:pt idx="34">
                  <c:v>537</c:v>
                </c:pt>
                <c:pt idx="35">
                  <c:v>569</c:v>
                </c:pt>
                <c:pt idx="36">
                  <c:v>570</c:v>
                </c:pt>
                <c:pt idx="37">
                  <c:v>568</c:v>
                </c:pt>
                <c:pt idx="38">
                  <c:v>568</c:v>
                </c:pt>
                <c:pt idx="39">
                  <c:v>584</c:v>
                </c:pt>
                <c:pt idx="40">
                  <c:v>590</c:v>
                </c:pt>
                <c:pt idx="41">
                  <c:v>591</c:v>
                </c:pt>
                <c:pt idx="42">
                  <c:v>592</c:v>
                </c:pt>
                <c:pt idx="43" formatCode="#,##0">
                  <c:v>596</c:v>
                </c:pt>
                <c:pt idx="44" formatCode="#,##0">
                  <c:v>634</c:v>
                </c:pt>
                <c:pt idx="45" formatCode="#,##0">
                  <c:v>631</c:v>
                </c:pt>
                <c:pt idx="46" formatCode="#,##0">
                  <c:v>622</c:v>
                </c:pt>
                <c:pt idx="47" formatCode="#,##0">
                  <c:v>605</c:v>
                </c:pt>
              </c:numCache>
            </c:numRef>
          </c:val>
          <c:smooth val="0"/>
          <c:extLst>
            <c:ext xmlns:c16="http://schemas.microsoft.com/office/drawing/2014/chart" uri="{C3380CC4-5D6E-409C-BE32-E72D297353CC}">
              <c16:uniqueId val="{00000003-5F2D-48D3-8739-C5B2126EC6D6}"/>
            </c:ext>
          </c:extLst>
        </c:ser>
        <c:ser>
          <c:idx val="4"/>
          <c:order val="4"/>
          <c:tx>
            <c:strRef>
              <c:f>'24 Councillors graph '!$Z$7:$Z$10</c:f>
              <c:strCache>
                <c:ptCount val="4"/>
                <c:pt idx="0">
                  <c:v>Others </c:v>
                </c:pt>
              </c:strCache>
            </c:strRef>
          </c:tx>
          <c:spPr>
            <a:ln w="28575" cap="rnd">
              <a:solidFill>
                <a:schemeClr val="bg1">
                  <a:lumMod val="65000"/>
                </a:schemeClr>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'!$Z$11:$Z$58</c:f>
              <c:numCache>
                <c:formatCode>General</c:formatCode>
                <c:ptCount val="48"/>
                <c:pt idx="0">
                  <c:v>5183</c:v>
                </c:pt>
                <c:pt idx="1">
                  <c:v>5664</c:v>
                </c:pt>
                <c:pt idx="2">
                  <c:v>5685</c:v>
                </c:pt>
                <c:pt idx="3">
                  <c:v>5132</c:v>
                </c:pt>
                <c:pt idx="4">
                  <c:v>4965</c:v>
                </c:pt>
                <c:pt idx="5">
                  <c:v>4920</c:v>
                </c:pt>
                <c:pt idx="6">
                  <c:v>4388</c:v>
                </c:pt>
                <c:pt idx="7">
                  <c:v>4325</c:v>
                </c:pt>
                <c:pt idx="8">
                  <c:v>4208</c:v>
                </c:pt>
                <c:pt idx="9">
                  <c:v>4099</c:v>
                </c:pt>
                <c:pt idx="10">
                  <c:v>3570</c:v>
                </c:pt>
                <c:pt idx="11">
                  <c:v>3515</c:v>
                </c:pt>
                <c:pt idx="12">
                  <c:v>3432</c:v>
                </c:pt>
                <c:pt idx="13">
                  <c:v>3364</c:v>
                </c:pt>
                <c:pt idx="14">
                  <c:v>2974</c:v>
                </c:pt>
                <c:pt idx="15">
                  <c:v>2968</c:v>
                </c:pt>
                <c:pt idx="16">
                  <c:v>2958</c:v>
                </c:pt>
                <c:pt idx="17">
                  <c:v>2968</c:v>
                </c:pt>
                <c:pt idx="18">
                  <c:v>2997</c:v>
                </c:pt>
                <c:pt idx="19">
                  <c:v>2977</c:v>
                </c:pt>
                <c:pt idx="20">
                  <c:v>2948</c:v>
                </c:pt>
                <c:pt idx="21">
                  <c:v>2941</c:v>
                </c:pt>
                <c:pt idx="22">
                  <c:v>2157</c:v>
                </c:pt>
                <c:pt idx="23">
                  <c:v>2157</c:v>
                </c:pt>
                <c:pt idx="24">
                  <c:v>2076</c:v>
                </c:pt>
                <c:pt idx="25">
                  <c:v>2083</c:v>
                </c:pt>
                <c:pt idx="26">
                  <c:v>1973</c:v>
                </c:pt>
                <c:pt idx="27">
                  <c:v>2071</c:v>
                </c:pt>
                <c:pt idx="28">
                  <c:v>2091</c:v>
                </c:pt>
                <c:pt idx="29">
                  <c:v>2094</c:v>
                </c:pt>
                <c:pt idx="30">
                  <c:v>2125</c:v>
                </c:pt>
                <c:pt idx="31">
                  <c:v>2213</c:v>
                </c:pt>
                <c:pt idx="32">
                  <c:v>2233</c:v>
                </c:pt>
                <c:pt idx="33">
                  <c:v>2273</c:v>
                </c:pt>
                <c:pt idx="34">
                  <c:v>2173</c:v>
                </c:pt>
                <c:pt idx="35">
                  <c:v>2225</c:v>
                </c:pt>
                <c:pt idx="36">
                  <c:v>2060</c:v>
                </c:pt>
                <c:pt idx="37">
                  <c:v>1962</c:v>
                </c:pt>
                <c:pt idx="38">
                  <c:v>1855</c:v>
                </c:pt>
                <c:pt idx="39">
                  <c:v>1787</c:v>
                </c:pt>
                <c:pt idx="40">
                  <c:v>1991</c:v>
                </c:pt>
                <c:pt idx="41">
                  <c:v>2362</c:v>
                </c:pt>
                <c:pt idx="42">
                  <c:v>2241</c:v>
                </c:pt>
                <c:pt idx="43" formatCode="#,##0">
                  <c:v>2251</c:v>
                </c:pt>
                <c:pt idx="44" formatCode="#,##0">
                  <c:v>2100</c:v>
                </c:pt>
                <c:pt idx="45" formatCode="#,##0">
                  <c:v>2019</c:v>
                </c:pt>
                <c:pt idx="46" formatCode="#,##0">
                  <c:v>2655</c:v>
                </c:pt>
                <c:pt idx="47" formatCode="#,##0">
                  <c:v>2838</c:v>
                </c:pt>
              </c:numCache>
            </c:numRef>
          </c:val>
          <c:smooth val="0"/>
          <c:extLst>
            <c:ext xmlns:c16="http://schemas.microsoft.com/office/drawing/2014/chart" uri="{C3380CC4-5D6E-409C-BE32-E72D297353CC}">
              <c16:uniqueId val="{00000004-5F2D-48D3-8739-C5B2126EC6D6}"/>
            </c:ext>
          </c:extLst>
        </c:ser>
        <c:dLbls>
          <c:showLegendKey val="0"/>
          <c:showVal val="0"/>
          <c:showCatName val="0"/>
          <c:showSerName val="0"/>
          <c:showPercent val="0"/>
          <c:showBubbleSize val="0"/>
        </c:dLbls>
        <c:smooth val="0"/>
        <c:axId val="473417136"/>
        <c:axId val="473417528"/>
      </c:lineChart>
      <c:catAx>
        <c:axId val="4734171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050"/>
            </a:pPr>
            <a:endParaRPr lang="en-US"/>
          </a:p>
        </c:txPr>
        <c:crossAx val="473417528"/>
        <c:crosses val="autoZero"/>
        <c:auto val="1"/>
        <c:lblAlgn val="ctr"/>
        <c:lblOffset val="100"/>
        <c:tickLblSkip val="9"/>
        <c:tickMarkSkip val="9"/>
        <c:noMultiLvlLbl val="0"/>
      </c:catAx>
      <c:valAx>
        <c:axId val="473417528"/>
        <c:scaling>
          <c:orientation val="minMax"/>
        </c:scaling>
        <c:delete val="0"/>
        <c:axPos val="l"/>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3417136"/>
        <c:crossesAt val="1"/>
        <c:crossBetween val="midCat"/>
        <c:dispUnits>
          <c:builtInUnit val="thousands"/>
        </c:dispUnits>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orientation="portrait"/>
  </c:printSettings>
  <c:userShapes r:id="rId1"/>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1" cap="none" baseline="0"/>
              <a:t>Share of votes </a:t>
            </a:r>
          </a:p>
        </c:rich>
      </c:tx>
      <c:layout>
        <c:manualLayout>
          <c:xMode val="edge"/>
          <c:yMode val="edge"/>
          <c:x val="0.16348021401171006"/>
          <c:y val="1.783725532162557E-3"/>
        </c:manualLayout>
      </c:layout>
      <c:overlay val="0"/>
      <c:spPr>
        <a:noFill/>
        <a:ln w="25400">
          <a:noFill/>
        </a:ln>
      </c:spPr>
    </c:title>
    <c:autoTitleDeleted val="0"/>
    <c:plotArea>
      <c:layout>
        <c:manualLayout>
          <c:layoutTarget val="inner"/>
          <c:xMode val="edge"/>
          <c:yMode val="edge"/>
          <c:x val="0.22356509159536206"/>
          <c:y val="6.7427084211605523E-2"/>
          <c:w val="0.49593018601051481"/>
          <c:h val="0.88730351211146075"/>
        </c:manualLayout>
      </c:layout>
      <c:barChart>
        <c:barDir val="bar"/>
        <c:grouping val="percentStacked"/>
        <c:varyColors val="0"/>
        <c:ser>
          <c:idx val="0"/>
          <c:order val="0"/>
          <c:tx>
            <c:strRef>
              <c:f>'25 Locals Visual'!$B$4</c:f>
              <c:strCache>
                <c:ptCount val="1"/>
                <c:pt idx="0">
                  <c:v>CON </c:v>
                </c:pt>
              </c:strCache>
            </c:strRef>
          </c:tx>
          <c:spPr>
            <a:solidFill>
              <a:srgbClr val="00539F"/>
            </a:solidFill>
            <a:ln w="25400">
              <a:noFill/>
            </a:ln>
          </c:spPr>
          <c:invertIfNegative val="0"/>
          <c:cat>
            <c:numRef>
              <c:f>'25 Locals Visual'!$A$5:$A$46</c:f>
              <c:numCache>
                <c:formatCode>General</c:formatCode>
                <c:ptCount val="42"/>
                <c:pt idx="0">
                  <c:v>2021</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pt idx="41">
                  <c:v>1979</c:v>
                </c:pt>
              </c:numCache>
            </c:numRef>
          </c:cat>
          <c:val>
            <c:numRef>
              <c:f>'25 Locals Visual'!$B$5:$B$46</c:f>
              <c:numCache>
                <c:formatCode>0%</c:formatCode>
                <c:ptCount val="42"/>
                <c:pt idx="0">
                  <c:v>0.4</c:v>
                </c:pt>
                <c:pt idx="1">
                  <c:v>0.31</c:v>
                </c:pt>
                <c:pt idx="2">
                  <c:v>0.37</c:v>
                </c:pt>
                <c:pt idx="3">
                  <c:v>0.39</c:v>
                </c:pt>
                <c:pt idx="4">
                  <c:v>0.32</c:v>
                </c:pt>
                <c:pt idx="5">
                  <c:v>0.36799999999999999</c:v>
                </c:pt>
                <c:pt idx="6">
                  <c:v>0.3</c:v>
                </c:pt>
                <c:pt idx="7">
                  <c:v>0.26</c:v>
                </c:pt>
                <c:pt idx="8">
                  <c:v>0.33</c:v>
                </c:pt>
                <c:pt idx="9">
                  <c:v>0.38</c:v>
                </c:pt>
                <c:pt idx="10">
                  <c:v>0.36899999999999999</c:v>
                </c:pt>
                <c:pt idx="11">
                  <c:v>0.35</c:v>
                </c:pt>
                <c:pt idx="12">
                  <c:v>0.43</c:v>
                </c:pt>
                <c:pt idx="13">
                  <c:v>0.4</c:v>
                </c:pt>
                <c:pt idx="14">
                  <c:v>0.39</c:v>
                </c:pt>
                <c:pt idx="15">
                  <c:v>0.33200000000000002</c:v>
                </c:pt>
                <c:pt idx="16">
                  <c:v>0.37</c:v>
                </c:pt>
                <c:pt idx="17">
                  <c:v>0.35</c:v>
                </c:pt>
                <c:pt idx="18">
                  <c:v>0.34</c:v>
                </c:pt>
                <c:pt idx="19">
                  <c:v>0.33</c:v>
                </c:pt>
                <c:pt idx="20">
                  <c:v>0.38</c:v>
                </c:pt>
                <c:pt idx="21">
                  <c:v>0.34</c:v>
                </c:pt>
                <c:pt idx="22">
                  <c:v>0.33</c:v>
                </c:pt>
                <c:pt idx="23">
                  <c:v>0.31</c:v>
                </c:pt>
                <c:pt idx="24">
                  <c:v>0.28999999999999998</c:v>
                </c:pt>
                <c:pt idx="25">
                  <c:v>0.25</c:v>
                </c:pt>
                <c:pt idx="26">
                  <c:v>0.28000000000000003</c:v>
                </c:pt>
                <c:pt idx="27">
                  <c:v>0.31</c:v>
                </c:pt>
                <c:pt idx="28">
                  <c:v>0.46</c:v>
                </c:pt>
                <c:pt idx="29">
                  <c:v>0.35</c:v>
                </c:pt>
                <c:pt idx="30">
                  <c:v>0.33</c:v>
                </c:pt>
                <c:pt idx="31">
                  <c:v>0.36</c:v>
                </c:pt>
                <c:pt idx="32">
                  <c:v>0.39</c:v>
                </c:pt>
                <c:pt idx="33">
                  <c:v>0.38</c:v>
                </c:pt>
                <c:pt idx="34">
                  <c:v>0.34</c:v>
                </c:pt>
                <c:pt idx="35">
                  <c:v>0.32</c:v>
                </c:pt>
                <c:pt idx="36">
                  <c:v>0.38</c:v>
                </c:pt>
                <c:pt idx="37">
                  <c:v>0.39</c:v>
                </c:pt>
                <c:pt idx="38">
                  <c:v>0.4</c:v>
                </c:pt>
                <c:pt idx="39">
                  <c:v>0.38</c:v>
                </c:pt>
                <c:pt idx="40">
                  <c:v>0.4</c:v>
                </c:pt>
                <c:pt idx="41">
                  <c:v>0.45</c:v>
                </c:pt>
              </c:numCache>
            </c:numRef>
          </c:val>
          <c:extLst>
            <c:ext xmlns:c16="http://schemas.microsoft.com/office/drawing/2014/chart" uri="{C3380CC4-5D6E-409C-BE32-E72D297353CC}">
              <c16:uniqueId val="{00000000-274A-41E4-AC73-6A514DB9CF28}"/>
            </c:ext>
          </c:extLst>
        </c:ser>
        <c:ser>
          <c:idx val="1"/>
          <c:order val="1"/>
          <c:tx>
            <c:strRef>
              <c:f>'25 Locals Visual'!$C$4</c:f>
              <c:strCache>
                <c:ptCount val="1"/>
                <c:pt idx="0">
                  <c:v>LAB </c:v>
                </c:pt>
              </c:strCache>
            </c:strRef>
          </c:tx>
          <c:spPr>
            <a:solidFill>
              <a:srgbClr val="D50000"/>
            </a:solidFill>
            <a:ln w="25400">
              <a:noFill/>
            </a:ln>
          </c:spPr>
          <c:invertIfNegative val="0"/>
          <c:cat>
            <c:numRef>
              <c:f>'25 Locals Visual'!$A$5:$A$46</c:f>
              <c:numCache>
                <c:formatCode>General</c:formatCode>
                <c:ptCount val="42"/>
                <c:pt idx="0">
                  <c:v>2021</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pt idx="41">
                  <c:v>1979</c:v>
                </c:pt>
              </c:numCache>
            </c:numRef>
          </c:cat>
          <c:val>
            <c:numRef>
              <c:f>'25 Locals Visual'!$C$5:$C$46</c:f>
              <c:numCache>
                <c:formatCode>0%</c:formatCode>
                <c:ptCount val="42"/>
                <c:pt idx="0">
                  <c:v>0.3</c:v>
                </c:pt>
                <c:pt idx="1">
                  <c:v>0.31</c:v>
                </c:pt>
                <c:pt idx="2">
                  <c:v>0.36</c:v>
                </c:pt>
                <c:pt idx="3">
                  <c:v>0.28000000000000003</c:v>
                </c:pt>
                <c:pt idx="4">
                  <c:v>0.33</c:v>
                </c:pt>
                <c:pt idx="5">
                  <c:v>0.30399999999999999</c:v>
                </c:pt>
                <c:pt idx="6">
                  <c:v>0.31</c:v>
                </c:pt>
                <c:pt idx="7">
                  <c:v>0.28999999999999998</c:v>
                </c:pt>
                <c:pt idx="8">
                  <c:v>0.39</c:v>
                </c:pt>
                <c:pt idx="9">
                  <c:v>0.37</c:v>
                </c:pt>
                <c:pt idx="10">
                  <c:v>0.29699999999999999</c:v>
                </c:pt>
                <c:pt idx="11">
                  <c:v>0.22</c:v>
                </c:pt>
                <c:pt idx="12">
                  <c:v>0.24</c:v>
                </c:pt>
                <c:pt idx="13">
                  <c:v>0.26</c:v>
                </c:pt>
                <c:pt idx="14">
                  <c:v>0.26</c:v>
                </c:pt>
                <c:pt idx="15">
                  <c:v>0.36099999999999999</c:v>
                </c:pt>
                <c:pt idx="16">
                  <c:v>0.26</c:v>
                </c:pt>
                <c:pt idx="17">
                  <c:v>0.3</c:v>
                </c:pt>
                <c:pt idx="18">
                  <c:v>0.33</c:v>
                </c:pt>
                <c:pt idx="19">
                  <c:v>0.42</c:v>
                </c:pt>
                <c:pt idx="20">
                  <c:v>0.3</c:v>
                </c:pt>
                <c:pt idx="21">
                  <c:v>0.36</c:v>
                </c:pt>
                <c:pt idx="22">
                  <c:v>0.37</c:v>
                </c:pt>
                <c:pt idx="23">
                  <c:v>0.44</c:v>
                </c:pt>
                <c:pt idx="24">
                  <c:v>0.43</c:v>
                </c:pt>
                <c:pt idx="25">
                  <c:v>0.47</c:v>
                </c:pt>
                <c:pt idx="26">
                  <c:v>0.4</c:v>
                </c:pt>
                <c:pt idx="27">
                  <c:v>0.39</c:v>
                </c:pt>
                <c:pt idx="28">
                  <c:v>0.3</c:v>
                </c:pt>
                <c:pt idx="29">
                  <c:v>0.38</c:v>
                </c:pt>
                <c:pt idx="30">
                  <c:v>0.44</c:v>
                </c:pt>
                <c:pt idx="31">
                  <c:v>0.42</c:v>
                </c:pt>
                <c:pt idx="32">
                  <c:v>0.38</c:v>
                </c:pt>
                <c:pt idx="33">
                  <c:v>0.32</c:v>
                </c:pt>
                <c:pt idx="34">
                  <c:v>0.37</c:v>
                </c:pt>
                <c:pt idx="35">
                  <c:v>0.39</c:v>
                </c:pt>
                <c:pt idx="36">
                  <c:v>0.37</c:v>
                </c:pt>
                <c:pt idx="37">
                  <c:v>0.36</c:v>
                </c:pt>
                <c:pt idx="38">
                  <c:v>0.28999999999999998</c:v>
                </c:pt>
                <c:pt idx="39">
                  <c:v>0.41</c:v>
                </c:pt>
                <c:pt idx="40">
                  <c:v>0.42</c:v>
                </c:pt>
                <c:pt idx="41">
                  <c:v>0.38</c:v>
                </c:pt>
              </c:numCache>
            </c:numRef>
          </c:val>
          <c:extLst>
            <c:ext xmlns:c16="http://schemas.microsoft.com/office/drawing/2014/chart" uri="{C3380CC4-5D6E-409C-BE32-E72D297353CC}">
              <c16:uniqueId val="{00000001-274A-41E4-AC73-6A514DB9CF28}"/>
            </c:ext>
          </c:extLst>
        </c:ser>
        <c:ser>
          <c:idx val="2"/>
          <c:order val="2"/>
          <c:tx>
            <c:strRef>
              <c:f>'25 Locals Visual'!$D$4</c:f>
              <c:strCache>
                <c:ptCount val="1"/>
                <c:pt idx="0">
                  <c:v>LD </c:v>
                </c:pt>
              </c:strCache>
            </c:strRef>
          </c:tx>
          <c:spPr>
            <a:solidFill>
              <a:srgbClr val="FAA01A"/>
            </a:solidFill>
            <a:ln w="25400">
              <a:noFill/>
            </a:ln>
          </c:spPr>
          <c:invertIfNegative val="0"/>
          <c:cat>
            <c:numRef>
              <c:f>'25 Locals Visual'!$A$5:$A$46</c:f>
              <c:numCache>
                <c:formatCode>General</c:formatCode>
                <c:ptCount val="42"/>
                <c:pt idx="0">
                  <c:v>2021</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pt idx="41">
                  <c:v>1979</c:v>
                </c:pt>
              </c:numCache>
            </c:numRef>
          </c:cat>
          <c:val>
            <c:numRef>
              <c:f>'25 Locals Visual'!$D$5:$D$46</c:f>
              <c:numCache>
                <c:formatCode>0%</c:formatCode>
                <c:ptCount val="42"/>
                <c:pt idx="0">
                  <c:v>0.15</c:v>
                </c:pt>
                <c:pt idx="1">
                  <c:v>0.17</c:v>
                </c:pt>
                <c:pt idx="2">
                  <c:v>0.14000000000000001</c:v>
                </c:pt>
                <c:pt idx="3">
                  <c:v>0.18</c:v>
                </c:pt>
                <c:pt idx="4">
                  <c:v>0.14000000000000001</c:v>
                </c:pt>
                <c:pt idx="5">
                  <c:v>7.9000000000000001E-2</c:v>
                </c:pt>
                <c:pt idx="6">
                  <c:v>0.11</c:v>
                </c:pt>
                <c:pt idx="7">
                  <c:v>0.13</c:v>
                </c:pt>
                <c:pt idx="8">
                  <c:v>0.15</c:v>
                </c:pt>
                <c:pt idx="9">
                  <c:v>0.16</c:v>
                </c:pt>
                <c:pt idx="10">
                  <c:v>0.23599999999999999</c:v>
                </c:pt>
                <c:pt idx="11">
                  <c:v>0.25</c:v>
                </c:pt>
                <c:pt idx="12">
                  <c:v>0.23</c:v>
                </c:pt>
                <c:pt idx="13">
                  <c:v>0.24</c:v>
                </c:pt>
                <c:pt idx="14">
                  <c:v>0.25</c:v>
                </c:pt>
                <c:pt idx="15">
                  <c:v>0.22600000000000001</c:v>
                </c:pt>
                <c:pt idx="16">
                  <c:v>0.27</c:v>
                </c:pt>
                <c:pt idx="17">
                  <c:v>0.27</c:v>
                </c:pt>
                <c:pt idx="18">
                  <c:v>0.25</c:v>
                </c:pt>
                <c:pt idx="19">
                  <c:v>0.19</c:v>
                </c:pt>
                <c:pt idx="20">
                  <c:v>0.26</c:v>
                </c:pt>
                <c:pt idx="21">
                  <c:v>0.25</c:v>
                </c:pt>
                <c:pt idx="22">
                  <c:v>0.25</c:v>
                </c:pt>
                <c:pt idx="23">
                  <c:v>0.17</c:v>
                </c:pt>
                <c:pt idx="24">
                  <c:v>0.24</c:v>
                </c:pt>
                <c:pt idx="25">
                  <c:v>0.23</c:v>
                </c:pt>
                <c:pt idx="26">
                  <c:v>0.27</c:v>
                </c:pt>
                <c:pt idx="27">
                  <c:v>0.25</c:v>
                </c:pt>
                <c:pt idx="28">
                  <c:v>0.2</c:v>
                </c:pt>
                <c:pt idx="29">
                  <c:v>0.22</c:v>
                </c:pt>
                <c:pt idx="30">
                  <c:v>0.17</c:v>
                </c:pt>
                <c:pt idx="31">
                  <c:v>0.19</c:v>
                </c:pt>
                <c:pt idx="32">
                  <c:v>0.18</c:v>
                </c:pt>
                <c:pt idx="33">
                  <c:v>0.27</c:v>
                </c:pt>
                <c:pt idx="34">
                  <c:v>0.26</c:v>
                </c:pt>
                <c:pt idx="35">
                  <c:v>0.26</c:v>
                </c:pt>
                <c:pt idx="36">
                  <c:v>0.21</c:v>
                </c:pt>
                <c:pt idx="37">
                  <c:v>0.2</c:v>
                </c:pt>
                <c:pt idx="38">
                  <c:v>0.27</c:v>
                </c:pt>
                <c:pt idx="39">
                  <c:v>0.17</c:v>
                </c:pt>
                <c:pt idx="40">
                  <c:v>0.13</c:v>
                </c:pt>
                <c:pt idx="41">
                  <c:v>0.14000000000000001</c:v>
                </c:pt>
              </c:numCache>
            </c:numRef>
          </c:val>
          <c:extLst>
            <c:ext xmlns:c16="http://schemas.microsoft.com/office/drawing/2014/chart" uri="{C3380CC4-5D6E-409C-BE32-E72D297353CC}">
              <c16:uniqueId val="{00000002-274A-41E4-AC73-6A514DB9CF28}"/>
            </c:ext>
          </c:extLst>
        </c:ser>
        <c:ser>
          <c:idx val="3"/>
          <c:order val="3"/>
          <c:tx>
            <c:strRef>
              <c:f>'25 Locals Visual'!$E$4</c:f>
              <c:strCache>
                <c:ptCount val="1"/>
                <c:pt idx="0">
                  <c:v>Other </c:v>
                </c:pt>
              </c:strCache>
            </c:strRef>
          </c:tx>
          <c:spPr>
            <a:solidFill>
              <a:srgbClr val="909090"/>
            </a:solidFill>
          </c:spPr>
          <c:invertIfNegative val="0"/>
          <c:cat>
            <c:numRef>
              <c:f>'25 Locals Visual'!$A$5:$A$46</c:f>
              <c:numCache>
                <c:formatCode>General</c:formatCode>
                <c:ptCount val="42"/>
                <c:pt idx="0">
                  <c:v>2021</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pt idx="41">
                  <c:v>1979</c:v>
                </c:pt>
              </c:numCache>
            </c:numRef>
          </c:cat>
          <c:val>
            <c:numRef>
              <c:f>'25 Locals Visual'!$E$5:$E$46</c:f>
              <c:numCache>
                <c:formatCode>0%</c:formatCode>
                <c:ptCount val="42"/>
                <c:pt idx="0">
                  <c:v>0.15</c:v>
                </c:pt>
                <c:pt idx="1">
                  <c:v>0.21</c:v>
                </c:pt>
                <c:pt idx="2">
                  <c:v>0.13</c:v>
                </c:pt>
                <c:pt idx="3">
                  <c:v>0.15</c:v>
                </c:pt>
                <c:pt idx="4">
                  <c:v>0.20999999999999991</c:v>
                </c:pt>
                <c:pt idx="5">
                  <c:v>0.249</c:v>
                </c:pt>
                <c:pt idx="6">
                  <c:v>0.27999999999999997</c:v>
                </c:pt>
                <c:pt idx="7">
                  <c:v>0.32</c:v>
                </c:pt>
                <c:pt idx="8">
                  <c:v>0.12999999999999992</c:v>
                </c:pt>
                <c:pt idx="9">
                  <c:v>0.09</c:v>
                </c:pt>
                <c:pt idx="10">
                  <c:v>9.9000000000000005E-2</c:v>
                </c:pt>
                <c:pt idx="11">
                  <c:v>0.18000000000000005</c:v>
                </c:pt>
                <c:pt idx="12">
                  <c:v>0.10000000000000006</c:v>
                </c:pt>
                <c:pt idx="13">
                  <c:v>9.9999999999999978E-2</c:v>
                </c:pt>
                <c:pt idx="14">
                  <c:v>9.9999999999999978E-2</c:v>
                </c:pt>
                <c:pt idx="15">
                  <c:v>8.0999999999999933E-2</c:v>
                </c:pt>
                <c:pt idx="16">
                  <c:v>9.9999999999999978E-2</c:v>
                </c:pt>
                <c:pt idx="17">
                  <c:v>8.0000000000000016E-2</c:v>
                </c:pt>
                <c:pt idx="18">
                  <c:v>7.9999999999999905E-2</c:v>
                </c:pt>
                <c:pt idx="19">
                  <c:v>5.9999999999999942E-2</c:v>
                </c:pt>
                <c:pt idx="20">
                  <c:v>0.06</c:v>
                </c:pt>
                <c:pt idx="21">
                  <c:v>4.9999999999999933E-2</c:v>
                </c:pt>
                <c:pt idx="22">
                  <c:v>4.9999999999999933E-2</c:v>
                </c:pt>
                <c:pt idx="23">
                  <c:v>7.9999999999999932E-2</c:v>
                </c:pt>
                <c:pt idx="24">
                  <c:v>3.999999999999998E-2</c:v>
                </c:pt>
                <c:pt idx="25">
                  <c:v>5.0000000000000017E-2</c:v>
                </c:pt>
                <c:pt idx="26">
                  <c:v>4.9999999999999933E-2</c:v>
                </c:pt>
                <c:pt idx="27">
                  <c:v>4.9999999999999933E-2</c:v>
                </c:pt>
                <c:pt idx="28">
                  <c:v>4.0000000000000036E-2</c:v>
                </c:pt>
                <c:pt idx="29">
                  <c:v>5.0000000000000017E-2</c:v>
                </c:pt>
                <c:pt idx="30">
                  <c:v>5.9999999999999915E-2</c:v>
                </c:pt>
                <c:pt idx="31">
                  <c:v>3.0000000000000027E-2</c:v>
                </c:pt>
                <c:pt idx="32">
                  <c:v>4.9999999999999989E-2</c:v>
                </c:pt>
                <c:pt idx="33">
                  <c:v>2.9999999999999971E-2</c:v>
                </c:pt>
                <c:pt idx="34">
                  <c:v>2.9999999999999916E-2</c:v>
                </c:pt>
                <c:pt idx="35">
                  <c:v>2.9999999999999916E-2</c:v>
                </c:pt>
                <c:pt idx="36">
                  <c:v>4.0000000000000008E-2</c:v>
                </c:pt>
                <c:pt idx="37">
                  <c:v>4.9999999999999989E-2</c:v>
                </c:pt>
                <c:pt idx="38">
                  <c:v>3.999999999999998E-2</c:v>
                </c:pt>
                <c:pt idx="39">
                  <c:v>4.0000000000000008E-2</c:v>
                </c:pt>
                <c:pt idx="40">
                  <c:v>4.9999999999999989E-2</c:v>
                </c:pt>
                <c:pt idx="41">
                  <c:v>3.0000000000000027E-2</c:v>
                </c:pt>
              </c:numCache>
            </c:numRef>
          </c:val>
          <c:extLst>
            <c:ext xmlns:c16="http://schemas.microsoft.com/office/drawing/2014/chart" uri="{C3380CC4-5D6E-409C-BE32-E72D297353CC}">
              <c16:uniqueId val="{00000003-274A-41E4-AC73-6A514DB9CF28}"/>
            </c:ext>
          </c:extLst>
        </c:ser>
        <c:dLbls>
          <c:showLegendKey val="0"/>
          <c:showVal val="0"/>
          <c:showCatName val="0"/>
          <c:showSerName val="0"/>
          <c:showPercent val="0"/>
          <c:showBubbleSize val="0"/>
        </c:dLbls>
        <c:gapWidth val="60"/>
        <c:overlap val="100"/>
        <c:axId val="473418312"/>
        <c:axId val="473418704"/>
      </c:barChart>
      <c:catAx>
        <c:axId val="47341831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3418704"/>
        <c:crosses val="autoZero"/>
        <c:auto val="1"/>
        <c:lblAlgn val="ctr"/>
        <c:lblOffset val="100"/>
        <c:noMultiLvlLbl val="0"/>
      </c:catAx>
      <c:valAx>
        <c:axId val="473418704"/>
        <c:scaling>
          <c:orientation val="minMax"/>
        </c:scaling>
        <c:delete val="0"/>
        <c:axPos val="b"/>
        <c:numFmt formatCode="0%" sourceLinked="1"/>
        <c:majorTickMark val="out"/>
        <c:minorTickMark val="none"/>
        <c:tickLblPos val="nextTo"/>
        <c:spPr>
          <a:noFill/>
          <a:ln>
            <a:solidFill>
              <a:schemeClr val="tx1"/>
            </a:solidFill>
          </a:ln>
          <a:effectLst/>
        </c:spPr>
        <c:txPr>
          <a:bodyPr rot="0" vert="horz"/>
          <a:lstStyle/>
          <a:p>
            <a:pPr>
              <a:defRPr/>
            </a:pPr>
            <a:endParaRPr lang="en-US"/>
          </a:p>
        </c:txPr>
        <c:crossAx val="473418312"/>
        <c:crosses val="autoZero"/>
        <c:crossBetween val="between"/>
      </c:valAx>
      <c:spPr>
        <a:noFill/>
        <a:ln w="25400">
          <a:noFill/>
        </a:ln>
      </c:spPr>
    </c:plotArea>
    <c:legend>
      <c:legendPos val="r"/>
      <c:layout>
        <c:manualLayout>
          <c:xMode val="edge"/>
          <c:yMode val="edge"/>
          <c:x val="5.0474459923358438E-7"/>
          <c:y val="2.9566046733428709E-2"/>
          <c:w val="0.79631021397050639"/>
          <c:h val="3.8149887916370959E-2"/>
        </c:manualLayout>
      </c:layout>
      <c:overlay val="0"/>
      <c:spPr>
        <a:noFill/>
        <a:ln w="25400">
          <a:noFill/>
        </a:ln>
      </c:spPr>
      <c:txPr>
        <a:bodyPr/>
        <a:lstStyle/>
        <a:p>
          <a:pPr>
            <a:defRPr sz="900"/>
          </a:pPr>
          <a:endParaRPr lang="en-US"/>
        </a:p>
      </c:txPr>
    </c:legend>
    <c:plotVisOnly val="1"/>
    <c:dispBlanksAs val="gap"/>
    <c:showDLblsOverMax val="0"/>
  </c:chart>
  <c:spPr>
    <a:solidFill>
      <a:schemeClr val="bg1"/>
    </a:solidFill>
    <a:ln w="9525" cap="flat" cmpd="sng" algn="ctr">
      <a:noFill/>
      <a:round/>
    </a:ln>
    <a:effectLst/>
  </c:spPr>
  <c:txPr>
    <a:bodyPr/>
    <a:lstStyle/>
    <a:p>
      <a:pPr>
        <a:defRPr sz="8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Frutiger LT Std 45 Light"/>
                <a:ea typeface="Frutiger LT Std 45 Light"/>
                <a:cs typeface="Frutiger LT Std 45 Light"/>
              </a:defRPr>
            </a:pPr>
            <a:r>
              <a:rPr lang="en-GB"/>
              <a:t>Council control by party immediately following elections, England</a:t>
            </a:r>
          </a:p>
        </c:rich>
      </c:tx>
      <c:layout>
        <c:manualLayout>
          <c:xMode val="edge"/>
          <c:yMode val="edge"/>
          <c:x val="0.1882290026246719"/>
          <c:y val="2.6229501312335961E-2"/>
        </c:manualLayout>
      </c:layout>
      <c:overlay val="0"/>
      <c:spPr>
        <a:noFill/>
        <a:ln w="25400">
          <a:noFill/>
        </a:ln>
      </c:spPr>
    </c:title>
    <c:autoTitleDeleted val="0"/>
    <c:plotArea>
      <c:layout>
        <c:manualLayout>
          <c:layoutTarget val="inner"/>
          <c:xMode val="edge"/>
          <c:yMode val="edge"/>
          <c:x val="8.1870516185476819E-2"/>
          <c:y val="8.5289617486338773E-2"/>
          <c:w val="0.90393657042869646"/>
          <c:h val="0.81671425498042238"/>
        </c:manualLayout>
      </c:layout>
      <c:barChart>
        <c:barDir val="col"/>
        <c:grouping val="clustered"/>
        <c:varyColors val="0"/>
        <c:ser>
          <c:idx val="0"/>
          <c:order val="0"/>
          <c:tx>
            <c:strRef>
              <c:f>'26 Councilors per party  VISUAL'!$B$8</c:f>
              <c:strCache>
                <c:ptCount val="1"/>
                <c:pt idx="0">
                  <c:v>CON</c:v>
                </c:pt>
              </c:strCache>
            </c:strRef>
          </c:tx>
          <c:spPr>
            <a:solidFill>
              <a:srgbClr val="0000FF"/>
            </a:solidFill>
            <a:ln w="25400">
              <a:noFill/>
            </a:ln>
          </c:spPr>
          <c:invertIfNegative val="0"/>
          <c:cat>
            <c:numRef>
              <c:f>'26 Councilors per party  VISUAL'!$C$7:$N$7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'26 Councilors per party  VISUAL'!$C$8:$N$8</c:f>
              <c:numCache>
                <c:formatCode>#,##0_);\(#,##0\)</c:formatCode>
                <c:ptCount val="12"/>
                <c:pt idx="0">
                  <c:v>155</c:v>
                </c:pt>
                <c:pt idx="1">
                  <c:v>168</c:v>
                </c:pt>
                <c:pt idx="2">
                  <c:v>204</c:v>
                </c:pt>
                <c:pt idx="3">
                  <c:v>213</c:v>
                </c:pt>
                <c:pt idx="4">
                  <c:v>207</c:v>
                </c:pt>
                <c:pt idx="5">
                  <c:v>199</c:v>
                </c:pt>
                <c:pt idx="6">
                  <c:v>199</c:v>
                </c:pt>
                <c:pt idx="7">
                  <c:v>190</c:v>
                </c:pt>
                <c:pt idx="8">
                  <c:v>180</c:v>
                </c:pt>
                <c:pt idx="9">
                  <c:v>164</c:v>
                </c:pt>
                <c:pt idx="10">
                  <c:v>192</c:v>
                </c:pt>
                <c:pt idx="11">
                  <c:v>191</c:v>
                </c:pt>
              </c:numCache>
            </c:numRef>
          </c:val>
          <c:extLst>
            <c:ext xmlns:c16="http://schemas.microsoft.com/office/drawing/2014/chart" uri="{C3380CC4-5D6E-409C-BE32-E72D297353CC}">
              <c16:uniqueId val="{00000000-696C-452A-8950-988343492287}"/>
            </c:ext>
          </c:extLst>
        </c:ser>
        <c:ser>
          <c:idx val="1"/>
          <c:order val="1"/>
          <c:tx>
            <c:strRef>
              <c:f>'26 Councilors per party  VISUAL'!$B$9</c:f>
              <c:strCache>
                <c:ptCount val="1"/>
                <c:pt idx="0">
                  <c:v>LAB</c:v>
                </c:pt>
              </c:strCache>
            </c:strRef>
          </c:tx>
          <c:spPr>
            <a:solidFill>
              <a:srgbClr val="FF0000"/>
            </a:solidFill>
            <a:ln w="25400">
              <a:noFill/>
            </a:ln>
          </c:spPr>
          <c:invertIfNegative val="0"/>
          <c:cat>
            <c:numRef>
              <c:f>'26 Councilors per party  VISUAL'!$C$7:$N$7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'26 Councilors per party  VISUAL'!$C$9:$N$9</c:f>
              <c:numCache>
                <c:formatCode>#,##0_);\(#,##0\)</c:formatCode>
                <c:ptCount val="12"/>
                <c:pt idx="0">
                  <c:v>71</c:v>
                </c:pt>
                <c:pt idx="1">
                  <c:v>54</c:v>
                </c:pt>
                <c:pt idx="2">
                  <c:v>48</c:v>
                </c:pt>
                <c:pt idx="3">
                  <c:v>44</c:v>
                </c:pt>
                <c:pt idx="4">
                  <c:v>33</c:v>
                </c:pt>
                <c:pt idx="5">
                  <c:v>50</c:v>
                </c:pt>
                <c:pt idx="6">
                  <c:v>77</c:v>
                </c:pt>
                <c:pt idx="7">
                  <c:v>100</c:v>
                </c:pt>
                <c:pt idx="8">
                  <c:v>103</c:v>
                </c:pt>
                <c:pt idx="9">
                  <c:v>106</c:v>
                </c:pt>
                <c:pt idx="10">
                  <c:v>100</c:v>
                </c:pt>
                <c:pt idx="11">
                  <c:v>100</c:v>
                </c:pt>
              </c:numCache>
            </c:numRef>
          </c:val>
          <c:extLst>
            <c:ext xmlns:c16="http://schemas.microsoft.com/office/drawing/2014/chart" uri="{C3380CC4-5D6E-409C-BE32-E72D297353CC}">
              <c16:uniqueId val="{00000001-696C-452A-8950-988343492287}"/>
            </c:ext>
          </c:extLst>
        </c:ser>
        <c:ser>
          <c:idx val="2"/>
          <c:order val="2"/>
          <c:tx>
            <c:strRef>
              <c:f>'26 Councilors per party  VISUAL'!$B$10</c:f>
              <c:strCache>
                <c:ptCount val="1"/>
                <c:pt idx="0">
                  <c:v>LD</c:v>
                </c:pt>
              </c:strCache>
            </c:strRef>
          </c:tx>
          <c:spPr>
            <a:solidFill>
              <a:srgbClr val="FFC000"/>
            </a:solidFill>
            <a:ln w="25400">
              <a:noFill/>
            </a:ln>
          </c:spPr>
          <c:invertIfNegative val="0"/>
          <c:cat>
            <c:numRef>
              <c:f>'26 Councilors per party  VISUAL'!$C$7:$N$7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'26 Councilors per party  VISUAL'!$C$10:$N$10</c:f>
              <c:numCache>
                <c:formatCode>#,##0_);\(#,##0\)</c:formatCode>
                <c:ptCount val="12"/>
                <c:pt idx="0">
                  <c:v>31</c:v>
                </c:pt>
                <c:pt idx="1">
                  <c:v>32</c:v>
                </c:pt>
                <c:pt idx="2">
                  <c:v>29</c:v>
                </c:pt>
                <c:pt idx="3">
                  <c:v>29</c:v>
                </c:pt>
                <c:pt idx="4">
                  <c:v>26</c:v>
                </c:pt>
                <c:pt idx="5">
                  <c:v>25</c:v>
                </c:pt>
                <c:pt idx="6">
                  <c:v>14</c:v>
                </c:pt>
                <c:pt idx="7">
                  <c:v>12</c:v>
                </c:pt>
                <c:pt idx="8">
                  <c:v>12</c:v>
                </c:pt>
                <c:pt idx="9">
                  <c:v>10</c:v>
                </c:pt>
                <c:pt idx="10">
                  <c:v>6</c:v>
                </c:pt>
                <c:pt idx="11">
                  <c:v>7</c:v>
                </c:pt>
              </c:numCache>
            </c:numRef>
          </c:val>
          <c:extLst>
            <c:ext xmlns:c16="http://schemas.microsoft.com/office/drawing/2014/chart" uri="{C3380CC4-5D6E-409C-BE32-E72D297353CC}">
              <c16:uniqueId val="{00000002-696C-452A-8950-988343492287}"/>
            </c:ext>
          </c:extLst>
        </c:ser>
        <c:ser>
          <c:idx val="3"/>
          <c:order val="3"/>
          <c:tx>
            <c:strRef>
              <c:f>'26 Councilors per party  VISUAL'!$B$11</c:f>
              <c:strCache>
                <c:ptCount val="1"/>
                <c:pt idx="0">
                  <c:v>Ind/Other</c:v>
                </c:pt>
              </c:strCache>
            </c:strRef>
          </c:tx>
          <c:spPr>
            <a:solidFill>
              <a:schemeClr val="bg1">
                <a:lumMod val="65000"/>
              </a:schemeClr>
            </a:solidFill>
            <a:ln>
              <a:noFill/>
            </a:ln>
            <a:effectLst/>
          </c:spPr>
          <c:invertIfNegative val="0"/>
          <c:cat>
            <c:numRef>
              <c:f>'26 Councilors per party  VISUAL'!$C$7:$N$7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'26 Councilors per party  VISUAL'!$C$11:$N$11</c:f>
              <c:numCache>
                <c:formatCode>#,##0_);\(#,##0\)</c:formatCode>
                <c:ptCount val="12"/>
                <c:pt idx="0">
                  <c:v>7</c:v>
                </c:pt>
                <c:pt idx="1">
                  <c:v>5</c:v>
                </c:pt>
                <c:pt idx="2">
                  <c:v>5</c:v>
                </c:pt>
                <c:pt idx="3">
                  <c:v>5</c:v>
                </c:pt>
                <c:pt idx="4">
                  <c:v>4</c:v>
                </c:pt>
                <c:pt idx="5">
                  <c:v>4</c:v>
                </c:pt>
                <c:pt idx="6">
                  <c:v>1</c:v>
                </c:pt>
                <c:pt idx="7">
                  <c:v>1</c:v>
                </c:pt>
                <c:pt idx="8">
                  <c:v>1</c:v>
                </c:pt>
                <c:pt idx="9">
                  <c:v>1</c:v>
                </c:pt>
                <c:pt idx="10">
                  <c:v>2</c:v>
                </c:pt>
                <c:pt idx="11">
                  <c:v>1</c:v>
                </c:pt>
              </c:numCache>
            </c:numRef>
          </c:val>
          <c:extLst>
            <c:ext xmlns:c16="http://schemas.microsoft.com/office/drawing/2014/chart" uri="{C3380CC4-5D6E-409C-BE32-E72D297353CC}">
              <c16:uniqueId val="{00000003-696C-452A-8950-988343492287}"/>
            </c:ext>
          </c:extLst>
        </c:ser>
        <c:ser>
          <c:idx val="4"/>
          <c:order val="4"/>
          <c:tx>
            <c:strRef>
              <c:f>'26 Councilors per party  VISUAL'!$B$12</c:f>
              <c:strCache>
                <c:ptCount val="1"/>
                <c:pt idx="0">
                  <c:v>NOC</c:v>
                </c:pt>
              </c:strCache>
            </c:strRef>
          </c:tx>
          <c:spPr>
            <a:solidFill>
              <a:schemeClr val="bg1">
                <a:lumMod val="50000"/>
              </a:schemeClr>
            </a:solidFill>
            <a:ln>
              <a:noFill/>
            </a:ln>
            <a:effectLst/>
          </c:spPr>
          <c:invertIfNegative val="0"/>
          <c:cat>
            <c:numRef>
              <c:f>'26 Councilors per party  VISUAL'!$C$7:$N$7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'26 Councilors per party  VISUAL'!$C$12:$N$12</c:f>
              <c:numCache>
                <c:formatCode>#,##0_);\(#,##0\)</c:formatCode>
                <c:ptCount val="12"/>
                <c:pt idx="0">
                  <c:v>122</c:v>
                </c:pt>
                <c:pt idx="1">
                  <c:v>127</c:v>
                </c:pt>
                <c:pt idx="2">
                  <c:v>100</c:v>
                </c:pt>
                <c:pt idx="3">
                  <c:v>95</c:v>
                </c:pt>
                <c:pt idx="4">
                  <c:v>81</c:v>
                </c:pt>
                <c:pt idx="5">
                  <c:v>73</c:v>
                </c:pt>
                <c:pt idx="6">
                  <c:v>60</c:v>
                </c:pt>
                <c:pt idx="7">
                  <c:v>48</c:v>
                </c:pt>
                <c:pt idx="8">
                  <c:v>55</c:v>
                </c:pt>
                <c:pt idx="9">
                  <c:v>70</c:v>
                </c:pt>
                <c:pt idx="10">
                  <c:v>51</c:v>
                </c:pt>
                <c:pt idx="11">
                  <c:v>52</c:v>
                </c:pt>
              </c:numCache>
            </c:numRef>
          </c:val>
          <c:extLst>
            <c:ext xmlns:c16="http://schemas.microsoft.com/office/drawing/2014/chart" uri="{C3380CC4-5D6E-409C-BE32-E72D297353CC}">
              <c16:uniqueId val="{00000004-696C-452A-8950-988343492287}"/>
            </c:ext>
          </c:extLst>
        </c:ser>
        <c:dLbls>
          <c:showLegendKey val="0"/>
          <c:showVal val="0"/>
          <c:showCatName val="0"/>
          <c:showSerName val="0"/>
          <c:showPercent val="0"/>
          <c:showBubbleSize val="0"/>
        </c:dLbls>
        <c:gapWidth val="219"/>
        <c:overlap val="-27"/>
        <c:axId val="473419488"/>
        <c:axId val="473419880"/>
      </c:barChart>
      <c:catAx>
        <c:axId val="47341948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9880"/>
        <c:crosses val="autoZero"/>
        <c:auto val="1"/>
        <c:lblAlgn val="ctr"/>
        <c:lblOffset val="100"/>
        <c:noMultiLvlLbl val="0"/>
      </c:catAx>
      <c:valAx>
        <c:axId val="473419880"/>
        <c:scaling>
          <c:orientation val="minMax"/>
        </c:scaling>
        <c:delete val="0"/>
        <c:axPos val="l"/>
        <c:numFmt formatCode="#,##0_);\(#,##0\)" sourceLinked="1"/>
        <c:majorTickMark val="out"/>
        <c:minorTickMark val="none"/>
        <c:tickLblPos val="nextTo"/>
        <c:spPr>
          <a:noFill/>
          <a:ln>
            <a:solidFill>
              <a:schemeClr val="accent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19488"/>
        <c:crosses val="autoZero"/>
        <c:crossBetween val="between"/>
      </c:valAx>
      <c:spPr>
        <a:noFill/>
        <a:ln w="25400">
          <a:noFill/>
        </a:ln>
      </c:spPr>
    </c:plotArea>
    <c:legend>
      <c:legendPos val="r"/>
      <c:layout>
        <c:manualLayout>
          <c:xMode val="edge"/>
          <c:yMode val="edge"/>
          <c:x val="0.66875131233595808"/>
          <c:y val="0.11600041994750657"/>
          <c:w val="0.31458398950131228"/>
          <c:h val="0.12800041994750655"/>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870516185476819E-2"/>
          <c:y val="0.16927225005965166"/>
          <c:w val="0.79392424905220182"/>
          <c:h val="0.69012741589119542"/>
        </c:manualLayout>
      </c:layout>
      <c:barChart>
        <c:barDir val="col"/>
        <c:grouping val="stacked"/>
        <c:varyColors val="0"/>
        <c:ser>
          <c:idx val="0"/>
          <c:order val="0"/>
          <c:tx>
            <c:strRef>
              <c:f>'26 Councilors per party  VISUAL'!$B$17</c:f>
              <c:strCache>
                <c:ptCount val="1"/>
                <c:pt idx="0">
                  <c:v>CON</c:v>
                </c:pt>
              </c:strCache>
            </c:strRef>
          </c:tx>
          <c:spPr>
            <a:solidFill>
              <a:srgbClr val="00539F"/>
            </a:solidFill>
            <a:ln w="25400">
              <a:noFill/>
            </a:ln>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VISUAL'!$C$17:$R$17</c:f>
              <c:numCache>
                <c:formatCode>#,##0_);\(#,##0\)</c:formatCode>
                <c:ptCount val="16"/>
                <c:pt idx="0">
                  <c:v>1</c:v>
                </c:pt>
                <c:pt idx="1">
                  <c:v>1</c:v>
                </c:pt>
                <c:pt idx="2">
                  <c:v>1</c:v>
                </c:pt>
                <c:pt idx="3">
                  <c:v>2</c:v>
                </c:pt>
                <c:pt idx="4">
                  <c:v>2</c:v>
                </c:pt>
                <c:pt idx="5">
                  <c:v>2</c:v>
                </c:pt>
                <c:pt idx="6">
                  <c:v>2</c:v>
                </c:pt>
                <c:pt idx="7">
                  <c:v>0</c:v>
                </c:pt>
                <c:pt idx="8">
                  <c:v>0</c:v>
                </c:pt>
                <c:pt idx="9">
                  <c:v>0</c:v>
                </c:pt>
                <c:pt idx="10">
                  <c:v>0</c:v>
                </c:pt>
                <c:pt idx="11">
                  <c:v>0</c:v>
                </c:pt>
                <c:pt idx="12">
                  <c:v>1</c:v>
                </c:pt>
                <c:pt idx="13">
                  <c:v>1</c:v>
                </c:pt>
                <c:pt idx="14">
                  <c:v>1</c:v>
                </c:pt>
                <c:pt idx="15">
                  <c:v>1</c:v>
                </c:pt>
              </c:numCache>
            </c:numRef>
          </c:val>
          <c:extLst>
            <c:ext xmlns:c16="http://schemas.microsoft.com/office/drawing/2014/chart" uri="{C3380CC4-5D6E-409C-BE32-E72D297353CC}">
              <c16:uniqueId val="{00000000-619C-489E-BE22-B32A358568C4}"/>
            </c:ext>
          </c:extLst>
        </c:ser>
        <c:ser>
          <c:idx val="1"/>
          <c:order val="1"/>
          <c:tx>
            <c:strRef>
              <c:f>'26 Councilors per party  VISUAL'!$B$18</c:f>
              <c:strCache>
                <c:ptCount val="1"/>
                <c:pt idx="0">
                  <c:v>LAB</c:v>
                </c:pt>
              </c:strCache>
            </c:strRef>
          </c:tx>
          <c:spPr>
            <a:solidFill>
              <a:srgbClr val="D50000"/>
            </a:solidFill>
            <a:ln w="25400">
              <a:noFill/>
            </a:ln>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VISUAL'!$C$18:$R$18</c:f>
              <c:numCache>
                <c:formatCode>#,##0_);\(#,##0\)</c:formatCode>
                <c:ptCount val="16"/>
                <c:pt idx="0">
                  <c:v>8</c:v>
                </c:pt>
                <c:pt idx="1">
                  <c:v>8</c:v>
                </c:pt>
                <c:pt idx="2">
                  <c:v>8</c:v>
                </c:pt>
                <c:pt idx="3">
                  <c:v>2</c:v>
                </c:pt>
                <c:pt idx="4">
                  <c:v>2</c:v>
                </c:pt>
                <c:pt idx="5">
                  <c:v>2</c:v>
                </c:pt>
                <c:pt idx="6">
                  <c:v>2</c:v>
                </c:pt>
                <c:pt idx="7">
                  <c:v>10</c:v>
                </c:pt>
                <c:pt idx="8">
                  <c:v>10</c:v>
                </c:pt>
                <c:pt idx="9">
                  <c:v>10</c:v>
                </c:pt>
                <c:pt idx="10">
                  <c:v>10</c:v>
                </c:pt>
                <c:pt idx="11">
                  <c:v>10</c:v>
                </c:pt>
                <c:pt idx="12">
                  <c:v>7</c:v>
                </c:pt>
                <c:pt idx="13">
                  <c:v>7</c:v>
                </c:pt>
                <c:pt idx="14">
                  <c:v>7</c:v>
                </c:pt>
                <c:pt idx="15">
                  <c:v>7</c:v>
                </c:pt>
              </c:numCache>
            </c:numRef>
          </c:val>
          <c:extLst>
            <c:ext xmlns:c16="http://schemas.microsoft.com/office/drawing/2014/chart" uri="{C3380CC4-5D6E-409C-BE32-E72D297353CC}">
              <c16:uniqueId val="{00000001-619C-489E-BE22-B32A358568C4}"/>
            </c:ext>
          </c:extLst>
        </c:ser>
        <c:ser>
          <c:idx val="2"/>
          <c:order val="2"/>
          <c:tx>
            <c:strRef>
              <c:f>'26 Councilors per party  VISUAL'!$B$19</c:f>
              <c:strCache>
                <c:ptCount val="1"/>
                <c:pt idx="0">
                  <c:v>LD</c:v>
                </c:pt>
              </c:strCache>
            </c:strRef>
          </c:tx>
          <c:spPr>
            <a:solidFill>
              <a:srgbClr val="FFC000"/>
            </a:solidFill>
            <a:ln w="25400">
              <a:noFill/>
            </a:ln>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VISUAL'!$C$19:$R$19</c:f>
              <c:numCache>
                <c:formatCode>#,##0_);\(#,##0\)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19C-489E-BE22-B32A358568C4}"/>
            </c:ext>
          </c:extLst>
        </c:ser>
        <c:ser>
          <c:idx val="3"/>
          <c:order val="3"/>
          <c:tx>
            <c:strRef>
              <c:f>'26 Councilors per party  VISUAL'!$B$20</c:f>
              <c:strCache>
                <c:ptCount val="1"/>
                <c:pt idx="0">
                  <c:v>Ind/Other</c:v>
                </c:pt>
              </c:strCache>
            </c:strRef>
          </c:tx>
          <c:spPr>
            <a:solidFill>
              <a:srgbClr val="909090"/>
            </a:solidFill>
            <a:ln>
              <a:noFill/>
            </a:ln>
            <a:effectLst/>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VISUAL'!$C$20:$R$20</c:f>
              <c:numCache>
                <c:formatCode>#,##0_);\(#,##0\)</c:formatCode>
                <c:ptCount val="16"/>
                <c:pt idx="0">
                  <c:v>3</c:v>
                </c:pt>
                <c:pt idx="1">
                  <c:v>3</c:v>
                </c:pt>
                <c:pt idx="2">
                  <c:v>3</c:v>
                </c:pt>
                <c:pt idx="3">
                  <c:v>5</c:v>
                </c:pt>
                <c:pt idx="4">
                  <c:v>5</c:v>
                </c:pt>
                <c:pt idx="5">
                  <c:v>5</c:v>
                </c:pt>
                <c:pt idx="6">
                  <c:v>5</c:v>
                </c:pt>
                <c:pt idx="7">
                  <c:v>3</c:v>
                </c:pt>
                <c:pt idx="8">
                  <c:v>2</c:v>
                </c:pt>
                <c:pt idx="9">
                  <c:v>2</c:v>
                </c:pt>
                <c:pt idx="10">
                  <c:v>2</c:v>
                </c:pt>
                <c:pt idx="11">
                  <c:v>2</c:v>
                </c:pt>
                <c:pt idx="12">
                  <c:v>3</c:v>
                </c:pt>
                <c:pt idx="13">
                  <c:v>3</c:v>
                </c:pt>
                <c:pt idx="14">
                  <c:v>3</c:v>
                </c:pt>
                <c:pt idx="15">
                  <c:v>3</c:v>
                </c:pt>
              </c:numCache>
            </c:numRef>
          </c:val>
          <c:extLst>
            <c:ext xmlns:c16="http://schemas.microsoft.com/office/drawing/2014/chart" uri="{C3380CC4-5D6E-409C-BE32-E72D297353CC}">
              <c16:uniqueId val="{00000003-619C-489E-BE22-B32A358568C4}"/>
            </c:ext>
          </c:extLst>
        </c:ser>
        <c:ser>
          <c:idx val="4"/>
          <c:order val="4"/>
          <c:tx>
            <c:strRef>
              <c:f>'26 Councilors per party  VISUAL'!$B$21</c:f>
              <c:strCache>
                <c:ptCount val="1"/>
                <c:pt idx="0">
                  <c:v>PC</c:v>
                </c:pt>
              </c:strCache>
            </c:strRef>
          </c:tx>
          <c:spPr>
            <a:solidFill>
              <a:srgbClr val="348837"/>
            </a:solidFill>
            <a:ln w="25400">
              <a:noFill/>
            </a:ln>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VISUAL'!$C$21:$R$21</c:f>
              <c:numCache>
                <c:formatCode>#,##0_);\(#,##0\)</c:formatCode>
                <c:ptCount val="16"/>
                <c:pt idx="0">
                  <c:v>1</c:v>
                </c:pt>
                <c:pt idx="1">
                  <c:v>1</c:v>
                </c:pt>
                <c:pt idx="2">
                  <c:v>1</c:v>
                </c:pt>
                <c:pt idx="3">
                  <c:v>0</c:v>
                </c:pt>
                <c:pt idx="4">
                  <c:v>0</c:v>
                </c:pt>
                <c:pt idx="5">
                  <c:v>0</c:v>
                </c:pt>
                <c:pt idx="6">
                  <c:v>0</c:v>
                </c:pt>
                <c:pt idx="7">
                  <c:v>0</c:v>
                </c:pt>
                <c:pt idx="8">
                  <c:v>0</c:v>
                </c:pt>
                <c:pt idx="9">
                  <c:v>0</c:v>
                </c:pt>
                <c:pt idx="10">
                  <c:v>0</c:v>
                </c:pt>
                <c:pt idx="11">
                  <c:v>1</c:v>
                </c:pt>
                <c:pt idx="12">
                  <c:v>1</c:v>
                </c:pt>
                <c:pt idx="13">
                  <c:v>1</c:v>
                </c:pt>
                <c:pt idx="14">
                  <c:v>1</c:v>
                </c:pt>
                <c:pt idx="15">
                  <c:v>1</c:v>
                </c:pt>
              </c:numCache>
            </c:numRef>
          </c:val>
          <c:extLst>
            <c:ext xmlns:c16="http://schemas.microsoft.com/office/drawing/2014/chart" uri="{C3380CC4-5D6E-409C-BE32-E72D297353CC}">
              <c16:uniqueId val="{00000004-619C-489E-BE22-B32A358568C4}"/>
            </c:ext>
          </c:extLst>
        </c:ser>
        <c:ser>
          <c:idx val="5"/>
          <c:order val="5"/>
          <c:tx>
            <c:strRef>
              <c:f>'26 Councilors per party  VISUAL'!$B$22</c:f>
              <c:strCache>
                <c:ptCount val="1"/>
                <c:pt idx="0">
                  <c:v>NOC</c:v>
                </c:pt>
              </c:strCache>
            </c:strRef>
          </c:tx>
          <c:spPr>
            <a:solidFill>
              <a:schemeClr val="accent2"/>
            </a:solidFill>
            <a:ln w="25400">
              <a:noFill/>
            </a:ln>
          </c:spPr>
          <c:invertIfNegative val="0"/>
          <c:cat>
            <c:numRef>
              <c:f>'26 Councilors per party  VISUAL'!$C$16:$R$16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VISUAL'!$C$22:$R$22</c:f>
              <c:numCache>
                <c:formatCode>#,##0_);\(#,##0\)</c:formatCode>
                <c:ptCount val="16"/>
                <c:pt idx="0">
                  <c:v>9</c:v>
                </c:pt>
                <c:pt idx="1">
                  <c:v>9</c:v>
                </c:pt>
                <c:pt idx="2">
                  <c:v>9</c:v>
                </c:pt>
                <c:pt idx="3">
                  <c:v>13</c:v>
                </c:pt>
                <c:pt idx="4">
                  <c:v>13</c:v>
                </c:pt>
                <c:pt idx="5">
                  <c:v>13</c:v>
                </c:pt>
                <c:pt idx="6">
                  <c:v>13</c:v>
                </c:pt>
                <c:pt idx="7">
                  <c:v>9</c:v>
                </c:pt>
                <c:pt idx="8">
                  <c:v>10</c:v>
                </c:pt>
                <c:pt idx="9">
                  <c:v>10</c:v>
                </c:pt>
                <c:pt idx="10">
                  <c:v>10</c:v>
                </c:pt>
                <c:pt idx="11">
                  <c:v>9</c:v>
                </c:pt>
                <c:pt idx="12">
                  <c:v>10</c:v>
                </c:pt>
                <c:pt idx="13">
                  <c:v>10</c:v>
                </c:pt>
                <c:pt idx="14">
                  <c:v>10</c:v>
                </c:pt>
                <c:pt idx="15">
                  <c:v>10</c:v>
                </c:pt>
              </c:numCache>
            </c:numRef>
          </c:val>
          <c:extLst>
            <c:ext xmlns:c16="http://schemas.microsoft.com/office/drawing/2014/chart" uri="{C3380CC4-5D6E-409C-BE32-E72D297353CC}">
              <c16:uniqueId val="{00000005-619C-489E-BE22-B32A358568C4}"/>
            </c:ext>
          </c:extLst>
        </c:ser>
        <c:dLbls>
          <c:showLegendKey val="0"/>
          <c:showVal val="0"/>
          <c:showCatName val="0"/>
          <c:showSerName val="0"/>
          <c:showPercent val="0"/>
          <c:showBubbleSize val="0"/>
        </c:dLbls>
        <c:gapWidth val="50"/>
        <c:overlap val="100"/>
        <c:axId val="473420664"/>
        <c:axId val="473421056"/>
      </c:barChart>
      <c:catAx>
        <c:axId val="47342066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3421056"/>
        <c:crosses val="autoZero"/>
        <c:auto val="1"/>
        <c:lblAlgn val="ctr"/>
        <c:lblOffset val="100"/>
        <c:noMultiLvlLbl val="0"/>
      </c:catAx>
      <c:valAx>
        <c:axId val="473421056"/>
        <c:scaling>
          <c:orientation val="minMax"/>
          <c:max val="22"/>
          <c:min val="0"/>
        </c:scaling>
        <c:delete val="0"/>
        <c:axPos val="l"/>
        <c:numFmt formatCode="General" sourceLinked="0"/>
        <c:majorTickMark val="out"/>
        <c:minorTickMark val="none"/>
        <c:tickLblPos val="nextTo"/>
        <c:spPr>
          <a:noFill/>
          <a:ln>
            <a:solidFill>
              <a:schemeClr val="accent1"/>
            </a:solidFill>
          </a:ln>
          <a:effectLst/>
        </c:spPr>
        <c:txPr>
          <a:bodyPr rot="0" vert="horz"/>
          <a:lstStyle/>
          <a:p>
            <a:pPr>
              <a:defRPr/>
            </a:pPr>
            <a:endParaRPr lang="en-US"/>
          </a:p>
        </c:txPr>
        <c:crossAx val="473420664"/>
        <c:crosses val="autoZero"/>
        <c:crossBetween val="between"/>
        <c:majorUnit val="5"/>
      </c:valAx>
      <c:spPr>
        <a:noFill/>
        <a:ln w="25400">
          <a:noFill/>
        </a:ln>
      </c:spPr>
    </c:plotArea>
    <c:legend>
      <c:legendPos val="r"/>
      <c:layout>
        <c:manualLayout>
          <c:xMode val="edge"/>
          <c:yMode val="edge"/>
          <c:x val="0.86170742653564791"/>
          <c:y val="0.13372165189328114"/>
          <c:w val="0.1336928693265538"/>
          <c:h val="0.61046694744552288"/>
        </c:manualLayout>
      </c:layout>
      <c:overlay val="0"/>
      <c:spPr>
        <a:noFill/>
        <a:ln w="25400">
          <a:noFill/>
        </a:ln>
      </c:spPr>
      <c:txPr>
        <a:bodyPr/>
        <a:lstStyle/>
        <a:p>
          <a:pPr>
            <a:defRPr sz="900"/>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orientation="portrait"/>
  </c:printSettings>
  <c:userShapes r:id="rId1"/>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Frutiger LT Std 45 Light"/>
                <a:ea typeface="Frutiger LT Std 45 Light"/>
                <a:cs typeface="Frutiger LT Std 45 Light"/>
              </a:defRPr>
            </a:pPr>
            <a:r>
              <a:rPr lang="en-GB"/>
              <a:t>Council control by party immediately following elections, England</a:t>
            </a:r>
          </a:p>
        </c:rich>
      </c:tx>
      <c:layout>
        <c:manualLayout>
          <c:xMode val="edge"/>
          <c:yMode val="edge"/>
          <c:x val="0.1882290026246719"/>
          <c:y val="2.6229501312335961E-2"/>
        </c:manualLayout>
      </c:layout>
      <c:overlay val="0"/>
      <c:spPr>
        <a:noFill/>
        <a:ln w="25400">
          <a:noFill/>
        </a:ln>
      </c:spPr>
    </c:title>
    <c:autoTitleDeleted val="0"/>
    <c:plotArea>
      <c:layout>
        <c:manualLayout>
          <c:layoutTarget val="inner"/>
          <c:xMode val="edge"/>
          <c:yMode val="edge"/>
          <c:x val="8.1870516185476819E-2"/>
          <c:y val="8.5289617486338773E-2"/>
          <c:w val="0.90393657042869646"/>
          <c:h val="0.81671425498042238"/>
        </c:manualLayout>
      </c:layout>
      <c:lineChart>
        <c:grouping val="standard"/>
        <c:varyColors val="0"/>
        <c:ser>
          <c:idx val="0"/>
          <c:order val="0"/>
          <c:tx>
            <c:strRef>
              <c:f>'26 Councilors per party  VISUAL'!$B$8</c:f>
              <c:strCache>
                <c:ptCount val="1"/>
                <c:pt idx="0">
                  <c:v>CON</c:v>
                </c:pt>
              </c:strCache>
            </c:strRef>
          </c:tx>
          <c:spPr>
            <a:ln w="25400">
              <a:solidFill>
                <a:srgbClr val="0000FF"/>
              </a:solidFill>
              <a:prstDash val="solid"/>
            </a:ln>
          </c:spPr>
          <c:marker>
            <c:symbol val="none"/>
          </c:marker>
          <c:cat>
            <c:numRef>
              <c:f>'26 Councilors per party  VISUAL'!$C$7:$Q$7</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VISUAL'!$C$8:$Q$8</c:f>
              <c:numCache>
                <c:formatCode>#,##0_);\(#,##0\)</c:formatCode>
                <c:ptCount val="15"/>
                <c:pt idx="0">
                  <c:v>155</c:v>
                </c:pt>
                <c:pt idx="1">
                  <c:v>168</c:v>
                </c:pt>
                <c:pt idx="2">
                  <c:v>204</c:v>
                </c:pt>
                <c:pt idx="3">
                  <c:v>213</c:v>
                </c:pt>
                <c:pt idx="4">
                  <c:v>207</c:v>
                </c:pt>
                <c:pt idx="5">
                  <c:v>199</c:v>
                </c:pt>
                <c:pt idx="6">
                  <c:v>199</c:v>
                </c:pt>
                <c:pt idx="7">
                  <c:v>190</c:v>
                </c:pt>
                <c:pt idx="8">
                  <c:v>180</c:v>
                </c:pt>
                <c:pt idx="9">
                  <c:v>164</c:v>
                </c:pt>
                <c:pt idx="10">
                  <c:v>192</c:v>
                </c:pt>
                <c:pt idx="11">
                  <c:v>191</c:v>
                </c:pt>
                <c:pt idx="12">
                  <c:v>200</c:v>
                </c:pt>
                <c:pt idx="13">
                  <c:v>198</c:v>
                </c:pt>
                <c:pt idx="14">
                  <c:v>143</c:v>
                </c:pt>
              </c:numCache>
            </c:numRef>
          </c:val>
          <c:smooth val="0"/>
          <c:extLst>
            <c:ext xmlns:c16="http://schemas.microsoft.com/office/drawing/2014/chart" uri="{C3380CC4-5D6E-409C-BE32-E72D297353CC}">
              <c16:uniqueId val="{00000000-680A-4D91-8901-80F7494E828E}"/>
            </c:ext>
          </c:extLst>
        </c:ser>
        <c:ser>
          <c:idx val="1"/>
          <c:order val="1"/>
          <c:tx>
            <c:strRef>
              <c:f>'26 Councilors per party  VISUAL'!$B$9</c:f>
              <c:strCache>
                <c:ptCount val="1"/>
                <c:pt idx="0">
                  <c:v>LAB</c:v>
                </c:pt>
              </c:strCache>
            </c:strRef>
          </c:tx>
          <c:spPr>
            <a:ln w="25400">
              <a:solidFill>
                <a:srgbClr val="FF0000"/>
              </a:solidFill>
              <a:prstDash val="solid"/>
            </a:ln>
          </c:spPr>
          <c:marker>
            <c:symbol val="none"/>
          </c:marker>
          <c:cat>
            <c:numRef>
              <c:f>'26 Councilors per party  VISUAL'!$C$7:$Q$7</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VISUAL'!$C$9:$Q$9</c:f>
              <c:numCache>
                <c:formatCode>#,##0_);\(#,##0\)</c:formatCode>
                <c:ptCount val="15"/>
                <c:pt idx="0">
                  <c:v>71</c:v>
                </c:pt>
                <c:pt idx="1">
                  <c:v>54</c:v>
                </c:pt>
                <c:pt idx="2">
                  <c:v>48</c:v>
                </c:pt>
                <c:pt idx="3">
                  <c:v>44</c:v>
                </c:pt>
                <c:pt idx="4">
                  <c:v>33</c:v>
                </c:pt>
                <c:pt idx="5">
                  <c:v>50</c:v>
                </c:pt>
                <c:pt idx="6">
                  <c:v>77</c:v>
                </c:pt>
                <c:pt idx="7">
                  <c:v>100</c:v>
                </c:pt>
                <c:pt idx="8">
                  <c:v>103</c:v>
                </c:pt>
                <c:pt idx="9">
                  <c:v>106</c:v>
                </c:pt>
                <c:pt idx="10">
                  <c:v>100</c:v>
                </c:pt>
                <c:pt idx="11">
                  <c:v>100</c:v>
                </c:pt>
                <c:pt idx="12">
                  <c:v>99</c:v>
                </c:pt>
                <c:pt idx="13">
                  <c:v>98</c:v>
                </c:pt>
                <c:pt idx="14">
                  <c:v>91</c:v>
                </c:pt>
              </c:numCache>
            </c:numRef>
          </c:val>
          <c:smooth val="0"/>
          <c:extLst>
            <c:ext xmlns:c16="http://schemas.microsoft.com/office/drawing/2014/chart" uri="{C3380CC4-5D6E-409C-BE32-E72D297353CC}">
              <c16:uniqueId val="{00000001-680A-4D91-8901-80F7494E828E}"/>
            </c:ext>
          </c:extLst>
        </c:ser>
        <c:ser>
          <c:idx val="2"/>
          <c:order val="2"/>
          <c:tx>
            <c:strRef>
              <c:f>'26 Councilors per party  VISUAL'!$B$10</c:f>
              <c:strCache>
                <c:ptCount val="1"/>
                <c:pt idx="0">
                  <c:v>LD</c:v>
                </c:pt>
              </c:strCache>
            </c:strRef>
          </c:tx>
          <c:spPr>
            <a:ln w="28575" cap="rnd">
              <a:solidFill>
                <a:srgbClr val="FFC000"/>
              </a:solidFill>
              <a:round/>
            </a:ln>
            <a:effectLst/>
          </c:spPr>
          <c:marker>
            <c:symbol val="none"/>
          </c:marker>
          <c:cat>
            <c:numRef>
              <c:f>'26 Councilors per party  VISUAL'!$C$7:$Q$7</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VISUAL'!$C$10:$Q$10</c:f>
              <c:numCache>
                <c:formatCode>#,##0_);\(#,##0\)</c:formatCode>
                <c:ptCount val="15"/>
                <c:pt idx="0">
                  <c:v>31</c:v>
                </c:pt>
                <c:pt idx="1">
                  <c:v>32</c:v>
                </c:pt>
                <c:pt idx="2">
                  <c:v>29</c:v>
                </c:pt>
                <c:pt idx="3">
                  <c:v>29</c:v>
                </c:pt>
                <c:pt idx="4">
                  <c:v>26</c:v>
                </c:pt>
                <c:pt idx="5">
                  <c:v>25</c:v>
                </c:pt>
                <c:pt idx="6">
                  <c:v>14</c:v>
                </c:pt>
                <c:pt idx="7">
                  <c:v>12</c:v>
                </c:pt>
                <c:pt idx="8">
                  <c:v>12</c:v>
                </c:pt>
                <c:pt idx="9">
                  <c:v>10</c:v>
                </c:pt>
                <c:pt idx="10">
                  <c:v>6</c:v>
                </c:pt>
                <c:pt idx="11">
                  <c:v>7</c:v>
                </c:pt>
                <c:pt idx="12">
                  <c:v>8</c:v>
                </c:pt>
                <c:pt idx="13">
                  <c:v>11</c:v>
                </c:pt>
                <c:pt idx="14">
                  <c:v>23</c:v>
                </c:pt>
              </c:numCache>
            </c:numRef>
          </c:val>
          <c:smooth val="0"/>
          <c:extLst>
            <c:ext xmlns:c16="http://schemas.microsoft.com/office/drawing/2014/chart" uri="{C3380CC4-5D6E-409C-BE32-E72D297353CC}">
              <c16:uniqueId val="{00000002-680A-4D91-8901-80F7494E828E}"/>
            </c:ext>
          </c:extLst>
        </c:ser>
        <c:ser>
          <c:idx val="3"/>
          <c:order val="3"/>
          <c:tx>
            <c:strRef>
              <c:f>'26 Councilors per party  VISUAL'!$B$11</c:f>
              <c:strCache>
                <c:ptCount val="1"/>
                <c:pt idx="0">
                  <c:v>Ind/Other</c:v>
                </c:pt>
              </c:strCache>
            </c:strRef>
          </c:tx>
          <c:spPr>
            <a:ln w="28575" cap="rnd">
              <a:solidFill>
                <a:schemeClr val="bg1">
                  <a:lumMod val="50000"/>
                </a:schemeClr>
              </a:solidFill>
              <a:round/>
            </a:ln>
            <a:effectLst/>
          </c:spPr>
          <c:marker>
            <c:symbol val="none"/>
          </c:marker>
          <c:cat>
            <c:numRef>
              <c:f>'26 Councilors per party  VISUAL'!$C$7:$Q$7</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VISUAL'!$C$11:$Q$11</c:f>
              <c:numCache>
                <c:formatCode>#,##0_);\(#,##0\)</c:formatCode>
                <c:ptCount val="15"/>
                <c:pt idx="0">
                  <c:v>7</c:v>
                </c:pt>
                <c:pt idx="1">
                  <c:v>5</c:v>
                </c:pt>
                <c:pt idx="2">
                  <c:v>5</c:v>
                </c:pt>
                <c:pt idx="3">
                  <c:v>5</c:v>
                </c:pt>
                <c:pt idx="4">
                  <c:v>4</c:v>
                </c:pt>
                <c:pt idx="5">
                  <c:v>4</c:v>
                </c:pt>
                <c:pt idx="6">
                  <c:v>1</c:v>
                </c:pt>
                <c:pt idx="7">
                  <c:v>1</c:v>
                </c:pt>
                <c:pt idx="8">
                  <c:v>1</c:v>
                </c:pt>
                <c:pt idx="9">
                  <c:v>1</c:v>
                </c:pt>
                <c:pt idx="10">
                  <c:v>2</c:v>
                </c:pt>
                <c:pt idx="11">
                  <c:v>1</c:v>
                </c:pt>
                <c:pt idx="12">
                  <c:v>2</c:v>
                </c:pt>
                <c:pt idx="13">
                  <c:v>1</c:v>
                </c:pt>
                <c:pt idx="14">
                  <c:v>5</c:v>
                </c:pt>
              </c:numCache>
            </c:numRef>
          </c:val>
          <c:smooth val="0"/>
          <c:extLst>
            <c:ext xmlns:c16="http://schemas.microsoft.com/office/drawing/2014/chart" uri="{C3380CC4-5D6E-409C-BE32-E72D297353CC}">
              <c16:uniqueId val="{00000003-680A-4D91-8901-80F7494E828E}"/>
            </c:ext>
          </c:extLst>
        </c:ser>
        <c:ser>
          <c:idx val="4"/>
          <c:order val="4"/>
          <c:tx>
            <c:strRef>
              <c:f>'26 Councilors per party  VISUAL'!$B$12</c:f>
              <c:strCache>
                <c:ptCount val="1"/>
                <c:pt idx="0">
                  <c:v>NOC</c:v>
                </c:pt>
              </c:strCache>
            </c:strRef>
          </c:tx>
          <c:spPr>
            <a:ln w="28575" cap="rnd">
              <a:solidFill>
                <a:schemeClr val="bg1">
                  <a:lumMod val="65000"/>
                </a:schemeClr>
              </a:solidFill>
              <a:prstDash val="sysDash"/>
              <a:round/>
            </a:ln>
            <a:effectLst/>
          </c:spPr>
          <c:marker>
            <c:symbol val="none"/>
          </c:marker>
          <c:cat>
            <c:numRef>
              <c:f>'26 Councilors per party  VISUAL'!$C$7:$Q$7</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VISUAL'!$C$12:$Q$12</c:f>
              <c:numCache>
                <c:formatCode>#,##0_);\(#,##0\)</c:formatCode>
                <c:ptCount val="15"/>
                <c:pt idx="0">
                  <c:v>122</c:v>
                </c:pt>
                <c:pt idx="1">
                  <c:v>127</c:v>
                </c:pt>
                <c:pt idx="2">
                  <c:v>100</c:v>
                </c:pt>
                <c:pt idx="3">
                  <c:v>95</c:v>
                </c:pt>
                <c:pt idx="4">
                  <c:v>81</c:v>
                </c:pt>
                <c:pt idx="5">
                  <c:v>73</c:v>
                </c:pt>
                <c:pt idx="6">
                  <c:v>60</c:v>
                </c:pt>
                <c:pt idx="7">
                  <c:v>48</c:v>
                </c:pt>
                <c:pt idx="8">
                  <c:v>55</c:v>
                </c:pt>
                <c:pt idx="9">
                  <c:v>70</c:v>
                </c:pt>
                <c:pt idx="10">
                  <c:v>51</c:v>
                </c:pt>
                <c:pt idx="11">
                  <c:v>52</c:v>
                </c:pt>
                <c:pt idx="12">
                  <c:v>42</c:v>
                </c:pt>
                <c:pt idx="13">
                  <c:v>43</c:v>
                </c:pt>
                <c:pt idx="14">
                  <c:v>79</c:v>
                </c:pt>
              </c:numCache>
            </c:numRef>
          </c:val>
          <c:smooth val="0"/>
          <c:extLst>
            <c:ext xmlns:c16="http://schemas.microsoft.com/office/drawing/2014/chart" uri="{C3380CC4-5D6E-409C-BE32-E72D297353CC}">
              <c16:uniqueId val="{00000004-680A-4D91-8901-80F7494E828E}"/>
            </c:ext>
          </c:extLst>
        </c:ser>
        <c:dLbls>
          <c:showLegendKey val="0"/>
          <c:showVal val="0"/>
          <c:showCatName val="0"/>
          <c:showSerName val="0"/>
          <c:showPercent val="0"/>
          <c:showBubbleSize val="0"/>
        </c:dLbls>
        <c:smooth val="0"/>
        <c:axId val="473421840"/>
        <c:axId val="473422232"/>
      </c:lineChart>
      <c:catAx>
        <c:axId val="4734218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22232"/>
        <c:crosses val="autoZero"/>
        <c:auto val="1"/>
        <c:lblAlgn val="ctr"/>
        <c:lblOffset val="100"/>
        <c:noMultiLvlLbl val="0"/>
      </c:catAx>
      <c:valAx>
        <c:axId val="473422232"/>
        <c:scaling>
          <c:orientation val="minMax"/>
        </c:scaling>
        <c:delete val="0"/>
        <c:axPos val="l"/>
        <c:numFmt formatCode="#,##0_);\(#,##0\)" sourceLinked="1"/>
        <c:majorTickMark val="out"/>
        <c:minorTickMark val="none"/>
        <c:tickLblPos val="nextTo"/>
        <c:spPr>
          <a:noFill/>
          <a:ln>
            <a:solidFill>
              <a:schemeClr val="accent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21840"/>
        <c:crosses val="autoZero"/>
        <c:crossBetween val="between"/>
      </c:valAx>
      <c:spPr>
        <a:noFill/>
        <a:ln w="25400">
          <a:noFill/>
        </a:ln>
      </c:spPr>
    </c:plotArea>
    <c:legend>
      <c:legendPos val="r"/>
      <c:layout>
        <c:manualLayout>
          <c:xMode val="edge"/>
          <c:yMode val="edge"/>
          <c:x val="0.34375065616797901"/>
          <c:y val="0.33200083989501311"/>
          <c:w val="0.43541754155730522"/>
          <c:h val="0.19200041994750655"/>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Frutiger LT Std 45 Light"/>
                <a:ea typeface="Frutiger LT Std 45 Light"/>
                <a:cs typeface="Frutiger LT Std 45 Light"/>
              </a:defRPr>
            </a:pPr>
            <a:r>
              <a:rPr lang="en-GB"/>
              <a:t>Council control by party immediately following elections, Wales </a:t>
            </a:r>
          </a:p>
        </c:rich>
      </c:tx>
      <c:layout>
        <c:manualLayout>
          <c:xMode val="edge"/>
          <c:yMode val="edge"/>
          <c:x val="0.1882290026246719"/>
          <c:y val="2.6229337226886376E-2"/>
        </c:manualLayout>
      </c:layout>
      <c:overlay val="0"/>
      <c:spPr>
        <a:noFill/>
        <a:ln w="25400">
          <a:noFill/>
        </a:ln>
      </c:spPr>
    </c:title>
    <c:autoTitleDeleted val="0"/>
    <c:plotArea>
      <c:layout>
        <c:manualLayout>
          <c:layoutTarget val="inner"/>
          <c:xMode val="edge"/>
          <c:yMode val="edge"/>
          <c:x val="8.1870516185476819E-2"/>
          <c:y val="8.5289617486338773E-2"/>
          <c:w val="0.90393657042869646"/>
          <c:h val="0.75490431245763134"/>
        </c:manualLayout>
      </c:layout>
      <c:lineChart>
        <c:grouping val="standard"/>
        <c:varyColors val="0"/>
        <c:ser>
          <c:idx val="0"/>
          <c:order val="0"/>
          <c:tx>
            <c:strRef>
              <c:f>'26 Councilors per party  VISUAL'!$B$17</c:f>
              <c:strCache>
                <c:ptCount val="1"/>
                <c:pt idx="0">
                  <c:v>CON</c:v>
                </c:pt>
              </c:strCache>
            </c:strRef>
          </c:tx>
          <c:spPr>
            <a:ln w="25400">
              <a:solidFill>
                <a:srgbClr val="0000FF"/>
              </a:solidFill>
              <a:prstDash val="solid"/>
            </a:ln>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VISUAL'!$C$17:$Q$17</c:f>
              <c:numCache>
                <c:formatCode>#,##0_);\(#,##0\)</c:formatCode>
                <c:ptCount val="15"/>
                <c:pt idx="0">
                  <c:v>1</c:v>
                </c:pt>
                <c:pt idx="1">
                  <c:v>1</c:v>
                </c:pt>
                <c:pt idx="2">
                  <c:v>1</c:v>
                </c:pt>
                <c:pt idx="3">
                  <c:v>2</c:v>
                </c:pt>
                <c:pt idx="4">
                  <c:v>2</c:v>
                </c:pt>
                <c:pt idx="5">
                  <c:v>2</c:v>
                </c:pt>
                <c:pt idx="6">
                  <c:v>2</c:v>
                </c:pt>
                <c:pt idx="7">
                  <c:v>0</c:v>
                </c:pt>
                <c:pt idx="8">
                  <c:v>0</c:v>
                </c:pt>
                <c:pt idx="9">
                  <c:v>0</c:v>
                </c:pt>
                <c:pt idx="10">
                  <c:v>0</c:v>
                </c:pt>
                <c:pt idx="11">
                  <c:v>0</c:v>
                </c:pt>
                <c:pt idx="12">
                  <c:v>1</c:v>
                </c:pt>
                <c:pt idx="13">
                  <c:v>1</c:v>
                </c:pt>
                <c:pt idx="14">
                  <c:v>1</c:v>
                </c:pt>
              </c:numCache>
            </c:numRef>
          </c:val>
          <c:smooth val="0"/>
          <c:extLst>
            <c:ext xmlns:c16="http://schemas.microsoft.com/office/drawing/2014/chart" uri="{C3380CC4-5D6E-409C-BE32-E72D297353CC}">
              <c16:uniqueId val="{00000000-98FA-4AAB-AB58-3AFF4A7AE942}"/>
            </c:ext>
          </c:extLst>
        </c:ser>
        <c:ser>
          <c:idx val="1"/>
          <c:order val="1"/>
          <c:tx>
            <c:strRef>
              <c:f>'26 Councilors per party  VISUAL'!$B$18</c:f>
              <c:strCache>
                <c:ptCount val="1"/>
                <c:pt idx="0">
                  <c:v>LAB</c:v>
                </c:pt>
              </c:strCache>
            </c:strRef>
          </c:tx>
          <c:spPr>
            <a:ln w="25400">
              <a:solidFill>
                <a:srgbClr val="FF0000"/>
              </a:solidFill>
              <a:prstDash val="solid"/>
            </a:ln>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VISUAL'!$C$18:$Q$18</c:f>
              <c:numCache>
                <c:formatCode>#,##0_);\(#,##0\)</c:formatCode>
                <c:ptCount val="15"/>
                <c:pt idx="0">
                  <c:v>8</c:v>
                </c:pt>
                <c:pt idx="1">
                  <c:v>8</c:v>
                </c:pt>
                <c:pt idx="2">
                  <c:v>8</c:v>
                </c:pt>
                <c:pt idx="3">
                  <c:v>2</c:v>
                </c:pt>
                <c:pt idx="4">
                  <c:v>2</c:v>
                </c:pt>
                <c:pt idx="5">
                  <c:v>2</c:v>
                </c:pt>
                <c:pt idx="6">
                  <c:v>2</c:v>
                </c:pt>
                <c:pt idx="7">
                  <c:v>10</c:v>
                </c:pt>
                <c:pt idx="8">
                  <c:v>10</c:v>
                </c:pt>
                <c:pt idx="9">
                  <c:v>10</c:v>
                </c:pt>
                <c:pt idx="10">
                  <c:v>10</c:v>
                </c:pt>
                <c:pt idx="11">
                  <c:v>10</c:v>
                </c:pt>
                <c:pt idx="12">
                  <c:v>7</c:v>
                </c:pt>
                <c:pt idx="13">
                  <c:v>7</c:v>
                </c:pt>
                <c:pt idx="14">
                  <c:v>7</c:v>
                </c:pt>
              </c:numCache>
            </c:numRef>
          </c:val>
          <c:smooth val="0"/>
          <c:extLst>
            <c:ext xmlns:c16="http://schemas.microsoft.com/office/drawing/2014/chart" uri="{C3380CC4-5D6E-409C-BE32-E72D297353CC}">
              <c16:uniqueId val="{00000001-98FA-4AAB-AB58-3AFF4A7AE942}"/>
            </c:ext>
          </c:extLst>
        </c:ser>
        <c:ser>
          <c:idx val="2"/>
          <c:order val="2"/>
          <c:tx>
            <c:strRef>
              <c:f>'26 Councilors per party  VISUAL'!$B$19</c:f>
              <c:strCache>
                <c:ptCount val="1"/>
                <c:pt idx="0">
                  <c:v>LD</c:v>
                </c:pt>
              </c:strCache>
            </c:strRef>
          </c:tx>
          <c:spPr>
            <a:ln w="28575" cap="rnd">
              <a:solidFill>
                <a:srgbClr val="FFC000"/>
              </a:solidFill>
              <a:round/>
            </a:ln>
            <a:effectLst/>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VISUAL'!$C$19:$Q$19</c:f>
              <c:numCache>
                <c:formatCode>#,##0_);\(#,##0\)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98FA-4AAB-AB58-3AFF4A7AE942}"/>
            </c:ext>
          </c:extLst>
        </c:ser>
        <c:ser>
          <c:idx val="3"/>
          <c:order val="3"/>
          <c:tx>
            <c:strRef>
              <c:f>'26 Councilors per party  VISUAL'!$B$20</c:f>
              <c:strCache>
                <c:ptCount val="1"/>
                <c:pt idx="0">
                  <c:v>Ind/Other</c:v>
                </c:pt>
              </c:strCache>
            </c:strRef>
          </c:tx>
          <c:spPr>
            <a:ln w="28575" cap="rnd">
              <a:solidFill>
                <a:schemeClr val="bg1">
                  <a:lumMod val="50000"/>
                </a:schemeClr>
              </a:solidFill>
              <a:round/>
            </a:ln>
            <a:effectLst/>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VISUAL'!$C$20:$Q$20</c:f>
              <c:numCache>
                <c:formatCode>#,##0_);\(#,##0\)</c:formatCode>
                <c:ptCount val="15"/>
                <c:pt idx="0">
                  <c:v>3</c:v>
                </c:pt>
                <c:pt idx="1">
                  <c:v>3</c:v>
                </c:pt>
                <c:pt idx="2">
                  <c:v>3</c:v>
                </c:pt>
                <c:pt idx="3">
                  <c:v>5</c:v>
                </c:pt>
                <c:pt idx="4">
                  <c:v>5</c:v>
                </c:pt>
                <c:pt idx="5">
                  <c:v>5</c:v>
                </c:pt>
                <c:pt idx="6">
                  <c:v>5</c:v>
                </c:pt>
                <c:pt idx="7">
                  <c:v>3</c:v>
                </c:pt>
                <c:pt idx="8">
                  <c:v>2</c:v>
                </c:pt>
                <c:pt idx="9">
                  <c:v>2</c:v>
                </c:pt>
                <c:pt idx="10">
                  <c:v>2</c:v>
                </c:pt>
                <c:pt idx="11">
                  <c:v>2</c:v>
                </c:pt>
                <c:pt idx="12">
                  <c:v>3</c:v>
                </c:pt>
                <c:pt idx="13">
                  <c:v>3</c:v>
                </c:pt>
                <c:pt idx="14">
                  <c:v>3</c:v>
                </c:pt>
              </c:numCache>
            </c:numRef>
          </c:val>
          <c:smooth val="0"/>
          <c:extLst>
            <c:ext xmlns:c16="http://schemas.microsoft.com/office/drawing/2014/chart" uri="{C3380CC4-5D6E-409C-BE32-E72D297353CC}">
              <c16:uniqueId val="{00000003-98FA-4AAB-AB58-3AFF4A7AE942}"/>
            </c:ext>
          </c:extLst>
        </c:ser>
        <c:ser>
          <c:idx val="4"/>
          <c:order val="4"/>
          <c:tx>
            <c:strRef>
              <c:f>'26 Councilors per party  VISUAL'!$B$21</c:f>
              <c:strCache>
                <c:ptCount val="1"/>
                <c:pt idx="0">
                  <c:v>PC</c:v>
                </c:pt>
              </c:strCache>
            </c:strRef>
          </c:tx>
          <c:spPr>
            <a:ln w="28575" cap="rnd">
              <a:solidFill>
                <a:schemeClr val="tx1"/>
              </a:solidFill>
              <a:prstDash val="sysDash"/>
              <a:round/>
            </a:ln>
            <a:effectLst/>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VISUAL'!$C$21:$Q$21</c:f>
              <c:numCache>
                <c:formatCode>#,##0_);\(#,##0\)</c:formatCode>
                <c:ptCount val="15"/>
                <c:pt idx="0">
                  <c:v>1</c:v>
                </c:pt>
                <c:pt idx="1">
                  <c:v>1</c:v>
                </c:pt>
                <c:pt idx="2">
                  <c:v>1</c:v>
                </c:pt>
                <c:pt idx="3">
                  <c:v>0</c:v>
                </c:pt>
                <c:pt idx="4">
                  <c:v>0</c:v>
                </c:pt>
                <c:pt idx="5">
                  <c:v>0</c:v>
                </c:pt>
                <c:pt idx="6">
                  <c:v>0</c:v>
                </c:pt>
                <c:pt idx="7">
                  <c:v>0</c:v>
                </c:pt>
                <c:pt idx="8">
                  <c:v>0</c:v>
                </c:pt>
                <c:pt idx="9">
                  <c:v>0</c:v>
                </c:pt>
                <c:pt idx="10">
                  <c:v>0</c:v>
                </c:pt>
                <c:pt idx="11">
                  <c:v>1</c:v>
                </c:pt>
                <c:pt idx="12">
                  <c:v>1</c:v>
                </c:pt>
                <c:pt idx="13">
                  <c:v>1</c:v>
                </c:pt>
                <c:pt idx="14">
                  <c:v>1</c:v>
                </c:pt>
              </c:numCache>
            </c:numRef>
          </c:val>
          <c:smooth val="0"/>
          <c:extLst>
            <c:ext xmlns:c16="http://schemas.microsoft.com/office/drawing/2014/chart" uri="{C3380CC4-5D6E-409C-BE32-E72D297353CC}">
              <c16:uniqueId val="{00000004-98FA-4AAB-AB58-3AFF4A7AE942}"/>
            </c:ext>
          </c:extLst>
        </c:ser>
        <c:ser>
          <c:idx val="5"/>
          <c:order val="5"/>
          <c:tx>
            <c:strRef>
              <c:f>'26 Councilors per party  VISUAL'!$B$22</c:f>
              <c:strCache>
                <c:ptCount val="1"/>
                <c:pt idx="0">
                  <c:v>NOC</c:v>
                </c:pt>
              </c:strCache>
            </c:strRef>
          </c:tx>
          <c:spPr>
            <a:ln w="28575" cap="rnd">
              <a:solidFill>
                <a:schemeClr val="accent6"/>
              </a:solidFill>
              <a:round/>
            </a:ln>
            <a:effectLst/>
          </c:spPr>
          <c:marker>
            <c:symbol val="none"/>
          </c:marker>
          <c:cat>
            <c:numRef>
              <c:f>'26 Councilors per party  VISUAL'!$C$16:$Q$16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VISUAL'!$C$22:$Q$22</c:f>
              <c:numCache>
                <c:formatCode>#,##0_);\(#,##0\)</c:formatCode>
                <c:ptCount val="15"/>
                <c:pt idx="0">
                  <c:v>9</c:v>
                </c:pt>
                <c:pt idx="1">
                  <c:v>9</c:v>
                </c:pt>
                <c:pt idx="2">
                  <c:v>9</c:v>
                </c:pt>
                <c:pt idx="3">
                  <c:v>13</c:v>
                </c:pt>
                <c:pt idx="4">
                  <c:v>13</c:v>
                </c:pt>
                <c:pt idx="5">
                  <c:v>13</c:v>
                </c:pt>
                <c:pt idx="6">
                  <c:v>13</c:v>
                </c:pt>
                <c:pt idx="7">
                  <c:v>9</c:v>
                </c:pt>
                <c:pt idx="8">
                  <c:v>10</c:v>
                </c:pt>
                <c:pt idx="9">
                  <c:v>10</c:v>
                </c:pt>
                <c:pt idx="10">
                  <c:v>10</c:v>
                </c:pt>
                <c:pt idx="11">
                  <c:v>9</c:v>
                </c:pt>
                <c:pt idx="12">
                  <c:v>10</c:v>
                </c:pt>
                <c:pt idx="13">
                  <c:v>10</c:v>
                </c:pt>
                <c:pt idx="14">
                  <c:v>10</c:v>
                </c:pt>
              </c:numCache>
            </c:numRef>
          </c:val>
          <c:smooth val="0"/>
          <c:extLst>
            <c:ext xmlns:c16="http://schemas.microsoft.com/office/drawing/2014/chart" uri="{C3380CC4-5D6E-409C-BE32-E72D297353CC}">
              <c16:uniqueId val="{00000005-98FA-4AAB-AB58-3AFF4A7AE942}"/>
            </c:ext>
          </c:extLst>
        </c:ser>
        <c:dLbls>
          <c:showLegendKey val="0"/>
          <c:showVal val="0"/>
          <c:showCatName val="0"/>
          <c:showSerName val="0"/>
          <c:showPercent val="0"/>
          <c:showBubbleSize val="0"/>
        </c:dLbls>
        <c:smooth val="0"/>
        <c:axId val="473423016"/>
        <c:axId val="473423408"/>
      </c:lineChart>
      <c:catAx>
        <c:axId val="4734230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23408"/>
        <c:crosses val="autoZero"/>
        <c:auto val="1"/>
        <c:lblAlgn val="ctr"/>
        <c:lblOffset val="100"/>
        <c:noMultiLvlLbl val="0"/>
      </c:catAx>
      <c:valAx>
        <c:axId val="473423408"/>
        <c:scaling>
          <c:orientation val="minMax"/>
        </c:scaling>
        <c:delete val="0"/>
        <c:axPos val="l"/>
        <c:numFmt formatCode="#,##0_);\(#,##0\)" sourceLinked="1"/>
        <c:majorTickMark val="out"/>
        <c:minorTickMark val="none"/>
        <c:tickLblPos val="nextTo"/>
        <c:spPr>
          <a:noFill/>
          <a:ln>
            <a:solidFill>
              <a:schemeClr val="accent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3423016"/>
        <c:crosses val="autoZero"/>
        <c:crossBetween val="between"/>
      </c:valAx>
      <c:spPr>
        <a:noFill/>
        <a:ln w="25400">
          <a:noFill/>
        </a:ln>
      </c:spPr>
    </c:plotArea>
    <c:legend>
      <c:legendPos val="r"/>
      <c:layout>
        <c:manualLayout>
          <c:xMode val="edge"/>
          <c:yMode val="edge"/>
          <c:x val="0.68958464566929134"/>
          <c:y val="0.19205367540977908"/>
          <c:w val="0.21666710411198598"/>
          <c:h val="6.6225165562913968E-3"/>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Frutiger LT Std 45 Light"/>
                <a:ea typeface="Frutiger LT Std 45 Light"/>
                <a:cs typeface="Frutiger LT Std 45 Light"/>
              </a:defRPr>
            </a:pPr>
            <a:r>
              <a:rPr lang="en-GB"/>
              <a:t>Council control by party immediately following elections, SCotland </a:t>
            </a:r>
          </a:p>
        </c:rich>
      </c:tx>
      <c:layout>
        <c:manualLayout>
          <c:xMode val="edge"/>
          <c:yMode val="edge"/>
          <c:x val="0.1882290026246719"/>
          <c:y val="2.6229396325459318E-2"/>
        </c:manualLayout>
      </c:layout>
      <c:overlay val="0"/>
      <c:spPr>
        <a:noFill/>
        <a:ln w="25400">
          <a:noFill/>
        </a:ln>
      </c:spPr>
    </c:title>
    <c:autoTitleDeleted val="0"/>
    <c:plotArea>
      <c:layout>
        <c:manualLayout>
          <c:layoutTarget val="inner"/>
          <c:xMode val="edge"/>
          <c:yMode val="edge"/>
          <c:x val="8.1870516185476819E-2"/>
          <c:y val="0.24528976377952755"/>
          <c:w val="0.90393657042869646"/>
          <c:h val="0.59490446194225721"/>
        </c:manualLayout>
      </c:layout>
      <c:lineChart>
        <c:grouping val="standard"/>
        <c:varyColors val="0"/>
        <c:ser>
          <c:idx val="0"/>
          <c:order val="0"/>
          <c:tx>
            <c:strRef>
              <c:f>'26 Councilors per party  VISUAL'!$B$27</c:f>
              <c:strCache>
                <c:ptCount val="1"/>
                <c:pt idx="0">
                  <c:v>CON</c:v>
                </c:pt>
              </c:strCache>
            </c:strRef>
          </c:tx>
          <c:spPr>
            <a:ln w="25400">
              <a:solidFill>
                <a:srgbClr val="0000FF"/>
              </a:solidFill>
              <a:prstDash val="solid"/>
            </a:ln>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VISUAL'!$C$27:$Q$27</c:f>
              <c:numCache>
                <c:formatCode>#,##0_);\(#,##0\)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838-4089-AF25-16A1A0E921C9}"/>
            </c:ext>
          </c:extLst>
        </c:ser>
        <c:ser>
          <c:idx val="1"/>
          <c:order val="1"/>
          <c:tx>
            <c:strRef>
              <c:f>'26 Councilors per party  VISUAL'!$B$28</c:f>
              <c:strCache>
                <c:ptCount val="1"/>
                <c:pt idx="0">
                  <c:v>LAB</c:v>
                </c:pt>
              </c:strCache>
            </c:strRef>
          </c:tx>
          <c:spPr>
            <a:ln w="25400">
              <a:solidFill>
                <a:srgbClr val="FF0000"/>
              </a:solidFill>
              <a:prstDash val="solid"/>
            </a:ln>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VISUAL'!$C$28:$Q$28</c:f>
              <c:numCache>
                <c:formatCode>#,##0_);\(#,##0\)</c:formatCode>
                <c:ptCount val="15"/>
                <c:pt idx="0">
                  <c:v>13</c:v>
                </c:pt>
                <c:pt idx="1">
                  <c:v>13</c:v>
                </c:pt>
                <c:pt idx="2">
                  <c:v>2</c:v>
                </c:pt>
                <c:pt idx="3">
                  <c:v>2</c:v>
                </c:pt>
                <c:pt idx="4">
                  <c:v>2</c:v>
                </c:pt>
                <c:pt idx="5">
                  <c:v>2</c:v>
                </c:pt>
                <c:pt idx="6">
                  <c:v>3</c:v>
                </c:pt>
                <c:pt idx="7">
                  <c:v>4</c:v>
                </c:pt>
                <c:pt idx="8">
                  <c:v>5</c:v>
                </c:pt>
                <c:pt idx="9">
                  <c:v>5</c:v>
                </c:pt>
                <c:pt idx="10">
                  <c:v>4</c:v>
                </c:pt>
                <c:pt idx="11">
                  <c:v>5</c:v>
                </c:pt>
                <c:pt idx="12">
                  <c:v>0</c:v>
                </c:pt>
                <c:pt idx="13">
                  <c:v>0</c:v>
                </c:pt>
                <c:pt idx="14">
                  <c:v>0</c:v>
                </c:pt>
              </c:numCache>
            </c:numRef>
          </c:val>
          <c:smooth val="0"/>
          <c:extLst>
            <c:ext xmlns:c16="http://schemas.microsoft.com/office/drawing/2014/chart" uri="{C3380CC4-5D6E-409C-BE32-E72D297353CC}">
              <c16:uniqueId val="{00000001-A838-4089-AF25-16A1A0E921C9}"/>
            </c:ext>
          </c:extLst>
        </c:ser>
        <c:ser>
          <c:idx val="2"/>
          <c:order val="2"/>
          <c:tx>
            <c:strRef>
              <c:f>'26 Councilors per party  VISUAL'!$B$29</c:f>
              <c:strCache>
                <c:ptCount val="1"/>
                <c:pt idx="0">
                  <c:v>LD</c:v>
                </c:pt>
              </c:strCache>
            </c:strRef>
          </c:tx>
          <c:spPr>
            <a:ln w="28575" cap="rnd">
              <a:solidFill>
                <a:schemeClr val="accent3"/>
              </a:solidFill>
              <a:round/>
            </a:ln>
            <a:effectLst/>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VISUAL'!$C$29:$Q$29</c:f>
              <c:numCache>
                <c:formatCode>#,##0_);\(#,##0\)</c:formatCode>
                <c:ptCount val="15"/>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A838-4089-AF25-16A1A0E921C9}"/>
            </c:ext>
          </c:extLst>
        </c:ser>
        <c:ser>
          <c:idx val="3"/>
          <c:order val="3"/>
          <c:tx>
            <c:strRef>
              <c:f>'26 Councilors per party  VISUAL'!$B$30</c:f>
              <c:strCache>
                <c:ptCount val="1"/>
                <c:pt idx="0">
                  <c:v>Ind/Other</c:v>
                </c:pt>
              </c:strCache>
            </c:strRef>
          </c:tx>
          <c:spPr>
            <a:ln w="28575" cap="rnd">
              <a:solidFill>
                <a:schemeClr val="accent4"/>
              </a:solidFill>
              <a:round/>
            </a:ln>
            <a:effectLst/>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VISUAL'!$C$30:$Q$30</c:f>
              <c:numCache>
                <c:formatCode>#,##0_);\(#,##0\)</c:formatCode>
                <c:ptCount val="15"/>
                <c:pt idx="0">
                  <c:v>6</c:v>
                </c:pt>
                <c:pt idx="1">
                  <c:v>6</c:v>
                </c:pt>
                <c:pt idx="2">
                  <c:v>3</c:v>
                </c:pt>
                <c:pt idx="3">
                  <c:v>3</c:v>
                </c:pt>
                <c:pt idx="4">
                  <c:v>3</c:v>
                </c:pt>
                <c:pt idx="5">
                  <c:v>3</c:v>
                </c:pt>
                <c:pt idx="6">
                  <c:v>3</c:v>
                </c:pt>
                <c:pt idx="7">
                  <c:v>3</c:v>
                </c:pt>
                <c:pt idx="8">
                  <c:v>3</c:v>
                </c:pt>
                <c:pt idx="9">
                  <c:v>3</c:v>
                </c:pt>
                <c:pt idx="10">
                  <c:v>3</c:v>
                </c:pt>
                <c:pt idx="11">
                  <c:v>3</c:v>
                </c:pt>
                <c:pt idx="12">
                  <c:v>3</c:v>
                </c:pt>
                <c:pt idx="13">
                  <c:v>3</c:v>
                </c:pt>
                <c:pt idx="14">
                  <c:v>3</c:v>
                </c:pt>
              </c:numCache>
            </c:numRef>
          </c:val>
          <c:smooth val="0"/>
          <c:extLst>
            <c:ext xmlns:c16="http://schemas.microsoft.com/office/drawing/2014/chart" uri="{C3380CC4-5D6E-409C-BE32-E72D297353CC}">
              <c16:uniqueId val="{00000003-A838-4089-AF25-16A1A0E921C9}"/>
            </c:ext>
          </c:extLst>
        </c:ser>
        <c:ser>
          <c:idx val="4"/>
          <c:order val="4"/>
          <c:tx>
            <c:strRef>
              <c:f>'26 Councilors per party  VISUAL'!$B$31</c:f>
              <c:strCache>
                <c:ptCount val="1"/>
                <c:pt idx="0">
                  <c:v>SNP</c:v>
                </c:pt>
              </c:strCache>
            </c:strRef>
          </c:tx>
          <c:spPr>
            <a:ln w="28575" cap="rnd">
              <a:solidFill>
                <a:schemeClr val="accent5"/>
              </a:solidFill>
              <a:round/>
            </a:ln>
            <a:effectLst/>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VISUAL'!$C$31:$Q$31</c:f>
              <c:numCache>
                <c:formatCode>#,##0_);\(#,##0\)</c:formatCode>
                <c:ptCount val="15"/>
                <c:pt idx="0">
                  <c:v>1</c:v>
                </c:pt>
                <c:pt idx="1">
                  <c:v>1</c:v>
                </c:pt>
                <c:pt idx="2">
                  <c:v>0</c:v>
                </c:pt>
                <c:pt idx="3">
                  <c:v>0</c:v>
                </c:pt>
                <c:pt idx="4">
                  <c:v>0</c:v>
                </c:pt>
                <c:pt idx="5">
                  <c:v>0</c:v>
                </c:pt>
                <c:pt idx="6">
                  <c:v>0</c:v>
                </c:pt>
                <c:pt idx="7">
                  <c:v>2</c:v>
                </c:pt>
                <c:pt idx="8">
                  <c:v>2</c:v>
                </c:pt>
                <c:pt idx="9">
                  <c:v>2</c:v>
                </c:pt>
                <c:pt idx="10">
                  <c:v>2</c:v>
                </c:pt>
                <c:pt idx="11">
                  <c:v>2</c:v>
                </c:pt>
                <c:pt idx="12">
                  <c:v>0</c:v>
                </c:pt>
                <c:pt idx="13">
                  <c:v>0</c:v>
                </c:pt>
                <c:pt idx="14">
                  <c:v>0</c:v>
                </c:pt>
              </c:numCache>
            </c:numRef>
          </c:val>
          <c:smooth val="0"/>
          <c:extLst>
            <c:ext xmlns:c16="http://schemas.microsoft.com/office/drawing/2014/chart" uri="{C3380CC4-5D6E-409C-BE32-E72D297353CC}">
              <c16:uniqueId val="{00000004-A838-4089-AF25-16A1A0E921C9}"/>
            </c:ext>
          </c:extLst>
        </c:ser>
        <c:ser>
          <c:idx val="5"/>
          <c:order val="5"/>
          <c:tx>
            <c:strRef>
              <c:f>'26 Councilors per party  VISUAL'!$B$32</c:f>
              <c:strCache>
                <c:ptCount val="1"/>
                <c:pt idx="0">
                  <c:v>NOC</c:v>
                </c:pt>
              </c:strCache>
            </c:strRef>
          </c:tx>
          <c:spPr>
            <a:ln w="28575" cap="rnd">
              <a:solidFill>
                <a:schemeClr val="accent6"/>
              </a:solidFill>
              <a:round/>
            </a:ln>
            <a:effectLst/>
          </c:spPr>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VISUAL'!$C$32:$Q$32</c:f>
              <c:numCache>
                <c:formatCode>#,##0_);\(#,##0\)</c:formatCode>
                <c:ptCount val="15"/>
                <c:pt idx="0">
                  <c:v>11</c:v>
                </c:pt>
                <c:pt idx="1">
                  <c:v>11</c:v>
                </c:pt>
                <c:pt idx="2">
                  <c:v>27</c:v>
                </c:pt>
                <c:pt idx="3">
                  <c:v>27</c:v>
                </c:pt>
                <c:pt idx="4">
                  <c:v>27</c:v>
                </c:pt>
                <c:pt idx="5">
                  <c:v>27</c:v>
                </c:pt>
                <c:pt idx="6">
                  <c:v>26</c:v>
                </c:pt>
                <c:pt idx="7">
                  <c:v>23</c:v>
                </c:pt>
                <c:pt idx="8">
                  <c:v>22</c:v>
                </c:pt>
                <c:pt idx="9">
                  <c:v>22</c:v>
                </c:pt>
                <c:pt idx="10">
                  <c:v>23</c:v>
                </c:pt>
                <c:pt idx="11">
                  <c:v>22</c:v>
                </c:pt>
                <c:pt idx="12">
                  <c:v>29</c:v>
                </c:pt>
                <c:pt idx="13">
                  <c:v>29</c:v>
                </c:pt>
                <c:pt idx="14">
                  <c:v>29</c:v>
                </c:pt>
              </c:numCache>
            </c:numRef>
          </c:val>
          <c:smooth val="0"/>
          <c:extLst>
            <c:ext xmlns:c16="http://schemas.microsoft.com/office/drawing/2014/chart" uri="{C3380CC4-5D6E-409C-BE32-E72D297353CC}">
              <c16:uniqueId val="{00000005-A838-4089-AF25-16A1A0E921C9}"/>
            </c:ext>
          </c:extLst>
        </c:ser>
        <c:ser>
          <c:idx val="6"/>
          <c:order val="6"/>
          <c:tx>
            <c:strRef>
              <c:f>'26 Councilors per party  VISUAL'!$B$33</c:f>
              <c:strCache>
                <c:ptCount val="1"/>
                <c:pt idx="0">
                  <c:v>Total </c:v>
                </c:pt>
              </c:strCache>
            </c:strRef>
          </c:tx>
          <c:marker>
            <c:symbol val="none"/>
          </c:marker>
          <c:cat>
            <c:numRef>
              <c:f>'26 Councilors per party  VISUAL'!$C$26:$Q$26</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'26 Councilors per party  VISUAL'!$C$33:$Q$33</c:f>
              <c:numCache>
                <c:formatCode>#,##0_);\(#,##0\)</c:formatCode>
                <c:ptCount val="15"/>
                <c:pt idx="0">
                  <c:v>32</c:v>
                </c:pt>
                <c:pt idx="1">
                  <c:v>32</c:v>
                </c:pt>
                <c:pt idx="2">
                  <c:v>32</c:v>
                </c:pt>
                <c:pt idx="3">
                  <c:v>32</c:v>
                </c:pt>
                <c:pt idx="4">
                  <c:v>32</c:v>
                </c:pt>
                <c:pt idx="5">
                  <c:v>32</c:v>
                </c:pt>
                <c:pt idx="6">
                  <c:v>32</c:v>
                </c:pt>
                <c:pt idx="7">
                  <c:v>32</c:v>
                </c:pt>
                <c:pt idx="8">
                  <c:v>32</c:v>
                </c:pt>
                <c:pt idx="9">
                  <c:v>32</c:v>
                </c:pt>
                <c:pt idx="10">
                  <c:v>32</c:v>
                </c:pt>
                <c:pt idx="11">
                  <c:v>32</c:v>
                </c:pt>
                <c:pt idx="12">
                  <c:v>32</c:v>
                </c:pt>
                <c:pt idx="13">
                  <c:v>32</c:v>
                </c:pt>
                <c:pt idx="14">
                  <c:v>32</c:v>
                </c:pt>
              </c:numCache>
            </c:numRef>
          </c:val>
          <c:smooth val="0"/>
          <c:extLst>
            <c:ext xmlns:c16="http://schemas.microsoft.com/office/drawing/2014/chart" uri="{C3380CC4-5D6E-409C-BE32-E72D297353CC}">
              <c16:uniqueId val="{00000000-0EDB-4ADB-9C91-C0A894AE6B74}"/>
            </c:ext>
          </c:extLst>
        </c:ser>
        <c:dLbls>
          <c:showLegendKey val="0"/>
          <c:showVal val="0"/>
          <c:showCatName val="0"/>
          <c:showSerName val="0"/>
          <c:showPercent val="0"/>
          <c:showBubbleSize val="0"/>
        </c:dLbls>
        <c:smooth val="0"/>
        <c:axId val="476432528"/>
        <c:axId val="476432920"/>
      </c:lineChart>
      <c:catAx>
        <c:axId val="4764325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6432920"/>
        <c:crosses val="autoZero"/>
        <c:auto val="1"/>
        <c:lblAlgn val="ctr"/>
        <c:lblOffset val="100"/>
        <c:noMultiLvlLbl val="0"/>
      </c:catAx>
      <c:valAx>
        <c:axId val="476432920"/>
        <c:scaling>
          <c:orientation val="minMax"/>
        </c:scaling>
        <c:delete val="0"/>
        <c:axPos val="l"/>
        <c:numFmt formatCode="#,##0_);\(#,##0\)" sourceLinked="1"/>
        <c:majorTickMark val="out"/>
        <c:minorTickMark val="none"/>
        <c:tickLblPos val="nextTo"/>
        <c:spPr>
          <a:noFill/>
          <a:ln>
            <a:solidFill>
              <a:schemeClr val="accent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6432528"/>
        <c:crosses val="autoZero"/>
        <c:crossBetween val="between"/>
      </c:valAx>
      <c:spPr>
        <a:noFill/>
        <a:ln w="25400">
          <a:noFill/>
        </a:ln>
      </c:spPr>
    </c:plotArea>
    <c:legend>
      <c:legendPos val="r"/>
      <c:layout>
        <c:manualLayout>
          <c:xMode val="edge"/>
          <c:yMode val="edge"/>
          <c:x val="0.78125153105861767"/>
          <c:y val="0.15"/>
          <c:w val="0.1275599589307535"/>
          <c:h val="0.59705428125832094"/>
        </c:manualLayout>
      </c:layout>
      <c:overlay val="0"/>
      <c:spPr>
        <a:noFill/>
        <a:ln w="25400">
          <a:noFill/>
        </a:ln>
      </c:spPr>
      <c:txPr>
        <a:bodyPr/>
        <a:lstStyle/>
        <a:p>
          <a:pPr>
            <a:defRPr sz="630"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870516185476819E-2"/>
          <c:y val="0.16927225005965166"/>
          <c:w val="0.79392424905220182"/>
          <c:h val="0.69012741589119542"/>
        </c:manualLayout>
      </c:layout>
      <c:barChart>
        <c:barDir val="col"/>
        <c:grouping val="stacked"/>
        <c:varyColors val="0"/>
        <c:ser>
          <c:idx val="0"/>
          <c:order val="0"/>
          <c:tx>
            <c:strRef>
              <c:f>'26 Councilors per party  VISUAL'!$B$27</c:f>
              <c:strCache>
                <c:ptCount val="1"/>
                <c:pt idx="0">
                  <c:v>CON</c:v>
                </c:pt>
              </c:strCache>
            </c:strRef>
          </c:tx>
          <c:spPr>
            <a:solidFill>
              <a:srgbClr val="0000FF"/>
            </a:solidFill>
            <a:ln w="25400">
              <a:noFill/>
            </a:ln>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VISUAL'!$C$27:$R$27</c:f>
              <c:numCache>
                <c:formatCode>#,##0_);\(#,##0\)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367-4E01-8587-F65149BA6D86}"/>
            </c:ext>
          </c:extLst>
        </c:ser>
        <c:ser>
          <c:idx val="1"/>
          <c:order val="1"/>
          <c:tx>
            <c:strRef>
              <c:f>'26 Councilors per party  VISUAL'!$B$28</c:f>
              <c:strCache>
                <c:ptCount val="1"/>
                <c:pt idx="0">
                  <c:v>LAB</c:v>
                </c:pt>
              </c:strCache>
            </c:strRef>
          </c:tx>
          <c:spPr>
            <a:solidFill>
              <a:srgbClr val="D50000"/>
            </a:solidFill>
            <a:ln w="25400">
              <a:noFill/>
            </a:ln>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VISUAL'!$C$28:$R$28</c:f>
              <c:numCache>
                <c:formatCode>#,##0_);\(#,##0\)</c:formatCode>
                <c:ptCount val="16"/>
                <c:pt idx="0">
                  <c:v>13</c:v>
                </c:pt>
                <c:pt idx="1">
                  <c:v>13</c:v>
                </c:pt>
                <c:pt idx="2">
                  <c:v>2</c:v>
                </c:pt>
                <c:pt idx="3">
                  <c:v>2</c:v>
                </c:pt>
                <c:pt idx="4">
                  <c:v>2</c:v>
                </c:pt>
                <c:pt idx="5">
                  <c:v>2</c:v>
                </c:pt>
                <c:pt idx="6">
                  <c:v>3</c:v>
                </c:pt>
                <c:pt idx="7">
                  <c:v>4</c:v>
                </c:pt>
                <c:pt idx="8">
                  <c:v>5</c:v>
                </c:pt>
                <c:pt idx="9">
                  <c:v>5</c:v>
                </c:pt>
                <c:pt idx="10">
                  <c:v>4</c:v>
                </c:pt>
                <c:pt idx="11">
                  <c:v>5</c:v>
                </c:pt>
                <c:pt idx="12">
                  <c:v>0</c:v>
                </c:pt>
                <c:pt idx="13">
                  <c:v>0</c:v>
                </c:pt>
                <c:pt idx="14">
                  <c:v>0</c:v>
                </c:pt>
                <c:pt idx="15">
                  <c:v>0</c:v>
                </c:pt>
              </c:numCache>
            </c:numRef>
          </c:val>
          <c:extLst>
            <c:ext xmlns:c16="http://schemas.microsoft.com/office/drawing/2014/chart" uri="{C3380CC4-5D6E-409C-BE32-E72D297353CC}">
              <c16:uniqueId val="{00000001-E367-4E01-8587-F65149BA6D86}"/>
            </c:ext>
          </c:extLst>
        </c:ser>
        <c:ser>
          <c:idx val="2"/>
          <c:order val="2"/>
          <c:tx>
            <c:strRef>
              <c:f>'26 Councilors per party  VISUAL'!$B$29</c:f>
              <c:strCache>
                <c:ptCount val="1"/>
                <c:pt idx="0">
                  <c:v>LD</c:v>
                </c:pt>
              </c:strCache>
            </c:strRef>
          </c:tx>
          <c:spPr>
            <a:solidFill>
              <a:srgbClr val="FFC000"/>
            </a:solidFill>
            <a:ln w="25400">
              <a:noFill/>
            </a:ln>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VISUAL'!$C$29:$R$29</c:f>
              <c:numCache>
                <c:formatCode>#,##0_);\(#,##0\)</c:formatCode>
                <c:ptCount val="16"/>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E367-4E01-8587-F65149BA6D86}"/>
            </c:ext>
          </c:extLst>
        </c:ser>
        <c:ser>
          <c:idx val="3"/>
          <c:order val="3"/>
          <c:tx>
            <c:strRef>
              <c:f>'26 Councilors per party  VISUAL'!$B$30</c:f>
              <c:strCache>
                <c:ptCount val="1"/>
                <c:pt idx="0">
                  <c:v>Ind/Other</c:v>
                </c:pt>
              </c:strCache>
            </c:strRef>
          </c:tx>
          <c:spPr>
            <a:solidFill>
              <a:schemeClr val="bg1">
                <a:lumMod val="65000"/>
              </a:schemeClr>
            </a:solidFill>
            <a:ln>
              <a:noFill/>
            </a:ln>
            <a:effectLst/>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VISUAL'!$C$30:$R$30</c:f>
              <c:numCache>
                <c:formatCode>#,##0_);\(#,##0\)</c:formatCode>
                <c:ptCount val="16"/>
                <c:pt idx="0">
                  <c:v>6</c:v>
                </c:pt>
                <c:pt idx="1">
                  <c:v>6</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numCache>
            </c:numRef>
          </c:val>
          <c:extLst>
            <c:ext xmlns:c16="http://schemas.microsoft.com/office/drawing/2014/chart" uri="{C3380CC4-5D6E-409C-BE32-E72D297353CC}">
              <c16:uniqueId val="{00000003-E367-4E01-8587-F65149BA6D86}"/>
            </c:ext>
          </c:extLst>
        </c:ser>
        <c:ser>
          <c:idx val="4"/>
          <c:order val="4"/>
          <c:tx>
            <c:strRef>
              <c:f>'26 Councilors per party  VISUAL'!$B$31</c:f>
              <c:strCache>
                <c:ptCount val="1"/>
                <c:pt idx="0">
                  <c:v>SNP</c:v>
                </c:pt>
              </c:strCache>
            </c:strRef>
          </c:tx>
          <c:spPr>
            <a:solidFill>
              <a:srgbClr val="FFF685"/>
            </a:solidFill>
            <a:ln w="25400">
              <a:noFill/>
            </a:ln>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VISUAL'!$C$31:$R$31</c:f>
              <c:numCache>
                <c:formatCode>#,##0_);\(#,##0\)</c:formatCode>
                <c:ptCount val="16"/>
                <c:pt idx="0">
                  <c:v>1</c:v>
                </c:pt>
                <c:pt idx="1">
                  <c:v>1</c:v>
                </c:pt>
                <c:pt idx="2">
                  <c:v>0</c:v>
                </c:pt>
                <c:pt idx="3">
                  <c:v>0</c:v>
                </c:pt>
                <c:pt idx="4">
                  <c:v>0</c:v>
                </c:pt>
                <c:pt idx="5">
                  <c:v>0</c:v>
                </c:pt>
                <c:pt idx="6">
                  <c:v>0</c:v>
                </c:pt>
                <c:pt idx="7">
                  <c:v>2</c:v>
                </c:pt>
                <c:pt idx="8">
                  <c:v>2</c:v>
                </c:pt>
                <c:pt idx="9">
                  <c:v>2</c:v>
                </c:pt>
                <c:pt idx="10">
                  <c:v>2</c:v>
                </c:pt>
                <c:pt idx="11">
                  <c:v>2</c:v>
                </c:pt>
                <c:pt idx="12">
                  <c:v>0</c:v>
                </c:pt>
                <c:pt idx="13">
                  <c:v>0</c:v>
                </c:pt>
                <c:pt idx="14">
                  <c:v>0</c:v>
                </c:pt>
                <c:pt idx="15">
                  <c:v>0</c:v>
                </c:pt>
              </c:numCache>
            </c:numRef>
          </c:val>
          <c:extLst>
            <c:ext xmlns:c16="http://schemas.microsoft.com/office/drawing/2014/chart" uri="{C3380CC4-5D6E-409C-BE32-E72D297353CC}">
              <c16:uniqueId val="{00000004-E367-4E01-8587-F65149BA6D86}"/>
            </c:ext>
          </c:extLst>
        </c:ser>
        <c:ser>
          <c:idx val="5"/>
          <c:order val="5"/>
          <c:tx>
            <c:strRef>
              <c:f>'26 Councilors per party  VISUAL'!$B$32</c:f>
              <c:strCache>
                <c:ptCount val="1"/>
                <c:pt idx="0">
                  <c:v>NOC</c:v>
                </c:pt>
              </c:strCache>
            </c:strRef>
          </c:tx>
          <c:spPr>
            <a:solidFill>
              <a:schemeClr val="accent2"/>
            </a:solidFill>
            <a:ln w="25400">
              <a:noFill/>
            </a:ln>
          </c:spPr>
          <c:invertIfNegative val="0"/>
          <c:cat>
            <c:numRef>
              <c:f>'26 Councilors per party  VISUAL'!$C$26:$R$26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VISUAL'!$C$32:$R$32</c:f>
              <c:numCache>
                <c:formatCode>#,##0_);\(#,##0\)</c:formatCode>
                <c:ptCount val="16"/>
                <c:pt idx="0">
                  <c:v>11</c:v>
                </c:pt>
                <c:pt idx="1">
                  <c:v>11</c:v>
                </c:pt>
                <c:pt idx="2">
                  <c:v>27</c:v>
                </c:pt>
                <c:pt idx="3">
                  <c:v>27</c:v>
                </c:pt>
                <c:pt idx="4">
                  <c:v>27</c:v>
                </c:pt>
                <c:pt idx="5">
                  <c:v>27</c:v>
                </c:pt>
                <c:pt idx="6">
                  <c:v>26</c:v>
                </c:pt>
                <c:pt idx="7">
                  <c:v>23</c:v>
                </c:pt>
                <c:pt idx="8">
                  <c:v>22</c:v>
                </c:pt>
                <c:pt idx="9">
                  <c:v>22</c:v>
                </c:pt>
                <c:pt idx="10">
                  <c:v>23</c:v>
                </c:pt>
                <c:pt idx="11">
                  <c:v>22</c:v>
                </c:pt>
                <c:pt idx="12">
                  <c:v>29</c:v>
                </c:pt>
                <c:pt idx="13">
                  <c:v>29</c:v>
                </c:pt>
                <c:pt idx="14">
                  <c:v>29</c:v>
                </c:pt>
                <c:pt idx="15">
                  <c:v>29</c:v>
                </c:pt>
              </c:numCache>
            </c:numRef>
          </c:val>
          <c:extLst>
            <c:ext xmlns:c16="http://schemas.microsoft.com/office/drawing/2014/chart" uri="{C3380CC4-5D6E-409C-BE32-E72D297353CC}">
              <c16:uniqueId val="{00000005-E367-4E01-8587-F65149BA6D86}"/>
            </c:ext>
          </c:extLst>
        </c:ser>
        <c:dLbls>
          <c:showLegendKey val="0"/>
          <c:showVal val="0"/>
          <c:showCatName val="0"/>
          <c:showSerName val="0"/>
          <c:showPercent val="0"/>
          <c:showBubbleSize val="0"/>
        </c:dLbls>
        <c:gapWidth val="50"/>
        <c:overlap val="100"/>
        <c:axId val="476433704"/>
        <c:axId val="476434096"/>
      </c:barChart>
      <c:catAx>
        <c:axId val="47643370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a:pPr>
            <a:endParaRPr lang="en-US"/>
          </a:p>
        </c:txPr>
        <c:crossAx val="476434096"/>
        <c:crosses val="autoZero"/>
        <c:auto val="1"/>
        <c:lblAlgn val="ctr"/>
        <c:lblOffset val="100"/>
        <c:noMultiLvlLbl val="0"/>
      </c:catAx>
      <c:valAx>
        <c:axId val="476434096"/>
        <c:scaling>
          <c:orientation val="minMax"/>
          <c:max val="32"/>
          <c:min val="0"/>
        </c:scaling>
        <c:delete val="0"/>
        <c:axPos val="l"/>
        <c:numFmt formatCode="General" sourceLinked="0"/>
        <c:majorTickMark val="out"/>
        <c:minorTickMark val="none"/>
        <c:tickLblPos val="nextTo"/>
        <c:spPr>
          <a:noFill/>
          <a:ln>
            <a:solidFill>
              <a:schemeClr val="accent1"/>
            </a:solidFill>
          </a:ln>
          <a:effectLst/>
        </c:spPr>
        <c:txPr>
          <a:bodyPr rot="0" vert="horz"/>
          <a:lstStyle/>
          <a:p>
            <a:pPr>
              <a:defRPr/>
            </a:pPr>
            <a:endParaRPr lang="en-US"/>
          </a:p>
        </c:txPr>
        <c:crossAx val="476433704"/>
        <c:crosses val="autoZero"/>
        <c:crossBetween val="between"/>
        <c:majorUnit val="5"/>
      </c:valAx>
      <c:spPr>
        <a:noFill/>
        <a:ln w="25400">
          <a:noFill/>
        </a:ln>
      </c:spPr>
    </c:plotArea>
    <c:legend>
      <c:legendPos val="r"/>
      <c:layout>
        <c:manualLayout>
          <c:xMode val="edge"/>
          <c:yMode val="edge"/>
          <c:x val="0.85764034703995329"/>
          <c:y val="0.15476252968378953"/>
          <c:w val="0.12673629337999415"/>
          <c:h val="0.65948443944506929"/>
        </c:manualLayout>
      </c:layout>
      <c:overlay val="0"/>
      <c:spPr>
        <a:noFill/>
        <a:ln w="25400">
          <a:noFill/>
        </a:ln>
      </c:spPr>
      <c:txPr>
        <a:bodyPr/>
        <a:lstStyle/>
        <a:p>
          <a:pPr>
            <a:defRPr sz="800"/>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870516185476819E-2"/>
          <c:y val="0.16927225005965166"/>
          <c:w val="0.79392424905220182"/>
          <c:h val="0.69012741589119542"/>
        </c:manualLayout>
      </c:layout>
      <c:barChart>
        <c:barDir val="col"/>
        <c:grouping val="stacked"/>
        <c:varyColors val="0"/>
        <c:ser>
          <c:idx val="0"/>
          <c:order val="0"/>
          <c:tx>
            <c:strRef>
              <c:f>'26 Councilors per party  VISUAL'!$B$8</c:f>
              <c:strCache>
                <c:ptCount val="1"/>
                <c:pt idx="0">
                  <c:v>CON</c:v>
                </c:pt>
              </c:strCache>
            </c:strRef>
          </c:tx>
          <c:spPr>
            <a:solidFill>
              <a:srgbClr val="00539F"/>
            </a:solidFill>
            <a:ln w="25400">
              <a:noFill/>
            </a:ln>
          </c:spPr>
          <c:invertIfNegative val="0"/>
          <c:cat>
            <c:numRef>
              <c:f>'26 Councilors per party  VISUAL'!$C$7:$R$7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VISUAL'!$C$8:$R$8</c:f>
              <c:numCache>
                <c:formatCode>#,##0_);\(#,##0\)</c:formatCode>
                <c:ptCount val="16"/>
                <c:pt idx="0">
                  <c:v>155</c:v>
                </c:pt>
                <c:pt idx="1">
                  <c:v>168</c:v>
                </c:pt>
                <c:pt idx="2">
                  <c:v>204</c:v>
                </c:pt>
                <c:pt idx="3">
                  <c:v>213</c:v>
                </c:pt>
                <c:pt idx="4">
                  <c:v>207</c:v>
                </c:pt>
                <c:pt idx="5">
                  <c:v>199</c:v>
                </c:pt>
                <c:pt idx="6">
                  <c:v>199</c:v>
                </c:pt>
                <c:pt idx="7">
                  <c:v>190</c:v>
                </c:pt>
                <c:pt idx="8">
                  <c:v>180</c:v>
                </c:pt>
                <c:pt idx="9">
                  <c:v>164</c:v>
                </c:pt>
                <c:pt idx="10">
                  <c:v>192</c:v>
                </c:pt>
                <c:pt idx="11">
                  <c:v>191</c:v>
                </c:pt>
                <c:pt idx="12">
                  <c:v>200</c:v>
                </c:pt>
                <c:pt idx="13">
                  <c:v>198</c:v>
                </c:pt>
                <c:pt idx="14">
                  <c:v>143</c:v>
                </c:pt>
                <c:pt idx="15">
                  <c:v>139</c:v>
                </c:pt>
              </c:numCache>
            </c:numRef>
          </c:val>
          <c:extLst>
            <c:ext xmlns:c16="http://schemas.microsoft.com/office/drawing/2014/chart" uri="{C3380CC4-5D6E-409C-BE32-E72D297353CC}">
              <c16:uniqueId val="{00000000-3B84-4FCC-96AA-63E51B5E145F}"/>
            </c:ext>
          </c:extLst>
        </c:ser>
        <c:ser>
          <c:idx val="1"/>
          <c:order val="1"/>
          <c:tx>
            <c:strRef>
              <c:f>'26 Councilors per party  VISUAL'!$B$9</c:f>
              <c:strCache>
                <c:ptCount val="1"/>
                <c:pt idx="0">
                  <c:v>LAB</c:v>
                </c:pt>
              </c:strCache>
            </c:strRef>
          </c:tx>
          <c:spPr>
            <a:solidFill>
              <a:srgbClr val="D50000"/>
            </a:solidFill>
            <a:ln w="25400">
              <a:noFill/>
            </a:ln>
          </c:spPr>
          <c:invertIfNegative val="0"/>
          <c:cat>
            <c:numRef>
              <c:f>'26 Councilors per party  VISUAL'!$C$7:$R$7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VISUAL'!$C$9:$R$9</c:f>
              <c:numCache>
                <c:formatCode>#,##0_);\(#,##0\)</c:formatCode>
                <c:ptCount val="16"/>
                <c:pt idx="0">
                  <c:v>71</c:v>
                </c:pt>
                <c:pt idx="1">
                  <c:v>54</c:v>
                </c:pt>
                <c:pt idx="2">
                  <c:v>48</c:v>
                </c:pt>
                <c:pt idx="3">
                  <c:v>44</c:v>
                </c:pt>
                <c:pt idx="4">
                  <c:v>33</c:v>
                </c:pt>
                <c:pt idx="5">
                  <c:v>50</c:v>
                </c:pt>
                <c:pt idx="6">
                  <c:v>77</c:v>
                </c:pt>
                <c:pt idx="7">
                  <c:v>100</c:v>
                </c:pt>
                <c:pt idx="8">
                  <c:v>103</c:v>
                </c:pt>
                <c:pt idx="9">
                  <c:v>106</c:v>
                </c:pt>
                <c:pt idx="10">
                  <c:v>100</c:v>
                </c:pt>
                <c:pt idx="11">
                  <c:v>100</c:v>
                </c:pt>
                <c:pt idx="12">
                  <c:v>99</c:v>
                </c:pt>
                <c:pt idx="13">
                  <c:v>98</c:v>
                </c:pt>
                <c:pt idx="14">
                  <c:v>91</c:v>
                </c:pt>
                <c:pt idx="15">
                  <c:v>77</c:v>
                </c:pt>
              </c:numCache>
            </c:numRef>
          </c:val>
          <c:extLst>
            <c:ext xmlns:c16="http://schemas.microsoft.com/office/drawing/2014/chart" uri="{C3380CC4-5D6E-409C-BE32-E72D297353CC}">
              <c16:uniqueId val="{00000001-3B84-4FCC-96AA-63E51B5E145F}"/>
            </c:ext>
          </c:extLst>
        </c:ser>
        <c:ser>
          <c:idx val="2"/>
          <c:order val="2"/>
          <c:tx>
            <c:strRef>
              <c:f>'26 Councilors per party  VISUAL'!$B$10</c:f>
              <c:strCache>
                <c:ptCount val="1"/>
                <c:pt idx="0">
                  <c:v>LD</c:v>
                </c:pt>
              </c:strCache>
            </c:strRef>
          </c:tx>
          <c:spPr>
            <a:solidFill>
              <a:srgbClr val="FAA01A"/>
            </a:solidFill>
            <a:ln w="25400">
              <a:noFill/>
            </a:ln>
          </c:spPr>
          <c:invertIfNegative val="0"/>
          <c:cat>
            <c:numRef>
              <c:f>'26 Councilors per party  VISUAL'!$C$7:$R$7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VISUAL'!$C$10:$R$10</c:f>
              <c:numCache>
                <c:formatCode>#,##0_);\(#,##0\)</c:formatCode>
                <c:ptCount val="16"/>
                <c:pt idx="0">
                  <c:v>31</c:v>
                </c:pt>
                <c:pt idx="1">
                  <c:v>32</c:v>
                </c:pt>
                <c:pt idx="2">
                  <c:v>29</c:v>
                </c:pt>
                <c:pt idx="3">
                  <c:v>29</c:v>
                </c:pt>
                <c:pt idx="4">
                  <c:v>26</c:v>
                </c:pt>
                <c:pt idx="5">
                  <c:v>25</c:v>
                </c:pt>
                <c:pt idx="6">
                  <c:v>14</c:v>
                </c:pt>
                <c:pt idx="7">
                  <c:v>12</c:v>
                </c:pt>
                <c:pt idx="8">
                  <c:v>12</c:v>
                </c:pt>
                <c:pt idx="9">
                  <c:v>10</c:v>
                </c:pt>
                <c:pt idx="10">
                  <c:v>6</c:v>
                </c:pt>
                <c:pt idx="11">
                  <c:v>7</c:v>
                </c:pt>
                <c:pt idx="12">
                  <c:v>8</c:v>
                </c:pt>
                <c:pt idx="13">
                  <c:v>11</c:v>
                </c:pt>
                <c:pt idx="14">
                  <c:v>23</c:v>
                </c:pt>
                <c:pt idx="15">
                  <c:v>22</c:v>
                </c:pt>
              </c:numCache>
            </c:numRef>
          </c:val>
          <c:extLst>
            <c:ext xmlns:c16="http://schemas.microsoft.com/office/drawing/2014/chart" uri="{C3380CC4-5D6E-409C-BE32-E72D297353CC}">
              <c16:uniqueId val="{00000002-3B84-4FCC-96AA-63E51B5E145F}"/>
            </c:ext>
          </c:extLst>
        </c:ser>
        <c:ser>
          <c:idx val="3"/>
          <c:order val="3"/>
          <c:tx>
            <c:strRef>
              <c:f>'26 Councilors per party  VISUAL'!$B$11</c:f>
              <c:strCache>
                <c:ptCount val="1"/>
                <c:pt idx="0">
                  <c:v>Ind/Other</c:v>
                </c:pt>
              </c:strCache>
            </c:strRef>
          </c:tx>
          <c:spPr>
            <a:solidFill>
              <a:schemeClr val="bg1">
                <a:lumMod val="65000"/>
              </a:schemeClr>
            </a:solidFill>
            <a:ln>
              <a:noFill/>
            </a:ln>
            <a:effectLst/>
          </c:spPr>
          <c:invertIfNegative val="0"/>
          <c:cat>
            <c:numRef>
              <c:f>'26 Councilors per party  VISUAL'!$C$7:$R$7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VISUAL'!$C$11:$R$11</c:f>
              <c:numCache>
                <c:formatCode>#,##0_);\(#,##0\)</c:formatCode>
                <c:ptCount val="16"/>
                <c:pt idx="0">
                  <c:v>7</c:v>
                </c:pt>
                <c:pt idx="1">
                  <c:v>5</c:v>
                </c:pt>
                <c:pt idx="2">
                  <c:v>5</c:v>
                </c:pt>
                <c:pt idx="3">
                  <c:v>5</c:v>
                </c:pt>
                <c:pt idx="4">
                  <c:v>4</c:v>
                </c:pt>
                <c:pt idx="5">
                  <c:v>4</c:v>
                </c:pt>
                <c:pt idx="6">
                  <c:v>1</c:v>
                </c:pt>
                <c:pt idx="7">
                  <c:v>1</c:v>
                </c:pt>
                <c:pt idx="8">
                  <c:v>1</c:v>
                </c:pt>
                <c:pt idx="9">
                  <c:v>1</c:v>
                </c:pt>
                <c:pt idx="10">
                  <c:v>2</c:v>
                </c:pt>
                <c:pt idx="11">
                  <c:v>1</c:v>
                </c:pt>
                <c:pt idx="12">
                  <c:v>2</c:v>
                </c:pt>
                <c:pt idx="13">
                  <c:v>1</c:v>
                </c:pt>
                <c:pt idx="14">
                  <c:v>5</c:v>
                </c:pt>
                <c:pt idx="15">
                  <c:v>5</c:v>
                </c:pt>
              </c:numCache>
            </c:numRef>
          </c:val>
          <c:extLst>
            <c:ext xmlns:c16="http://schemas.microsoft.com/office/drawing/2014/chart" uri="{C3380CC4-5D6E-409C-BE32-E72D297353CC}">
              <c16:uniqueId val="{00000003-3B84-4FCC-96AA-63E51B5E145F}"/>
            </c:ext>
          </c:extLst>
        </c:ser>
        <c:ser>
          <c:idx val="4"/>
          <c:order val="4"/>
          <c:tx>
            <c:strRef>
              <c:f>'26 Councilors per party  VISUAL'!$B$12</c:f>
              <c:strCache>
                <c:ptCount val="1"/>
                <c:pt idx="0">
                  <c:v>NOC</c:v>
                </c:pt>
              </c:strCache>
            </c:strRef>
          </c:tx>
          <c:spPr>
            <a:solidFill>
              <a:schemeClr val="accent2"/>
            </a:solidFill>
            <a:ln w="9525">
              <a:noFill/>
            </a:ln>
          </c:spPr>
          <c:invertIfNegative val="0"/>
          <c:cat>
            <c:numRef>
              <c:f>'26 Councilors per party  VISUAL'!$C$7:$R$7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2021</c:v>
                </c:pt>
              </c:numCache>
            </c:numRef>
          </c:cat>
          <c:val>
            <c:numRef>
              <c:f>'26 Councilors per party  VISUAL'!$C$12:$R$12</c:f>
              <c:numCache>
                <c:formatCode>#,##0_);\(#,##0\)</c:formatCode>
                <c:ptCount val="16"/>
                <c:pt idx="0">
                  <c:v>122</c:v>
                </c:pt>
                <c:pt idx="1">
                  <c:v>127</c:v>
                </c:pt>
                <c:pt idx="2">
                  <c:v>100</c:v>
                </c:pt>
                <c:pt idx="3">
                  <c:v>95</c:v>
                </c:pt>
                <c:pt idx="4">
                  <c:v>81</c:v>
                </c:pt>
                <c:pt idx="5">
                  <c:v>73</c:v>
                </c:pt>
                <c:pt idx="6">
                  <c:v>60</c:v>
                </c:pt>
                <c:pt idx="7">
                  <c:v>48</c:v>
                </c:pt>
                <c:pt idx="8">
                  <c:v>55</c:v>
                </c:pt>
                <c:pt idx="9">
                  <c:v>70</c:v>
                </c:pt>
                <c:pt idx="10">
                  <c:v>51</c:v>
                </c:pt>
                <c:pt idx="11">
                  <c:v>52</c:v>
                </c:pt>
                <c:pt idx="12">
                  <c:v>42</c:v>
                </c:pt>
                <c:pt idx="13">
                  <c:v>43</c:v>
                </c:pt>
                <c:pt idx="14">
                  <c:v>79</c:v>
                </c:pt>
                <c:pt idx="15">
                  <c:v>88</c:v>
                </c:pt>
              </c:numCache>
            </c:numRef>
          </c:val>
          <c:extLst>
            <c:ext xmlns:c16="http://schemas.microsoft.com/office/drawing/2014/chart" uri="{C3380CC4-5D6E-409C-BE32-E72D297353CC}">
              <c16:uniqueId val="{00000004-3B84-4FCC-96AA-63E51B5E145F}"/>
            </c:ext>
          </c:extLst>
        </c:ser>
        <c:dLbls>
          <c:showLegendKey val="0"/>
          <c:showVal val="0"/>
          <c:showCatName val="0"/>
          <c:showSerName val="0"/>
          <c:showPercent val="0"/>
          <c:showBubbleSize val="0"/>
        </c:dLbls>
        <c:gapWidth val="50"/>
        <c:overlap val="100"/>
        <c:axId val="476434880"/>
        <c:axId val="476435272"/>
      </c:barChart>
      <c:catAx>
        <c:axId val="4764348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900"/>
            </a:pPr>
            <a:endParaRPr lang="en-US"/>
          </a:p>
        </c:txPr>
        <c:crossAx val="476435272"/>
        <c:crosses val="autoZero"/>
        <c:auto val="1"/>
        <c:lblAlgn val="ctr"/>
        <c:lblOffset val="100"/>
        <c:tickLblSkip val="1"/>
        <c:noMultiLvlLbl val="0"/>
      </c:catAx>
      <c:valAx>
        <c:axId val="476435272"/>
        <c:scaling>
          <c:orientation val="minMax"/>
          <c:max val="400"/>
          <c:min val="0"/>
        </c:scaling>
        <c:delete val="0"/>
        <c:axPos val="l"/>
        <c:numFmt formatCode="General" sourceLinked="0"/>
        <c:majorTickMark val="out"/>
        <c:minorTickMark val="none"/>
        <c:tickLblPos val="nextTo"/>
        <c:spPr>
          <a:noFill/>
          <a:ln>
            <a:solidFill>
              <a:schemeClr val="accent1"/>
            </a:solidFill>
          </a:ln>
          <a:effectLst/>
        </c:spPr>
        <c:txPr>
          <a:bodyPr rot="0" vert="horz"/>
          <a:lstStyle/>
          <a:p>
            <a:pPr>
              <a:defRPr/>
            </a:pPr>
            <a:endParaRPr lang="en-US"/>
          </a:p>
        </c:txPr>
        <c:crossAx val="476434880"/>
        <c:crosses val="autoZero"/>
        <c:crossBetween val="between"/>
        <c:majorUnit val="100"/>
      </c:valAx>
      <c:spPr>
        <a:noFill/>
        <a:ln w="25400">
          <a:noFill/>
        </a:ln>
      </c:spPr>
    </c:plotArea>
    <c:legend>
      <c:legendPos val="r"/>
      <c:layout>
        <c:manualLayout>
          <c:xMode val="edge"/>
          <c:yMode val="edge"/>
          <c:x val="0.86583259382380418"/>
          <c:y val="0.20710121294009848"/>
          <c:w val="0.12701271017330351"/>
          <c:h val="0.61538647905698185"/>
        </c:manualLayout>
      </c:layout>
      <c:overlay val="0"/>
      <c:spPr>
        <a:noFill/>
        <a:ln w="25400">
          <a:noFill/>
        </a:ln>
      </c:spPr>
      <c:txPr>
        <a:bodyPr/>
        <a:lstStyle/>
        <a:p>
          <a:pPr>
            <a:defRPr sz="800"/>
          </a:pPr>
          <a:endParaRPr lang="en-US"/>
        </a:p>
      </c:tx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9512059220021074"/>
          <c:y val="6.1347226838087139E-2"/>
          <c:w val="0.28147918493829277"/>
          <c:h val="0.88527572024547041"/>
        </c:manualLayout>
      </c:layout>
      <c:barChart>
        <c:barDir val="bar"/>
        <c:grouping val="percentStacked"/>
        <c:varyColors val="0"/>
        <c:ser>
          <c:idx val="0"/>
          <c:order val="0"/>
          <c:tx>
            <c:strRef>
              <c:f>'27 Mayoral refs Visual'!$C$7</c:f>
              <c:strCache>
                <c:ptCount val="1"/>
                <c:pt idx="0">
                  <c:v>For</c:v>
                </c:pt>
              </c:strCache>
            </c:strRef>
          </c:tx>
          <c:spPr>
            <a:solidFill>
              <a:schemeClr val="accent1"/>
            </a:solidFill>
            <a:ln w="25400">
              <a:noFill/>
            </a:ln>
          </c:spPr>
          <c:invertIfNegative val="0"/>
          <c:cat>
            <c:strRef>
              <c:f>'27 Mayoral refs Visual'!$B$8:$B$68</c:f>
              <c:strCache>
                <c:ptCount val="55"/>
                <c:pt idx="0">
                  <c:v>Tower Hamlets</c:v>
                </c:pt>
                <c:pt idx="1">
                  <c:v>Newham </c:v>
                </c:pt>
                <c:pt idx="2">
                  <c:v>Guildford</c:v>
                </c:pt>
                <c:pt idx="3">
                  <c:v>Torbay </c:v>
                </c:pt>
                <c:pt idx="4">
                  <c:v>North Tyneside</c:v>
                </c:pt>
                <c:pt idx="5">
                  <c:v>Bath &amp; North East Somerset</c:v>
                </c:pt>
                <c:pt idx="6">
                  <c:v>Copeland</c:v>
                </c:pt>
                <c:pt idx="7">
                  <c:v>Middlesbrough </c:v>
                </c:pt>
                <c:pt idx="8">
                  <c:v>Hartlepool </c:v>
                </c:pt>
                <c:pt idx="9">
                  <c:v>Doncaster </c:v>
                </c:pt>
                <c:pt idx="10">
                  <c:v>Wakefield</c:v>
                </c:pt>
                <c:pt idx="11">
                  <c:v>Sheffield</c:v>
                </c:pt>
                <c:pt idx="12">
                  <c:v>Nottingham</c:v>
                </c:pt>
                <c:pt idx="13">
                  <c:v>Newcastle-Upon-Tyne</c:v>
                </c:pt>
                <c:pt idx="14">
                  <c:v>Manchester</c:v>
                </c:pt>
                <c:pt idx="15">
                  <c:v>Leeds</c:v>
                </c:pt>
                <c:pt idx="16">
                  <c:v>Coventry</c:v>
                </c:pt>
                <c:pt idx="17">
                  <c:v>Bristol</c:v>
                </c:pt>
                <c:pt idx="18">
                  <c:v>Bradford</c:v>
                </c:pt>
                <c:pt idx="19">
                  <c:v>Birmingham</c:v>
                </c:pt>
                <c:pt idx="20">
                  <c:v>Salford</c:v>
                </c:pt>
                <c:pt idx="21">
                  <c:v>Fenland</c:v>
                </c:pt>
                <c:pt idx="22">
                  <c:v>Torbay </c:v>
                </c:pt>
                <c:pt idx="23">
                  <c:v>Isle of Wight</c:v>
                </c:pt>
                <c:pt idx="24">
                  <c:v>Ceredigion </c:v>
                </c:pt>
                <c:pt idx="25">
                  <c:v>Ealing </c:v>
                </c:pt>
                <c:pt idx="26">
                  <c:v>Corby </c:v>
                </c:pt>
                <c:pt idx="27">
                  <c:v>Mansfield </c:v>
                </c:pt>
                <c:pt idx="28">
                  <c:v>Stoke-on-Trent</c:v>
                </c:pt>
                <c:pt idx="29">
                  <c:v>Hackney </c:v>
                </c:pt>
                <c:pt idx="30">
                  <c:v>Oxford </c:v>
                </c:pt>
                <c:pt idx="31">
                  <c:v>Newcastle-under-Lyme </c:v>
                </c:pt>
                <c:pt idx="32">
                  <c:v>Bedford </c:v>
                </c:pt>
                <c:pt idx="33">
                  <c:v>Shepway </c:v>
                </c:pt>
                <c:pt idx="34">
                  <c:v>West Devon </c:v>
                </c:pt>
                <c:pt idx="35">
                  <c:v>Newham </c:v>
                </c:pt>
                <c:pt idx="36">
                  <c:v>Southwark </c:v>
                </c:pt>
                <c:pt idx="37">
                  <c:v>Plymouth </c:v>
                </c:pt>
                <c:pt idx="38">
                  <c:v>Harlow </c:v>
                </c:pt>
                <c:pt idx="39">
                  <c:v>Harrow </c:v>
                </c:pt>
                <c:pt idx="40">
                  <c:v>Durham City </c:v>
                </c:pt>
                <c:pt idx="41">
                  <c:v>Redditch </c:v>
                </c:pt>
                <c:pt idx="42">
                  <c:v>Brighton and Hove </c:v>
                </c:pt>
                <c:pt idx="43">
                  <c:v>Middlesbrough </c:v>
                </c:pt>
                <c:pt idx="44">
                  <c:v>Sedgefield </c:v>
                </c:pt>
                <c:pt idx="45">
                  <c:v>North Tyneside </c:v>
                </c:pt>
                <c:pt idx="46">
                  <c:v>Lewisham </c:v>
                </c:pt>
                <c:pt idx="47">
                  <c:v>Hartlepool </c:v>
                </c:pt>
                <c:pt idx="48">
                  <c:v>Sunderland </c:v>
                </c:pt>
                <c:pt idx="49">
                  <c:v>Kirklees </c:v>
                </c:pt>
                <c:pt idx="50">
                  <c:v>Doncaster</c:v>
                </c:pt>
                <c:pt idx="51">
                  <c:v>Watford </c:v>
                </c:pt>
                <c:pt idx="52">
                  <c:v>Gloucester </c:v>
                </c:pt>
                <c:pt idx="53">
                  <c:v>Cheltenham </c:v>
                </c:pt>
                <c:pt idx="54">
                  <c:v>Berwick-upon-Tweed </c:v>
                </c:pt>
              </c:strCache>
            </c:strRef>
          </c:cat>
          <c:val>
            <c:numRef>
              <c:f>'27 Mayoral refs Visual'!$C$8:$C$68</c:f>
              <c:numCache>
                <c:formatCode>0.0%</c:formatCode>
                <c:ptCount val="55"/>
                <c:pt idx="0">
                  <c:v>0.77831685246225446</c:v>
                </c:pt>
                <c:pt idx="1">
                  <c:v>0.55787531559526127</c:v>
                </c:pt>
                <c:pt idx="2">
                  <c:v>0.19337945050220814</c:v>
                </c:pt>
                <c:pt idx="3">
                  <c:v>0.37508380328903262</c:v>
                </c:pt>
                <c:pt idx="4">
                  <c:v>0.57860584188163344</c:v>
                </c:pt>
                <c:pt idx="5">
                  <c:v>0.20859340602418999</c:v>
                </c:pt>
                <c:pt idx="6">
                  <c:v>0.69774229074889871</c:v>
                </c:pt>
                <c:pt idx="7">
                  <c:v>0.57333597726221164</c:v>
                </c:pt>
                <c:pt idx="8">
                  <c:v>0.41274017380212069</c:v>
                </c:pt>
                <c:pt idx="9">
                  <c:v>0.61984575835475575</c:v>
                </c:pt>
                <c:pt idx="10">
                  <c:v>0.37839023120040566</c:v>
                </c:pt>
                <c:pt idx="11">
                  <c:v>0.34968343257937723</c:v>
                </c:pt>
                <c:pt idx="12">
                  <c:v>0.42512636258449549</c:v>
                </c:pt>
                <c:pt idx="13">
                  <c:v>0.38056830297130673</c:v>
                </c:pt>
                <c:pt idx="14">
                  <c:v>0.46759066505971292</c:v>
                </c:pt>
                <c:pt idx="15">
                  <c:v>0.36653947754622834</c:v>
                </c:pt>
                <c:pt idx="16">
                  <c:v>0.36422337444848796</c:v>
                </c:pt>
                <c:pt idx="17">
                  <c:v>0.53349282296650713</c:v>
                </c:pt>
                <c:pt idx="18">
                  <c:v>0.44870749883558453</c:v>
                </c:pt>
                <c:pt idx="19">
                  <c:v>0.42207325487790853</c:v>
                </c:pt>
                <c:pt idx="20">
                  <c:v>0.55953801980836859</c:v>
                </c:pt>
                <c:pt idx="21">
                  <c:v>0.24156983117737338</c:v>
                </c:pt>
                <c:pt idx="22">
                  <c:v>0.55177677372084499</c:v>
                </c:pt>
                <c:pt idx="23">
                  <c:v>0.43692606590470984</c:v>
                </c:pt>
                <c:pt idx="24">
                  <c:v>0.27472698100512394</c:v>
                </c:pt>
                <c:pt idx="25">
                  <c:v>0.44786583921550049</c:v>
                </c:pt>
                <c:pt idx="26">
                  <c:v>0.46169111302847282</c:v>
                </c:pt>
                <c:pt idx="27">
                  <c:v>0.54971512589597504</c:v>
                </c:pt>
                <c:pt idx="28">
                  <c:v>0.58156936903963075</c:v>
                </c:pt>
                <c:pt idx="29">
                  <c:v>0.70074338894563615</c:v>
                </c:pt>
                <c:pt idx="30">
                  <c:v>0.44017017196956076</c:v>
                </c:pt>
                <c:pt idx="31">
                  <c:v>0.43948264125255276</c:v>
                </c:pt>
                <c:pt idx="32">
                  <c:v>0.67145315374117365</c:v>
                </c:pt>
                <c:pt idx="33">
                  <c:v>0.44033033498759305</c:v>
                </c:pt>
                <c:pt idx="34">
                  <c:v>0.22578596379803112</c:v>
                </c:pt>
                <c:pt idx="35">
                  <c:v>0.68242803504380478</c:v>
                </c:pt>
                <c:pt idx="36">
                  <c:v>0.31415079653365158</c:v>
                </c:pt>
                <c:pt idx="37">
                  <c:v>0.40844272488600247</c:v>
                </c:pt>
                <c:pt idx="38">
                  <c:v>0.25478687578177622</c:v>
                </c:pt>
                <c:pt idx="39">
                  <c:v>0.42629579111457522</c:v>
                </c:pt>
                <c:pt idx="40">
                  <c:v>0.41017683857938031</c:v>
                </c:pt>
                <c:pt idx="41">
                  <c:v>0.44078307392996108</c:v>
                </c:pt>
                <c:pt idx="42">
                  <c:v>0.37912509593246352</c:v>
                </c:pt>
                <c:pt idx="43">
                  <c:v>0.84279045492765814</c:v>
                </c:pt>
                <c:pt idx="44">
                  <c:v>0.47241854469484817</c:v>
                </c:pt>
                <c:pt idx="45">
                  <c:v>0.57578294455648993</c:v>
                </c:pt>
                <c:pt idx="46">
                  <c:v>0.51386852394916915</c:v>
                </c:pt>
                <c:pt idx="47">
                  <c:v>0.50889747626544535</c:v>
                </c:pt>
                <c:pt idx="48">
                  <c:v>0.4400055040821943</c:v>
                </c:pt>
                <c:pt idx="49">
                  <c:v>0.26658103077649031</c:v>
                </c:pt>
                <c:pt idx="50">
                  <c:v>0.64635102368233943</c:v>
                </c:pt>
                <c:pt idx="51">
                  <c:v>0.51678397401191123</c:v>
                </c:pt>
                <c:pt idx="52">
                  <c:v>0.32148203592814373</c:v>
                </c:pt>
                <c:pt idx="53">
                  <c:v>0.32744581729795424</c:v>
                </c:pt>
                <c:pt idx="54">
                  <c:v>0.26155181141080336</c:v>
                </c:pt>
              </c:numCache>
            </c:numRef>
          </c:val>
          <c:extLst>
            <c:ext xmlns:c16="http://schemas.microsoft.com/office/drawing/2014/chart" uri="{C3380CC4-5D6E-409C-BE32-E72D297353CC}">
              <c16:uniqueId val="{00000000-026E-4B1E-A518-086561D69E09}"/>
            </c:ext>
          </c:extLst>
        </c:ser>
        <c:ser>
          <c:idx val="1"/>
          <c:order val="1"/>
          <c:tx>
            <c:strRef>
              <c:f>'27 Mayoral refs Visual'!$D$7</c:f>
              <c:strCache>
                <c:ptCount val="1"/>
                <c:pt idx="0">
                  <c:v> Against</c:v>
                </c:pt>
              </c:strCache>
            </c:strRef>
          </c:tx>
          <c:spPr>
            <a:solidFill>
              <a:schemeClr val="accent2"/>
            </a:solidFill>
            <a:ln w="25400">
              <a:noFill/>
            </a:ln>
          </c:spPr>
          <c:invertIfNegative val="0"/>
          <c:cat>
            <c:strRef>
              <c:f>'27 Mayoral refs Visual'!$B$8:$B$68</c:f>
              <c:strCache>
                <c:ptCount val="55"/>
                <c:pt idx="0">
                  <c:v>Tower Hamlets</c:v>
                </c:pt>
                <c:pt idx="1">
                  <c:v>Newham </c:v>
                </c:pt>
                <c:pt idx="2">
                  <c:v>Guildford</c:v>
                </c:pt>
                <c:pt idx="3">
                  <c:v>Torbay </c:v>
                </c:pt>
                <c:pt idx="4">
                  <c:v>North Tyneside</c:v>
                </c:pt>
                <c:pt idx="5">
                  <c:v>Bath &amp; North East Somerset</c:v>
                </c:pt>
                <c:pt idx="6">
                  <c:v>Copeland</c:v>
                </c:pt>
                <c:pt idx="7">
                  <c:v>Middlesbrough </c:v>
                </c:pt>
                <c:pt idx="8">
                  <c:v>Hartlepool </c:v>
                </c:pt>
                <c:pt idx="9">
                  <c:v>Doncaster </c:v>
                </c:pt>
                <c:pt idx="10">
                  <c:v>Wakefield</c:v>
                </c:pt>
                <c:pt idx="11">
                  <c:v>Sheffield</c:v>
                </c:pt>
                <c:pt idx="12">
                  <c:v>Nottingham</c:v>
                </c:pt>
                <c:pt idx="13">
                  <c:v>Newcastle-Upon-Tyne</c:v>
                </c:pt>
                <c:pt idx="14">
                  <c:v>Manchester</c:v>
                </c:pt>
                <c:pt idx="15">
                  <c:v>Leeds</c:v>
                </c:pt>
                <c:pt idx="16">
                  <c:v>Coventry</c:v>
                </c:pt>
                <c:pt idx="17">
                  <c:v>Bristol</c:v>
                </c:pt>
                <c:pt idx="18">
                  <c:v>Bradford</c:v>
                </c:pt>
                <c:pt idx="19">
                  <c:v>Birmingham</c:v>
                </c:pt>
                <c:pt idx="20">
                  <c:v>Salford</c:v>
                </c:pt>
                <c:pt idx="21">
                  <c:v>Fenland</c:v>
                </c:pt>
                <c:pt idx="22">
                  <c:v>Torbay </c:v>
                </c:pt>
                <c:pt idx="23">
                  <c:v>Isle of Wight</c:v>
                </c:pt>
                <c:pt idx="24">
                  <c:v>Ceredigion </c:v>
                </c:pt>
                <c:pt idx="25">
                  <c:v>Ealing </c:v>
                </c:pt>
                <c:pt idx="26">
                  <c:v>Corby </c:v>
                </c:pt>
                <c:pt idx="27">
                  <c:v>Mansfield </c:v>
                </c:pt>
                <c:pt idx="28">
                  <c:v>Stoke-on-Trent</c:v>
                </c:pt>
                <c:pt idx="29">
                  <c:v>Hackney </c:v>
                </c:pt>
                <c:pt idx="30">
                  <c:v>Oxford </c:v>
                </c:pt>
                <c:pt idx="31">
                  <c:v>Newcastle-under-Lyme </c:v>
                </c:pt>
                <c:pt idx="32">
                  <c:v>Bedford </c:v>
                </c:pt>
                <c:pt idx="33">
                  <c:v>Shepway </c:v>
                </c:pt>
                <c:pt idx="34">
                  <c:v>West Devon </c:v>
                </c:pt>
                <c:pt idx="35">
                  <c:v>Newham </c:v>
                </c:pt>
                <c:pt idx="36">
                  <c:v>Southwark </c:v>
                </c:pt>
                <c:pt idx="37">
                  <c:v>Plymouth </c:v>
                </c:pt>
                <c:pt idx="38">
                  <c:v>Harlow </c:v>
                </c:pt>
                <c:pt idx="39">
                  <c:v>Harrow </c:v>
                </c:pt>
                <c:pt idx="40">
                  <c:v>Durham City </c:v>
                </c:pt>
                <c:pt idx="41">
                  <c:v>Redditch </c:v>
                </c:pt>
                <c:pt idx="42">
                  <c:v>Brighton and Hove </c:v>
                </c:pt>
                <c:pt idx="43">
                  <c:v>Middlesbrough </c:v>
                </c:pt>
                <c:pt idx="44">
                  <c:v>Sedgefield </c:v>
                </c:pt>
                <c:pt idx="45">
                  <c:v>North Tyneside </c:v>
                </c:pt>
                <c:pt idx="46">
                  <c:v>Lewisham </c:v>
                </c:pt>
                <c:pt idx="47">
                  <c:v>Hartlepool </c:v>
                </c:pt>
                <c:pt idx="48">
                  <c:v>Sunderland </c:v>
                </c:pt>
                <c:pt idx="49">
                  <c:v>Kirklees </c:v>
                </c:pt>
                <c:pt idx="50">
                  <c:v>Doncaster</c:v>
                </c:pt>
                <c:pt idx="51">
                  <c:v>Watford </c:v>
                </c:pt>
                <c:pt idx="52">
                  <c:v>Gloucester </c:v>
                </c:pt>
                <c:pt idx="53">
                  <c:v>Cheltenham </c:v>
                </c:pt>
                <c:pt idx="54">
                  <c:v>Berwick-upon-Tweed </c:v>
                </c:pt>
              </c:strCache>
            </c:strRef>
          </c:cat>
          <c:val>
            <c:numRef>
              <c:f>'27 Mayoral refs Visual'!$D$8:$D$68</c:f>
              <c:numCache>
                <c:formatCode>0.0%</c:formatCode>
                <c:ptCount val="55"/>
                <c:pt idx="0">
                  <c:v>0.22168314753774551</c:v>
                </c:pt>
                <c:pt idx="1">
                  <c:v>0.44212468440473879</c:v>
                </c:pt>
                <c:pt idx="2">
                  <c:v>0.80662054949779183</c:v>
                </c:pt>
                <c:pt idx="3">
                  <c:v>0.62491619671096743</c:v>
                </c:pt>
                <c:pt idx="4">
                  <c:v>0.42139415811836656</c:v>
                </c:pt>
                <c:pt idx="5">
                  <c:v>0.79140659397581004</c:v>
                </c:pt>
                <c:pt idx="6">
                  <c:v>0.30225770925110135</c:v>
                </c:pt>
                <c:pt idx="7">
                  <c:v>0.42666402273778836</c:v>
                </c:pt>
                <c:pt idx="8">
                  <c:v>0.58725982619787931</c:v>
                </c:pt>
                <c:pt idx="9">
                  <c:v>0.3801542416452442</c:v>
                </c:pt>
                <c:pt idx="10">
                  <c:v>0.62160976879959429</c:v>
                </c:pt>
                <c:pt idx="11">
                  <c:v>0.65031656742062283</c:v>
                </c:pt>
                <c:pt idx="12">
                  <c:v>0.57487363741550457</c:v>
                </c:pt>
                <c:pt idx="13">
                  <c:v>0.61943169702869327</c:v>
                </c:pt>
                <c:pt idx="14">
                  <c:v>0.53240933494028708</c:v>
                </c:pt>
                <c:pt idx="15">
                  <c:v>0.6334605224537716</c:v>
                </c:pt>
                <c:pt idx="16">
                  <c:v>0.63577662555151204</c:v>
                </c:pt>
                <c:pt idx="17">
                  <c:v>0.46650717703349281</c:v>
                </c:pt>
                <c:pt idx="18">
                  <c:v>0.55129250116441542</c:v>
                </c:pt>
                <c:pt idx="19">
                  <c:v>0.57792674512209141</c:v>
                </c:pt>
                <c:pt idx="20">
                  <c:v>0.44046198019163146</c:v>
                </c:pt>
                <c:pt idx="21">
                  <c:v>0.75843016882262659</c:v>
                </c:pt>
                <c:pt idx="22">
                  <c:v>0.44822322627915495</c:v>
                </c:pt>
                <c:pt idx="23">
                  <c:v>0.56307393409529016</c:v>
                </c:pt>
                <c:pt idx="24">
                  <c:v>0.72527301899487606</c:v>
                </c:pt>
                <c:pt idx="25">
                  <c:v>0.55213416078449951</c:v>
                </c:pt>
                <c:pt idx="26">
                  <c:v>0.53830888697152723</c:v>
                </c:pt>
                <c:pt idx="27">
                  <c:v>0.45028487410402501</c:v>
                </c:pt>
                <c:pt idx="28">
                  <c:v>0.41843063096036925</c:v>
                </c:pt>
                <c:pt idx="29">
                  <c:v>0.29925661105436385</c:v>
                </c:pt>
                <c:pt idx="30">
                  <c:v>0.55982982803043924</c:v>
                </c:pt>
                <c:pt idx="31">
                  <c:v>0.56051735874744724</c:v>
                </c:pt>
                <c:pt idx="32">
                  <c:v>0.3285468462588263</c:v>
                </c:pt>
                <c:pt idx="33">
                  <c:v>0.559669665012407</c:v>
                </c:pt>
                <c:pt idx="34">
                  <c:v>0.77421403620196882</c:v>
                </c:pt>
                <c:pt idx="35">
                  <c:v>0.31757196495619522</c:v>
                </c:pt>
                <c:pt idx="36">
                  <c:v>0.68584920346634837</c:v>
                </c:pt>
                <c:pt idx="37">
                  <c:v>0.59155727511399747</c:v>
                </c:pt>
                <c:pt idx="38">
                  <c:v>0.74521312421822383</c:v>
                </c:pt>
                <c:pt idx="39">
                  <c:v>0.57370420888542484</c:v>
                </c:pt>
                <c:pt idx="40">
                  <c:v>0.58982316142061963</c:v>
                </c:pt>
                <c:pt idx="41">
                  <c:v>0.55921692607003892</c:v>
                </c:pt>
                <c:pt idx="42">
                  <c:v>0.62087490406753643</c:v>
                </c:pt>
                <c:pt idx="43">
                  <c:v>0.15720954507234192</c:v>
                </c:pt>
                <c:pt idx="44">
                  <c:v>0.52758145530515177</c:v>
                </c:pt>
                <c:pt idx="45">
                  <c:v>0.42421705544351002</c:v>
                </c:pt>
                <c:pt idx="46">
                  <c:v>0.4861314760508309</c:v>
                </c:pt>
                <c:pt idx="47">
                  <c:v>0.49110252373455465</c:v>
                </c:pt>
                <c:pt idx="48">
                  <c:v>0.5599944959178057</c:v>
                </c:pt>
                <c:pt idx="49">
                  <c:v>0.73341896922350969</c:v>
                </c:pt>
                <c:pt idx="50">
                  <c:v>0.35364897631766057</c:v>
                </c:pt>
                <c:pt idx="51">
                  <c:v>0.48321602598808877</c:v>
                </c:pt>
                <c:pt idx="52">
                  <c:v>0.67851796407185627</c:v>
                </c:pt>
                <c:pt idx="53">
                  <c:v>0.67255418270204581</c:v>
                </c:pt>
                <c:pt idx="54">
                  <c:v>0.73844818858919659</c:v>
                </c:pt>
              </c:numCache>
            </c:numRef>
          </c:val>
          <c:extLst>
            <c:ext xmlns:c16="http://schemas.microsoft.com/office/drawing/2014/chart" uri="{C3380CC4-5D6E-409C-BE32-E72D297353CC}">
              <c16:uniqueId val="{00000001-026E-4B1E-A518-086561D69E09}"/>
            </c:ext>
          </c:extLst>
        </c:ser>
        <c:dLbls>
          <c:showLegendKey val="0"/>
          <c:showVal val="0"/>
          <c:showCatName val="0"/>
          <c:showSerName val="0"/>
          <c:showPercent val="0"/>
          <c:showBubbleSize val="0"/>
        </c:dLbls>
        <c:gapWidth val="70"/>
        <c:overlap val="100"/>
        <c:axId val="476436056"/>
        <c:axId val="476436448"/>
      </c:barChart>
      <c:catAx>
        <c:axId val="47643605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6436448"/>
        <c:crosses val="autoZero"/>
        <c:auto val="1"/>
        <c:lblAlgn val="ctr"/>
        <c:lblOffset val="100"/>
        <c:noMultiLvlLbl val="0"/>
      </c:catAx>
      <c:valAx>
        <c:axId val="476436448"/>
        <c:scaling>
          <c:orientation val="minMax"/>
        </c:scaling>
        <c:delete val="0"/>
        <c:axPos val="b"/>
        <c:numFmt formatCode="0%" sourceLinked="1"/>
        <c:majorTickMark val="out"/>
        <c:minorTickMark val="none"/>
        <c:tickLblPos val="nextTo"/>
        <c:spPr>
          <a:noFill/>
          <a:ln>
            <a:solidFill>
              <a:schemeClr val="tx1"/>
            </a:solidFill>
          </a:ln>
          <a:effectLst/>
        </c:spPr>
        <c:txPr>
          <a:bodyPr rot="0" vert="horz"/>
          <a:lstStyle/>
          <a:p>
            <a:pPr>
              <a:defRPr/>
            </a:pPr>
            <a:endParaRPr lang="en-US"/>
          </a:p>
        </c:txPr>
        <c:crossAx val="476436056"/>
        <c:crosses val="autoZero"/>
        <c:crossBetween val="between"/>
        <c:majorUnit val="0.5"/>
      </c:valAx>
      <c:spPr>
        <a:noFill/>
        <a:ln w="25400">
          <a:noFill/>
        </a:ln>
      </c:spPr>
    </c:plotArea>
    <c:legend>
      <c:legendPos val="r"/>
      <c:layout>
        <c:manualLayout>
          <c:xMode val="edge"/>
          <c:yMode val="edge"/>
          <c:x val="0.32191873213441935"/>
          <c:y val="3.4678186115179907E-2"/>
          <c:w val="0.52433926111468865"/>
          <c:h val="2.9011786038077976E-2"/>
        </c:manualLayout>
      </c:layout>
      <c:overlay val="0"/>
      <c:spPr>
        <a:noFill/>
        <a:ln w="25400">
          <a:noFill/>
        </a:ln>
      </c:spPr>
    </c:legend>
    <c:plotVisOnly val="1"/>
    <c:dispBlanksAs val="gap"/>
    <c:showDLblsOverMax val="0"/>
  </c:chart>
  <c:spPr>
    <a:noFill/>
    <a:ln w="9525">
      <a:noFill/>
    </a:ln>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62219912384369E-2"/>
          <c:y val="4.6218508400735631E-2"/>
          <c:w val="0.90596409221118235"/>
          <c:h val="0.7379391861731569"/>
        </c:manualLayout>
      </c:layout>
      <c:barChart>
        <c:barDir val="col"/>
        <c:grouping val="stacked"/>
        <c:varyColors val="0"/>
        <c:ser>
          <c:idx val="0"/>
          <c:order val="0"/>
          <c:tx>
            <c:strRef>
              <c:f>'Seat Data'!$B$2</c:f>
              <c:strCache>
                <c:ptCount val="1"/>
                <c:pt idx="0">
                  <c:v>CON</c:v>
                </c:pt>
              </c:strCache>
            </c:strRef>
          </c:tx>
          <c:spPr>
            <a:solidFill>
              <a:srgbClr val="00539F"/>
            </a:solidFill>
            <a:ln w="25400">
              <a:noFill/>
            </a:ln>
          </c:spPr>
          <c:invertIfNegative val="0"/>
          <c:cat>
            <c:strRef>
              <c:f>'Seat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'Seat Data'!$B$4:$B$31</c:f>
              <c:numCache>
                <c:formatCode>#,##0_);\(#,##0\)</c:formatCode>
                <c:ptCount val="28"/>
                <c:pt idx="0">
                  <c:v>382</c:v>
                </c:pt>
                <c:pt idx="1">
                  <c:v>344</c:v>
                </c:pt>
                <c:pt idx="2">
                  <c:v>258</c:v>
                </c:pt>
                <c:pt idx="3">
                  <c:v>412</c:v>
                </c:pt>
                <c:pt idx="4">
                  <c:v>260</c:v>
                </c:pt>
                <c:pt idx="5">
                  <c:v>522</c:v>
                </c:pt>
                <c:pt idx="6">
                  <c:v>429</c:v>
                </c:pt>
                <c:pt idx="7">
                  <c:v>210</c:v>
                </c:pt>
                <c:pt idx="8">
                  <c:v>298</c:v>
                </c:pt>
                <c:pt idx="9">
                  <c:v>321</c:v>
                </c:pt>
                <c:pt idx="10">
                  <c:v>345</c:v>
                </c:pt>
                <c:pt idx="11">
                  <c:v>365</c:v>
                </c:pt>
                <c:pt idx="12">
                  <c:v>304</c:v>
                </c:pt>
                <c:pt idx="13">
                  <c:v>253</c:v>
                </c:pt>
                <c:pt idx="14">
                  <c:v>330</c:v>
                </c:pt>
                <c:pt idx="15">
                  <c:v>297</c:v>
                </c:pt>
                <c:pt idx="16">
                  <c:v>277</c:v>
                </c:pt>
                <c:pt idx="17">
                  <c:v>339</c:v>
                </c:pt>
                <c:pt idx="18">
                  <c:v>397</c:v>
                </c:pt>
                <c:pt idx="19">
                  <c:v>376</c:v>
                </c:pt>
                <c:pt idx="20">
                  <c:v>336</c:v>
                </c:pt>
                <c:pt idx="21">
                  <c:v>165</c:v>
                </c:pt>
                <c:pt idx="22">
                  <c:v>166</c:v>
                </c:pt>
                <c:pt idx="23">
                  <c:v>198</c:v>
                </c:pt>
                <c:pt idx="24">
                  <c:v>306</c:v>
                </c:pt>
                <c:pt idx="25">
                  <c:v>330</c:v>
                </c:pt>
                <c:pt idx="26">
                  <c:v>317</c:v>
                </c:pt>
                <c:pt idx="27">
                  <c:v>365</c:v>
                </c:pt>
              </c:numCache>
            </c:numRef>
          </c:val>
          <c:extLst>
            <c:ext xmlns:c16="http://schemas.microsoft.com/office/drawing/2014/chart" uri="{C3380CC4-5D6E-409C-BE32-E72D297353CC}">
              <c16:uniqueId val="{00000000-58B4-4997-AFA5-384307EFF721}"/>
            </c:ext>
          </c:extLst>
        </c:ser>
        <c:ser>
          <c:idx val="2"/>
          <c:order val="1"/>
          <c:tx>
            <c:strRef>
              <c:f>'Seat Data'!$D$2</c:f>
              <c:strCache>
                <c:ptCount val="1"/>
                <c:pt idx="0">
                  <c:v>LD</c:v>
                </c:pt>
              </c:strCache>
            </c:strRef>
          </c:tx>
          <c:spPr>
            <a:solidFill>
              <a:srgbClr val="FAA01A"/>
            </a:solidFill>
            <a:ln w="25400">
              <a:noFill/>
            </a:ln>
          </c:spPr>
          <c:invertIfNegative val="0"/>
          <c:cat>
            <c:strRef>
              <c:f>'Seat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'Seat Data'!$D$4:$D$31</c:f>
              <c:numCache>
                <c:formatCode>#,##0_);\(#,##0\)</c:formatCode>
                <c:ptCount val="28"/>
                <c:pt idx="0">
                  <c:v>163</c:v>
                </c:pt>
                <c:pt idx="1">
                  <c:v>115</c:v>
                </c:pt>
                <c:pt idx="2">
                  <c:v>158</c:v>
                </c:pt>
                <c:pt idx="3">
                  <c:v>40</c:v>
                </c:pt>
                <c:pt idx="4">
                  <c:v>59</c:v>
                </c:pt>
                <c:pt idx="5">
                  <c:v>36</c:v>
                </c:pt>
                <c:pt idx="6">
                  <c:v>21</c:v>
                </c:pt>
                <c:pt idx="7">
                  <c:v>12</c:v>
                </c:pt>
                <c:pt idx="8">
                  <c:v>9</c:v>
                </c:pt>
                <c:pt idx="9">
                  <c:v>6</c:v>
                </c:pt>
                <c:pt idx="10">
                  <c:v>6</c:v>
                </c:pt>
                <c:pt idx="11">
                  <c:v>6</c:v>
                </c:pt>
                <c:pt idx="12">
                  <c:v>9</c:v>
                </c:pt>
                <c:pt idx="13">
                  <c:v>12</c:v>
                </c:pt>
                <c:pt idx="14">
                  <c:v>6</c:v>
                </c:pt>
                <c:pt idx="15">
                  <c:v>14</c:v>
                </c:pt>
                <c:pt idx="16">
                  <c:v>13</c:v>
                </c:pt>
                <c:pt idx="17">
                  <c:v>11</c:v>
                </c:pt>
                <c:pt idx="18">
                  <c:v>23</c:v>
                </c:pt>
                <c:pt idx="19">
                  <c:v>22</c:v>
                </c:pt>
                <c:pt idx="20">
                  <c:v>20</c:v>
                </c:pt>
                <c:pt idx="21">
                  <c:v>46</c:v>
                </c:pt>
                <c:pt idx="22">
                  <c:v>52</c:v>
                </c:pt>
                <c:pt idx="23">
                  <c:v>62</c:v>
                </c:pt>
                <c:pt idx="24">
                  <c:v>57</c:v>
                </c:pt>
                <c:pt idx="25">
                  <c:v>8</c:v>
                </c:pt>
                <c:pt idx="26">
                  <c:v>12</c:v>
                </c:pt>
                <c:pt idx="27">
                  <c:v>11</c:v>
                </c:pt>
              </c:numCache>
            </c:numRef>
          </c:val>
          <c:extLst>
            <c:ext xmlns:c16="http://schemas.microsoft.com/office/drawing/2014/chart" uri="{C3380CC4-5D6E-409C-BE32-E72D297353CC}">
              <c16:uniqueId val="{00000001-58B4-4997-AFA5-384307EFF721}"/>
            </c:ext>
          </c:extLst>
        </c:ser>
        <c:ser>
          <c:idx val="1"/>
          <c:order val="2"/>
          <c:tx>
            <c:strRef>
              <c:f>'Seat Data'!$C$2</c:f>
              <c:strCache>
                <c:ptCount val="1"/>
                <c:pt idx="0">
                  <c:v>LAB</c:v>
                </c:pt>
              </c:strCache>
            </c:strRef>
          </c:tx>
          <c:spPr>
            <a:solidFill>
              <a:srgbClr val="D50000"/>
            </a:solidFill>
            <a:ln w="25400">
              <a:noFill/>
            </a:ln>
          </c:spPr>
          <c:invertIfNegative val="0"/>
          <c:cat>
            <c:strRef>
              <c:f>'Seat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'Seat Data'!$C$4:$C$31</c:f>
              <c:numCache>
                <c:formatCode>#,##0_);\(#,##0\)</c:formatCode>
                <c:ptCount val="28"/>
                <c:pt idx="0">
                  <c:v>57</c:v>
                </c:pt>
                <c:pt idx="1">
                  <c:v>142</c:v>
                </c:pt>
                <c:pt idx="2">
                  <c:v>191</c:v>
                </c:pt>
                <c:pt idx="3">
                  <c:v>151</c:v>
                </c:pt>
                <c:pt idx="4">
                  <c:v>287</c:v>
                </c:pt>
                <c:pt idx="5">
                  <c:v>52</c:v>
                </c:pt>
                <c:pt idx="6">
                  <c:v>154</c:v>
                </c:pt>
                <c:pt idx="7">
                  <c:v>393</c:v>
                </c:pt>
                <c:pt idx="8">
                  <c:v>315</c:v>
                </c:pt>
                <c:pt idx="9">
                  <c:v>295</c:v>
                </c:pt>
                <c:pt idx="10">
                  <c:v>277</c:v>
                </c:pt>
                <c:pt idx="11">
                  <c:v>258</c:v>
                </c:pt>
                <c:pt idx="12">
                  <c:v>317</c:v>
                </c:pt>
                <c:pt idx="13">
                  <c:v>364</c:v>
                </c:pt>
                <c:pt idx="14">
                  <c:v>288</c:v>
                </c:pt>
                <c:pt idx="15">
                  <c:v>301</c:v>
                </c:pt>
                <c:pt idx="16">
                  <c:v>319</c:v>
                </c:pt>
                <c:pt idx="17">
                  <c:v>269</c:v>
                </c:pt>
                <c:pt idx="18">
                  <c:v>209</c:v>
                </c:pt>
                <c:pt idx="19">
                  <c:v>229</c:v>
                </c:pt>
                <c:pt idx="20">
                  <c:v>271</c:v>
                </c:pt>
                <c:pt idx="21">
                  <c:v>418</c:v>
                </c:pt>
                <c:pt idx="22">
                  <c:v>412</c:v>
                </c:pt>
                <c:pt idx="23">
                  <c:v>355</c:v>
                </c:pt>
                <c:pt idx="24">
                  <c:v>258</c:v>
                </c:pt>
                <c:pt idx="25">
                  <c:v>232</c:v>
                </c:pt>
                <c:pt idx="26">
                  <c:v>262</c:v>
                </c:pt>
                <c:pt idx="27">
                  <c:v>202</c:v>
                </c:pt>
              </c:numCache>
            </c:numRef>
          </c:val>
          <c:extLst>
            <c:ext xmlns:c16="http://schemas.microsoft.com/office/drawing/2014/chart" uri="{C3380CC4-5D6E-409C-BE32-E72D297353CC}">
              <c16:uniqueId val="{00000002-58B4-4997-AFA5-384307EFF721}"/>
            </c:ext>
          </c:extLst>
        </c:ser>
        <c:ser>
          <c:idx val="3"/>
          <c:order val="3"/>
          <c:tx>
            <c:strRef>
              <c:f>'Seat Data'!$I$2</c:f>
              <c:strCache>
                <c:ptCount val="1"/>
                <c:pt idx="0">
                  <c:v>Other</c:v>
                </c:pt>
              </c:strCache>
            </c:strRef>
          </c:tx>
          <c:spPr>
            <a:solidFill>
              <a:srgbClr val="909090"/>
            </a:solidFill>
            <a:ln>
              <a:noFill/>
            </a:ln>
          </c:spPr>
          <c:invertIfNegative val="0"/>
          <c:cat>
            <c:strRef>
              <c:f>'Seat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'Seat Data'!$I$4:$I$31</c:f>
              <c:numCache>
                <c:formatCode>#,##0_);\(#,##0\)</c:formatCode>
                <c:ptCount val="28"/>
                <c:pt idx="0">
                  <c:v>105</c:v>
                </c:pt>
                <c:pt idx="1">
                  <c:v>14</c:v>
                </c:pt>
                <c:pt idx="2">
                  <c:v>8</c:v>
                </c:pt>
                <c:pt idx="3">
                  <c:v>12</c:v>
                </c:pt>
                <c:pt idx="4">
                  <c:v>9</c:v>
                </c:pt>
                <c:pt idx="5">
                  <c:v>5</c:v>
                </c:pt>
                <c:pt idx="6">
                  <c:v>11</c:v>
                </c:pt>
                <c:pt idx="7">
                  <c:v>25</c:v>
                </c:pt>
                <c:pt idx="8">
                  <c:v>3</c:v>
                </c:pt>
                <c:pt idx="9">
                  <c:v>3</c:v>
                </c:pt>
                <c:pt idx="10">
                  <c:v>2</c:v>
                </c:pt>
                <c:pt idx="11">
                  <c:v>1</c:v>
                </c:pt>
                <c:pt idx="12">
                  <c:v>0</c:v>
                </c:pt>
                <c:pt idx="13">
                  <c:v>1</c:v>
                </c:pt>
                <c:pt idx="14">
                  <c:v>6</c:v>
                </c:pt>
                <c:pt idx="15">
                  <c:v>23</c:v>
                </c:pt>
                <c:pt idx="16">
                  <c:v>26</c:v>
                </c:pt>
                <c:pt idx="17">
                  <c:v>16</c:v>
                </c:pt>
                <c:pt idx="18">
                  <c:v>21</c:v>
                </c:pt>
                <c:pt idx="19">
                  <c:v>23</c:v>
                </c:pt>
                <c:pt idx="20">
                  <c:v>24</c:v>
                </c:pt>
                <c:pt idx="21">
                  <c:v>30</c:v>
                </c:pt>
                <c:pt idx="22">
                  <c:v>29</c:v>
                </c:pt>
                <c:pt idx="23">
                  <c:v>31</c:v>
                </c:pt>
                <c:pt idx="24">
                  <c:v>29</c:v>
                </c:pt>
                <c:pt idx="25">
                  <c:v>80</c:v>
                </c:pt>
                <c:pt idx="26">
                  <c:v>59</c:v>
                </c:pt>
                <c:pt idx="27">
                  <c:v>72</c:v>
                </c:pt>
              </c:numCache>
            </c:numRef>
          </c:val>
          <c:extLst>
            <c:ext xmlns:c16="http://schemas.microsoft.com/office/drawing/2014/chart" uri="{C3380CC4-5D6E-409C-BE32-E72D297353CC}">
              <c16:uniqueId val="{00000003-58B4-4997-AFA5-384307EFF721}"/>
            </c:ext>
          </c:extLst>
        </c:ser>
        <c:dLbls>
          <c:showLegendKey val="0"/>
          <c:showVal val="0"/>
          <c:showCatName val="0"/>
          <c:showSerName val="0"/>
          <c:showPercent val="0"/>
          <c:showBubbleSize val="0"/>
        </c:dLbls>
        <c:gapWidth val="49"/>
        <c:overlap val="100"/>
        <c:axId val="461929440"/>
        <c:axId val="461929832"/>
      </c:barChart>
      <c:catAx>
        <c:axId val="461929440"/>
        <c:scaling>
          <c:orientation val="minMax"/>
        </c:scaling>
        <c:delete val="0"/>
        <c:axPos val="b"/>
        <c:numFmt formatCode="General" sourceLinked="0"/>
        <c:majorTickMark val="none"/>
        <c:minorTickMark val="none"/>
        <c:tickLblPos val="low"/>
        <c:spPr>
          <a:ln w="3175">
            <a:solidFill>
              <a:srgbClr val="000000"/>
            </a:solidFill>
            <a:prstDash val="solid"/>
          </a:ln>
        </c:spPr>
        <c:txPr>
          <a:bodyPr rot="-5400000" vert="horz"/>
          <a:lstStyle/>
          <a:p>
            <a:pPr>
              <a:defRPr/>
            </a:pPr>
            <a:endParaRPr lang="en-US"/>
          </a:p>
        </c:txPr>
        <c:crossAx val="461929832"/>
        <c:crosses val="autoZero"/>
        <c:auto val="1"/>
        <c:lblAlgn val="ctr"/>
        <c:lblOffset val="100"/>
        <c:tickLblSkip val="1"/>
        <c:tickMarkSkip val="1"/>
        <c:noMultiLvlLbl val="0"/>
      </c:catAx>
      <c:valAx>
        <c:axId val="461929832"/>
        <c:scaling>
          <c:orientation val="minMax"/>
          <c:max val="720"/>
          <c:min val="0"/>
        </c:scaling>
        <c:delete val="0"/>
        <c:axPos val="l"/>
        <c:numFmt formatCode="#,##0_);\(#,##0\)" sourceLinked="1"/>
        <c:majorTickMark val="out"/>
        <c:minorTickMark val="none"/>
        <c:tickLblPos val="nextTo"/>
        <c:spPr>
          <a:ln w="3175">
            <a:solidFill>
              <a:srgbClr val="000000"/>
            </a:solidFill>
            <a:prstDash val="solid"/>
          </a:ln>
        </c:spPr>
        <c:txPr>
          <a:bodyPr rot="0" vert="horz"/>
          <a:lstStyle/>
          <a:p>
            <a:pPr>
              <a:defRPr/>
            </a:pPr>
            <a:endParaRPr lang="en-US"/>
          </a:p>
        </c:txPr>
        <c:crossAx val="461929440"/>
        <c:crosses val="autoZero"/>
        <c:crossBetween val="between"/>
        <c:majorUnit val="100"/>
        <c:minorUnit val="20"/>
      </c:valAx>
      <c:spPr>
        <a:noFill/>
        <a:ln w="25400">
          <a:noFill/>
        </a:ln>
      </c:spPr>
    </c:plotArea>
    <c:plotVisOnly val="1"/>
    <c:dispBlanksAs val="gap"/>
    <c:showDLblsOverMax val="0"/>
  </c:chart>
  <c:spPr>
    <a:solidFill>
      <a:schemeClr val="bg1"/>
    </a:solid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056" l="0.70000000000000051" r="0.70000000000000051" t="0.75000000000000056" header="0.30000000000000027" footer="0.30000000000000027"/>
    <c:pageSetup/>
  </c:printSettings>
  <c:userShapes r:id="rId1"/>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LT Std 45 Light"/>
                <a:ea typeface="Frutiger LT Std 45 Light"/>
                <a:cs typeface="Frutiger LT Std 45 Light"/>
              </a:defRPr>
            </a:pPr>
            <a:r>
              <a:rPr lang="en-GB"/>
              <a:t>Mayoral referendum of votes  (%)</a:t>
            </a:r>
          </a:p>
        </c:rich>
      </c:tx>
      <c:layout>
        <c:manualLayout>
          <c:xMode val="edge"/>
          <c:yMode val="edge"/>
          <c:x val="0.17744449813809374"/>
          <c:y val="1.7576499907208568E-2"/>
        </c:manualLayout>
      </c:layout>
      <c:overlay val="0"/>
      <c:spPr>
        <a:noFill/>
        <a:ln w="25400">
          <a:noFill/>
        </a:ln>
      </c:spPr>
    </c:title>
    <c:autoTitleDeleted val="0"/>
    <c:plotArea>
      <c:layout>
        <c:manualLayout>
          <c:layoutTarget val="inner"/>
          <c:xMode val="edge"/>
          <c:yMode val="edge"/>
          <c:x val="0.60470939870968521"/>
          <c:y val="7.6015305466149777E-2"/>
          <c:w val="0.28147918493829277"/>
          <c:h val="0.88527572024547041"/>
        </c:manualLayout>
      </c:layout>
      <c:barChart>
        <c:barDir val="bar"/>
        <c:grouping val="percentStacked"/>
        <c:varyColors val="0"/>
        <c:ser>
          <c:idx val="0"/>
          <c:order val="0"/>
          <c:tx>
            <c:strRef>
              <c:f>'27 Mayoral refs Visual'!$C$7</c:f>
              <c:strCache>
                <c:ptCount val="1"/>
                <c:pt idx="0">
                  <c:v>For</c:v>
                </c:pt>
              </c:strCache>
            </c:strRef>
          </c:tx>
          <c:spPr>
            <a:solidFill>
              <a:srgbClr val="008000"/>
            </a:solidFill>
            <a:ln w="25400">
              <a:noFill/>
            </a:ln>
          </c:spPr>
          <c:invertIfNegative val="0"/>
          <c:cat>
            <c:strRef>
              <c:f>'27 Mayoral refs Visual'!$B$11:$B$68</c:f>
              <c:strCache>
                <c:ptCount val="52"/>
                <c:pt idx="0">
                  <c:v>Torbay </c:v>
                </c:pt>
                <c:pt idx="1">
                  <c:v>North Tyneside</c:v>
                </c:pt>
                <c:pt idx="2">
                  <c:v>Bath &amp; North East Somerset</c:v>
                </c:pt>
                <c:pt idx="3">
                  <c:v>Copeland</c:v>
                </c:pt>
                <c:pt idx="4">
                  <c:v>Middlesbrough </c:v>
                </c:pt>
                <c:pt idx="5">
                  <c:v>Hartlepool </c:v>
                </c:pt>
                <c:pt idx="6">
                  <c:v>Doncaster </c:v>
                </c:pt>
                <c:pt idx="7">
                  <c:v>Wakefield</c:v>
                </c:pt>
                <c:pt idx="8">
                  <c:v>Sheffield</c:v>
                </c:pt>
                <c:pt idx="9">
                  <c:v>Nottingham</c:v>
                </c:pt>
                <c:pt idx="10">
                  <c:v>Newcastle-Upon-Tyne</c:v>
                </c:pt>
                <c:pt idx="11">
                  <c:v>Manchester</c:v>
                </c:pt>
                <c:pt idx="12">
                  <c:v>Leeds</c:v>
                </c:pt>
                <c:pt idx="13">
                  <c:v>Coventry</c:v>
                </c:pt>
                <c:pt idx="14">
                  <c:v>Bristol</c:v>
                </c:pt>
                <c:pt idx="15">
                  <c:v>Bradford</c:v>
                </c:pt>
                <c:pt idx="16">
                  <c:v>Birmingham</c:v>
                </c:pt>
                <c:pt idx="17">
                  <c:v>Salford</c:v>
                </c:pt>
                <c:pt idx="18">
                  <c:v>Fenland</c:v>
                </c:pt>
                <c:pt idx="19">
                  <c:v>Torbay </c:v>
                </c:pt>
                <c:pt idx="20">
                  <c:v>Isle of Wight</c:v>
                </c:pt>
                <c:pt idx="21">
                  <c:v>Ceredigion </c:v>
                </c:pt>
                <c:pt idx="22">
                  <c:v>Ealing </c:v>
                </c:pt>
                <c:pt idx="23">
                  <c:v>Corby </c:v>
                </c:pt>
                <c:pt idx="24">
                  <c:v>Mansfield </c:v>
                </c:pt>
                <c:pt idx="25">
                  <c:v>Stoke-on-Trent</c:v>
                </c:pt>
                <c:pt idx="26">
                  <c:v>Hackney </c:v>
                </c:pt>
                <c:pt idx="27">
                  <c:v>Oxford </c:v>
                </c:pt>
                <c:pt idx="28">
                  <c:v>Newcastle-under-Lyme </c:v>
                </c:pt>
                <c:pt idx="29">
                  <c:v>Bedford </c:v>
                </c:pt>
                <c:pt idx="30">
                  <c:v>Shepway </c:v>
                </c:pt>
                <c:pt idx="31">
                  <c:v>West Devon </c:v>
                </c:pt>
                <c:pt idx="32">
                  <c:v>Newham </c:v>
                </c:pt>
                <c:pt idx="33">
                  <c:v>Southwark </c:v>
                </c:pt>
                <c:pt idx="34">
                  <c:v>Plymouth </c:v>
                </c:pt>
                <c:pt idx="35">
                  <c:v>Harlow </c:v>
                </c:pt>
                <c:pt idx="36">
                  <c:v>Harrow </c:v>
                </c:pt>
                <c:pt idx="37">
                  <c:v>Durham City </c:v>
                </c:pt>
                <c:pt idx="38">
                  <c:v>Redditch </c:v>
                </c:pt>
                <c:pt idx="39">
                  <c:v>Brighton and Hove </c:v>
                </c:pt>
                <c:pt idx="40">
                  <c:v>Middlesbrough </c:v>
                </c:pt>
                <c:pt idx="41">
                  <c:v>Sedgefield </c:v>
                </c:pt>
                <c:pt idx="42">
                  <c:v>North Tyneside </c:v>
                </c:pt>
                <c:pt idx="43">
                  <c:v>Lewisham </c:v>
                </c:pt>
                <c:pt idx="44">
                  <c:v>Hartlepool </c:v>
                </c:pt>
                <c:pt idx="45">
                  <c:v>Sunderland </c:v>
                </c:pt>
                <c:pt idx="46">
                  <c:v>Kirklees </c:v>
                </c:pt>
                <c:pt idx="47">
                  <c:v>Doncaster</c:v>
                </c:pt>
                <c:pt idx="48">
                  <c:v>Watford </c:v>
                </c:pt>
                <c:pt idx="49">
                  <c:v>Gloucester </c:v>
                </c:pt>
                <c:pt idx="50">
                  <c:v>Cheltenham </c:v>
                </c:pt>
                <c:pt idx="51">
                  <c:v>Berwick-upon-Tweed </c:v>
                </c:pt>
              </c:strCache>
            </c:strRef>
          </c:cat>
          <c:val>
            <c:numRef>
              <c:f>'27 Mayoral refs Visual'!$C$11:$C$68</c:f>
              <c:numCache>
                <c:formatCode>0.0%</c:formatCode>
                <c:ptCount val="52"/>
                <c:pt idx="0">
                  <c:v>0.37508380328903262</c:v>
                </c:pt>
                <c:pt idx="1">
                  <c:v>0.57860584188163344</c:v>
                </c:pt>
                <c:pt idx="2">
                  <c:v>0.20859340602418999</c:v>
                </c:pt>
                <c:pt idx="3">
                  <c:v>0.69774229074889871</c:v>
                </c:pt>
                <c:pt idx="4">
                  <c:v>0.57333597726221164</c:v>
                </c:pt>
                <c:pt idx="5">
                  <c:v>0.41274017380212069</c:v>
                </c:pt>
                <c:pt idx="6">
                  <c:v>0.61984575835475575</c:v>
                </c:pt>
                <c:pt idx="7">
                  <c:v>0.37839023120040566</c:v>
                </c:pt>
                <c:pt idx="8">
                  <c:v>0.34968343257937723</c:v>
                </c:pt>
                <c:pt idx="9">
                  <c:v>0.42512636258449549</c:v>
                </c:pt>
                <c:pt idx="10">
                  <c:v>0.38056830297130673</c:v>
                </c:pt>
                <c:pt idx="11">
                  <c:v>0.46759066505971292</c:v>
                </c:pt>
                <c:pt idx="12">
                  <c:v>0.36653947754622834</c:v>
                </c:pt>
                <c:pt idx="13">
                  <c:v>0.36422337444848796</c:v>
                </c:pt>
                <c:pt idx="14">
                  <c:v>0.53349282296650713</c:v>
                </c:pt>
                <c:pt idx="15">
                  <c:v>0.44870749883558453</c:v>
                </c:pt>
                <c:pt idx="16">
                  <c:v>0.42207325487790853</c:v>
                </c:pt>
                <c:pt idx="17">
                  <c:v>0.55953801980836859</c:v>
                </c:pt>
                <c:pt idx="18">
                  <c:v>0.24156983117737338</c:v>
                </c:pt>
                <c:pt idx="19">
                  <c:v>0.55177677372084499</c:v>
                </c:pt>
                <c:pt idx="20">
                  <c:v>0.43692606590470984</c:v>
                </c:pt>
                <c:pt idx="21">
                  <c:v>0.27472698100512394</c:v>
                </c:pt>
                <c:pt idx="22">
                  <c:v>0.44786583921550049</c:v>
                </c:pt>
                <c:pt idx="23">
                  <c:v>0.46169111302847282</c:v>
                </c:pt>
                <c:pt idx="24">
                  <c:v>0.54971512589597504</c:v>
                </c:pt>
                <c:pt idx="25">
                  <c:v>0.58156936903963075</c:v>
                </c:pt>
                <c:pt idx="26">
                  <c:v>0.70074338894563615</c:v>
                </c:pt>
                <c:pt idx="27">
                  <c:v>0.44017017196956076</c:v>
                </c:pt>
                <c:pt idx="28">
                  <c:v>0.43948264125255276</c:v>
                </c:pt>
                <c:pt idx="29">
                  <c:v>0.67145315374117365</c:v>
                </c:pt>
                <c:pt idx="30">
                  <c:v>0.44033033498759305</c:v>
                </c:pt>
                <c:pt idx="31">
                  <c:v>0.22578596379803112</c:v>
                </c:pt>
                <c:pt idx="32">
                  <c:v>0.68242803504380478</c:v>
                </c:pt>
                <c:pt idx="33">
                  <c:v>0.31415079653365158</c:v>
                </c:pt>
                <c:pt idx="34">
                  <c:v>0.40844272488600247</c:v>
                </c:pt>
                <c:pt idx="35">
                  <c:v>0.25478687578177622</c:v>
                </c:pt>
                <c:pt idx="36">
                  <c:v>0.42629579111457522</c:v>
                </c:pt>
                <c:pt idx="37">
                  <c:v>0.41017683857938031</c:v>
                </c:pt>
                <c:pt idx="38">
                  <c:v>0.44078307392996108</c:v>
                </c:pt>
                <c:pt idx="39">
                  <c:v>0.37912509593246352</c:v>
                </c:pt>
                <c:pt idx="40">
                  <c:v>0.84279045492765814</c:v>
                </c:pt>
                <c:pt idx="41">
                  <c:v>0.47241854469484817</c:v>
                </c:pt>
                <c:pt idx="42">
                  <c:v>0.57578294455648993</c:v>
                </c:pt>
                <c:pt idx="43">
                  <c:v>0.51386852394916915</c:v>
                </c:pt>
                <c:pt idx="44">
                  <c:v>0.50889747626544535</c:v>
                </c:pt>
                <c:pt idx="45">
                  <c:v>0.4400055040821943</c:v>
                </c:pt>
                <c:pt idx="46">
                  <c:v>0.26658103077649031</c:v>
                </c:pt>
                <c:pt idx="47">
                  <c:v>0.64635102368233943</c:v>
                </c:pt>
                <c:pt idx="48">
                  <c:v>0.51678397401191123</c:v>
                </c:pt>
                <c:pt idx="49">
                  <c:v>0.32148203592814373</c:v>
                </c:pt>
                <c:pt idx="50">
                  <c:v>0.32744581729795424</c:v>
                </c:pt>
                <c:pt idx="51">
                  <c:v>0.26155181141080336</c:v>
                </c:pt>
              </c:numCache>
            </c:numRef>
          </c:val>
          <c:extLst>
            <c:ext xmlns:c16="http://schemas.microsoft.com/office/drawing/2014/chart" uri="{C3380CC4-5D6E-409C-BE32-E72D297353CC}">
              <c16:uniqueId val="{00000000-ABD0-47B3-AA46-B3E2D60E58E4}"/>
            </c:ext>
          </c:extLst>
        </c:ser>
        <c:ser>
          <c:idx val="1"/>
          <c:order val="1"/>
          <c:tx>
            <c:strRef>
              <c:f>'27 Mayoral refs Visual'!$D$7</c:f>
              <c:strCache>
                <c:ptCount val="1"/>
                <c:pt idx="0">
                  <c:v> Against</c:v>
                </c:pt>
              </c:strCache>
            </c:strRef>
          </c:tx>
          <c:spPr>
            <a:solidFill>
              <a:schemeClr val="accent3">
                <a:lumMod val="60000"/>
                <a:lumOff val="40000"/>
              </a:schemeClr>
            </a:solidFill>
            <a:ln w="25400">
              <a:noFill/>
            </a:ln>
          </c:spPr>
          <c:invertIfNegative val="0"/>
          <c:cat>
            <c:strRef>
              <c:f>'27 Mayoral refs Visual'!$B$11:$B$68</c:f>
              <c:strCache>
                <c:ptCount val="52"/>
                <c:pt idx="0">
                  <c:v>Torbay </c:v>
                </c:pt>
                <c:pt idx="1">
                  <c:v>North Tyneside</c:v>
                </c:pt>
                <c:pt idx="2">
                  <c:v>Bath &amp; North East Somerset</c:v>
                </c:pt>
                <c:pt idx="3">
                  <c:v>Copeland</c:v>
                </c:pt>
                <c:pt idx="4">
                  <c:v>Middlesbrough </c:v>
                </c:pt>
                <c:pt idx="5">
                  <c:v>Hartlepool </c:v>
                </c:pt>
                <c:pt idx="6">
                  <c:v>Doncaster </c:v>
                </c:pt>
                <c:pt idx="7">
                  <c:v>Wakefield</c:v>
                </c:pt>
                <c:pt idx="8">
                  <c:v>Sheffield</c:v>
                </c:pt>
                <c:pt idx="9">
                  <c:v>Nottingham</c:v>
                </c:pt>
                <c:pt idx="10">
                  <c:v>Newcastle-Upon-Tyne</c:v>
                </c:pt>
                <c:pt idx="11">
                  <c:v>Manchester</c:v>
                </c:pt>
                <c:pt idx="12">
                  <c:v>Leeds</c:v>
                </c:pt>
                <c:pt idx="13">
                  <c:v>Coventry</c:v>
                </c:pt>
                <c:pt idx="14">
                  <c:v>Bristol</c:v>
                </c:pt>
                <c:pt idx="15">
                  <c:v>Bradford</c:v>
                </c:pt>
                <c:pt idx="16">
                  <c:v>Birmingham</c:v>
                </c:pt>
                <c:pt idx="17">
                  <c:v>Salford</c:v>
                </c:pt>
                <c:pt idx="18">
                  <c:v>Fenland</c:v>
                </c:pt>
                <c:pt idx="19">
                  <c:v>Torbay </c:v>
                </c:pt>
                <c:pt idx="20">
                  <c:v>Isle of Wight</c:v>
                </c:pt>
                <c:pt idx="21">
                  <c:v>Ceredigion </c:v>
                </c:pt>
                <c:pt idx="22">
                  <c:v>Ealing </c:v>
                </c:pt>
                <c:pt idx="23">
                  <c:v>Corby </c:v>
                </c:pt>
                <c:pt idx="24">
                  <c:v>Mansfield </c:v>
                </c:pt>
                <c:pt idx="25">
                  <c:v>Stoke-on-Trent</c:v>
                </c:pt>
                <c:pt idx="26">
                  <c:v>Hackney </c:v>
                </c:pt>
                <c:pt idx="27">
                  <c:v>Oxford </c:v>
                </c:pt>
                <c:pt idx="28">
                  <c:v>Newcastle-under-Lyme </c:v>
                </c:pt>
                <c:pt idx="29">
                  <c:v>Bedford </c:v>
                </c:pt>
                <c:pt idx="30">
                  <c:v>Shepway </c:v>
                </c:pt>
                <c:pt idx="31">
                  <c:v>West Devon </c:v>
                </c:pt>
                <c:pt idx="32">
                  <c:v>Newham </c:v>
                </c:pt>
                <c:pt idx="33">
                  <c:v>Southwark </c:v>
                </c:pt>
                <c:pt idx="34">
                  <c:v>Plymouth </c:v>
                </c:pt>
                <c:pt idx="35">
                  <c:v>Harlow </c:v>
                </c:pt>
                <c:pt idx="36">
                  <c:v>Harrow </c:v>
                </c:pt>
                <c:pt idx="37">
                  <c:v>Durham City </c:v>
                </c:pt>
                <c:pt idx="38">
                  <c:v>Redditch </c:v>
                </c:pt>
                <c:pt idx="39">
                  <c:v>Brighton and Hove </c:v>
                </c:pt>
                <c:pt idx="40">
                  <c:v>Middlesbrough </c:v>
                </c:pt>
                <c:pt idx="41">
                  <c:v>Sedgefield </c:v>
                </c:pt>
                <c:pt idx="42">
                  <c:v>North Tyneside </c:v>
                </c:pt>
                <c:pt idx="43">
                  <c:v>Lewisham </c:v>
                </c:pt>
                <c:pt idx="44">
                  <c:v>Hartlepool </c:v>
                </c:pt>
                <c:pt idx="45">
                  <c:v>Sunderland </c:v>
                </c:pt>
                <c:pt idx="46">
                  <c:v>Kirklees </c:v>
                </c:pt>
                <c:pt idx="47">
                  <c:v>Doncaster</c:v>
                </c:pt>
                <c:pt idx="48">
                  <c:v>Watford </c:v>
                </c:pt>
                <c:pt idx="49">
                  <c:v>Gloucester </c:v>
                </c:pt>
                <c:pt idx="50">
                  <c:v>Cheltenham </c:v>
                </c:pt>
                <c:pt idx="51">
                  <c:v>Berwick-upon-Tweed </c:v>
                </c:pt>
              </c:strCache>
            </c:strRef>
          </c:cat>
          <c:val>
            <c:numRef>
              <c:f>'27 Mayoral refs Visual'!$D$11:$D$68</c:f>
              <c:numCache>
                <c:formatCode>0.0%</c:formatCode>
                <c:ptCount val="52"/>
                <c:pt idx="0">
                  <c:v>0.62491619671096743</c:v>
                </c:pt>
                <c:pt idx="1">
                  <c:v>0.42139415811836656</c:v>
                </c:pt>
                <c:pt idx="2">
                  <c:v>0.79140659397581004</c:v>
                </c:pt>
                <c:pt idx="3">
                  <c:v>0.30225770925110135</c:v>
                </c:pt>
                <c:pt idx="4">
                  <c:v>0.42666402273778836</c:v>
                </c:pt>
                <c:pt idx="5">
                  <c:v>0.58725982619787931</c:v>
                </c:pt>
                <c:pt idx="6">
                  <c:v>0.3801542416452442</c:v>
                </c:pt>
                <c:pt idx="7">
                  <c:v>0.62160976879959429</c:v>
                </c:pt>
                <c:pt idx="8">
                  <c:v>0.65031656742062283</c:v>
                </c:pt>
                <c:pt idx="9">
                  <c:v>0.57487363741550457</c:v>
                </c:pt>
                <c:pt idx="10">
                  <c:v>0.61943169702869327</c:v>
                </c:pt>
                <c:pt idx="11">
                  <c:v>0.53240933494028708</c:v>
                </c:pt>
                <c:pt idx="12">
                  <c:v>0.6334605224537716</c:v>
                </c:pt>
                <c:pt idx="13">
                  <c:v>0.63577662555151204</c:v>
                </c:pt>
                <c:pt idx="14">
                  <c:v>0.46650717703349281</c:v>
                </c:pt>
                <c:pt idx="15">
                  <c:v>0.55129250116441542</c:v>
                </c:pt>
                <c:pt idx="16">
                  <c:v>0.57792674512209141</c:v>
                </c:pt>
                <c:pt idx="17">
                  <c:v>0.44046198019163146</c:v>
                </c:pt>
                <c:pt idx="18">
                  <c:v>0.75843016882262659</c:v>
                </c:pt>
                <c:pt idx="19">
                  <c:v>0.44822322627915495</c:v>
                </c:pt>
                <c:pt idx="20">
                  <c:v>0.56307393409529016</c:v>
                </c:pt>
                <c:pt idx="21">
                  <c:v>0.72527301899487606</c:v>
                </c:pt>
                <c:pt idx="22">
                  <c:v>0.55213416078449951</c:v>
                </c:pt>
                <c:pt idx="23">
                  <c:v>0.53830888697152723</c:v>
                </c:pt>
                <c:pt idx="24">
                  <c:v>0.45028487410402501</c:v>
                </c:pt>
                <c:pt idx="25">
                  <c:v>0.41843063096036925</c:v>
                </c:pt>
                <c:pt idx="26">
                  <c:v>0.29925661105436385</c:v>
                </c:pt>
                <c:pt idx="27">
                  <c:v>0.55982982803043924</c:v>
                </c:pt>
                <c:pt idx="28">
                  <c:v>0.56051735874744724</c:v>
                </c:pt>
                <c:pt idx="29">
                  <c:v>0.3285468462588263</c:v>
                </c:pt>
                <c:pt idx="30">
                  <c:v>0.559669665012407</c:v>
                </c:pt>
                <c:pt idx="31">
                  <c:v>0.77421403620196882</c:v>
                </c:pt>
                <c:pt idx="32">
                  <c:v>0.31757196495619522</c:v>
                </c:pt>
                <c:pt idx="33">
                  <c:v>0.68584920346634837</c:v>
                </c:pt>
                <c:pt idx="34">
                  <c:v>0.59155727511399747</c:v>
                </c:pt>
                <c:pt idx="35">
                  <c:v>0.74521312421822383</c:v>
                </c:pt>
                <c:pt idx="36">
                  <c:v>0.57370420888542484</c:v>
                </c:pt>
                <c:pt idx="37">
                  <c:v>0.58982316142061963</c:v>
                </c:pt>
                <c:pt idx="38">
                  <c:v>0.55921692607003892</c:v>
                </c:pt>
                <c:pt idx="39">
                  <c:v>0.62087490406753643</c:v>
                </c:pt>
                <c:pt idx="40">
                  <c:v>0.15720954507234192</c:v>
                </c:pt>
                <c:pt idx="41">
                  <c:v>0.52758145530515177</c:v>
                </c:pt>
                <c:pt idx="42">
                  <c:v>0.42421705544351002</c:v>
                </c:pt>
                <c:pt idx="43">
                  <c:v>0.4861314760508309</c:v>
                </c:pt>
                <c:pt idx="44">
                  <c:v>0.49110252373455465</c:v>
                </c:pt>
                <c:pt idx="45">
                  <c:v>0.5599944959178057</c:v>
                </c:pt>
                <c:pt idx="46">
                  <c:v>0.73341896922350969</c:v>
                </c:pt>
                <c:pt idx="47">
                  <c:v>0.35364897631766057</c:v>
                </c:pt>
                <c:pt idx="48">
                  <c:v>0.48321602598808877</c:v>
                </c:pt>
                <c:pt idx="49">
                  <c:v>0.67851796407185627</c:v>
                </c:pt>
                <c:pt idx="50">
                  <c:v>0.67255418270204581</c:v>
                </c:pt>
                <c:pt idx="51">
                  <c:v>0.73844818858919659</c:v>
                </c:pt>
              </c:numCache>
            </c:numRef>
          </c:val>
          <c:extLst>
            <c:ext xmlns:c16="http://schemas.microsoft.com/office/drawing/2014/chart" uri="{C3380CC4-5D6E-409C-BE32-E72D297353CC}">
              <c16:uniqueId val="{00000001-ABD0-47B3-AA46-B3E2D60E58E4}"/>
            </c:ext>
          </c:extLst>
        </c:ser>
        <c:dLbls>
          <c:showLegendKey val="0"/>
          <c:showVal val="0"/>
          <c:showCatName val="0"/>
          <c:showSerName val="0"/>
          <c:showPercent val="0"/>
          <c:showBubbleSize val="0"/>
        </c:dLbls>
        <c:gapWidth val="263"/>
        <c:overlap val="100"/>
        <c:axId val="476437232"/>
        <c:axId val="476437624"/>
      </c:barChart>
      <c:catAx>
        <c:axId val="47643723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6437624"/>
        <c:crosses val="autoZero"/>
        <c:auto val="1"/>
        <c:lblAlgn val="ctr"/>
        <c:lblOffset val="100"/>
        <c:noMultiLvlLbl val="0"/>
      </c:catAx>
      <c:valAx>
        <c:axId val="476437624"/>
        <c:scaling>
          <c:orientation val="minMax"/>
        </c:scaling>
        <c:delete val="0"/>
        <c:axPos val="b"/>
        <c:numFmt formatCode="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Calibri"/>
                <a:ea typeface="Calibri"/>
                <a:cs typeface="Calibri"/>
              </a:defRPr>
            </a:pPr>
            <a:endParaRPr lang="en-US"/>
          </a:p>
        </c:txPr>
        <c:crossAx val="476437232"/>
        <c:crosses val="autoZero"/>
        <c:crossBetween val="between"/>
      </c:valAx>
      <c:spPr>
        <a:noFill/>
        <a:ln w="25400">
          <a:noFill/>
        </a:ln>
      </c:spPr>
    </c:plotArea>
    <c:legend>
      <c:legendPos val="r"/>
      <c:layout>
        <c:manualLayout>
          <c:xMode val="edge"/>
          <c:yMode val="edge"/>
          <c:x val="0.54151738252934989"/>
          <c:y val="4.5454545454545456E-2"/>
          <c:w val="0.33574083023015622"/>
          <c:h val="2.8282828282828285E-2"/>
        </c:manualLayout>
      </c:layout>
      <c:overlay val="0"/>
      <c:spPr>
        <a:noFill/>
        <a:ln w="25400">
          <a:noFill/>
        </a:ln>
      </c:spPr>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LT Std 45 Light"/>
                <a:ea typeface="Frutiger LT Std 45 Light"/>
                <a:cs typeface="Frutiger LT Std 45 Light"/>
              </a:defRPr>
            </a:pPr>
            <a:r>
              <a:rPr lang="en-GB"/>
              <a:t>Mayoral referendum of votes  (%)</a:t>
            </a:r>
          </a:p>
        </c:rich>
      </c:tx>
      <c:layout>
        <c:manualLayout>
          <c:xMode val="edge"/>
          <c:yMode val="edge"/>
          <c:x val="0.1774444381502672"/>
          <c:y val="2.7710427105702699E-2"/>
        </c:manualLayout>
      </c:layout>
      <c:overlay val="0"/>
      <c:spPr>
        <a:noFill/>
        <a:ln w="25400">
          <a:noFill/>
        </a:ln>
      </c:spPr>
    </c:title>
    <c:autoTitleDeleted val="0"/>
    <c:plotArea>
      <c:layout>
        <c:manualLayout>
          <c:layoutTarget val="inner"/>
          <c:xMode val="edge"/>
          <c:yMode val="edge"/>
          <c:x val="0.60470939870968521"/>
          <c:y val="7.6015305466149777E-2"/>
          <c:w val="0.28147918493829277"/>
          <c:h val="0.88527572024547041"/>
        </c:manualLayout>
      </c:layout>
      <c:barChart>
        <c:barDir val="bar"/>
        <c:grouping val="percentStacked"/>
        <c:varyColors val="0"/>
        <c:ser>
          <c:idx val="0"/>
          <c:order val="0"/>
          <c:tx>
            <c:strRef>
              <c:f>'27 Mayoral refs Visual'!$C$7</c:f>
              <c:strCache>
                <c:ptCount val="1"/>
                <c:pt idx="0">
                  <c:v>For</c:v>
                </c:pt>
              </c:strCache>
            </c:strRef>
          </c:tx>
          <c:spPr>
            <a:solidFill>
              <a:srgbClr val="008000"/>
            </a:solidFill>
            <a:ln w="25400">
              <a:noFill/>
            </a:ln>
          </c:spPr>
          <c:invertIfNegative val="0"/>
          <c:cat>
            <c:strRef>
              <c:f>'27 Mayoral refs Visual'!$B$11:$B$68</c:f>
              <c:strCache>
                <c:ptCount val="52"/>
                <c:pt idx="0">
                  <c:v>Torbay </c:v>
                </c:pt>
                <c:pt idx="1">
                  <c:v>North Tyneside</c:v>
                </c:pt>
                <c:pt idx="2">
                  <c:v>Bath &amp; North East Somerset</c:v>
                </c:pt>
                <c:pt idx="3">
                  <c:v>Copeland</c:v>
                </c:pt>
                <c:pt idx="4">
                  <c:v>Middlesbrough </c:v>
                </c:pt>
                <c:pt idx="5">
                  <c:v>Hartlepool </c:v>
                </c:pt>
                <c:pt idx="6">
                  <c:v>Doncaster </c:v>
                </c:pt>
                <c:pt idx="7">
                  <c:v>Wakefield</c:v>
                </c:pt>
                <c:pt idx="8">
                  <c:v>Sheffield</c:v>
                </c:pt>
                <c:pt idx="9">
                  <c:v>Nottingham</c:v>
                </c:pt>
                <c:pt idx="10">
                  <c:v>Newcastle-Upon-Tyne</c:v>
                </c:pt>
                <c:pt idx="11">
                  <c:v>Manchester</c:v>
                </c:pt>
                <c:pt idx="12">
                  <c:v>Leeds</c:v>
                </c:pt>
                <c:pt idx="13">
                  <c:v>Coventry</c:v>
                </c:pt>
                <c:pt idx="14">
                  <c:v>Bristol</c:v>
                </c:pt>
                <c:pt idx="15">
                  <c:v>Bradford</c:v>
                </c:pt>
                <c:pt idx="16">
                  <c:v>Birmingham</c:v>
                </c:pt>
                <c:pt idx="17">
                  <c:v>Salford</c:v>
                </c:pt>
                <c:pt idx="18">
                  <c:v>Fenland</c:v>
                </c:pt>
                <c:pt idx="19">
                  <c:v>Torbay </c:v>
                </c:pt>
                <c:pt idx="20">
                  <c:v>Isle of Wight</c:v>
                </c:pt>
                <c:pt idx="21">
                  <c:v>Ceredigion </c:v>
                </c:pt>
                <c:pt idx="22">
                  <c:v>Ealing </c:v>
                </c:pt>
                <c:pt idx="23">
                  <c:v>Corby </c:v>
                </c:pt>
                <c:pt idx="24">
                  <c:v>Mansfield </c:v>
                </c:pt>
                <c:pt idx="25">
                  <c:v>Stoke-on-Trent</c:v>
                </c:pt>
                <c:pt idx="26">
                  <c:v>Hackney </c:v>
                </c:pt>
                <c:pt idx="27">
                  <c:v>Oxford </c:v>
                </c:pt>
                <c:pt idx="28">
                  <c:v>Newcastle-under-Lyme </c:v>
                </c:pt>
                <c:pt idx="29">
                  <c:v>Bedford </c:v>
                </c:pt>
                <c:pt idx="30">
                  <c:v>Shepway </c:v>
                </c:pt>
                <c:pt idx="31">
                  <c:v>West Devon </c:v>
                </c:pt>
                <c:pt idx="32">
                  <c:v>Newham </c:v>
                </c:pt>
                <c:pt idx="33">
                  <c:v>Southwark </c:v>
                </c:pt>
                <c:pt idx="34">
                  <c:v>Plymouth </c:v>
                </c:pt>
                <c:pt idx="35">
                  <c:v>Harlow </c:v>
                </c:pt>
                <c:pt idx="36">
                  <c:v>Harrow </c:v>
                </c:pt>
                <c:pt idx="37">
                  <c:v>Durham City </c:v>
                </c:pt>
                <c:pt idx="38">
                  <c:v>Redditch </c:v>
                </c:pt>
                <c:pt idx="39">
                  <c:v>Brighton and Hove </c:v>
                </c:pt>
                <c:pt idx="40">
                  <c:v>Middlesbrough </c:v>
                </c:pt>
                <c:pt idx="41">
                  <c:v>Sedgefield </c:v>
                </c:pt>
                <c:pt idx="42">
                  <c:v>North Tyneside </c:v>
                </c:pt>
                <c:pt idx="43">
                  <c:v>Lewisham </c:v>
                </c:pt>
                <c:pt idx="44">
                  <c:v>Hartlepool </c:v>
                </c:pt>
                <c:pt idx="45">
                  <c:v>Sunderland </c:v>
                </c:pt>
                <c:pt idx="46">
                  <c:v>Kirklees </c:v>
                </c:pt>
                <c:pt idx="47">
                  <c:v>Doncaster</c:v>
                </c:pt>
                <c:pt idx="48">
                  <c:v>Watford </c:v>
                </c:pt>
                <c:pt idx="49">
                  <c:v>Gloucester </c:v>
                </c:pt>
                <c:pt idx="50">
                  <c:v>Cheltenham </c:v>
                </c:pt>
                <c:pt idx="51">
                  <c:v>Berwick-upon-Tweed </c:v>
                </c:pt>
              </c:strCache>
            </c:strRef>
          </c:cat>
          <c:val>
            <c:numRef>
              <c:f>'27 Mayoral refs Visual'!$C$11:$C$68</c:f>
              <c:numCache>
                <c:formatCode>0.0%</c:formatCode>
                <c:ptCount val="52"/>
                <c:pt idx="0">
                  <c:v>0.37508380328903262</c:v>
                </c:pt>
                <c:pt idx="1">
                  <c:v>0.57860584188163344</c:v>
                </c:pt>
                <c:pt idx="2">
                  <c:v>0.20859340602418999</c:v>
                </c:pt>
                <c:pt idx="3">
                  <c:v>0.69774229074889871</c:v>
                </c:pt>
                <c:pt idx="4">
                  <c:v>0.57333597726221164</c:v>
                </c:pt>
                <c:pt idx="5">
                  <c:v>0.41274017380212069</c:v>
                </c:pt>
                <c:pt idx="6">
                  <c:v>0.61984575835475575</c:v>
                </c:pt>
                <c:pt idx="7">
                  <c:v>0.37839023120040566</c:v>
                </c:pt>
                <c:pt idx="8">
                  <c:v>0.34968343257937723</c:v>
                </c:pt>
                <c:pt idx="9">
                  <c:v>0.42512636258449549</c:v>
                </c:pt>
                <c:pt idx="10">
                  <c:v>0.38056830297130673</c:v>
                </c:pt>
                <c:pt idx="11">
                  <c:v>0.46759066505971292</c:v>
                </c:pt>
                <c:pt idx="12">
                  <c:v>0.36653947754622834</c:v>
                </c:pt>
                <c:pt idx="13">
                  <c:v>0.36422337444848796</c:v>
                </c:pt>
                <c:pt idx="14">
                  <c:v>0.53349282296650713</c:v>
                </c:pt>
                <c:pt idx="15">
                  <c:v>0.44870749883558453</c:v>
                </c:pt>
                <c:pt idx="16">
                  <c:v>0.42207325487790853</c:v>
                </c:pt>
                <c:pt idx="17">
                  <c:v>0.55953801980836859</c:v>
                </c:pt>
                <c:pt idx="18">
                  <c:v>0.24156983117737338</c:v>
                </c:pt>
                <c:pt idx="19">
                  <c:v>0.55177677372084499</c:v>
                </c:pt>
                <c:pt idx="20">
                  <c:v>0.43692606590470984</c:v>
                </c:pt>
                <c:pt idx="21">
                  <c:v>0.27472698100512394</c:v>
                </c:pt>
                <c:pt idx="22">
                  <c:v>0.44786583921550049</c:v>
                </c:pt>
                <c:pt idx="23">
                  <c:v>0.46169111302847282</c:v>
                </c:pt>
                <c:pt idx="24">
                  <c:v>0.54971512589597504</c:v>
                </c:pt>
                <c:pt idx="25">
                  <c:v>0.58156936903963075</c:v>
                </c:pt>
                <c:pt idx="26">
                  <c:v>0.70074338894563615</c:v>
                </c:pt>
                <c:pt idx="27">
                  <c:v>0.44017017196956076</c:v>
                </c:pt>
                <c:pt idx="28">
                  <c:v>0.43948264125255276</c:v>
                </c:pt>
                <c:pt idx="29">
                  <c:v>0.67145315374117365</c:v>
                </c:pt>
                <c:pt idx="30">
                  <c:v>0.44033033498759305</c:v>
                </c:pt>
                <c:pt idx="31">
                  <c:v>0.22578596379803112</c:v>
                </c:pt>
                <c:pt idx="32">
                  <c:v>0.68242803504380478</c:v>
                </c:pt>
                <c:pt idx="33">
                  <c:v>0.31415079653365158</c:v>
                </c:pt>
                <c:pt idx="34">
                  <c:v>0.40844272488600247</c:v>
                </c:pt>
                <c:pt idx="35">
                  <c:v>0.25478687578177622</c:v>
                </c:pt>
                <c:pt idx="36">
                  <c:v>0.42629579111457522</c:v>
                </c:pt>
                <c:pt idx="37">
                  <c:v>0.41017683857938031</c:v>
                </c:pt>
                <c:pt idx="38">
                  <c:v>0.44078307392996108</c:v>
                </c:pt>
                <c:pt idx="39">
                  <c:v>0.37912509593246352</c:v>
                </c:pt>
                <c:pt idx="40">
                  <c:v>0.84279045492765814</c:v>
                </c:pt>
                <c:pt idx="41">
                  <c:v>0.47241854469484817</c:v>
                </c:pt>
                <c:pt idx="42">
                  <c:v>0.57578294455648993</c:v>
                </c:pt>
                <c:pt idx="43">
                  <c:v>0.51386852394916915</c:v>
                </c:pt>
                <c:pt idx="44">
                  <c:v>0.50889747626544535</c:v>
                </c:pt>
                <c:pt idx="45">
                  <c:v>0.4400055040821943</c:v>
                </c:pt>
                <c:pt idx="46">
                  <c:v>0.26658103077649031</c:v>
                </c:pt>
                <c:pt idx="47">
                  <c:v>0.64635102368233943</c:v>
                </c:pt>
                <c:pt idx="48">
                  <c:v>0.51678397401191123</c:v>
                </c:pt>
                <c:pt idx="49">
                  <c:v>0.32148203592814373</c:v>
                </c:pt>
                <c:pt idx="50">
                  <c:v>0.32744581729795424</c:v>
                </c:pt>
                <c:pt idx="51">
                  <c:v>0.26155181141080336</c:v>
                </c:pt>
              </c:numCache>
            </c:numRef>
          </c:val>
          <c:extLst>
            <c:ext xmlns:c16="http://schemas.microsoft.com/office/drawing/2014/chart" uri="{C3380CC4-5D6E-409C-BE32-E72D297353CC}">
              <c16:uniqueId val="{00000000-392E-49E9-BD91-5AA26B5C469D}"/>
            </c:ext>
          </c:extLst>
        </c:ser>
        <c:ser>
          <c:idx val="1"/>
          <c:order val="1"/>
          <c:tx>
            <c:strRef>
              <c:f>'27 Mayoral refs Visual'!$D$7</c:f>
              <c:strCache>
                <c:ptCount val="1"/>
                <c:pt idx="0">
                  <c:v> Against</c:v>
                </c:pt>
              </c:strCache>
            </c:strRef>
          </c:tx>
          <c:spPr>
            <a:solidFill>
              <a:schemeClr val="accent3">
                <a:lumMod val="60000"/>
                <a:lumOff val="40000"/>
              </a:schemeClr>
            </a:solidFill>
            <a:ln w="25400">
              <a:noFill/>
            </a:ln>
          </c:spPr>
          <c:invertIfNegative val="0"/>
          <c:cat>
            <c:strRef>
              <c:f>'27 Mayoral refs Visual'!$B$11:$B$68</c:f>
              <c:strCache>
                <c:ptCount val="52"/>
                <c:pt idx="0">
                  <c:v>Torbay </c:v>
                </c:pt>
                <c:pt idx="1">
                  <c:v>North Tyneside</c:v>
                </c:pt>
                <c:pt idx="2">
                  <c:v>Bath &amp; North East Somerset</c:v>
                </c:pt>
                <c:pt idx="3">
                  <c:v>Copeland</c:v>
                </c:pt>
                <c:pt idx="4">
                  <c:v>Middlesbrough </c:v>
                </c:pt>
                <c:pt idx="5">
                  <c:v>Hartlepool </c:v>
                </c:pt>
                <c:pt idx="6">
                  <c:v>Doncaster </c:v>
                </c:pt>
                <c:pt idx="7">
                  <c:v>Wakefield</c:v>
                </c:pt>
                <c:pt idx="8">
                  <c:v>Sheffield</c:v>
                </c:pt>
                <c:pt idx="9">
                  <c:v>Nottingham</c:v>
                </c:pt>
                <c:pt idx="10">
                  <c:v>Newcastle-Upon-Tyne</c:v>
                </c:pt>
                <c:pt idx="11">
                  <c:v>Manchester</c:v>
                </c:pt>
                <c:pt idx="12">
                  <c:v>Leeds</c:v>
                </c:pt>
                <c:pt idx="13">
                  <c:v>Coventry</c:v>
                </c:pt>
                <c:pt idx="14">
                  <c:v>Bristol</c:v>
                </c:pt>
                <c:pt idx="15">
                  <c:v>Bradford</c:v>
                </c:pt>
                <c:pt idx="16">
                  <c:v>Birmingham</c:v>
                </c:pt>
                <c:pt idx="17">
                  <c:v>Salford</c:v>
                </c:pt>
                <c:pt idx="18">
                  <c:v>Fenland</c:v>
                </c:pt>
                <c:pt idx="19">
                  <c:v>Torbay </c:v>
                </c:pt>
                <c:pt idx="20">
                  <c:v>Isle of Wight</c:v>
                </c:pt>
                <c:pt idx="21">
                  <c:v>Ceredigion </c:v>
                </c:pt>
                <c:pt idx="22">
                  <c:v>Ealing </c:v>
                </c:pt>
                <c:pt idx="23">
                  <c:v>Corby </c:v>
                </c:pt>
                <c:pt idx="24">
                  <c:v>Mansfield </c:v>
                </c:pt>
                <c:pt idx="25">
                  <c:v>Stoke-on-Trent</c:v>
                </c:pt>
                <c:pt idx="26">
                  <c:v>Hackney </c:v>
                </c:pt>
                <c:pt idx="27">
                  <c:v>Oxford </c:v>
                </c:pt>
                <c:pt idx="28">
                  <c:v>Newcastle-under-Lyme </c:v>
                </c:pt>
                <c:pt idx="29">
                  <c:v>Bedford </c:v>
                </c:pt>
                <c:pt idx="30">
                  <c:v>Shepway </c:v>
                </c:pt>
                <c:pt idx="31">
                  <c:v>West Devon </c:v>
                </c:pt>
                <c:pt idx="32">
                  <c:v>Newham </c:v>
                </c:pt>
                <c:pt idx="33">
                  <c:v>Southwark </c:v>
                </c:pt>
                <c:pt idx="34">
                  <c:v>Plymouth </c:v>
                </c:pt>
                <c:pt idx="35">
                  <c:v>Harlow </c:v>
                </c:pt>
                <c:pt idx="36">
                  <c:v>Harrow </c:v>
                </c:pt>
                <c:pt idx="37">
                  <c:v>Durham City </c:v>
                </c:pt>
                <c:pt idx="38">
                  <c:v>Redditch </c:v>
                </c:pt>
                <c:pt idx="39">
                  <c:v>Brighton and Hove </c:v>
                </c:pt>
                <c:pt idx="40">
                  <c:v>Middlesbrough </c:v>
                </c:pt>
                <c:pt idx="41">
                  <c:v>Sedgefield </c:v>
                </c:pt>
                <c:pt idx="42">
                  <c:v>North Tyneside </c:v>
                </c:pt>
                <c:pt idx="43">
                  <c:v>Lewisham </c:v>
                </c:pt>
                <c:pt idx="44">
                  <c:v>Hartlepool </c:v>
                </c:pt>
                <c:pt idx="45">
                  <c:v>Sunderland </c:v>
                </c:pt>
                <c:pt idx="46">
                  <c:v>Kirklees </c:v>
                </c:pt>
                <c:pt idx="47">
                  <c:v>Doncaster</c:v>
                </c:pt>
                <c:pt idx="48">
                  <c:v>Watford </c:v>
                </c:pt>
                <c:pt idx="49">
                  <c:v>Gloucester </c:v>
                </c:pt>
                <c:pt idx="50">
                  <c:v>Cheltenham </c:v>
                </c:pt>
                <c:pt idx="51">
                  <c:v>Berwick-upon-Tweed </c:v>
                </c:pt>
              </c:strCache>
            </c:strRef>
          </c:cat>
          <c:val>
            <c:numRef>
              <c:f>'27 Mayoral refs Visual'!$D$11:$D$68</c:f>
              <c:numCache>
                <c:formatCode>0.0%</c:formatCode>
                <c:ptCount val="52"/>
                <c:pt idx="0">
                  <c:v>0.62491619671096743</c:v>
                </c:pt>
                <c:pt idx="1">
                  <c:v>0.42139415811836656</c:v>
                </c:pt>
                <c:pt idx="2">
                  <c:v>0.79140659397581004</c:v>
                </c:pt>
                <c:pt idx="3">
                  <c:v>0.30225770925110135</c:v>
                </c:pt>
                <c:pt idx="4">
                  <c:v>0.42666402273778836</c:v>
                </c:pt>
                <c:pt idx="5">
                  <c:v>0.58725982619787931</c:v>
                </c:pt>
                <c:pt idx="6">
                  <c:v>0.3801542416452442</c:v>
                </c:pt>
                <c:pt idx="7">
                  <c:v>0.62160976879959429</c:v>
                </c:pt>
                <c:pt idx="8">
                  <c:v>0.65031656742062283</c:v>
                </c:pt>
                <c:pt idx="9">
                  <c:v>0.57487363741550457</c:v>
                </c:pt>
                <c:pt idx="10">
                  <c:v>0.61943169702869327</c:v>
                </c:pt>
                <c:pt idx="11">
                  <c:v>0.53240933494028708</c:v>
                </c:pt>
                <c:pt idx="12">
                  <c:v>0.6334605224537716</c:v>
                </c:pt>
                <c:pt idx="13">
                  <c:v>0.63577662555151204</c:v>
                </c:pt>
                <c:pt idx="14">
                  <c:v>0.46650717703349281</c:v>
                </c:pt>
                <c:pt idx="15">
                  <c:v>0.55129250116441542</c:v>
                </c:pt>
                <c:pt idx="16">
                  <c:v>0.57792674512209141</c:v>
                </c:pt>
                <c:pt idx="17">
                  <c:v>0.44046198019163146</c:v>
                </c:pt>
                <c:pt idx="18">
                  <c:v>0.75843016882262659</c:v>
                </c:pt>
                <c:pt idx="19">
                  <c:v>0.44822322627915495</c:v>
                </c:pt>
                <c:pt idx="20">
                  <c:v>0.56307393409529016</c:v>
                </c:pt>
                <c:pt idx="21">
                  <c:v>0.72527301899487606</c:v>
                </c:pt>
                <c:pt idx="22">
                  <c:v>0.55213416078449951</c:v>
                </c:pt>
                <c:pt idx="23">
                  <c:v>0.53830888697152723</c:v>
                </c:pt>
                <c:pt idx="24">
                  <c:v>0.45028487410402501</c:v>
                </c:pt>
                <c:pt idx="25">
                  <c:v>0.41843063096036925</c:v>
                </c:pt>
                <c:pt idx="26">
                  <c:v>0.29925661105436385</c:v>
                </c:pt>
                <c:pt idx="27">
                  <c:v>0.55982982803043924</c:v>
                </c:pt>
                <c:pt idx="28">
                  <c:v>0.56051735874744724</c:v>
                </c:pt>
                <c:pt idx="29">
                  <c:v>0.3285468462588263</c:v>
                </c:pt>
                <c:pt idx="30">
                  <c:v>0.559669665012407</c:v>
                </c:pt>
                <c:pt idx="31">
                  <c:v>0.77421403620196882</c:v>
                </c:pt>
                <c:pt idx="32">
                  <c:v>0.31757196495619522</c:v>
                </c:pt>
                <c:pt idx="33">
                  <c:v>0.68584920346634837</c:v>
                </c:pt>
                <c:pt idx="34">
                  <c:v>0.59155727511399747</c:v>
                </c:pt>
                <c:pt idx="35">
                  <c:v>0.74521312421822383</c:v>
                </c:pt>
                <c:pt idx="36">
                  <c:v>0.57370420888542484</c:v>
                </c:pt>
                <c:pt idx="37">
                  <c:v>0.58982316142061963</c:v>
                </c:pt>
                <c:pt idx="38">
                  <c:v>0.55921692607003892</c:v>
                </c:pt>
                <c:pt idx="39">
                  <c:v>0.62087490406753643</c:v>
                </c:pt>
                <c:pt idx="40">
                  <c:v>0.15720954507234192</c:v>
                </c:pt>
                <c:pt idx="41">
                  <c:v>0.52758145530515177</c:v>
                </c:pt>
                <c:pt idx="42">
                  <c:v>0.42421705544351002</c:v>
                </c:pt>
                <c:pt idx="43">
                  <c:v>0.4861314760508309</c:v>
                </c:pt>
                <c:pt idx="44">
                  <c:v>0.49110252373455465</c:v>
                </c:pt>
                <c:pt idx="45">
                  <c:v>0.5599944959178057</c:v>
                </c:pt>
                <c:pt idx="46">
                  <c:v>0.73341896922350969</c:v>
                </c:pt>
                <c:pt idx="47">
                  <c:v>0.35364897631766057</c:v>
                </c:pt>
                <c:pt idx="48">
                  <c:v>0.48321602598808877</c:v>
                </c:pt>
                <c:pt idx="49">
                  <c:v>0.67851796407185627</c:v>
                </c:pt>
                <c:pt idx="50">
                  <c:v>0.67255418270204581</c:v>
                </c:pt>
                <c:pt idx="51">
                  <c:v>0.73844818858919659</c:v>
                </c:pt>
              </c:numCache>
            </c:numRef>
          </c:val>
          <c:extLst>
            <c:ext xmlns:c16="http://schemas.microsoft.com/office/drawing/2014/chart" uri="{C3380CC4-5D6E-409C-BE32-E72D297353CC}">
              <c16:uniqueId val="{00000001-392E-49E9-BD91-5AA26B5C469D}"/>
            </c:ext>
          </c:extLst>
        </c:ser>
        <c:dLbls>
          <c:showLegendKey val="0"/>
          <c:showVal val="0"/>
          <c:showCatName val="0"/>
          <c:showSerName val="0"/>
          <c:showPercent val="0"/>
          <c:showBubbleSize val="0"/>
        </c:dLbls>
        <c:gapWidth val="263"/>
        <c:overlap val="100"/>
        <c:axId val="476438408"/>
        <c:axId val="476438800"/>
      </c:barChart>
      <c:catAx>
        <c:axId val="476438408"/>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6438800"/>
        <c:crosses val="autoZero"/>
        <c:auto val="1"/>
        <c:lblAlgn val="ctr"/>
        <c:lblOffset val="100"/>
        <c:noMultiLvlLbl val="0"/>
      </c:catAx>
      <c:valAx>
        <c:axId val="476438800"/>
        <c:scaling>
          <c:orientation val="minMax"/>
        </c:scaling>
        <c:delete val="0"/>
        <c:axPos val="b"/>
        <c:numFmt formatCode="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Calibri"/>
                <a:ea typeface="Calibri"/>
                <a:cs typeface="Calibri"/>
              </a:defRPr>
            </a:pPr>
            <a:endParaRPr lang="en-US"/>
          </a:p>
        </c:txPr>
        <c:crossAx val="476438408"/>
        <c:crosses val="autoZero"/>
        <c:crossBetween val="between"/>
        <c:majorUnit val="0.5"/>
      </c:valAx>
      <c:spPr>
        <a:noFill/>
        <a:ln w="25400">
          <a:noFill/>
        </a:ln>
      </c:spPr>
    </c:plotArea>
    <c:legend>
      <c:legendPos val="r"/>
      <c:layout>
        <c:manualLayout>
          <c:xMode val="edge"/>
          <c:yMode val="edge"/>
          <c:x val="0.4040767386091127"/>
          <c:y val="4.5454545454545456E-2"/>
          <c:w val="0.47362110311750599"/>
          <c:h val="2.9090909090909098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4157179780601374"/>
          <c:y val="0.22951705793011243"/>
          <c:w val="0.4150698445268724"/>
          <c:h val="0.67170022684235997"/>
        </c:manualLayout>
      </c:layout>
      <c:barChart>
        <c:barDir val="bar"/>
        <c:grouping val="clustered"/>
        <c:varyColors val="0"/>
        <c:ser>
          <c:idx val="0"/>
          <c:order val="0"/>
          <c:tx>
            <c:strRef>
              <c:f>'PCC turnout visual'!$T$32</c:f>
              <c:strCache>
                <c:ptCount val="1"/>
                <c:pt idx="0">
                  <c:v>2012</c:v>
                </c:pt>
              </c:strCache>
            </c:strRef>
          </c:tx>
          <c:spPr>
            <a:solidFill>
              <a:schemeClr val="accent2"/>
            </a:solidFill>
            <a:ln w="25400">
              <a:noFill/>
            </a:ln>
          </c:spPr>
          <c:invertIfNegative val="0"/>
          <c:cat>
            <c:strRef>
              <c:f>'PCC turnout visual'!$S$33:$S$36</c:f>
              <c:strCache>
                <c:ptCount val="4"/>
                <c:pt idx="0">
                  <c:v>England </c:v>
                </c:pt>
                <c:pt idx="1">
                  <c:v>Wales </c:v>
                </c:pt>
                <c:pt idx="3">
                  <c:v>England and Wales </c:v>
                </c:pt>
              </c:strCache>
            </c:strRef>
          </c:cat>
          <c:val>
            <c:numRef>
              <c:f>'PCC turnout visual'!$T$33:$T$36</c:f>
              <c:numCache>
                <c:formatCode>0.00%</c:formatCode>
                <c:ptCount val="4"/>
                <c:pt idx="0">
                  <c:v>0.15110000000000001</c:v>
                </c:pt>
                <c:pt idx="1">
                  <c:v>0.15359999999999999</c:v>
                </c:pt>
                <c:pt idx="3">
                  <c:v>0.15129999999999999</c:v>
                </c:pt>
              </c:numCache>
            </c:numRef>
          </c:val>
          <c:extLst>
            <c:ext xmlns:c16="http://schemas.microsoft.com/office/drawing/2014/chart" uri="{C3380CC4-5D6E-409C-BE32-E72D297353CC}">
              <c16:uniqueId val="{00000000-F7A0-4D5A-900A-74977CAFD1B6}"/>
            </c:ext>
          </c:extLst>
        </c:ser>
        <c:ser>
          <c:idx val="1"/>
          <c:order val="1"/>
          <c:tx>
            <c:strRef>
              <c:f>'PCC turnout visual'!$U$32</c:f>
              <c:strCache>
                <c:ptCount val="1"/>
                <c:pt idx="0">
                  <c:v>2016</c:v>
                </c:pt>
              </c:strCache>
            </c:strRef>
          </c:tx>
          <c:spPr>
            <a:solidFill>
              <a:schemeClr val="accent1"/>
            </a:solidFill>
            <a:ln w="25400">
              <a:noFill/>
            </a:ln>
          </c:spPr>
          <c:invertIfNegative val="0"/>
          <c:cat>
            <c:strRef>
              <c:f>'PCC turnout visual'!$S$33:$S$36</c:f>
              <c:strCache>
                <c:ptCount val="4"/>
                <c:pt idx="0">
                  <c:v>England </c:v>
                </c:pt>
                <c:pt idx="1">
                  <c:v>Wales </c:v>
                </c:pt>
                <c:pt idx="3">
                  <c:v>England and Wales </c:v>
                </c:pt>
              </c:strCache>
            </c:strRef>
          </c:cat>
          <c:val>
            <c:numRef>
              <c:f>'PCC turnout visual'!$U$33:$U$36</c:f>
              <c:numCache>
                <c:formatCode>0.00%</c:formatCode>
                <c:ptCount val="4"/>
                <c:pt idx="0">
                  <c:v>0.26029999999999998</c:v>
                </c:pt>
                <c:pt idx="1">
                  <c:v>0.4521</c:v>
                </c:pt>
                <c:pt idx="3">
                  <c:v>0.27310000000000001</c:v>
                </c:pt>
              </c:numCache>
            </c:numRef>
          </c:val>
          <c:extLst>
            <c:ext xmlns:c16="http://schemas.microsoft.com/office/drawing/2014/chart" uri="{C3380CC4-5D6E-409C-BE32-E72D297353CC}">
              <c16:uniqueId val="{00000001-F7A0-4D5A-900A-74977CAFD1B6}"/>
            </c:ext>
          </c:extLst>
        </c:ser>
        <c:ser>
          <c:idx val="2"/>
          <c:order val="2"/>
          <c:tx>
            <c:strRef>
              <c:f>'PCC turnout visual'!$V$32</c:f>
              <c:strCache>
                <c:ptCount val="1"/>
                <c:pt idx="0">
                  <c:v>2021</c:v>
                </c:pt>
              </c:strCache>
            </c:strRef>
          </c:tx>
          <c:spPr>
            <a:solidFill>
              <a:srgbClr val="A1CDF0"/>
            </a:solidFill>
            <a:ln w="25400">
              <a:noFill/>
            </a:ln>
          </c:spPr>
          <c:invertIfNegative val="0"/>
          <c:cat>
            <c:strRef>
              <c:f>'PCC turnout visual'!$S$33:$S$36</c:f>
              <c:strCache>
                <c:ptCount val="4"/>
                <c:pt idx="0">
                  <c:v>England </c:v>
                </c:pt>
                <c:pt idx="1">
                  <c:v>Wales </c:v>
                </c:pt>
                <c:pt idx="3">
                  <c:v>England and Wales </c:v>
                </c:pt>
              </c:strCache>
            </c:strRef>
          </c:cat>
          <c:val>
            <c:numRef>
              <c:f>'PCC turnout visual'!$V$33:$V$36</c:f>
              <c:numCache>
                <c:formatCode>0.00%</c:formatCode>
                <c:ptCount val="4"/>
                <c:pt idx="0">
                  <c:v>0.31569999999999998</c:v>
                </c:pt>
                <c:pt idx="1">
                  <c:v>0.4521</c:v>
                </c:pt>
                <c:pt idx="3">
                  <c:v>0.33200000000000002</c:v>
                </c:pt>
              </c:numCache>
            </c:numRef>
          </c:val>
          <c:extLst xmlns:c15="http://schemas.microsoft.com/office/drawing/2012/chart">
            <c:ext xmlns:c16="http://schemas.microsoft.com/office/drawing/2014/chart" uri="{C3380CC4-5D6E-409C-BE32-E72D297353CC}">
              <c16:uniqueId val="{00000002-F7A0-4D5A-900A-74977CAFD1B6}"/>
            </c:ext>
          </c:extLst>
        </c:ser>
        <c:dLbls>
          <c:showLegendKey val="0"/>
          <c:showVal val="0"/>
          <c:showCatName val="0"/>
          <c:showSerName val="0"/>
          <c:showPercent val="0"/>
          <c:showBubbleSize val="0"/>
        </c:dLbls>
        <c:gapWidth val="100"/>
        <c:axId val="476439584"/>
        <c:axId val="476439976"/>
        <c:extLst/>
      </c:barChart>
      <c:catAx>
        <c:axId val="476439584"/>
        <c:scaling>
          <c:orientation val="maxMin"/>
        </c:scaling>
        <c:delete val="0"/>
        <c:axPos val="l"/>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6439976"/>
        <c:crosses val="autoZero"/>
        <c:auto val="1"/>
        <c:lblAlgn val="ctr"/>
        <c:lblOffset val="100"/>
        <c:noMultiLvlLbl val="0"/>
      </c:catAx>
      <c:valAx>
        <c:axId val="476439976"/>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6439584"/>
        <c:crosses val="max"/>
        <c:crossBetween val="between"/>
        <c:majorUnit val="0.25"/>
      </c:valAx>
      <c:spPr>
        <a:noFill/>
        <a:ln w="25400">
          <a:noFill/>
        </a:ln>
      </c:spPr>
    </c:plotArea>
    <c:legend>
      <c:legendPos val="r"/>
      <c:layout>
        <c:manualLayout>
          <c:xMode val="edge"/>
          <c:yMode val="edge"/>
          <c:x val="4.5187153378092475E-2"/>
          <c:y val="0.14858733990271791"/>
          <c:w val="0.81564596322310778"/>
          <c:h val="0.10323738987314446"/>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1548556430446191"/>
          <c:y val="0.24113537054405593"/>
          <c:w val="0.36289126162894558"/>
          <c:h val="0.67915225278280655"/>
        </c:manualLayout>
      </c:layout>
      <c:barChart>
        <c:barDir val="bar"/>
        <c:grouping val="percentStacked"/>
        <c:varyColors val="0"/>
        <c:ser>
          <c:idx val="0"/>
          <c:order val="0"/>
          <c:tx>
            <c:strRef>
              <c:f>'30 EU ref 2016 (Visual)'!$I$3</c:f>
              <c:strCache>
                <c:ptCount val="1"/>
                <c:pt idx="0">
                  <c:v>% Remain votes </c:v>
                </c:pt>
              </c:strCache>
            </c:strRef>
          </c:tx>
          <c:spPr>
            <a:solidFill>
              <a:schemeClr val="accent1"/>
            </a:solidFill>
            <a:ln w="25400">
              <a:noFill/>
            </a:ln>
          </c:spPr>
          <c:invertIfNegative val="0"/>
          <c:cat>
            <c:strRef>
              <c:f>'30 EU ref 2016 (Visual)'!$H$4:$H$17</c:f>
              <c:strCache>
                <c:ptCount val="14"/>
                <c:pt idx="0">
                  <c:v>United Kingdom</c:v>
                </c:pt>
                <c:pt idx="2">
                  <c:v>Scotland</c:v>
                </c:pt>
                <c:pt idx="3">
                  <c:v>London</c:v>
                </c:pt>
                <c:pt idx="4">
                  <c:v>Northern Ireland</c:v>
                </c:pt>
                <c:pt idx="5">
                  <c:v>South East</c:v>
                </c:pt>
                <c:pt idx="6">
                  <c:v>Wales</c:v>
                </c:pt>
                <c:pt idx="7">
                  <c:v>South West</c:v>
                </c:pt>
                <c:pt idx="8">
                  <c:v>North West</c:v>
                </c:pt>
                <c:pt idx="9">
                  <c:v>East of England</c:v>
                </c:pt>
                <c:pt idx="10">
                  <c:v>Y / H </c:v>
                </c:pt>
                <c:pt idx="11">
                  <c:v>North East</c:v>
                </c:pt>
                <c:pt idx="12">
                  <c:v>East Midlands</c:v>
                </c:pt>
                <c:pt idx="13">
                  <c:v>West Midlands</c:v>
                </c:pt>
              </c:strCache>
            </c:strRef>
          </c:cat>
          <c:val>
            <c:numRef>
              <c:f>'30 EU ref 2016 (Visual)'!$I$4:$I$17</c:f>
              <c:numCache>
                <c:formatCode>#,##0_);\(#,##0\)</c:formatCode>
                <c:ptCount val="14"/>
                <c:pt idx="0" formatCode="0.0%">
                  <c:v>0.48108158018558844</c:v>
                </c:pt>
                <c:pt idx="2" formatCode="0.0%">
                  <c:v>0.61996004497832258</c:v>
                </c:pt>
                <c:pt idx="3" formatCode="0.0%">
                  <c:v>0.59932968840148582</c:v>
                </c:pt>
                <c:pt idx="4" formatCode="0.0%">
                  <c:v>0.55775176580619601</c:v>
                </c:pt>
                <c:pt idx="5" formatCode="0.0%">
                  <c:v>0.48223202974867546</c:v>
                </c:pt>
                <c:pt idx="6" formatCode="0.0%">
                  <c:v>0.47472984211260671</c:v>
                </c:pt>
                <c:pt idx="7" formatCode="0.0%">
                  <c:v>0.47373050968724095</c:v>
                </c:pt>
                <c:pt idx="8" formatCode="0.0%">
                  <c:v>0.46346030832432017</c:v>
                </c:pt>
                <c:pt idx="9" formatCode="0.0%">
                  <c:v>0.43515271781201648</c:v>
                </c:pt>
                <c:pt idx="10" formatCode="0.0%">
                  <c:v>0.42285455610781841</c:v>
                </c:pt>
                <c:pt idx="11" formatCode="0.0%">
                  <c:v>0.41962843235389324</c:v>
                </c:pt>
                <c:pt idx="12" formatCode="0.0%">
                  <c:v>0.41181176911439638</c:v>
                </c:pt>
                <c:pt idx="13" formatCode="0.0%">
                  <c:v>0.40743544586281777</c:v>
                </c:pt>
              </c:numCache>
            </c:numRef>
          </c:val>
          <c:extLst>
            <c:ext xmlns:c16="http://schemas.microsoft.com/office/drawing/2014/chart" uri="{C3380CC4-5D6E-409C-BE32-E72D297353CC}">
              <c16:uniqueId val="{00000000-AABD-4686-98D1-3CB8E683A709}"/>
            </c:ext>
          </c:extLst>
        </c:ser>
        <c:ser>
          <c:idx val="1"/>
          <c:order val="1"/>
          <c:tx>
            <c:strRef>
              <c:f>'30 EU ref 2016 (Visual)'!$J$3</c:f>
              <c:strCache>
                <c:ptCount val="1"/>
                <c:pt idx="0">
                  <c:v> % Leave votes</c:v>
                </c:pt>
              </c:strCache>
            </c:strRef>
          </c:tx>
          <c:spPr>
            <a:solidFill>
              <a:schemeClr val="accent2"/>
            </a:solidFill>
            <a:ln w="25400">
              <a:noFill/>
            </a:ln>
          </c:spPr>
          <c:invertIfNegative val="0"/>
          <c:cat>
            <c:strRef>
              <c:f>'30 EU ref 2016 (Visual)'!$H$4:$H$17</c:f>
              <c:strCache>
                <c:ptCount val="14"/>
                <c:pt idx="0">
                  <c:v>United Kingdom</c:v>
                </c:pt>
                <c:pt idx="2">
                  <c:v>Scotland</c:v>
                </c:pt>
                <c:pt idx="3">
                  <c:v>London</c:v>
                </c:pt>
                <c:pt idx="4">
                  <c:v>Northern Ireland</c:v>
                </c:pt>
                <c:pt idx="5">
                  <c:v>South East</c:v>
                </c:pt>
                <c:pt idx="6">
                  <c:v>Wales</c:v>
                </c:pt>
                <c:pt idx="7">
                  <c:v>South West</c:v>
                </c:pt>
                <c:pt idx="8">
                  <c:v>North West</c:v>
                </c:pt>
                <c:pt idx="9">
                  <c:v>East of England</c:v>
                </c:pt>
                <c:pt idx="10">
                  <c:v>Y / H </c:v>
                </c:pt>
                <c:pt idx="11">
                  <c:v>North East</c:v>
                </c:pt>
                <c:pt idx="12">
                  <c:v>East Midlands</c:v>
                </c:pt>
                <c:pt idx="13">
                  <c:v>West Midlands</c:v>
                </c:pt>
              </c:strCache>
            </c:strRef>
          </c:cat>
          <c:val>
            <c:numRef>
              <c:f>'30 EU ref 2016 (Visual)'!$J$4:$J$17</c:f>
              <c:numCache>
                <c:formatCode>#,##0_);\(#,##0\)</c:formatCode>
                <c:ptCount val="14"/>
                <c:pt idx="0" formatCode="0.0%">
                  <c:v>0.51891841981441156</c:v>
                </c:pt>
                <c:pt idx="2" formatCode="0.0%">
                  <c:v>0.38003995502167742</c:v>
                </c:pt>
                <c:pt idx="3" formatCode="0.0%">
                  <c:v>0.40067031159851418</c:v>
                </c:pt>
                <c:pt idx="4" formatCode="0.0%">
                  <c:v>0.44224823419380394</c:v>
                </c:pt>
                <c:pt idx="5" formatCode="0.0%">
                  <c:v>0.51776797025132448</c:v>
                </c:pt>
                <c:pt idx="6" formatCode="0.0%">
                  <c:v>0.52527015788739329</c:v>
                </c:pt>
                <c:pt idx="7" formatCode="0.0%">
                  <c:v>0.52626949031275905</c:v>
                </c:pt>
                <c:pt idx="8" formatCode="0.0%">
                  <c:v>0.53653969167567983</c:v>
                </c:pt>
                <c:pt idx="9" formatCode="0.0%">
                  <c:v>0.56484728218798352</c:v>
                </c:pt>
                <c:pt idx="10" formatCode="0.0%">
                  <c:v>0.57714544389218159</c:v>
                </c:pt>
                <c:pt idx="11" formatCode="0.0%">
                  <c:v>0.58037156764610676</c:v>
                </c:pt>
                <c:pt idx="12" formatCode="0.0%">
                  <c:v>0.58818823088560368</c:v>
                </c:pt>
                <c:pt idx="13" formatCode="0.0%">
                  <c:v>0.59256455413718223</c:v>
                </c:pt>
              </c:numCache>
            </c:numRef>
          </c:val>
          <c:extLst>
            <c:ext xmlns:c16="http://schemas.microsoft.com/office/drawing/2014/chart" uri="{C3380CC4-5D6E-409C-BE32-E72D297353CC}">
              <c16:uniqueId val="{00000001-AABD-4686-98D1-3CB8E683A709}"/>
            </c:ext>
          </c:extLst>
        </c:ser>
        <c:dLbls>
          <c:showLegendKey val="0"/>
          <c:showVal val="0"/>
          <c:showCatName val="0"/>
          <c:showSerName val="0"/>
          <c:showPercent val="0"/>
          <c:showBubbleSize val="0"/>
        </c:dLbls>
        <c:gapWidth val="100"/>
        <c:overlap val="100"/>
        <c:axId val="476440760"/>
        <c:axId val="476441152"/>
      </c:barChart>
      <c:catAx>
        <c:axId val="476440760"/>
        <c:scaling>
          <c:orientation val="minMax"/>
        </c:scaling>
        <c:delete val="0"/>
        <c:axPos val="l"/>
        <c:numFmt formatCode="General" sourceLinked="1"/>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476441152"/>
        <c:crosses val="autoZero"/>
        <c:auto val="1"/>
        <c:lblAlgn val="ctr"/>
        <c:lblOffset val="100"/>
        <c:noMultiLvlLbl val="0"/>
      </c:catAx>
      <c:valAx>
        <c:axId val="476441152"/>
        <c:scaling>
          <c:orientation val="minMax"/>
        </c:scaling>
        <c:delete val="0"/>
        <c:axPos val="b"/>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476440760"/>
        <c:crosses val="autoZero"/>
        <c:crossBetween val="between"/>
        <c:majorUnit val="0.5"/>
      </c:valAx>
      <c:spPr>
        <a:noFill/>
        <a:ln w="25400">
          <a:noFill/>
        </a:ln>
      </c:spPr>
    </c:plotArea>
    <c:legend>
      <c:legendPos val="r"/>
      <c:layout>
        <c:manualLayout>
          <c:xMode val="edge"/>
          <c:yMode val="edge"/>
          <c:x val="3.6649214659685861E-2"/>
          <c:y val="0.1043956043956044"/>
          <c:w val="0.92146596858638741"/>
          <c:h val="0.1212444289339179"/>
        </c:manualLayout>
      </c:layout>
      <c:overlay val="0"/>
      <c:spPr>
        <a:noFill/>
        <a:ln w="25400">
          <a:noFill/>
        </a:ln>
      </c:spPr>
      <c:txPr>
        <a:bodyPr/>
        <a:lstStyle/>
        <a:p>
          <a:pPr>
            <a:defRPr sz="1000"/>
          </a:pPr>
          <a:endParaRPr lang="en-US"/>
        </a:p>
      </c:txPr>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b="1" cap="none" baseline="0"/>
              <a:t>EC membership referendum in 1975</a:t>
            </a:r>
          </a:p>
        </c:rich>
      </c:tx>
      <c:layout>
        <c:manualLayout>
          <c:xMode val="edge"/>
          <c:yMode val="edge"/>
          <c:x val="0.19415056762371807"/>
          <c:y val="1.097374227334927E-4"/>
        </c:manualLayout>
      </c:layout>
      <c:overlay val="0"/>
      <c:spPr>
        <a:noFill/>
        <a:ln w="25400">
          <a:noFill/>
        </a:ln>
      </c:spPr>
    </c:title>
    <c:autoTitleDeleted val="0"/>
    <c:plotArea>
      <c:layout>
        <c:manualLayout>
          <c:layoutTarget val="inner"/>
          <c:xMode val="edge"/>
          <c:yMode val="edge"/>
          <c:x val="0.45306211723534556"/>
          <c:y val="0.3239678863671453"/>
          <c:w val="0.40863081688248687"/>
          <c:h val="0.53330060213061592"/>
        </c:manualLayout>
      </c:layout>
      <c:barChart>
        <c:barDir val="bar"/>
        <c:grouping val="percentStacked"/>
        <c:varyColors val="0"/>
        <c:ser>
          <c:idx val="0"/>
          <c:order val="0"/>
          <c:tx>
            <c:strRef>
              <c:f>'31 EC ref Visual'!$C$6</c:f>
              <c:strCache>
                <c:ptCount val="1"/>
                <c:pt idx="0">
                  <c:v>% Yes vote</c:v>
                </c:pt>
              </c:strCache>
            </c:strRef>
          </c:tx>
          <c:spPr>
            <a:solidFill>
              <a:schemeClr val="accent1"/>
            </a:solidFill>
            <a:ln w="25400">
              <a:noFill/>
            </a:ln>
          </c:spPr>
          <c:invertIfNegative val="0"/>
          <c:cat>
            <c:strRef>
              <c:f>'31 EC ref Visual'!$B$7:$B$11</c:f>
              <c:strCache>
                <c:ptCount val="5"/>
                <c:pt idx="0">
                  <c:v>UK</c:v>
                </c:pt>
                <c:pt idx="1">
                  <c:v>N. Ireland</c:v>
                </c:pt>
                <c:pt idx="2">
                  <c:v>Scotland</c:v>
                </c:pt>
                <c:pt idx="3">
                  <c:v>Wales</c:v>
                </c:pt>
                <c:pt idx="4">
                  <c:v>England</c:v>
                </c:pt>
              </c:strCache>
            </c:strRef>
          </c:cat>
          <c:val>
            <c:numRef>
              <c:f>'31 EC ref Visual'!$C$7:$C$11</c:f>
              <c:numCache>
                <c:formatCode>0.0%</c:formatCode>
                <c:ptCount val="5"/>
                <c:pt idx="0">
                  <c:v>0.67232053939829906</c:v>
                </c:pt>
                <c:pt idx="1">
                  <c:v>0.52146181727485208</c:v>
                </c:pt>
                <c:pt idx="2">
                  <c:v>0.58423445054764334</c:v>
                </c:pt>
                <c:pt idx="3">
                  <c:v>0.64802498646740325</c:v>
                </c:pt>
                <c:pt idx="4">
                  <c:v>0.68651482386542773</c:v>
                </c:pt>
              </c:numCache>
            </c:numRef>
          </c:val>
          <c:extLst>
            <c:ext xmlns:c16="http://schemas.microsoft.com/office/drawing/2014/chart" uri="{C3380CC4-5D6E-409C-BE32-E72D297353CC}">
              <c16:uniqueId val="{00000000-DA0C-4E89-BAB8-A6EF39EE35B3}"/>
            </c:ext>
          </c:extLst>
        </c:ser>
        <c:ser>
          <c:idx val="1"/>
          <c:order val="1"/>
          <c:tx>
            <c:strRef>
              <c:f>'31 EC ref Visual'!$D$6</c:f>
              <c:strCache>
                <c:ptCount val="1"/>
                <c:pt idx="0">
                  <c:v>% No vote</c:v>
                </c:pt>
              </c:strCache>
            </c:strRef>
          </c:tx>
          <c:spPr>
            <a:solidFill>
              <a:schemeClr val="accent2"/>
            </a:solidFill>
            <a:ln w="25400">
              <a:noFill/>
            </a:ln>
          </c:spPr>
          <c:invertIfNegative val="0"/>
          <c:cat>
            <c:strRef>
              <c:f>'31 EC ref Visual'!$B$7:$B$11</c:f>
              <c:strCache>
                <c:ptCount val="5"/>
                <c:pt idx="0">
                  <c:v>UK</c:v>
                </c:pt>
                <c:pt idx="1">
                  <c:v>N. Ireland</c:v>
                </c:pt>
                <c:pt idx="2">
                  <c:v>Scotland</c:v>
                </c:pt>
                <c:pt idx="3">
                  <c:v>Wales</c:v>
                </c:pt>
                <c:pt idx="4">
                  <c:v>England</c:v>
                </c:pt>
              </c:strCache>
            </c:strRef>
          </c:cat>
          <c:val>
            <c:numRef>
              <c:f>'31 EC ref Visual'!$D$7:$D$11</c:f>
              <c:numCache>
                <c:formatCode>0.0%</c:formatCode>
                <c:ptCount val="5"/>
                <c:pt idx="0">
                  <c:v>0.32767946060170094</c:v>
                </c:pt>
                <c:pt idx="1">
                  <c:v>0.47853818272514792</c:v>
                </c:pt>
                <c:pt idx="2">
                  <c:v>0.41576554945235666</c:v>
                </c:pt>
                <c:pt idx="3">
                  <c:v>0.3519750135325968</c:v>
                </c:pt>
                <c:pt idx="4">
                  <c:v>0.31348517613457227</c:v>
                </c:pt>
              </c:numCache>
            </c:numRef>
          </c:val>
          <c:extLst>
            <c:ext xmlns:c16="http://schemas.microsoft.com/office/drawing/2014/chart" uri="{C3380CC4-5D6E-409C-BE32-E72D297353CC}">
              <c16:uniqueId val="{00000001-DA0C-4E89-BAB8-A6EF39EE35B3}"/>
            </c:ext>
          </c:extLst>
        </c:ser>
        <c:dLbls>
          <c:showLegendKey val="0"/>
          <c:showVal val="0"/>
          <c:showCatName val="0"/>
          <c:showSerName val="0"/>
          <c:showPercent val="0"/>
          <c:showBubbleSize val="0"/>
        </c:dLbls>
        <c:gapWidth val="100"/>
        <c:overlap val="100"/>
        <c:axId val="476441936"/>
        <c:axId val="476442328"/>
      </c:barChart>
      <c:catAx>
        <c:axId val="47644193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6442328"/>
        <c:crosses val="autoZero"/>
        <c:auto val="1"/>
        <c:lblAlgn val="ctr"/>
        <c:lblOffset val="100"/>
        <c:noMultiLvlLbl val="0"/>
      </c:catAx>
      <c:valAx>
        <c:axId val="476442328"/>
        <c:scaling>
          <c:orientation val="minMax"/>
        </c:scaling>
        <c:delete val="0"/>
        <c:axPos val="b"/>
        <c:numFmt formatCode="0%" sourceLinked="1"/>
        <c:majorTickMark val="none"/>
        <c:minorTickMark val="none"/>
        <c:tickLblPos val="nextTo"/>
        <c:spPr>
          <a:noFill/>
          <a:ln>
            <a:solidFill>
              <a:schemeClr val="tx1"/>
            </a:solidFill>
          </a:ln>
          <a:effectLst/>
        </c:spPr>
        <c:txPr>
          <a:bodyPr rot="0" vert="horz"/>
          <a:lstStyle/>
          <a:p>
            <a:pPr>
              <a:defRPr/>
            </a:pPr>
            <a:endParaRPr lang="en-US"/>
          </a:p>
        </c:txPr>
        <c:crossAx val="476441936"/>
        <c:crosses val="autoZero"/>
        <c:crossBetween val="between"/>
        <c:majorUnit val="0.5"/>
      </c:valAx>
      <c:spPr>
        <a:noFill/>
        <a:ln w="25400">
          <a:noFill/>
        </a:ln>
      </c:spPr>
    </c:plotArea>
    <c:legend>
      <c:legendPos val="r"/>
      <c:layout>
        <c:manualLayout>
          <c:xMode val="edge"/>
          <c:yMode val="edge"/>
          <c:x val="1.2638230647709321E-2"/>
          <c:y val="0.23395275590551182"/>
          <c:w val="0.93681033946586068"/>
          <c:h val="7.0588235294117674E-2"/>
        </c:manualLayout>
      </c:layout>
      <c:overlay val="0"/>
      <c:spPr>
        <a:noFill/>
        <a:ln w="25400">
          <a:noFill/>
        </a:ln>
      </c:spPr>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LT Std 45 Light"/>
                <a:ea typeface="Frutiger LT Std 45 Light"/>
                <a:cs typeface="Frutiger LT Std 45 Light"/>
              </a:defRPr>
            </a:pPr>
            <a:r>
              <a:rPr lang="en-GB"/>
              <a:t>EC membership referendum in1975 (%)</a:t>
            </a:r>
          </a:p>
        </c:rich>
      </c:tx>
      <c:layout>
        <c:manualLayout>
          <c:xMode val="edge"/>
          <c:yMode val="edge"/>
          <c:x val="0.22974412558619747"/>
          <c:y val="7.1273737841593332E-3"/>
        </c:manualLayout>
      </c:layout>
      <c:overlay val="0"/>
      <c:spPr>
        <a:noFill/>
        <a:ln w="25400">
          <a:noFill/>
        </a:ln>
      </c:spPr>
    </c:title>
    <c:autoTitleDeleted val="0"/>
    <c:plotArea>
      <c:layout>
        <c:manualLayout>
          <c:layoutTarget val="inner"/>
          <c:xMode val="edge"/>
          <c:yMode val="edge"/>
          <c:x val="0.45306211723534556"/>
          <c:y val="0.3239678863671453"/>
          <c:w val="0.40863081688248687"/>
          <c:h val="0.53330060213061592"/>
        </c:manualLayout>
      </c:layout>
      <c:barChart>
        <c:barDir val="bar"/>
        <c:grouping val="percentStacked"/>
        <c:varyColors val="0"/>
        <c:ser>
          <c:idx val="0"/>
          <c:order val="0"/>
          <c:tx>
            <c:strRef>
              <c:f>'31 EC ref Visual'!$C$6</c:f>
              <c:strCache>
                <c:ptCount val="1"/>
                <c:pt idx="0">
                  <c:v>% Yes vote</c:v>
                </c:pt>
              </c:strCache>
            </c:strRef>
          </c:tx>
          <c:spPr>
            <a:solidFill>
              <a:srgbClr val="008000"/>
            </a:solidFill>
            <a:ln w="25400">
              <a:noFill/>
            </a:ln>
          </c:spPr>
          <c:invertIfNegative val="0"/>
          <c:cat>
            <c:strRef>
              <c:f>'31 EC ref Visual'!$B$7:$B$11</c:f>
              <c:strCache>
                <c:ptCount val="5"/>
                <c:pt idx="0">
                  <c:v>UK</c:v>
                </c:pt>
                <c:pt idx="1">
                  <c:v>N. Ireland</c:v>
                </c:pt>
                <c:pt idx="2">
                  <c:v>Scotland</c:v>
                </c:pt>
                <c:pt idx="3">
                  <c:v>Wales</c:v>
                </c:pt>
                <c:pt idx="4">
                  <c:v>England</c:v>
                </c:pt>
              </c:strCache>
            </c:strRef>
          </c:cat>
          <c:val>
            <c:numRef>
              <c:f>'31 EC ref Visual'!$C$7:$C$11</c:f>
              <c:numCache>
                <c:formatCode>0.0%</c:formatCode>
                <c:ptCount val="5"/>
                <c:pt idx="0">
                  <c:v>0.67232053939829906</c:v>
                </c:pt>
                <c:pt idx="1">
                  <c:v>0.52146181727485208</c:v>
                </c:pt>
                <c:pt idx="2">
                  <c:v>0.58423445054764334</c:v>
                </c:pt>
                <c:pt idx="3">
                  <c:v>0.64802498646740325</c:v>
                </c:pt>
                <c:pt idx="4">
                  <c:v>0.68651482386542773</c:v>
                </c:pt>
              </c:numCache>
            </c:numRef>
          </c:val>
          <c:extLst>
            <c:ext xmlns:c16="http://schemas.microsoft.com/office/drawing/2014/chart" uri="{C3380CC4-5D6E-409C-BE32-E72D297353CC}">
              <c16:uniqueId val="{00000000-D320-4958-A230-275A345FF2B8}"/>
            </c:ext>
          </c:extLst>
        </c:ser>
        <c:ser>
          <c:idx val="1"/>
          <c:order val="1"/>
          <c:tx>
            <c:strRef>
              <c:f>'31 EC ref Visual'!$D$6</c:f>
              <c:strCache>
                <c:ptCount val="1"/>
                <c:pt idx="0">
                  <c:v>% No vote</c:v>
                </c:pt>
              </c:strCache>
            </c:strRef>
          </c:tx>
          <c:spPr>
            <a:solidFill>
              <a:schemeClr val="accent3">
                <a:lumMod val="60000"/>
                <a:lumOff val="40000"/>
              </a:schemeClr>
            </a:solidFill>
            <a:ln w="25400">
              <a:noFill/>
            </a:ln>
          </c:spPr>
          <c:invertIfNegative val="0"/>
          <c:cat>
            <c:strRef>
              <c:f>'31 EC ref Visual'!$B$7:$B$11</c:f>
              <c:strCache>
                <c:ptCount val="5"/>
                <c:pt idx="0">
                  <c:v>UK</c:v>
                </c:pt>
                <c:pt idx="1">
                  <c:v>N. Ireland</c:v>
                </c:pt>
                <c:pt idx="2">
                  <c:v>Scotland</c:v>
                </c:pt>
                <c:pt idx="3">
                  <c:v>Wales</c:v>
                </c:pt>
                <c:pt idx="4">
                  <c:v>England</c:v>
                </c:pt>
              </c:strCache>
            </c:strRef>
          </c:cat>
          <c:val>
            <c:numRef>
              <c:f>'31 EC ref Visual'!$D$7:$D$11</c:f>
              <c:numCache>
                <c:formatCode>0.0%</c:formatCode>
                <c:ptCount val="5"/>
                <c:pt idx="0">
                  <c:v>0.32767946060170094</c:v>
                </c:pt>
                <c:pt idx="1">
                  <c:v>0.47853818272514792</c:v>
                </c:pt>
                <c:pt idx="2">
                  <c:v>0.41576554945235666</c:v>
                </c:pt>
                <c:pt idx="3">
                  <c:v>0.3519750135325968</c:v>
                </c:pt>
                <c:pt idx="4">
                  <c:v>0.31348517613457227</c:v>
                </c:pt>
              </c:numCache>
            </c:numRef>
          </c:val>
          <c:extLst>
            <c:ext xmlns:c16="http://schemas.microsoft.com/office/drawing/2014/chart" uri="{C3380CC4-5D6E-409C-BE32-E72D297353CC}">
              <c16:uniqueId val="{00000001-D320-4958-A230-275A345FF2B8}"/>
            </c:ext>
          </c:extLst>
        </c:ser>
        <c:dLbls>
          <c:showLegendKey val="0"/>
          <c:showVal val="0"/>
          <c:showCatName val="0"/>
          <c:showSerName val="0"/>
          <c:showPercent val="0"/>
          <c:showBubbleSize val="0"/>
        </c:dLbls>
        <c:gapWidth val="263"/>
        <c:overlap val="100"/>
        <c:axId val="476443112"/>
        <c:axId val="476443504"/>
      </c:barChart>
      <c:catAx>
        <c:axId val="47644311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6443504"/>
        <c:crosses val="autoZero"/>
        <c:auto val="1"/>
        <c:lblAlgn val="ctr"/>
        <c:lblOffset val="100"/>
        <c:noMultiLvlLbl val="0"/>
      </c:catAx>
      <c:valAx>
        <c:axId val="476443504"/>
        <c:scaling>
          <c:orientation val="minMax"/>
        </c:scaling>
        <c:delete val="0"/>
        <c:axPos val="b"/>
        <c:numFmt formatCode="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Calibri"/>
                <a:ea typeface="Calibri"/>
                <a:cs typeface="Calibri"/>
              </a:defRPr>
            </a:pPr>
            <a:endParaRPr lang="en-US"/>
          </a:p>
        </c:txPr>
        <c:crossAx val="476443112"/>
        <c:crosses val="autoZero"/>
        <c:crossBetween val="between"/>
        <c:majorUnit val="0.5"/>
      </c:valAx>
      <c:spPr>
        <a:noFill/>
        <a:ln w="25400">
          <a:noFill/>
        </a:ln>
      </c:spPr>
    </c:plotArea>
    <c:legend>
      <c:legendPos val="r"/>
      <c:layout>
        <c:manualLayout>
          <c:xMode val="edge"/>
          <c:yMode val="edge"/>
          <c:x val="0.25592466818424947"/>
          <c:y val="0.20588235294117646"/>
          <c:w val="0.67772661118781952"/>
          <c:h val="7.0588235294117674E-2"/>
        </c:manualLayout>
      </c:layout>
      <c:overlay val="0"/>
      <c:spPr>
        <a:noFill/>
        <a:ln w="25400">
          <a:noFill/>
        </a:ln>
      </c:spPr>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sz="1100" b="1" cap="none" baseline="0"/>
              <a:t>SHARE OF votes for devolution in Scotland (%)</a:t>
            </a:r>
          </a:p>
        </c:rich>
      </c:tx>
      <c:layout>
        <c:manualLayout>
          <c:xMode val="edge"/>
          <c:yMode val="edge"/>
          <c:x val="0.17741364838222379"/>
          <c:y val="5.4712837656294748E-2"/>
        </c:manualLayout>
      </c:layout>
      <c:overlay val="0"/>
      <c:spPr>
        <a:noFill/>
        <a:ln w="25400">
          <a:noFill/>
        </a:ln>
      </c:spPr>
    </c:title>
    <c:autoTitleDeleted val="0"/>
    <c:plotArea>
      <c:layout>
        <c:manualLayout>
          <c:layoutTarget val="inner"/>
          <c:xMode val="edge"/>
          <c:yMode val="edge"/>
          <c:x val="0.42619985001874766"/>
          <c:y val="0.20715437413073906"/>
          <c:w val="0.42443622441439871"/>
          <c:h val="0.7222611545797083"/>
        </c:manualLayout>
      </c:layout>
      <c:barChart>
        <c:barDir val="bar"/>
        <c:grouping val="clustered"/>
        <c:varyColors val="0"/>
        <c:ser>
          <c:idx val="1"/>
          <c:order val="1"/>
          <c:tx>
            <c:strRef>
              <c:f>'32 Scotland ref'!$C$7</c:f>
              <c:strCache>
                <c:ptCount val="1"/>
                <c:pt idx="0">
                  <c:v>1979</c:v>
                </c:pt>
              </c:strCache>
            </c:strRef>
          </c:tx>
          <c:spPr>
            <a:solidFill>
              <a:schemeClr val="accent1"/>
            </a:solidFill>
            <a:ln w="25400">
              <a:noFill/>
            </a:ln>
          </c:spPr>
          <c:invertIfNegative val="0"/>
          <c:cat>
            <c:strRef>
              <c:f>'32 Scotland ref'!$A$9:$A$22</c:f>
              <c:strCache>
                <c:ptCount val="14"/>
                <c:pt idx="0">
                  <c:v>Borders</c:v>
                </c:pt>
                <c:pt idx="1">
                  <c:v>Central</c:v>
                </c:pt>
                <c:pt idx="2">
                  <c:v>Dumfries and Galloway</c:v>
                </c:pt>
                <c:pt idx="3">
                  <c:v>Fife</c:v>
                </c:pt>
                <c:pt idx="4">
                  <c:v>Grampian</c:v>
                </c:pt>
                <c:pt idx="5">
                  <c:v>Highland</c:v>
                </c:pt>
                <c:pt idx="6">
                  <c:v>Lothian</c:v>
                </c:pt>
                <c:pt idx="7">
                  <c:v>Orkney</c:v>
                </c:pt>
                <c:pt idx="8">
                  <c:v>Shetland</c:v>
                </c:pt>
                <c:pt idx="9">
                  <c:v>Strathclyde</c:v>
                </c:pt>
                <c:pt idx="10">
                  <c:v>Tayside</c:v>
                </c:pt>
                <c:pt idx="11">
                  <c:v>Western Isles</c:v>
                </c:pt>
                <c:pt idx="13">
                  <c:v>Scotland</c:v>
                </c:pt>
              </c:strCache>
            </c:strRef>
          </c:cat>
          <c:val>
            <c:numRef>
              <c:f>'32 Scotland ref'!$C$9:$C$22</c:f>
              <c:numCache>
                <c:formatCode>0.0</c:formatCode>
                <c:ptCount val="14"/>
                <c:pt idx="0">
                  <c:v>40.26316810930404</c:v>
                </c:pt>
                <c:pt idx="1">
                  <c:v>54.674427343348597</c:v>
                </c:pt>
                <c:pt idx="2">
                  <c:v>40.299105354519966</c:v>
                </c:pt>
                <c:pt idx="3">
                  <c:v>53.676690232002386</c:v>
                </c:pt>
                <c:pt idx="4">
                  <c:v>48.335021814497857</c:v>
                </c:pt>
                <c:pt idx="5">
                  <c:v>50.962638956565101</c:v>
                </c:pt>
                <c:pt idx="6">
                  <c:v>50.10705434613881</c:v>
                </c:pt>
                <c:pt idx="7">
                  <c:v>27.893411109638077</c:v>
                </c:pt>
                <c:pt idx="8">
                  <c:v>26.983702912102594</c:v>
                </c:pt>
                <c:pt idx="9">
                  <c:v>53.977855758389602</c:v>
                </c:pt>
                <c:pt idx="10">
                  <c:v>49.50137170128837</c:v>
                </c:pt>
                <c:pt idx="11">
                  <c:v>55.761815083848987</c:v>
                </c:pt>
                <c:pt idx="13">
                  <c:v>51.62375720242791</c:v>
                </c:pt>
              </c:numCache>
            </c:numRef>
          </c:val>
          <c:extLst>
            <c:ext xmlns:c16="http://schemas.microsoft.com/office/drawing/2014/chart" uri="{C3380CC4-5D6E-409C-BE32-E72D297353CC}">
              <c16:uniqueId val="{00000000-2B28-4D8E-84A0-DE4FE6AAAC5C}"/>
            </c:ext>
          </c:extLst>
        </c:ser>
        <c:ser>
          <c:idx val="2"/>
          <c:order val="2"/>
          <c:tx>
            <c:strRef>
              <c:f>'32 Scotland ref'!$D$7</c:f>
              <c:strCache>
                <c:ptCount val="1"/>
                <c:pt idx="0">
                  <c:v>1997</c:v>
                </c:pt>
              </c:strCache>
            </c:strRef>
          </c:tx>
          <c:spPr>
            <a:solidFill>
              <a:schemeClr val="accent2"/>
            </a:solidFill>
          </c:spPr>
          <c:invertIfNegative val="0"/>
          <c:cat>
            <c:strRef>
              <c:f>'32 Scotland ref'!$A$9:$A$22</c:f>
              <c:strCache>
                <c:ptCount val="14"/>
                <c:pt idx="0">
                  <c:v>Borders</c:v>
                </c:pt>
                <c:pt idx="1">
                  <c:v>Central</c:v>
                </c:pt>
                <c:pt idx="2">
                  <c:v>Dumfries and Galloway</c:v>
                </c:pt>
                <c:pt idx="3">
                  <c:v>Fife</c:v>
                </c:pt>
                <c:pt idx="4">
                  <c:v>Grampian</c:v>
                </c:pt>
                <c:pt idx="5">
                  <c:v>Highland</c:v>
                </c:pt>
                <c:pt idx="6">
                  <c:v>Lothian</c:v>
                </c:pt>
                <c:pt idx="7">
                  <c:v>Orkney</c:v>
                </c:pt>
                <c:pt idx="8">
                  <c:v>Shetland</c:v>
                </c:pt>
                <c:pt idx="9">
                  <c:v>Strathclyde</c:v>
                </c:pt>
                <c:pt idx="10">
                  <c:v>Tayside</c:v>
                </c:pt>
                <c:pt idx="11">
                  <c:v>Western Isles</c:v>
                </c:pt>
                <c:pt idx="13">
                  <c:v>Scotland</c:v>
                </c:pt>
              </c:strCache>
            </c:strRef>
          </c:cat>
          <c:val>
            <c:numRef>
              <c:f>'32 Scotland ref'!$D$9:$D$22</c:f>
              <c:numCache>
                <c:formatCode>0.0</c:formatCode>
                <c:ptCount val="14"/>
                <c:pt idx="0">
                  <c:v>62.793285727534077</c:v>
                </c:pt>
                <c:pt idx="1">
                  <c:v>76.3492753516405</c:v>
                </c:pt>
                <c:pt idx="2">
                  <c:v>60.720992896219485</c:v>
                </c:pt>
                <c:pt idx="3">
                  <c:v>76.077125647001836</c:v>
                </c:pt>
                <c:pt idx="4">
                  <c:v>67.606601862017868</c:v>
                </c:pt>
                <c:pt idx="5">
                  <c:v>72.564061531075595</c:v>
                </c:pt>
                <c:pt idx="6">
                  <c:v>74.514833069342487</c:v>
                </c:pt>
                <c:pt idx="7">
                  <c:v>57.28588661037395</c:v>
                </c:pt>
                <c:pt idx="8">
                  <c:v>62.377943710511197</c:v>
                </c:pt>
                <c:pt idx="9">
                  <c:v>78.101095258819754</c:v>
                </c:pt>
                <c:pt idx="10">
                  <c:v>67.648900410835509</c:v>
                </c:pt>
                <c:pt idx="11">
                  <c:v>79.396784975330263</c:v>
                </c:pt>
                <c:pt idx="13">
                  <c:v>74.286915999322019</c:v>
                </c:pt>
              </c:numCache>
            </c:numRef>
          </c:val>
          <c:extLst>
            <c:ext xmlns:c16="http://schemas.microsoft.com/office/drawing/2014/chart" uri="{C3380CC4-5D6E-409C-BE32-E72D297353CC}">
              <c16:uniqueId val="{00000001-2B28-4D8E-84A0-DE4FE6AAAC5C}"/>
            </c:ext>
          </c:extLst>
        </c:ser>
        <c:dLbls>
          <c:showLegendKey val="0"/>
          <c:showVal val="0"/>
          <c:showCatName val="0"/>
          <c:showSerName val="0"/>
          <c:showPercent val="0"/>
          <c:showBubbleSize val="0"/>
        </c:dLbls>
        <c:gapWidth val="100"/>
        <c:axId val="476444288"/>
        <c:axId val="476444680"/>
        <c:extLst>
          <c:ext xmlns:c15="http://schemas.microsoft.com/office/drawing/2012/chart" uri="{02D57815-91ED-43cb-92C2-25804820EDAC}">
            <c15:filteredBarSeries>
              <c15:ser>
                <c:idx val="0"/>
                <c:order val="0"/>
                <c:spPr>
                  <a:solidFill>
                    <a:schemeClr val="accent1"/>
                  </a:solidFill>
                  <a:ln w="25400">
                    <a:noFill/>
                  </a:ln>
                </c:spPr>
                <c:invertIfNegative val="0"/>
                <c:cat>
                  <c:strRef>
                    <c:extLst>
                      <c:ext uri="{02D57815-91ED-43cb-92C2-25804820EDAC}">
                        <c15:formulaRef>
                          <c15:sqref>'32 Scotland ref'!$A$9:$A$22</c15:sqref>
                        </c15:formulaRef>
                      </c:ext>
                    </c:extLst>
                    <c:strCache>
                      <c:ptCount val="14"/>
                      <c:pt idx="0">
                        <c:v>Borders</c:v>
                      </c:pt>
                      <c:pt idx="1">
                        <c:v>Central</c:v>
                      </c:pt>
                      <c:pt idx="2">
                        <c:v>Dumfries and Galloway</c:v>
                      </c:pt>
                      <c:pt idx="3">
                        <c:v>Fife</c:v>
                      </c:pt>
                      <c:pt idx="4">
                        <c:v>Grampian</c:v>
                      </c:pt>
                      <c:pt idx="5">
                        <c:v>Highland</c:v>
                      </c:pt>
                      <c:pt idx="6">
                        <c:v>Lothian</c:v>
                      </c:pt>
                      <c:pt idx="7">
                        <c:v>Orkney</c:v>
                      </c:pt>
                      <c:pt idx="8">
                        <c:v>Shetland</c:v>
                      </c:pt>
                      <c:pt idx="9">
                        <c:v>Strathclyde</c:v>
                      </c:pt>
                      <c:pt idx="10">
                        <c:v>Tayside</c:v>
                      </c:pt>
                      <c:pt idx="11">
                        <c:v>Western Isles</c:v>
                      </c:pt>
                      <c:pt idx="13">
                        <c:v>Scotland</c:v>
                      </c:pt>
                    </c:strCache>
                  </c:strRef>
                </c:cat>
                <c:val>
                  <c:numRef>
                    <c:extLst>
                      <c:ext uri="{02D57815-91ED-43cb-92C2-25804820EDAC}">
                        <c15:formulaRef>
                          <c15:sqref>'32 Scotland ref'!$B$9:$B$22</c15:sqref>
                        </c15:formulaRef>
                      </c:ext>
                    </c:extLst>
                    <c:numCache>
                      <c:formatCode>#,##0_);\(#,##0\)</c:formatCode>
                      <c:ptCount val="14"/>
                    </c:numCache>
                  </c:numRef>
                </c:val>
                <c:extLst>
                  <c:ext xmlns:c16="http://schemas.microsoft.com/office/drawing/2014/chart" uri="{C3380CC4-5D6E-409C-BE32-E72D297353CC}">
                    <c16:uniqueId val="{00000002-2B28-4D8E-84A0-DE4FE6AAAC5C}"/>
                  </c:ext>
                </c:extLst>
              </c15:ser>
            </c15:filteredBarSeries>
          </c:ext>
        </c:extLst>
      </c:barChart>
      <c:catAx>
        <c:axId val="476444288"/>
        <c:scaling>
          <c:orientation val="maxMin"/>
        </c:scaling>
        <c:delete val="0"/>
        <c:axPos val="l"/>
        <c:numFmt formatCode="General" sourceLinked="1"/>
        <c:majorTickMark val="out"/>
        <c:minorTickMark val="none"/>
        <c:tickLblPos val="low"/>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476444680"/>
        <c:crosses val="autoZero"/>
        <c:auto val="1"/>
        <c:lblAlgn val="ctr"/>
        <c:lblOffset val="100"/>
        <c:noMultiLvlLbl val="0"/>
      </c:catAx>
      <c:valAx>
        <c:axId val="476444680"/>
        <c:scaling>
          <c:orientation val="minMax"/>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476444288"/>
        <c:crosses val="max"/>
        <c:crossBetween val="between"/>
        <c:majorUnit val="50"/>
      </c:valAx>
      <c:spPr>
        <a:noFill/>
        <a:ln w="25400">
          <a:noFill/>
        </a:ln>
      </c:spPr>
    </c:plotArea>
    <c:legend>
      <c:legendPos val="r"/>
      <c:layout>
        <c:manualLayout>
          <c:xMode val="edge"/>
          <c:yMode val="edge"/>
          <c:x val="0.69358825747524533"/>
          <c:y val="0.15045434880547273"/>
          <c:w val="0.28058305211848517"/>
          <c:h val="0.10245265495659196"/>
        </c:manualLayout>
      </c:layout>
      <c:overlay val="0"/>
      <c:spPr>
        <a:noFill/>
        <a:ln w="25400">
          <a:noFill/>
        </a:ln>
      </c:spPr>
      <c:txPr>
        <a:bodyPr/>
        <a:lstStyle/>
        <a:p>
          <a:pPr>
            <a:defRPr sz="1000"/>
          </a:pPr>
          <a:endParaRPr lang="en-US"/>
        </a:p>
      </c:txPr>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b="1" cap="none" baseline="0"/>
              <a:t>Share of votes for devolution in Wales (%)</a:t>
            </a:r>
          </a:p>
        </c:rich>
      </c:tx>
      <c:layout>
        <c:manualLayout>
          <c:xMode val="edge"/>
          <c:yMode val="edge"/>
          <c:x val="8.3203505811773548E-2"/>
          <c:y val="2.8976387313187909E-4"/>
        </c:manualLayout>
      </c:layout>
      <c:overlay val="0"/>
      <c:spPr>
        <a:noFill/>
        <a:ln w="25400">
          <a:noFill/>
        </a:ln>
      </c:spPr>
    </c:title>
    <c:autoTitleDeleted val="0"/>
    <c:plotArea>
      <c:layout>
        <c:manualLayout>
          <c:layoutTarget val="inner"/>
          <c:xMode val="edge"/>
          <c:yMode val="edge"/>
          <c:x val="0.42024746906636667"/>
          <c:y val="0.19538936253240058"/>
          <c:w val="0.46970800524934381"/>
          <c:h val="0.72186899959426598"/>
        </c:manualLayout>
      </c:layout>
      <c:barChart>
        <c:barDir val="bar"/>
        <c:grouping val="clustered"/>
        <c:varyColors val="0"/>
        <c:ser>
          <c:idx val="1"/>
          <c:order val="1"/>
          <c:tx>
            <c:strRef>
              <c:f>'34 Wales ref'!$C$7</c:f>
              <c:strCache>
                <c:ptCount val="1"/>
                <c:pt idx="0">
                  <c:v>1979</c:v>
                </c:pt>
              </c:strCache>
            </c:strRef>
          </c:tx>
          <c:spPr>
            <a:solidFill>
              <a:schemeClr val="accent1"/>
            </a:solidFill>
          </c:spPr>
          <c:invertIfNegative val="0"/>
          <c:cat>
            <c:strRef>
              <c:f>'34 Wales ref'!$A$9:$A$14</c:f>
              <c:strCache>
                <c:ptCount val="6"/>
                <c:pt idx="0">
                  <c:v>Clwyd &amp; Gwynedd</c:v>
                </c:pt>
                <c:pt idx="1">
                  <c:v>Dyfed</c:v>
                </c:pt>
                <c:pt idx="2">
                  <c:v>Powys</c:v>
                </c:pt>
                <c:pt idx="3">
                  <c:v>Gwent &amp; Mid Glamorgan</c:v>
                </c:pt>
                <c:pt idx="4">
                  <c:v>South Glamorgan</c:v>
                </c:pt>
                <c:pt idx="5">
                  <c:v>West Glamorgan</c:v>
                </c:pt>
              </c:strCache>
            </c:strRef>
          </c:cat>
          <c:val>
            <c:numRef>
              <c:f>'34 Wales ref'!$C$9:$C$14</c:f>
              <c:numCache>
                <c:formatCode>0.0</c:formatCode>
                <c:ptCount val="6"/>
                <c:pt idx="0">
                  <c:v>27.063297417950345</c:v>
                </c:pt>
                <c:pt idx="1">
                  <c:v>28.06640967233222</c:v>
                </c:pt>
                <c:pt idx="2">
                  <c:v>18.451588714968601</c:v>
                </c:pt>
                <c:pt idx="3">
                  <c:v>16.707341900068922</c:v>
                </c:pt>
                <c:pt idx="4">
                  <c:v>13.14933500385505</c:v>
                </c:pt>
                <c:pt idx="5">
                  <c:v>18.71518072897279</c:v>
                </c:pt>
              </c:numCache>
            </c:numRef>
          </c:val>
          <c:extLst>
            <c:ext xmlns:c16="http://schemas.microsoft.com/office/drawing/2014/chart" uri="{C3380CC4-5D6E-409C-BE32-E72D297353CC}">
              <c16:uniqueId val="{00000000-F622-4F81-951B-0AAD49B7DD95}"/>
            </c:ext>
          </c:extLst>
        </c:ser>
        <c:ser>
          <c:idx val="2"/>
          <c:order val="2"/>
          <c:tx>
            <c:strRef>
              <c:f>'34 Wales ref'!$D$7</c:f>
              <c:strCache>
                <c:ptCount val="1"/>
                <c:pt idx="0">
                  <c:v>1997</c:v>
                </c:pt>
              </c:strCache>
            </c:strRef>
          </c:tx>
          <c:spPr>
            <a:solidFill>
              <a:schemeClr val="accent2"/>
            </a:solidFill>
          </c:spPr>
          <c:invertIfNegative val="0"/>
          <c:cat>
            <c:strRef>
              <c:f>'34 Wales ref'!$A$9:$A$14</c:f>
              <c:strCache>
                <c:ptCount val="6"/>
                <c:pt idx="0">
                  <c:v>Clwyd &amp; Gwynedd</c:v>
                </c:pt>
                <c:pt idx="1">
                  <c:v>Dyfed</c:v>
                </c:pt>
                <c:pt idx="2">
                  <c:v>Powys</c:v>
                </c:pt>
                <c:pt idx="3">
                  <c:v>Gwent &amp; Mid Glamorgan</c:v>
                </c:pt>
                <c:pt idx="4">
                  <c:v>South Glamorgan</c:v>
                </c:pt>
                <c:pt idx="5">
                  <c:v>West Glamorgan</c:v>
                </c:pt>
              </c:strCache>
            </c:strRef>
          </c:cat>
          <c:val>
            <c:numRef>
              <c:f>'34 Wales ref'!$D$9:$D$14</c:f>
              <c:numCache>
                <c:formatCode>0.0</c:formatCode>
                <c:ptCount val="6"/>
                <c:pt idx="0">
                  <c:v>47.369937292075278</c:v>
                </c:pt>
                <c:pt idx="1">
                  <c:v>57.181552311849416</c:v>
                </c:pt>
                <c:pt idx="2">
                  <c:v>42.65980297755722</c:v>
                </c:pt>
                <c:pt idx="3">
                  <c:v>51.313871664460386</c:v>
                </c:pt>
                <c:pt idx="4">
                  <c:v>41.994148098131895</c:v>
                </c:pt>
                <c:pt idx="5">
                  <c:v>57.813920010469452</c:v>
                </c:pt>
              </c:numCache>
            </c:numRef>
          </c:val>
          <c:extLst>
            <c:ext xmlns:c16="http://schemas.microsoft.com/office/drawing/2014/chart" uri="{C3380CC4-5D6E-409C-BE32-E72D297353CC}">
              <c16:uniqueId val="{00000001-F622-4F81-951B-0AAD49B7DD95}"/>
            </c:ext>
          </c:extLst>
        </c:ser>
        <c:dLbls>
          <c:showLegendKey val="0"/>
          <c:showVal val="0"/>
          <c:showCatName val="0"/>
          <c:showSerName val="0"/>
          <c:showPercent val="0"/>
          <c:showBubbleSize val="0"/>
        </c:dLbls>
        <c:gapWidth val="100"/>
        <c:axId val="476445464"/>
        <c:axId val="476445856"/>
        <c:extLst>
          <c:ext xmlns:c15="http://schemas.microsoft.com/office/drawing/2012/chart" uri="{02D57815-91ED-43cb-92C2-25804820EDAC}">
            <c15:filteredBarSeries>
              <c15:ser>
                <c:idx val="0"/>
                <c:order val="0"/>
                <c:spPr>
                  <a:solidFill>
                    <a:schemeClr val="accent1"/>
                  </a:solidFill>
                  <a:ln w="25400">
                    <a:noFill/>
                  </a:ln>
                </c:spPr>
                <c:invertIfNegative val="0"/>
                <c:cat>
                  <c:strRef>
                    <c:extLst>
                      <c:ext uri="{02D57815-91ED-43cb-92C2-25804820EDAC}">
                        <c15:formulaRef>
                          <c15:sqref>'34 Wales ref'!$A$9:$A$14</c15:sqref>
                        </c15:formulaRef>
                      </c:ext>
                    </c:extLst>
                    <c:strCache>
                      <c:ptCount val="6"/>
                      <c:pt idx="0">
                        <c:v>Clwyd &amp; Gwynedd</c:v>
                      </c:pt>
                      <c:pt idx="1">
                        <c:v>Dyfed</c:v>
                      </c:pt>
                      <c:pt idx="2">
                        <c:v>Powys</c:v>
                      </c:pt>
                      <c:pt idx="3">
                        <c:v>Gwent &amp; Mid Glamorgan</c:v>
                      </c:pt>
                      <c:pt idx="4">
                        <c:v>South Glamorgan</c:v>
                      </c:pt>
                      <c:pt idx="5">
                        <c:v>West Glamorgan</c:v>
                      </c:pt>
                    </c:strCache>
                  </c:strRef>
                </c:cat>
                <c:val>
                  <c:numRef>
                    <c:extLst>
                      <c:ext uri="{02D57815-91ED-43cb-92C2-25804820EDAC}">
                        <c15:formulaRef>
                          <c15:sqref>'34 Wales ref'!$B$9:$B$14</c15:sqref>
                        </c15:formulaRef>
                      </c:ext>
                    </c:extLst>
                    <c:numCache>
                      <c:formatCode>#,##0_);\(#,##0\)</c:formatCode>
                      <c:ptCount val="6"/>
                    </c:numCache>
                  </c:numRef>
                </c:val>
                <c:extLst>
                  <c:ext xmlns:c16="http://schemas.microsoft.com/office/drawing/2014/chart" uri="{C3380CC4-5D6E-409C-BE32-E72D297353CC}">
                    <c16:uniqueId val="{00000002-F622-4F81-951B-0AAD49B7DD95}"/>
                  </c:ext>
                </c:extLst>
              </c15:ser>
            </c15:filteredBarSeries>
          </c:ext>
        </c:extLst>
      </c:barChart>
      <c:catAx>
        <c:axId val="476445464"/>
        <c:scaling>
          <c:orientation val="maxMin"/>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6445856"/>
        <c:crosses val="autoZero"/>
        <c:auto val="1"/>
        <c:lblAlgn val="ctr"/>
        <c:lblOffset val="100"/>
        <c:noMultiLvlLbl val="0"/>
      </c:catAx>
      <c:valAx>
        <c:axId val="476445856"/>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76445464"/>
        <c:crosses val="max"/>
        <c:crossBetween val="between"/>
        <c:majorUnit val="50"/>
      </c:valAx>
      <c:spPr>
        <a:noFill/>
        <a:ln w="25400">
          <a:noFill/>
        </a:ln>
      </c:spPr>
    </c:plotArea>
    <c:legend>
      <c:legendPos val="r"/>
      <c:layout>
        <c:manualLayout>
          <c:xMode val="edge"/>
          <c:yMode val="edge"/>
          <c:x val="0.72117313460817389"/>
          <c:y val="0.19807088974629994"/>
          <c:w val="0.24486876640419949"/>
          <c:h val="0.15986631451364894"/>
        </c:manualLayout>
      </c:layout>
      <c:overlay val="0"/>
      <c:spPr>
        <a:noFill/>
        <a:ln w="25400">
          <a:noFill/>
        </a:ln>
      </c:spPr>
      <c:txPr>
        <a:bodyPr/>
        <a:lstStyle/>
        <a:p>
          <a:pPr>
            <a:defRPr sz="1000"/>
          </a:pPr>
          <a:endParaRPr lang="en-US"/>
        </a:p>
      </c:txPr>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162633106544433"/>
          <c:y val="0.13417146550711012"/>
          <c:w val="0.41013887270853583"/>
          <c:h val="0.81510439926352496"/>
        </c:manualLayout>
      </c:layout>
      <c:barChart>
        <c:barDir val="bar"/>
        <c:grouping val="percentStacked"/>
        <c:varyColors val="0"/>
        <c:ser>
          <c:idx val="0"/>
          <c:order val="0"/>
          <c:tx>
            <c:strRef>
              <c:f>'35 Wales ref 2011 Visual'!$C$6</c:f>
              <c:strCache>
                <c:ptCount val="1"/>
                <c:pt idx="0">
                  <c:v>% Yes vote</c:v>
                </c:pt>
              </c:strCache>
            </c:strRef>
          </c:tx>
          <c:spPr>
            <a:solidFill>
              <a:schemeClr val="accent1"/>
            </a:solidFill>
            <a:ln w="25400">
              <a:noFill/>
            </a:ln>
          </c:spPr>
          <c:invertIfNegative val="0"/>
          <c:cat>
            <c:strRef>
              <c:f>'35 Wales ref 2011 Visual'!$B$7:$B$30</c:f>
              <c:strCache>
                <c:ptCount val="24"/>
                <c:pt idx="0">
                  <c:v>Wales</c:v>
                </c:pt>
                <c:pt idx="2">
                  <c:v>Wrexham</c:v>
                </c:pt>
                <c:pt idx="3">
                  <c:v>Vale of Glamorgan</c:v>
                </c:pt>
                <c:pt idx="4">
                  <c:v>Torfaen</c:v>
                </c:pt>
                <c:pt idx="5">
                  <c:v>Swansea</c:v>
                </c:pt>
                <c:pt idx="6">
                  <c:v>Rhondda Cynon Taf</c:v>
                </c:pt>
                <c:pt idx="7">
                  <c:v>Powys</c:v>
                </c:pt>
                <c:pt idx="8">
                  <c:v>Pembrokeshire</c:v>
                </c:pt>
                <c:pt idx="9">
                  <c:v>Newport</c:v>
                </c:pt>
                <c:pt idx="10">
                  <c:v>Neath Port Talbot</c:v>
                </c:pt>
                <c:pt idx="11">
                  <c:v>Monmouthshire</c:v>
                </c:pt>
                <c:pt idx="12">
                  <c:v>Merthyr Tydfil</c:v>
                </c:pt>
                <c:pt idx="13">
                  <c:v>Isle of Anglesey</c:v>
                </c:pt>
                <c:pt idx="14">
                  <c:v>Gwynedd</c:v>
                </c:pt>
                <c:pt idx="15">
                  <c:v>Flintshire</c:v>
                </c:pt>
                <c:pt idx="16">
                  <c:v>Denbighshire</c:v>
                </c:pt>
                <c:pt idx="17">
                  <c:v>Conwy</c:v>
                </c:pt>
                <c:pt idx="18">
                  <c:v>Ceredigion</c:v>
                </c:pt>
                <c:pt idx="19">
                  <c:v>Carmarthenshire</c:v>
                </c:pt>
                <c:pt idx="20">
                  <c:v>Cardiff</c:v>
                </c:pt>
                <c:pt idx="21">
                  <c:v>Caerphilly</c:v>
                </c:pt>
                <c:pt idx="22">
                  <c:v>Bridgend</c:v>
                </c:pt>
                <c:pt idx="23">
                  <c:v>Blaenau Gwent</c:v>
                </c:pt>
              </c:strCache>
            </c:strRef>
          </c:cat>
          <c:val>
            <c:numRef>
              <c:f>'35 Wales ref 2011 Visual'!$C$7:$C$30</c:f>
              <c:numCache>
                <c:formatCode>0.0%</c:formatCode>
                <c:ptCount val="24"/>
                <c:pt idx="0">
                  <c:v>0.63489795116585146</c:v>
                </c:pt>
                <c:pt idx="2">
                  <c:v>0.64094069678546728</c:v>
                </c:pt>
                <c:pt idx="3">
                  <c:v>0.52540493767069574</c:v>
                </c:pt>
                <c:pt idx="4">
                  <c:v>0.62781133530394551</c:v>
                </c:pt>
                <c:pt idx="5">
                  <c:v>0.63206633281339797</c:v>
                </c:pt>
                <c:pt idx="6">
                  <c:v>0.70708713147737534</c:v>
                </c:pt>
                <c:pt idx="7">
                  <c:v>0.51644527229057402</c:v>
                </c:pt>
                <c:pt idx="8">
                  <c:v>0.54978962131837306</c:v>
                </c:pt>
                <c:pt idx="9">
                  <c:v>0.54760681125158461</c:v>
                </c:pt>
                <c:pt idx="10">
                  <c:v>0.73001754556974363</c:v>
                </c:pt>
                <c:pt idx="11">
                  <c:v>0.493620923371342</c:v>
                </c:pt>
                <c:pt idx="12">
                  <c:v>0.68857401266204399</c:v>
                </c:pt>
                <c:pt idx="13">
                  <c:v>0.64772779806758818</c:v>
                </c:pt>
                <c:pt idx="14">
                  <c:v>0.76029225418565149</c:v>
                </c:pt>
                <c:pt idx="15">
                  <c:v>0.62056299952985428</c:v>
                </c:pt>
                <c:pt idx="16">
                  <c:v>0.61848443313099666</c:v>
                </c:pt>
                <c:pt idx="17">
                  <c:v>0.59717796995903505</c:v>
                </c:pt>
                <c:pt idx="18">
                  <c:v>0.66239916522855879</c:v>
                </c:pt>
                <c:pt idx="19">
                  <c:v>0.70816101234120377</c:v>
                </c:pt>
                <c:pt idx="20">
                  <c:v>0.61387060080659062</c:v>
                </c:pt>
                <c:pt idx="21">
                  <c:v>0.64349735186274959</c:v>
                </c:pt>
                <c:pt idx="22">
                  <c:v>0.68107829017092858</c:v>
                </c:pt>
                <c:pt idx="23">
                  <c:v>0.68865680301711629</c:v>
                </c:pt>
              </c:numCache>
            </c:numRef>
          </c:val>
          <c:extLst>
            <c:ext xmlns:c16="http://schemas.microsoft.com/office/drawing/2014/chart" uri="{C3380CC4-5D6E-409C-BE32-E72D297353CC}">
              <c16:uniqueId val="{00000000-F886-4211-A8DE-63B9659DBB2F}"/>
            </c:ext>
          </c:extLst>
        </c:ser>
        <c:ser>
          <c:idx val="1"/>
          <c:order val="1"/>
          <c:tx>
            <c:strRef>
              <c:f>'35 Wales ref 2011 Visual'!$D$6</c:f>
              <c:strCache>
                <c:ptCount val="1"/>
                <c:pt idx="0">
                  <c:v>% No vote</c:v>
                </c:pt>
              </c:strCache>
            </c:strRef>
          </c:tx>
          <c:spPr>
            <a:solidFill>
              <a:schemeClr val="accent2"/>
            </a:solidFill>
            <a:ln w="25400">
              <a:noFill/>
            </a:ln>
          </c:spPr>
          <c:invertIfNegative val="0"/>
          <c:cat>
            <c:strRef>
              <c:f>'35 Wales ref 2011 Visual'!$B$7:$B$30</c:f>
              <c:strCache>
                <c:ptCount val="24"/>
                <c:pt idx="0">
                  <c:v>Wales</c:v>
                </c:pt>
                <c:pt idx="2">
                  <c:v>Wrexham</c:v>
                </c:pt>
                <c:pt idx="3">
                  <c:v>Vale of Glamorgan</c:v>
                </c:pt>
                <c:pt idx="4">
                  <c:v>Torfaen</c:v>
                </c:pt>
                <c:pt idx="5">
                  <c:v>Swansea</c:v>
                </c:pt>
                <c:pt idx="6">
                  <c:v>Rhondda Cynon Taf</c:v>
                </c:pt>
                <c:pt idx="7">
                  <c:v>Powys</c:v>
                </c:pt>
                <c:pt idx="8">
                  <c:v>Pembrokeshire</c:v>
                </c:pt>
                <c:pt idx="9">
                  <c:v>Newport</c:v>
                </c:pt>
                <c:pt idx="10">
                  <c:v>Neath Port Talbot</c:v>
                </c:pt>
                <c:pt idx="11">
                  <c:v>Monmouthshire</c:v>
                </c:pt>
                <c:pt idx="12">
                  <c:v>Merthyr Tydfil</c:v>
                </c:pt>
                <c:pt idx="13">
                  <c:v>Isle of Anglesey</c:v>
                </c:pt>
                <c:pt idx="14">
                  <c:v>Gwynedd</c:v>
                </c:pt>
                <c:pt idx="15">
                  <c:v>Flintshire</c:v>
                </c:pt>
                <c:pt idx="16">
                  <c:v>Denbighshire</c:v>
                </c:pt>
                <c:pt idx="17">
                  <c:v>Conwy</c:v>
                </c:pt>
                <c:pt idx="18">
                  <c:v>Ceredigion</c:v>
                </c:pt>
                <c:pt idx="19">
                  <c:v>Carmarthenshire</c:v>
                </c:pt>
                <c:pt idx="20">
                  <c:v>Cardiff</c:v>
                </c:pt>
                <c:pt idx="21">
                  <c:v>Caerphilly</c:v>
                </c:pt>
                <c:pt idx="22">
                  <c:v>Bridgend</c:v>
                </c:pt>
                <c:pt idx="23">
                  <c:v>Blaenau Gwent</c:v>
                </c:pt>
              </c:strCache>
            </c:strRef>
          </c:cat>
          <c:val>
            <c:numRef>
              <c:f>'35 Wales ref 2011 Visual'!$D$7:$D$30</c:f>
              <c:numCache>
                <c:formatCode>0.0%</c:formatCode>
                <c:ptCount val="24"/>
                <c:pt idx="0">
                  <c:v>0.36510204883414854</c:v>
                </c:pt>
                <c:pt idx="2">
                  <c:v>0.35905930321453272</c:v>
                </c:pt>
                <c:pt idx="3">
                  <c:v>0.47459506232930426</c:v>
                </c:pt>
                <c:pt idx="4">
                  <c:v>0.37218866469605449</c:v>
                </c:pt>
                <c:pt idx="5">
                  <c:v>0.36793366718660209</c:v>
                </c:pt>
                <c:pt idx="6">
                  <c:v>0.2929128685226246</c:v>
                </c:pt>
                <c:pt idx="7">
                  <c:v>0.48355472770942604</c:v>
                </c:pt>
                <c:pt idx="8">
                  <c:v>0.45021037868162694</c:v>
                </c:pt>
                <c:pt idx="9">
                  <c:v>0.45239318874841539</c:v>
                </c:pt>
                <c:pt idx="10">
                  <c:v>0.26998245443025637</c:v>
                </c:pt>
                <c:pt idx="11">
                  <c:v>0.506379076628658</c:v>
                </c:pt>
                <c:pt idx="12">
                  <c:v>0.31142598733795601</c:v>
                </c:pt>
                <c:pt idx="13">
                  <c:v>0.35227220193241182</c:v>
                </c:pt>
                <c:pt idx="14">
                  <c:v>0.23970774581434851</c:v>
                </c:pt>
                <c:pt idx="15">
                  <c:v>0.37943700047014572</c:v>
                </c:pt>
                <c:pt idx="16">
                  <c:v>0.38151556686900334</c:v>
                </c:pt>
                <c:pt idx="17">
                  <c:v>0.40282203004096495</c:v>
                </c:pt>
                <c:pt idx="18">
                  <c:v>0.33760083477144121</c:v>
                </c:pt>
                <c:pt idx="19">
                  <c:v>0.29183898765879618</c:v>
                </c:pt>
                <c:pt idx="20">
                  <c:v>0.38612939919340938</c:v>
                </c:pt>
                <c:pt idx="21">
                  <c:v>0.35650264813725047</c:v>
                </c:pt>
                <c:pt idx="22">
                  <c:v>0.31892170982907142</c:v>
                </c:pt>
                <c:pt idx="23">
                  <c:v>0.31134319698288365</c:v>
                </c:pt>
              </c:numCache>
            </c:numRef>
          </c:val>
          <c:extLst>
            <c:ext xmlns:c16="http://schemas.microsoft.com/office/drawing/2014/chart" uri="{C3380CC4-5D6E-409C-BE32-E72D297353CC}">
              <c16:uniqueId val="{00000001-F886-4211-A8DE-63B9659DBB2F}"/>
            </c:ext>
          </c:extLst>
        </c:ser>
        <c:dLbls>
          <c:showLegendKey val="0"/>
          <c:showVal val="0"/>
          <c:showCatName val="0"/>
          <c:showSerName val="0"/>
          <c:showPercent val="0"/>
          <c:showBubbleSize val="0"/>
        </c:dLbls>
        <c:gapWidth val="40"/>
        <c:overlap val="100"/>
        <c:axId val="476448208"/>
        <c:axId val="475054160"/>
      </c:barChart>
      <c:catAx>
        <c:axId val="476448208"/>
        <c:scaling>
          <c:orientation val="minMax"/>
        </c:scaling>
        <c:delete val="0"/>
        <c:axPos val="l"/>
        <c:numFmt formatCode="General" sourceLinked="1"/>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475054160"/>
        <c:crosses val="autoZero"/>
        <c:auto val="1"/>
        <c:lblAlgn val="ctr"/>
        <c:lblOffset val="100"/>
        <c:noMultiLvlLbl val="0"/>
      </c:catAx>
      <c:valAx>
        <c:axId val="475054160"/>
        <c:scaling>
          <c:orientation val="minMax"/>
        </c:scaling>
        <c:delete val="0"/>
        <c:axPos val="b"/>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476448208"/>
        <c:crosses val="autoZero"/>
        <c:crossBetween val="between"/>
        <c:majorUnit val="0.5"/>
      </c:valAx>
      <c:spPr>
        <a:noFill/>
        <a:ln w="25400">
          <a:noFill/>
        </a:ln>
      </c:spPr>
    </c:plotArea>
    <c:legend>
      <c:legendPos val="r"/>
      <c:layout>
        <c:manualLayout>
          <c:xMode val="edge"/>
          <c:yMode val="edge"/>
          <c:x val="0.26940765184434934"/>
          <c:y val="7.5253986753460858E-2"/>
          <c:w val="0.70776591282254109"/>
          <c:h val="4.9484536082474231E-2"/>
        </c:manualLayout>
      </c:layout>
      <c:overlay val="0"/>
      <c:spPr>
        <a:noFill/>
        <a:ln w="25400">
          <a:noFill/>
        </a:ln>
      </c:spPr>
    </c:legend>
    <c:plotVisOnly val="1"/>
    <c:dispBlanksAs val="gap"/>
    <c:showDLblsOverMax val="0"/>
  </c:chart>
  <c:spPr>
    <a:noFill/>
    <a:ln w="9525">
      <a:noFill/>
    </a:ln>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162633106544433"/>
          <c:y val="0.13417146550711012"/>
          <c:w val="0.41013887270853583"/>
          <c:h val="0.81510439926352496"/>
        </c:manualLayout>
      </c:layout>
      <c:barChart>
        <c:barDir val="bar"/>
        <c:grouping val="percentStacked"/>
        <c:varyColors val="0"/>
        <c:ser>
          <c:idx val="0"/>
          <c:order val="0"/>
          <c:tx>
            <c:strRef>
              <c:f>'35 Wales ref 2011 Visual'!$C$6</c:f>
              <c:strCache>
                <c:ptCount val="1"/>
                <c:pt idx="0">
                  <c:v>% Yes vote</c:v>
                </c:pt>
              </c:strCache>
            </c:strRef>
          </c:tx>
          <c:spPr>
            <a:solidFill>
              <a:schemeClr val="accent1"/>
            </a:solidFill>
            <a:ln w="25400">
              <a:noFill/>
            </a:ln>
          </c:spPr>
          <c:invertIfNegative val="0"/>
          <c:cat>
            <c:strRef>
              <c:f>'35 Wales ref 2011 Visual'!$B$7:$B$30</c:f>
              <c:strCache>
                <c:ptCount val="24"/>
                <c:pt idx="0">
                  <c:v>Wales</c:v>
                </c:pt>
                <c:pt idx="2">
                  <c:v>Wrexham</c:v>
                </c:pt>
                <c:pt idx="3">
                  <c:v>Vale of Glamorgan</c:v>
                </c:pt>
                <c:pt idx="4">
                  <c:v>Torfaen</c:v>
                </c:pt>
                <c:pt idx="5">
                  <c:v>Swansea</c:v>
                </c:pt>
                <c:pt idx="6">
                  <c:v>Rhondda Cynon Taf</c:v>
                </c:pt>
                <c:pt idx="7">
                  <c:v>Powys</c:v>
                </c:pt>
                <c:pt idx="8">
                  <c:v>Pembrokeshire</c:v>
                </c:pt>
                <c:pt idx="9">
                  <c:v>Newport</c:v>
                </c:pt>
                <c:pt idx="10">
                  <c:v>Neath Port Talbot</c:v>
                </c:pt>
                <c:pt idx="11">
                  <c:v>Monmouthshire</c:v>
                </c:pt>
                <c:pt idx="12">
                  <c:v>Merthyr Tydfil</c:v>
                </c:pt>
                <c:pt idx="13">
                  <c:v>Isle of Anglesey</c:v>
                </c:pt>
                <c:pt idx="14">
                  <c:v>Gwynedd</c:v>
                </c:pt>
                <c:pt idx="15">
                  <c:v>Flintshire</c:v>
                </c:pt>
                <c:pt idx="16">
                  <c:v>Denbighshire</c:v>
                </c:pt>
                <c:pt idx="17">
                  <c:v>Conwy</c:v>
                </c:pt>
                <c:pt idx="18">
                  <c:v>Ceredigion</c:v>
                </c:pt>
                <c:pt idx="19">
                  <c:v>Carmarthenshire</c:v>
                </c:pt>
                <c:pt idx="20">
                  <c:v>Cardiff</c:v>
                </c:pt>
                <c:pt idx="21">
                  <c:v>Caerphilly</c:v>
                </c:pt>
                <c:pt idx="22">
                  <c:v>Bridgend</c:v>
                </c:pt>
                <c:pt idx="23">
                  <c:v>Blaenau Gwent</c:v>
                </c:pt>
              </c:strCache>
            </c:strRef>
          </c:cat>
          <c:val>
            <c:numRef>
              <c:f>'35 Wales ref 2011 Visual'!$C$7:$C$30</c:f>
              <c:numCache>
                <c:formatCode>0.0%</c:formatCode>
                <c:ptCount val="24"/>
                <c:pt idx="0">
                  <c:v>0.63489795116585146</c:v>
                </c:pt>
                <c:pt idx="2">
                  <c:v>0.64094069678546728</c:v>
                </c:pt>
                <c:pt idx="3">
                  <c:v>0.52540493767069574</c:v>
                </c:pt>
                <c:pt idx="4">
                  <c:v>0.62781133530394551</c:v>
                </c:pt>
                <c:pt idx="5">
                  <c:v>0.63206633281339797</c:v>
                </c:pt>
                <c:pt idx="6">
                  <c:v>0.70708713147737534</c:v>
                </c:pt>
                <c:pt idx="7">
                  <c:v>0.51644527229057402</c:v>
                </c:pt>
                <c:pt idx="8">
                  <c:v>0.54978962131837306</c:v>
                </c:pt>
                <c:pt idx="9">
                  <c:v>0.54760681125158461</c:v>
                </c:pt>
                <c:pt idx="10">
                  <c:v>0.73001754556974363</c:v>
                </c:pt>
                <c:pt idx="11">
                  <c:v>0.493620923371342</c:v>
                </c:pt>
                <c:pt idx="12">
                  <c:v>0.68857401266204399</c:v>
                </c:pt>
                <c:pt idx="13">
                  <c:v>0.64772779806758818</c:v>
                </c:pt>
                <c:pt idx="14">
                  <c:v>0.76029225418565149</c:v>
                </c:pt>
                <c:pt idx="15">
                  <c:v>0.62056299952985428</c:v>
                </c:pt>
                <c:pt idx="16">
                  <c:v>0.61848443313099666</c:v>
                </c:pt>
                <c:pt idx="17">
                  <c:v>0.59717796995903505</c:v>
                </c:pt>
                <c:pt idx="18">
                  <c:v>0.66239916522855879</c:v>
                </c:pt>
                <c:pt idx="19">
                  <c:v>0.70816101234120377</c:v>
                </c:pt>
                <c:pt idx="20">
                  <c:v>0.61387060080659062</c:v>
                </c:pt>
                <c:pt idx="21">
                  <c:v>0.64349735186274959</c:v>
                </c:pt>
                <c:pt idx="22">
                  <c:v>0.68107829017092858</c:v>
                </c:pt>
                <c:pt idx="23">
                  <c:v>0.68865680301711629</c:v>
                </c:pt>
              </c:numCache>
            </c:numRef>
          </c:val>
          <c:extLst>
            <c:ext xmlns:c16="http://schemas.microsoft.com/office/drawing/2014/chart" uri="{C3380CC4-5D6E-409C-BE32-E72D297353CC}">
              <c16:uniqueId val="{00000000-EDBF-410E-B7D7-CABF229EFBBD}"/>
            </c:ext>
          </c:extLst>
        </c:ser>
        <c:ser>
          <c:idx val="1"/>
          <c:order val="1"/>
          <c:tx>
            <c:strRef>
              <c:f>'35 Wales ref 2011 Visual'!$D$6</c:f>
              <c:strCache>
                <c:ptCount val="1"/>
                <c:pt idx="0">
                  <c:v>% No vote</c:v>
                </c:pt>
              </c:strCache>
            </c:strRef>
          </c:tx>
          <c:spPr>
            <a:solidFill>
              <a:schemeClr val="accent2"/>
            </a:solidFill>
            <a:ln w="25400">
              <a:noFill/>
            </a:ln>
          </c:spPr>
          <c:invertIfNegative val="0"/>
          <c:cat>
            <c:strRef>
              <c:f>'35 Wales ref 2011 Visual'!$B$7:$B$30</c:f>
              <c:strCache>
                <c:ptCount val="24"/>
                <c:pt idx="0">
                  <c:v>Wales</c:v>
                </c:pt>
                <c:pt idx="2">
                  <c:v>Wrexham</c:v>
                </c:pt>
                <c:pt idx="3">
                  <c:v>Vale of Glamorgan</c:v>
                </c:pt>
                <c:pt idx="4">
                  <c:v>Torfaen</c:v>
                </c:pt>
                <c:pt idx="5">
                  <c:v>Swansea</c:v>
                </c:pt>
                <c:pt idx="6">
                  <c:v>Rhondda Cynon Taf</c:v>
                </c:pt>
                <c:pt idx="7">
                  <c:v>Powys</c:v>
                </c:pt>
                <c:pt idx="8">
                  <c:v>Pembrokeshire</c:v>
                </c:pt>
                <c:pt idx="9">
                  <c:v>Newport</c:v>
                </c:pt>
                <c:pt idx="10">
                  <c:v>Neath Port Talbot</c:v>
                </c:pt>
                <c:pt idx="11">
                  <c:v>Monmouthshire</c:v>
                </c:pt>
                <c:pt idx="12">
                  <c:v>Merthyr Tydfil</c:v>
                </c:pt>
                <c:pt idx="13">
                  <c:v>Isle of Anglesey</c:v>
                </c:pt>
                <c:pt idx="14">
                  <c:v>Gwynedd</c:v>
                </c:pt>
                <c:pt idx="15">
                  <c:v>Flintshire</c:v>
                </c:pt>
                <c:pt idx="16">
                  <c:v>Denbighshire</c:v>
                </c:pt>
                <c:pt idx="17">
                  <c:v>Conwy</c:v>
                </c:pt>
                <c:pt idx="18">
                  <c:v>Ceredigion</c:v>
                </c:pt>
                <c:pt idx="19">
                  <c:v>Carmarthenshire</c:v>
                </c:pt>
                <c:pt idx="20">
                  <c:v>Cardiff</c:v>
                </c:pt>
                <c:pt idx="21">
                  <c:v>Caerphilly</c:v>
                </c:pt>
                <c:pt idx="22">
                  <c:v>Bridgend</c:v>
                </c:pt>
                <c:pt idx="23">
                  <c:v>Blaenau Gwent</c:v>
                </c:pt>
              </c:strCache>
            </c:strRef>
          </c:cat>
          <c:val>
            <c:numRef>
              <c:f>'35 Wales ref 2011 Visual'!$D$7:$D$30</c:f>
              <c:numCache>
                <c:formatCode>0.0%</c:formatCode>
                <c:ptCount val="24"/>
                <c:pt idx="0">
                  <c:v>0.36510204883414854</c:v>
                </c:pt>
                <c:pt idx="2">
                  <c:v>0.35905930321453272</c:v>
                </c:pt>
                <c:pt idx="3">
                  <c:v>0.47459506232930426</c:v>
                </c:pt>
                <c:pt idx="4">
                  <c:v>0.37218866469605449</c:v>
                </c:pt>
                <c:pt idx="5">
                  <c:v>0.36793366718660209</c:v>
                </c:pt>
                <c:pt idx="6">
                  <c:v>0.2929128685226246</c:v>
                </c:pt>
                <c:pt idx="7">
                  <c:v>0.48355472770942604</c:v>
                </c:pt>
                <c:pt idx="8">
                  <c:v>0.45021037868162694</c:v>
                </c:pt>
                <c:pt idx="9">
                  <c:v>0.45239318874841539</c:v>
                </c:pt>
                <c:pt idx="10">
                  <c:v>0.26998245443025637</c:v>
                </c:pt>
                <c:pt idx="11">
                  <c:v>0.506379076628658</c:v>
                </c:pt>
                <c:pt idx="12">
                  <c:v>0.31142598733795601</c:v>
                </c:pt>
                <c:pt idx="13">
                  <c:v>0.35227220193241182</c:v>
                </c:pt>
                <c:pt idx="14">
                  <c:v>0.23970774581434851</c:v>
                </c:pt>
                <c:pt idx="15">
                  <c:v>0.37943700047014572</c:v>
                </c:pt>
                <c:pt idx="16">
                  <c:v>0.38151556686900334</c:v>
                </c:pt>
                <c:pt idx="17">
                  <c:v>0.40282203004096495</c:v>
                </c:pt>
                <c:pt idx="18">
                  <c:v>0.33760083477144121</c:v>
                </c:pt>
                <c:pt idx="19">
                  <c:v>0.29183898765879618</c:v>
                </c:pt>
                <c:pt idx="20">
                  <c:v>0.38612939919340938</c:v>
                </c:pt>
                <c:pt idx="21">
                  <c:v>0.35650264813725047</c:v>
                </c:pt>
                <c:pt idx="22">
                  <c:v>0.31892170982907142</c:v>
                </c:pt>
                <c:pt idx="23">
                  <c:v>0.31134319698288365</c:v>
                </c:pt>
              </c:numCache>
            </c:numRef>
          </c:val>
          <c:extLst>
            <c:ext xmlns:c16="http://schemas.microsoft.com/office/drawing/2014/chart" uri="{C3380CC4-5D6E-409C-BE32-E72D297353CC}">
              <c16:uniqueId val="{00000001-EDBF-410E-B7D7-CABF229EFBBD}"/>
            </c:ext>
          </c:extLst>
        </c:ser>
        <c:dLbls>
          <c:showLegendKey val="0"/>
          <c:showVal val="0"/>
          <c:showCatName val="0"/>
          <c:showSerName val="0"/>
          <c:showPercent val="0"/>
          <c:showBubbleSize val="0"/>
        </c:dLbls>
        <c:gapWidth val="40"/>
        <c:overlap val="100"/>
        <c:axId val="475055728"/>
        <c:axId val="475056120"/>
      </c:barChart>
      <c:catAx>
        <c:axId val="475055728"/>
        <c:scaling>
          <c:orientation val="minMax"/>
        </c:scaling>
        <c:delete val="0"/>
        <c:axPos val="l"/>
        <c:numFmt formatCode="General" sourceLinked="1"/>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475056120"/>
        <c:crosses val="autoZero"/>
        <c:auto val="1"/>
        <c:lblAlgn val="ctr"/>
        <c:lblOffset val="100"/>
        <c:noMultiLvlLbl val="0"/>
      </c:catAx>
      <c:valAx>
        <c:axId val="475056120"/>
        <c:scaling>
          <c:orientation val="minMax"/>
        </c:scaling>
        <c:delete val="0"/>
        <c:axPos val="b"/>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475055728"/>
        <c:crosses val="autoZero"/>
        <c:crossBetween val="between"/>
        <c:majorUnit val="0.5"/>
      </c:valAx>
      <c:spPr>
        <a:noFill/>
        <a:ln w="25400">
          <a:noFill/>
        </a:ln>
      </c:spPr>
    </c:plotArea>
    <c:legend>
      <c:legendPos val="r"/>
      <c:layout>
        <c:manualLayout>
          <c:xMode val="edge"/>
          <c:yMode val="edge"/>
          <c:x val="0.26940765184434934"/>
          <c:y val="7.5253986753460858E-2"/>
          <c:w val="0.70776591282254109"/>
          <c:h val="4.9484536082474231E-2"/>
        </c:manualLayout>
      </c:layout>
      <c:overlay val="0"/>
      <c:spPr>
        <a:noFill/>
        <a:ln w="25400">
          <a:noFill/>
        </a:ln>
      </c:spPr>
    </c:legend>
    <c:plotVisOnly val="1"/>
    <c:dispBlanksAs val="gap"/>
    <c:showDLblsOverMax val="0"/>
  </c:chart>
  <c:spPr>
    <a:noFill/>
    <a:ln w="9525">
      <a:noFill/>
    </a:ln>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211108105157744E-2"/>
          <c:y val="5.5288803185316121E-2"/>
          <c:w val="0.47800099918665234"/>
          <c:h val="0.81503669184209104"/>
        </c:manualLayout>
      </c:layout>
      <c:barChart>
        <c:barDir val="col"/>
        <c:grouping val="stacked"/>
        <c:varyColors val="0"/>
        <c:ser>
          <c:idx val="0"/>
          <c:order val="0"/>
          <c:tx>
            <c:strRef>
              <c:f>'Seat Data'!$R$27</c:f>
              <c:strCache>
                <c:ptCount val="1"/>
                <c:pt idx="0">
                  <c:v>CON</c:v>
                </c:pt>
              </c:strCache>
            </c:strRef>
          </c:tx>
          <c:spPr>
            <a:solidFill>
              <a:srgbClr val="00539F"/>
            </a:solidFill>
            <a:ln w="25400">
              <a:noFill/>
            </a:ln>
          </c:spPr>
          <c:invertIfNegative val="0"/>
          <c:cat>
            <c:numRef>
              <c:f>'Seat Data'!$Q$28:$Q$31</c:f>
              <c:numCache>
                <c:formatCode>#,##0_);\(#,##0\)</c:formatCode>
                <c:ptCount val="4"/>
                <c:pt idx="0">
                  <c:v>2010</c:v>
                </c:pt>
                <c:pt idx="1">
                  <c:v>2015</c:v>
                </c:pt>
                <c:pt idx="2">
                  <c:v>2017</c:v>
                </c:pt>
                <c:pt idx="3">
                  <c:v>2019</c:v>
                </c:pt>
              </c:numCache>
            </c:numRef>
          </c:cat>
          <c:val>
            <c:numRef>
              <c:f>'Seat Data'!$R$28:$R$31</c:f>
              <c:numCache>
                <c:formatCode>#,##0_);\(#,##0\)</c:formatCode>
                <c:ptCount val="4"/>
                <c:pt idx="0">
                  <c:v>306</c:v>
                </c:pt>
                <c:pt idx="1">
                  <c:v>330</c:v>
                </c:pt>
                <c:pt idx="2">
                  <c:v>317</c:v>
                </c:pt>
                <c:pt idx="3">
                  <c:v>365</c:v>
                </c:pt>
              </c:numCache>
            </c:numRef>
          </c:val>
          <c:extLst>
            <c:ext xmlns:c16="http://schemas.microsoft.com/office/drawing/2014/chart" uri="{C3380CC4-5D6E-409C-BE32-E72D297353CC}">
              <c16:uniqueId val="{00000000-CBC1-4A24-9D09-8281E53FCA06}"/>
            </c:ext>
          </c:extLst>
        </c:ser>
        <c:ser>
          <c:idx val="1"/>
          <c:order val="1"/>
          <c:tx>
            <c:strRef>
              <c:f>'Seat Data'!$S$27</c:f>
              <c:strCache>
                <c:ptCount val="1"/>
                <c:pt idx="0">
                  <c:v>LD</c:v>
                </c:pt>
              </c:strCache>
            </c:strRef>
          </c:tx>
          <c:spPr>
            <a:solidFill>
              <a:srgbClr val="FAA01A"/>
            </a:solidFill>
            <a:ln w="25400">
              <a:noFill/>
            </a:ln>
          </c:spPr>
          <c:invertIfNegative val="0"/>
          <c:cat>
            <c:numRef>
              <c:f>'Seat Data'!$Q$28:$Q$31</c:f>
              <c:numCache>
                <c:formatCode>#,##0_);\(#,##0\)</c:formatCode>
                <c:ptCount val="4"/>
                <c:pt idx="0">
                  <c:v>2010</c:v>
                </c:pt>
                <c:pt idx="1">
                  <c:v>2015</c:v>
                </c:pt>
                <c:pt idx="2">
                  <c:v>2017</c:v>
                </c:pt>
                <c:pt idx="3">
                  <c:v>2019</c:v>
                </c:pt>
              </c:numCache>
            </c:numRef>
          </c:cat>
          <c:val>
            <c:numRef>
              <c:f>'Seat Data'!$S$28:$S$31</c:f>
              <c:numCache>
                <c:formatCode>#,##0_);\(#,##0\)</c:formatCode>
                <c:ptCount val="4"/>
                <c:pt idx="0">
                  <c:v>57</c:v>
                </c:pt>
                <c:pt idx="1">
                  <c:v>8</c:v>
                </c:pt>
                <c:pt idx="2">
                  <c:v>12</c:v>
                </c:pt>
                <c:pt idx="3">
                  <c:v>11</c:v>
                </c:pt>
              </c:numCache>
            </c:numRef>
          </c:val>
          <c:extLst>
            <c:ext xmlns:c16="http://schemas.microsoft.com/office/drawing/2014/chart" uri="{C3380CC4-5D6E-409C-BE32-E72D297353CC}">
              <c16:uniqueId val="{00000001-CBC1-4A24-9D09-8281E53FCA06}"/>
            </c:ext>
          </c:extLst>
        </c:ser>
        <c:ser>
          <c:idx val="2"/>
          <c:order val="2"/>
          <c:tx>
            <c:strRef>
              <c:f>'Seat Data'!$T$27</c:f>
              <c:strCache>
                <c:ptCount val="1"/>
                <c:pt idx="0">
                  <c:v>LAB</c:v>
                </c:pt>
              </c:strCache>
            </c:strRef>
          </c:tx>
          <c:spPr>
            <a:solidFill>
              <a:srgbClr val="D50000"/>
            </a:solidFill>
            <a:ln w="25400">
              <a:noFill/>
            </a:ln>
          </c:spPr>
          <c:invertIfNegative val="0"/>
          <c:cat>
            <c:numRef>
              <c:f>'Seat Data'!$Q$28:$Q$31</c:f>
              <c:numCache>
                <c:formatCode>#,##0_);\(#,##0\)</c:formatCode>
                <c:ptCount val="4"/>
                <c:pt idx="0">
                  <c:v>2010</c:v>
                </c:pt>
                <c:pt idx="1">
                  <c:v>2015</c:v>
                </c:pt>
                <c:pt idx="2">
                  <c:v>2017</c:v>
                </c:pt>
                <c:pt idx="3">
                  <c:v>2019</c:v>
                </c:pt>
              </c:numCache>
            </c:numRef>
          </c:cat>
          <c:val>
            <c:numRef>
              <c:f>'Seat Data'!$T$28:$T$31</c:f>
              <c:numCache>
                <c:formatCode>#,##0_);\(#,##0\)</c:formatCode>
                <c:ptCount val="4"/>
                <c:pt idx="0">
                  <c:v>258</c:v>
                </c:pt>
                <c:pt idx="1">
                  <c:v>232</c:v>
                </c:pt>
                <c:pt idx="2">
                  <c:v>262</c:v>
                </c:pt>
                <c:pt idx="3">
                  <c:v>202</c:v>
                </c:pt>
              </c:numCache>
            </c:numRef>
          </c:val>
          <c:extLst>
            <c:ext xmlns:c16="http://schemas.microsoft.com/office/drawing/2014/chart" uri="{C3380CC4-5D6E-409C-BE32-E72D297353CC}">
              <c16:uniqueId val="{00000002-CBC1-4A24-9D09-8281E53FCA06}"/>
            </c:ext>
          </c:extLst>
        </c:ser>
        <c:ser>
          <c:idx val="3"/>
          <c:order val="3"/>
          <c:tx>
            <c:strRef>
              <c:f>'Seat Data'!$U$27</c:f>
              <c:strCache>
                <c:ptCount val="1"/>
                <c:pt idx="0">
                  <c:v>SNP</c:v>
                </c:pt>
              </c:strCache>
            </c:strRef>
          </c:tx>
          <c:spPr>
            <a:solidFill>
              <a:srgbClr val="FFF685"/>
            </a:solidFill>
            <a:ln>
              <a:noFill/>
            </a:ln>
          </c:spPr>
          <c:invertIfNegative val="0"/>
          <c:cat>
            <c:numRef>
              <c:f>'Seat Data'!$Q$28:$Q$31</c:f>
              <c:numCache>
                <c:formatCode>#,##0_);\(#,##0\)</c:formatCode>
                <c:ptCount val="4"/>
                <c:pt idx="0">
                  <c:v>2010</c:v>
                </c:pt>
                <c:pt idx="1">
                  <c:v>2015</c:v>
                </c:pt>
                <c:pt idx="2">
                  <c:v>2017</c:v>
                </c:pt>
                <c:pt idx="3">
                  <c:v>2019</c:v>
                </c:pt>
              </c:numCache>
            </c:numRef>
          </c:cat>
          <c:val>
            <c:numRef>
              <c:f>'Seat Data'!$U$28:$U$31</c:f>
              <c:numCache>
                <c:formatCode>#,##0_);\(#,##0\)</c:formatCode>
                <c:ptCount val="4"/>
                <c:pt idx="0">
                  <c:v>6</c:v>
                </c:pt>
                <c:pt idx="1">
                  <c:v>56</c:v>
                </c:pt>
                <c:pt idx="2">
                  <c:v>35</c:v>
                </c:pt>
                <c:pt idx="3">
                  <c:v>48</c:v>
                </c:pt>
              </c:numCache>
            </c:numRef>
          </c:val>
          <c:extLst>
            <c:ext xmlns:c16="http://schemas.microsoft.com/office/drawing/2014/chart" uri="{C3380CC4-5D6E-409C-BE32-E72D297353CC}">
              <c16:uniqueId val="{00000003-CBC1-4A24-9D09-8281E53FCA06}"/>
            </c:ext>
          </c:extLst>
        </c:ser>
        <c:ser>
          <c:idx val="4"/>
          <c:order val="4"/>
          <c:tx>
            <c:strRef>
              <c:f>'Seat Data'!$V$27</c:f>
              <c:strCache>
                <c:ptCount val="1"/>
                <c:pt idx="0">
                  <c:v>Other</c:v>
                </c:pt>
              </c:strCache>
            </c:strRef>
          </c:tx>
          <c:spPr>
            <a:solidFill>
              <a:srgbClr val="909090"/>
            </a:solidFill>
          </c:spPr>
          <c:invertIfNegative val="0"/>
          <c:cat>
            <c:numRef>
              <c:f>'Seat Data'!$Q$28:$Q$31</c:f>
              <c:numCache>
                <c:formatCode>#,##0_);\(#,##0\)</c:formatCode>
                <c:ptCount val="4"/>
                <c:pt idx="0">
                  <c:v>2010</c:v>
                </c:pt>
                <c:pt idx="1">
                  <c:v>2015</c:v>
                </c:pt>
                <c:pt idx="2">
                  <c:v>2017</c:v>
                </c:pt>
                <c:pt idx="3">
                  <c:v>2019</c:v>
                </c:pt>
              </c:numCache>
            </c:numRef>
          </c:cat>
          <c:val>
            <c:numRef>
              <c:f>'Seat Data'!$V$28:$V$31</c:f>
              <c:numCache>
                <c:formatCode>#,##0_);\(#,##0\)</c:formatCode>
                <c:ptCount val="4"/>
                <c:pt idx="0">
                  <c:v>23</c:v>
                </c:pt>
                <c:pt idx="1">
                  <c:v>24</c:v>
                </c:pt>
                <c:pt idx="2">
                  <c:v>24</c:v>
                </c:pt>
                <c:pt idx="3">
                  <c:v>24</c:v>
                </c:pt>
              </c:numCache>
            </c:numRef>
          </c:val>
          <c:extLst>
            <c:ext xmlns:c16="http://schemas.microsoft.com/office/drawing/2014/chart" uri="{C3380CC4-5D6E-409C-BE32-E72D297353CC}">
              <c16:uniqueId val="{00000004-CBC1-4A24-9D09-8281E53FCA06}"/>
            </c:ext>
          </c:extLst>
        </c:ser>
        <c:dLbls>
          <c:showLegendKey val="0"/>
          <c:showVal val="0"/>
          <c:showCatName val="0"/>
          <c:showSerName val="0"/>
          <c:showPercent val="0"/>
          <c:showBubbleSize val="0"/>
        </c:dLbls>
        <c:gapWidth val="90"/>
        <c:overlap val="100"/>
        <c:axId val="462611976"/>
        <c:axId val="462612368"/>
      </c:barChart>
      <c:catAx>
        <c:axId val="462611976"/>
        <c:scaling>
          <c:orientation val="minMax"/>
        </c:scaling>
        <c:delete val="0"/>
        <c:axPos val="b"/>
        <c:numFmt formatCode="General" sourceLinked="0"/>
        <c:majorTickMark val="none"/>
        <c:minorTickMark val="none"/>
        <c:tickLblPos val="low"/>
        <c:spPr>
          <a:ln w="3175">
            <a:solidFill>
              <a:srgbClr val="000000"/>
            </a:solidFill>
            <a:prstDash val="solid"/>
          </a:ln>
        </c:spPr>
        <c:txPr>
          <a:bodyPr rot="-5400000" vert="horz"/>
          <a:lstStyle/>
          <a:p>
            <a:pPr>
              <a:defRPr/>
            </a:pPr>
            <a:endParaRPr lang="en-US"/>
          </a:p>
        </c:txPr>
        <c:crossAx val="462612368"/>
        <c:crosses val="autoZero"/>
        <c:auto val="1"/>
        <c:lblAlgn val="ctr"/>
        <c:lblOffset val="100"/>
        <c:tickLblSkip val="1"/>
        <c:tickMarkSkip val="1"/>
        <c:noMultiLvlLbl val="0"/>
      </c:catAx>
      <c:valAx>
        <c:axId val="462612368"/>
        <c:scaling>
          <c:orientation val="minMax"/>
          <c:max val="720"/>
          <c:min val="0"/>
        </c:scaling>
        <c:delete val="0"/>
        <c:axPos val="l"/>
        <c:numFmt formatCode="#,##0_);\(#,##0\)" sourceLinked="1"/>
        <c:majorTickMark val="out"/>
        <c:minorTickMark val="none"/>
        <c:tickLblPos val="nextTo"/>
        <c:spPr>
          <a:ln w="3175">
            <a:solidFill>
              <a:srgbClr val="000000"/>
            </a:solidFill>
            <a:prstDash val="solid"/>
          </a:ln>
        </c:spPr>
        <c:txPr>
          <a:bodyPr rot="0" vert="horz"/>
          <a:lstStyle/>
          <a:p>
            <a:pPr>
              <a:defRPr/>
            </a:pPr>
            <a:endParaRPr lang="en-US"/>
          </a:p>
        </c:txPr>
        <c:crossAx val="462611976"/>
        <c:crosses val="autoZero"/>
        <c:crossBetween val="between"/>
        <c:majorUnit val="100"/>
        <c:minorUnit val="20"/>
      </c:valAx>
      <c:spPr>
        <a:noFill/>
        <a:ln w="25400">
          <a:noFill/>
        </a:ln>
      </c:spPr>
    </c:plotArea>
    <c:legend>
      <c:legendPos val="r"/>
      <c:layout>
        <c:manualLayout>
          <c:xMode val="edge"/>
          <c:yMode val="edge"/>
          <c:x val="0.67816453977735536"/>
          <c:y val="0.23595584259832689"/>
          <c:w val="0.29885238483120646"/>
          <c:h val="0.36704237812970009"/>
        </c:manualLayout>
      </c:layout>
      <c:overlay val="0"/>
      <c:spPr>
        <a:solidFill>
          <a:srgbClr val="FFFFFF"/>
        </a:solidFill>
        <a:ln w="25400">
          <a:noFill/>
        </a:ln>
      </c:spPr>
    </c:legend>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056" l="0.70000000000000051" r="0.70000000000000051" t="0.75000000000000056" header="0.30000000000000027" footer="0.30000000000000027"/>
    <c:pageSetup/>
  </c:printSettings>
  <c:userShapes r:id="rId1"/>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b="1" cap="none" baseline="0"/>
              <a:t>Alternative Vote referendum in 2011</a:t>
            </a:r>
          </a:p>
        </c:rich>
      </c:tx>
      <c:layout>
        <c:manualLayout>
          <c:xMode val="edge"/>
          <c:yMode val="edge"/>
          <c:x val="0.22264540600136576"/>
          <c:y val="2.225346831646044E-2"/>
        </c:manualLayout>
      </c:layout>
      <c:overlay val="0"/>
      <c:spPr>
        <a:noFill/>
        <a:ln w="25400">
          <a:noFill/>
        </a:ln>
      </c:spPr>
    </c:title>
    <c:autoTitleDeleted val="0"/>
    <c:plotArea>
      <c:layout>
        <c:manualLayout>
          <c:layoutTarget val="inner"/>
          <c:xMode val="edge"/>
          <c:yMode val="edge"/>
          <c:x val="0.36459454416539167"/>
          <c:y val="0.27641500694766102"/>
          <c:w val="0.40863081688248687"/>
          <c:h val="0.60079512119808554"/>
        </c:manualLayout>
      </c:layout>
      <c:barChart>
        <c:barDir val="bar"/>
        <c:grouping val="percentStacked"/>
        <c:varyColors val="0"/>
        <c:ser>
          <c:idx val="0"/>
          <c:order val="0"/>
          <c:tx>
            <c:strRef>
              <c:f>'36 AV ref Visual'!$C$8</c:f>
              <c:strCache>
                <c:ptCount val="1"/>
                <c:pt idx="0">
                  <c:v>% Yes vote</c:v>
                </c:pt>
              </c:strCache>
            </c:strRef>
          </c:tx>
          <c:spPr>
            <a:solidFill>
              <a:schemeClr val="accent1"/>
            </a:solidFill>
            <a:ln w="25400">
              <a:noFill/>
            </a:ln>
          </c:spPr>
          <c:invertIfNegative val="0"/>
          <c:cat>
            <c:strRef>
              <c:f>'36 AV ref Visual'!$B$9:$B$14</c:f>
              <c:strCache>
                <c:ptCount val="6"/>
                <c:pt idx="0">
                  <c:v>UK Total</c:v>
                </c:pt>
                <c:pt idx="2">
                  <c:v>Northern Ireland</c:v>
                </c:pt>
                <c:pt idx="3">
                  <c:v>Scotland</c:v>
                </c:pt>
                <c:pt idx="4">
                  <c:v>Wales</c:v>
                </c:pt>
                <c:pt idx="5">
                  <c:v>England</c:v>
                </c:pt>
              </c:strCache>
            </c:strRef>
          </c:cat>
          <c:val>
            <c:numRef>
              <c:f>'36 AV ref Visual'!$C$9:$C$14</c:f>
              <c:numCache>
                <c:formatCode>0.0%</c:formatCode>
                <c:ptCount val="6"/>
                <c:pt idx="0">
                  <c:v>0.32102127077862413</c:v>
                </c:pt>
                <c:pt idx="2">
                  <c:v>0.43682475211319532</c:v>
                </c:pt>
                <c:pt idx="3">
                  <c:v>0.36359890137877776</c:v>
                </c:pt>
                <c:pt idx="4">
                  <c:v>0.34550727654260155</c:v>
                </c:pt>
                <c:pt idx="5">
                  <c:v>0.30927165504248583</c:v>
                </c:pt>
              </c:numCache>
            </c:numRef>
          </c:val>
          <c:extLst>
            <c:ext xmlns:c16="http://schemas.microsoft.com/office/drawing/2014/chart" uri="{C3380CC4-5D6E-409C-BE32-E72D297353CC}">
              <c16:uniqueId val="{00000000-CF66-4C1C-AFAE-EDB0C7488401}"/>
            </c:ext>
          </c:extLst>
        </c:ser>
        <c:ser>
          <c:idx val="1"/>
          <c:order val="1"/>
          <c:tx>
            <c:strRef>
              <c:f>'36 AV ref Visual'!$D$8</c:f>
              <c:strCache>
                <c:ptCount val="1"/>
                <c:pt idx="0">
                  <c:v>% No vote</c:v>
                </c:pt>
              </c:strCache>
            </c:strRef>
          </c:tx>
          <c:spPr>
            <a:solidFill>
              <a:schemeClr val="accent2"/>
            </a:solidFill>
            <a:ln w="25400">
              <a:noFill/>
            </a:ln>
          </c:spPr>
          <c:invertIfNegative val="0"/>
          <c:cat>
            <c:strRef>
              <c:f>'36 AV ref Visual'!$B$9:$B$14</c:f>
              <c:strCache>
                <c:ptCount val="6"/>
                <c:pt idx="0">
                  <c:v>UK Total</c:v>
                </c:pt>
                <c:pt idx="2">
                  <c:v>Northern Ireland</c:v>
                </c:pt>
                <c:pt idx="3">
                  <c:v>Scotland</c:v>
                </c:pt>
                <c:pt idx="4">
                  <c:v>Wales</c:v>
                </c:pt>
                <c:pt idx="5">
                  <c:v>England</c:v>
                </c:pt>
              </c:strCache>
            </c:strRef>
          </c:cat>
          <c:val>
            <c:numRef>
              <c:f>'36 AV ref Visual'!$D$9:$D$14</c:f>
              <c:numCache>
                <c:formatCode>0.0%</c:formatCode>
                <c:ptCount val="6"/>
                <c:pt idx="0">
                  <c:v>0.67897872922137581</c:v>
                </c:pt>
                <c:pt idx="2">
                  <c:v>0.56317524788680462</c:v>
                </c:pt>
                <c:pt idx="3">
                  <c:v>0.63640109862122218</c:v>
                </c:pt>
                <c:pt idx="4">
                  <c:v>0.65449272345739851</c:v>
                </c:pt>
                <c:pt idx="5">
                  <c:v>0.69072834495751423</c:v>
                </c:pt>
              </c:numCache>
            </c:numRef>
          </c:val>
          <c:extLst>
            <c:ext xmlns:c16="http://schemas.microsoft.com/office/drawing/2014/chart" uri="{C3380CC4-5D6E-409C-BE32-E72D297353CC}">
              <c16:uniqueId val="{00000001-CF66-4C1C-AFAE-EDB0C7488401}"/>
            </c:ext>
          </c:extLst>
        </c:ser>
        <c:dLbls>
          <c:showLegendKey val="0"/>
          <c:showVal val="0"/>
          <c:showCatName val="0"/>
          <c:showSerName val="0"/>
          <c:showPercent val="0"/>
          <c:showBubbleSize val="0"/>
        </c:dLbls>
        <c:gapWidth val="123"/>
        <c:overlap val="100"/>
        <c:axId val="475056512"/>
        <c:axId val="475056904"/>
      </c:barChart>
      <c:catAx>
        <c:axId val="475056512"/>
        <c:scaling>
          <c:orientation val="minMax"/>
        </c:scaling>
        <c:delete val="0"/>
        <c:axPos val="l"/>
        <c:numFmt formatCode="General" sourceLinked="1"/>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475056904"/>
        <c:crosses val="autoZero"/>
        <c:auto val="1"/>
        <c:lblAlgn val="ctr"/>
        <c:lblOffset val="100"/>
        <c:noMultiLvlLbl val="0"/>
      </c:catAx>
      <c:valAx>
        <c:axId val="475056904"/>
        <c:scaling>
          <c:orientation val="minMax"/>
        </c:scaling>
        <c:delete val="0"/>
        <c:axPos val="b"/>
        <c:numFmt formatCode="0%" sourceLinked="1"/>
        <c:majorTickMark val="out"/>
        <c:minorTickMark val="none"/>
        <c:tickLblPos val="nextTo"/>
        <c:spPr>
          <a:noFill/>
          <a:ln>
            <a:solidFill>
              <a:schemeClr val="tx1"/>
            </a:solidFill>
          </a:ln>
          <a:effectLst/>
        </c:spPr>
        <c:txPr>
          <a:bodyPr rot="0" vert="horz"/>
          <a:lstStyle/>
          <a:p>
            <a:pPr>
              <a:defRPr>
                <a:solidFill>
                  <a:schemeClr val="tx1">
                    <a:lumMod val="75000"/>
                    <a:lumOff val="25000"/>
                  </a:schemeClr>
                </a:solidFill>
              </a:defRPr>
            </a:pPr>
            <a:endParaRPr lang="en-US"/>
          </a:p>
        </c:txPr>
        <c:crossAx val="475056512"/>
        <c:crosses val="autoZero"/>
        <c:crossBetween val="between"/>
        <c:majorUnit val="0.5"/>
      </c:valAx>
      <c:spPr>
        <a:noFill/>
        <a:ln w="25400">
          <a:noFill/>
        </a:ln>
      </c:spPr>
    </c:plotArea>
    <c:legend>
      <c:legendPos val="r"/>
      <c:layout>
        <c:manualLayout>
          <c:xMode val="edge"/>
          <c:yMode val="edge"/>
          <c:x val="5.0429491768074451E-2"/>
          <c:y val="0.17843119610048747"/>
          <c:w val="0.89889564752273277"/>
          <c:h val="7.0588235294117646E-2"/>
        </c:manualLayout>
      </c:layout>
      <c:overlay val="0"/>
      <c:spPr>
        <a:noFill/>
        <a:ln w="25400">
          <a:noFill/>
        </a:ln>
      </c:spPr>
      <c:txPr>
        <a:bodyPr/>
        <a:lstStyle/>
        <a:p>
          <a:pPr>
            <a:defRPr sz="1000"/>
          </a:pPr>
          <a:endParaRPr lang="en-US"/>
        </a:p>
      </c:txPr>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LT Std 45 Light"/>
                <a:ea typeface="Frutiger LT Std 45 Light"/>
                <a:cs typeface="Frutiger LT Std 45 Light"/>
              </a:defRPr>
            </a:pPr>
            <a:r>
              <a:rPr lang="en-GB"/>
              <a:t>Alternative Vote referendum in 2011 (%)</a:t>
            </a:r>
          </a:p>
        </c:rich>
      </c:tx>
      <c:layout>
        <c:manualLayout>
          <c:xMode val="edge"/>
          <c:yMode val="edge"/>
          <c:x val="0.22974412558619747"/>
          <c:y val="7.1273737841593332E-3"/>
        </c:manualLayout>
      </c:layout>
      <c:overlay val="0"/>
      <c:spPr>
        <a:noFill/>
        <a:ln w="25400">
          <a:noFill/>
        </a:ln>
      </c:spPr>
    </c:title>
    <c:autoTitleDeleted val="0"/>
    <c:plotArea>
      <c:layout>
        <c:manualLayout>
          <c:layoutTarget val="inner"/>
          <c:xMode val="edge"/>
          <c:yMode val="edge"/>
          <c:x val="0.45306211723534556"/>
          <c:y val="0.3239678863671453"/>
          <c:w val="0.40863081688248687"/>
          <c:h val="0.53330060213061592"/>
        </c:manualLayout>
      </c:layout>
      <c:barChart>
        <c:barDir val="bar"/>
        <c:grouping val="percentStacked"/>
        <c:varyColors val="0"/>
        <c:ser>
          <c:idx val="0"/>
          <c:order val="0"/>
          <c:tx>
            <c:strRef>
              <c:f>'36 AV ref Visual'!$C$8</c:f>
              <c:strCache>
                <c:ptCount val="1"/>
                <c:pt idx="0">
                  <c:v>% Yes vote</c:v>
                </c:pt>
              </c:strCache>
            </c:strRef>
          </c:tx>
          <c:spPr>
            <a:solidFill>
              <a:srgbClr val="008000"/>
            </a:solidFill>
            <a:ln w="25400">
              <a:noFill/>
            </a:ln>
          </c:spPr>
          <c:invertIfNegative val="0"/>
          <c:cat>
            <c:strRef>
              <c:f>'36 AV ref Visual'!$B$9:$B$14</c:f>
              <c:strCache>
                <c:ptCount val="6"/>
                <c:pt idx="0">
                  <c:v>UK Total</c:v>
                </c:pt>
                <c:pt idx="2">
                  <c:v>Northern Ireland</c:v>
                </c:pt>
                <c:pt idx="3">
                  <c:v>Scotland</c:v>
                </c:pt>
                <c:pt idx="4">
                  <c:v>Wales</c:v>
                </c:pt>
                <c:pt idx="5">
                  <c:v>England</c:v>
                </c:pt>
              </c:strCache>
            </c:strRef>
          </c:cat>
          <c:val>
            <c:numRef>
              <c:f>'36 AV ref Visual'!$C$9:$C$14</c:f>
              <c:numCache>
                <c:formatCode>0.0%</c:formatCode>
                <c:ptCount val="6"/>
                <c:pt idx="0">
                  <c:v>0.32102127077862413</c:v>
                </c:pt>
                <c:pt idx="2">
                  <c:v>0.43682475211319532</c:v>
                </c:pt>
                <c:pt idx="3">
                  <c:v>0.36359890137877776</c:v>
                </c:pt>
                <c:pt idx="4">
                  <c:v>0.34550727654260155</c:v>
                </c:pt>
                <c:pt idx="5">
                  <c:v>0.30927165504248583</c:v>
                </c:pt>
              </c:numCache>
            </c:numRef>
          </c:val>
          <c:extLst>
            <c:ext xmlns:c16="http://schemas.microsoft.com/office/drawing/2014/chart" uri="{C3380CC4-5D6E-409C-BE32-E72D297353CC}">
              <c16:uniqueId val="{00000000-330D-4AEC-B061-6B99231197A7}"/>
            </c:ext>
          </c:extLst>
        </c:ser>
        <c:ser>
          <c:idx val="1"/>
          <c:order val="1"/>
          <c:tx>
            <c:strRef>
              <c:f>'36 AV ref Visual'!$D$8</c:f>
              <c:strCache>
                <c:ptCount val="1"/>
                <c:pt idx="0">
                  <c:v>% No vote</c:v>
                </c:pt>
              </c:strCache>
            </c:strRef>
          </c:tx>
          <c:spPr>
            <a:solidFill>
              <a:schemeClr val="accent3">
                <a:lumMod val="60000"/>
                <a:lumOff val="40000"/>
              </a:schemeClr>
            </a:solidFill>
            <a:ln w="25400">
              <a:noFill/>
            </a:ln>
          </c:spPr>
          <c:invertIfNegative val="0"/>
          <c:cat>
            <c:strRef>
              <c:f>'36 AV ref Visual'!$B$9:$B$14</c:f>
              <c:strCache>
                <c:ptCount val="6"/>
                <c:pt idx="0">
                  <c:v>UK Total</c:v>
                </c:pt>
                <c:pt idx="2">
                  <c:v>Northern Ireland</c:v>
                </c:pt>
                <c:pt idx="3">
                  <c:v>Scotland</c:v>
                </c:pt>
                <c:pt idx="4">
                  <c:v>Wales</c:v>
                </c:pt>
                <c:pt idx="5">
                  <c:v>England</c:v>
                </c:pt>
              </c:strCache>
            </c:strRef>
          </c:cat>
          <c:val>
            <c:numRef>
              <c:f>'36 AV ref Visual'!$D$9:$D$14</c:f>
              <c:numCache>
                <c:formatCode>0.0%</c:formatCode>
                <c:ptCount val="6"/>
                <c:pt idx="0">
                  <c:v>0.67897872922137581</c:v>
                </c:pt>
                <c:pt idx="2">
                  <c:v>0.56317524788680462</c:v>
                </c:pt>
                <c:pt idx="3">
                  <c:v>0.63640109862122218</c:v>
                </c:pt>
                <c:pt idx="4">
                  <c:v>0.65449272345739851</c:v>
                </c:pt>
                <c:pt idx="5">
                  <c:v>0.69072834495751423</c:v>
                </c:pt>
              </c:numCache>
            </c:numRef>
          </c:val>
          <c:extLst>
            <c:ext xmlns:c16="http://schemas.microsoft.com/office/drawing/2014/chart" uri="{C3380CC4-5D6E-409C-BE32-E72D297353CC}">
              <c16:uniqueId val="{00000001-330D-4AEC-B061-6B99231197A7}"/>
            </c:ext>
          </c:extLst>
        </c:ser>
        <c:dLbls>
          <c:showLegendKey val="0"/>
          <c:showVal val="0"/>
          <c:showCatName val="0"/>
          <c:showSerName val="0"/>
          <c:showPercent val="0"/>
          <c:showBubbleSize val="0"/>
        </c:dLbls>
        <c:gapWidth val="263"/>
        <c:overlap val="100"/>
        <c:axId val="475057688"/>
        <c:axId val="475058080"/>
      </c:barChart>
      <c:catAx>
        <c:axId val="475057688"/>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75058080"/>
        <c:crosses val="autoZero"/>
        <c:auto val="1"/>
        <c:lblAlgn val="ctr"/>
        <c:lblOffset val="100"/>
        <c:noMultiLvlLbl val="0"/>
      </c:catAx>
      <c:valAx>
        <c:axId val="475058080"/>
        <c:scaling>
          <c:orientation val="minMax"/>
        </c:scaling>
        <c:delete val="0"/>
        <c:axPos val="b"/>
        <c:numFmt formatCode="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Calibri"/>
                <a:ea typeface="Calibri"/>
                <a:cs typeface="Calibri"/>
              </a:defRPr>
            </a:pPr>
            <a:endParaRPr lang="en-US"/>
          </a:p>
        </c:txPr>
        <c:crossAx val="475057688"/>
        <c:crosses val="autoZero"/>
        <c:crossBetween val="between"/>
        <c:majorUnit val="0.5"/>
      </c:valAx>
      <c:spPr>
        <a:noFill/>
        <a:ln w="25400">
          <a:noFill/>
        </a:ln>
      </c:spPr>
    </c:plotArea>
    <c:legend>
      <c:legendPos val="r"/>
      <c:layout>
        <c:manualLayout>
          <c:xMode val="edge"/>
          <c:yMode val="edge"/>
          <c:x val="0.25592466818424947"/>
          <c:y val="0.21176470588235294"/>
          <c:w val="0.67772661118781952"/>
          <c:h val="7.0588235294117646E-2"/>
        </c:manualLayout>
      </c:layout>
      <c:overlay val="0"/>
      <c:spPr>
        <a:noFill/>
        <a:ln w="25400">
          <a:noFill/>
        </a:ln>
      </c:spPr>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cap="all"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r>
              <a:rPr lang="en-GB" cap="none" baseline="0">
                <a:latin typeface="Open Sans" panose="020B0606030504020204" pitchFamily="34" charset="0"/>
                <a:ea typeface="Open Sans" panose="020B0606030504020204" pitchFamily="34" charset="0"/>
                <a:cs typeface="Open Sans" panose="020B0606030504020204" pitchFamily="34" charset="0"/>
              </a:rPr>
              <a:t>Labour vote share </a:t>
            </a:r>
          </a:p>
          <a:p>
            <a:pPr algn="l">
              <a:defRPr sz="900" b="1" i="0" u="none" strike="noStrike" cap="all"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r>
              <a:rPr lang="en-GB" cap="all" baseline="0">
                <a:latin typeface="Open Sans" panose="020B0606030504020204" pitchFamily="34" charset="0"/>
                <a:ea typeface="Open Sans" panose="020B0606030504020204" pitchFamily="34" charset="0"/>
                <a:cs typeface="Open Sans" panose="020B0606030504020204" pitchFamily="34" charset="0"/>
              </a:rPr>
              <a:t>1918-2019</a:t>
            </a:r>
          </a:p>
        </c:rich>
      </c:tx>
      <c:layout>
        <c:manualLayout>
          <c:xMode val="edge"/>
          <c:yMode val="edge"/>
          <c:x val="0.13868613510689803"/>
          <c:y val="1.3243133340726776E-3"/>
        </c:manualLayout>
      </c:layout>
      <c:overlay val="0"/>
      <c:spPr>
        <a:solidFill>
          <a:sysClr val="window" lastClr="FFFFFF"/>
        </a:solidFill>
        <a:ln w="25400">
          <a:noFill/>
        </a:ln>
      </c:spPr>
    </c:title>
    <c:autoTitleDeleted val="0"/>
    <c:plotArea>
      <c:layout>
        <c:manualLayout>
          <c:layoutTarget val="inner"/>
          <c:xMode val="edge"/>
          <c:yMode val="edge"/>
          <c:x val="0.27534490227556507"/>
          <c:y val="0.1043156991700431"/>
          <c:w val="0.5986193716076752"/>
          <c:h val="0.82752597467515254"/>
        </c:manualLayout>
      </c:layout>
      <c:barChart>
        <c:barDir val="bar"/>
        <c:grouping val="clustered"/>
        <c:varyColors val="0"/>
        <c:ser>
          <c:idx val="1"/>
          <c:order val="0"/>
          <c:tx>
            <c:strRef>
              <c:f>'GE-UK Parties Visual'!$D$2</c:f>
              <c:strCache>
                <c:ptCount val="1"/>
                <c:pt idx="0">
                  <c:v>LAB</c:v>
                </c:pt>
              </c:strCache>
            </c:strRef>
          </c:tx>
          <c:spPr>
            <a:solidFill>
              <a:srgbClr val="D50000"/>
            </a:solidFill>
          </c:spPr>
          <c:invertIfNegative val="0"/>
          <c:cat>
            <c:numRef>
              <c:f>'GE-UK Parties Visual'!$B$3:$B$30</c:f>
              <c:numCache>
                <c:formatCode>General</c:formatCode>
                <c:ptCount val="28"/>
                <c:pt idx="0">
                  <c:v>2019</c:v>
                </c:pt>
                <c:pt idx="1">
                  <c:v>2017</c:v>
                </c:pt>
                <c:pt idx="2" formatCode="0">
                  <c:v>2015</c:v>
                </c:pt>
                <c:pt idx="3" formatCode="0">
                  <c:v>2010</c:v>
                </c:pt>
                <c:pt idx="4" formatCode="0">
                  <c:v>2005</c:v>
                </c:pt>
                <c:pt idx="5" formatCode="0">
                  <c:v>2001</c:v>
                </c:pt>
                <c:pt idx="6" formatCode="0">
                  <c:v>1997</c:v>
                </c:pt>
                <c:pt idx="7" formatCode="0">
                  <c:v>1992</c:v>
                </c:pt>
                <c:pt idx="8" formatCode="0">
                  <c:v>1987</c:v>
                </c:pt>
                <c:pt idx="9" formatCode="0">
                  <c:v>1983</c:v>
                </c:pt>
                <c:pt idx="10" formatCode="0">
                  <c:v>1979</c:v>
                </c:pt>
                <c:pt idx="11" formatCode="0">
                  <c:v>1974</c:v>
                </c:pt>
                <c:pt idx="12" formatCode="0">
                  <c:v>1974</c:v>
                </c:pt>
                <c:pt idx="13" formatCode="0">
                  <c:v>1970</c:v>
                </c:pt>
                <c:pt idx="14" formatCode="0">
                  <c:v>1966</c:v>
                </c:pt>
                <c:pt idx="15" formatCode="0">
                  <c:v>1964</c:v>
                </c:pt>
                <c:pt idx="16" formatCode="0">
                  <c:v>1959</c:v>
                </c:pt>
                <c:pt idx="17" formatCode="0">
                  <c:v>1955</c:v>
                </c:pt>
                <c:pt idx="18" formatCode="0">
                  <c:v>1951</c:v>
                </c:pt>
                <c:pt idx="19" formatCode="0">
                  <c:v>1950</c:v>
                </c:pt>
                <c:pt idx="20" formatCode="0">
                  <c:v>1945</c:v>
                </c:pt>
                <c:pt idx="21" formatCode="0">
                  <c:v>1935</c:v>
                </c:pt>
                <c:pt idx="22" formatCode="0">
                  <c:v>1931</c:v>
                </c:pt>
                <c:pt idx="23" formatCode="0">
                  <c:v>1929</c:v>
                </c:pt>
                <c:pt idx="24" formatCode="0">
                  <c:v>1924</c:v>
                </c:pt>
                <c:pt idx="25" formatCode="0">
                  <c:v>1923</c:v>
                </c:pt>
                <c:pt idx="26" formatCode="0">
                  <c:v>1922</c:v>
                </c:pt>
                <c:pt idx="27" formatCode="0">
                  <c:v>1918</c:v>
                </c:pt>
              </c:numCache>
            </c:numRef>
          </c:cat>
          <c:val>
            <c:numRef>
              <c:f>'GE-UK Parties Visual'!$D$3:$D$30</c:f>
              <c:numCache>
                <c:formatCode>0.0%</c:formatCode>
                <c:ptCount val="28"/>
                <c:pt idx="0">
                  <c:v>0.32076640581293686</c:v>
                </c:pt>
                <c:pt idx="1">
                  <c:v>0.39988239400641057</c:v>
                </c:pt>
                <c:pt idx="2">
                  <c:v>0.30399999999999999</c:v>
                </c:pt>
                <c:pt idx="3">
                  <c:v>0.28990271495133119</c:v>
                </c:pt>
                <c:pt idx="4">
                  <c:v>0.35185857345393906</c:v>
                </c:pt>
                <c:pt idx="5">
                  <c:v>0.4067507571760155</c:v>
                </c:pt>
                <c:pt idx="6">
                  <c:v>0.43207966148999993</c:v>
                </c:pt>
                <c:pt idx="7">
                  <c:v>0.34391796721813606</c:v>
                </c:pt>
                <c:pt idx="8">
                  <c:v>0.30832883844973336</c:v>
                </c:pt>
                <c:pt idx="9">
                  <c:v>0.27572939340331598</c:v>
                </c:pt>
                <c:pt idx="10">
                  <c:v>0.36850355855711869</c:v>
                </c:pt>
                <c:pt idx="11">
                  <c:v>0.37158761336332596</c:v>
                </c:pt>
                <c:pt idx="12">
                  <c:v>0.39251218536889654</c:v>
                </c:pt>
                <c:pt idx="13">
                  <c:v>0.42968522830891231</c:v>
                </c:pt>
                <c:pt idx="14">
                  <c:v>0.47923298169610745</c:v>
                </c:pt>
                <c:pt idx="15">
                  <c:v>0.44132562041465734</c:v>
                </c:pt>
                <c:pt idx="16">
                  <c:v>0.43844254308599195</c:v>
                </c:pt>
                <c:pt idx="17">
                  <c:v>0.4635792088925863</c:v>
                </c:pt>
                <c:pt idx="18">
                  <c:v>0.48778127213331773</c:v>
                </c:pt>
                <c:pt idx="19">
                  <c:v>0.46109331703551104</c:v>
                </c:pt>
                <c:pt idx="20">
                  <c:v>0.47689392331878672</c:v>
                </c:pt>
                <c:pt idx="21">
                  <c:v>0.37866740494496365</c:v>
                </c:pt>
                <c:pt idx="22">
                  <c:v>0.30705187798529332</c:v>
                </c:pt>
                <c:pt idx="23">
                  <c:v>0.36958134965532846</c:v>
                </c:pt>
                <c:pt idx="24">
                  <c:v>0.32986758815762646</c:v>
                </c:pt>
                <c:pt idx="25">
                  <c:v>0.30518786653143332</c:v>
                </c:pt>
                <c:pt idx="26">
                  <c:v>0.29441716525399292</c:v>
                </c:pt>
                <c:pt idx="27">
                  <c:v>0.20819643012424979</c:v>
                </c:pt>
              </c:numCache>
            </c:numRef>
          </c:val>
          <c:extLst>
            <c:ext xmlns:c16="http://schemas.microsoft.com/office/drawing/2014/chart" uri="{C3380CC4-5D6E-409C-BE32-E72D297353CC}">
              <c16:uniqueId val="{00000000-D95A-4176-843B-41FC2DEE4D8A}"/>
            </c:ext>
          </c:extLst>
        </c:ser>
        <c:dLbls>
          <c:showLegendKey val="0"/>
          <c:showVal val="0"/>
          <c:showCatName val="0"/>
          <c:showSerName val="0"/>
          <c:showPercent val="0"/>
          <c:showBubbleSize val="0"/>
        </c:dLbls>
        <c:gapWidth val="90"/>
        <c:axId val="462613544"/>
        <c:axId val="462613936"/>
      </c:barChart>
      <c:catAx>
        <c:axId val="462613544"/>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7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2613936"/>
        <c:crosses val="autoZero"/>
        <c:auto val="1"/>
        <c:lblAlgn val="ctr"/>
        <c:lblOffset val="100"/>
        <c:tickLblSkip val="1"/>
        <c:noMultiLvlLbl val="0"/>
      </c:catAx>
      <c:valAx>
        <c:axId val="462613936"/>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sz="8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2613544"/>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cap="all"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r>
              <a:rPr lang="en-GB" cap="none" baseline="0">
                <a:latin typeface="Open Sans" panose="020B0606030504020204" pitchFamily="34" charset="0"/>
                <a:ea typeface="Open Sans" panose="020B0606030504020204" pitchFamily="34" charset="0"/>
                <a:cs typeface="Open Sans" panose="020B0606030504020204" pitchFamily="34" charset="0"/>
              </a:rPr>
              <a:t>Liberal Democrats vote share</a:t>
            </a:r>
            <a:r>
              <a:rPr lang="en-GB" cap="all" baseline="0">
                <a:latin typeface="Open Sans" panose="020B0606030504020204" pitchFamily="34" charset="0"/>
                <a:ea typeface="Open Sans" panose="020B0606030504020204" pitchFamily="34" charset="0"/>
                <a:cs typeface="Open Sans" panose="020B0606030504020204" pitchFamily="34" charset="0"/>
              </a:rPr>
              <a:t> 1918-2019</a:t>
            </a:r>
          </a:p>
        </c:rich>
      </c:tx>
      <c:layout>
        <c:manualLayout>
          <c:xMode val="edge"/>
          <c:yMode val="edge"/>
          <c:x val="0.13869839319842306"/>
          <c:y val="1.6399678536518379E-2"/>
        </c:manualLayout>
      </c:layout>
      <c:overlay val="0"/>
      <c:spPr>
        <a:noFill/>
        <a:ln w="25400">
          <a:noFill/>
        </a:ln>
      </c:spPr>
    </c:title>
    <c:autoTitleDeleted val="0"/>
    <c:plotArea>
      <c:layout>
        <c:manualLayout>
          <c:layoutTarget val="inner"/>
          <c:xMode val="edge"/>
          <c:yMode val="edge"/>
          <c:x val="0.27534490227556507"/>
          <c:y val="0.12861906466237175"/>
          <c:w val="0.5986193716076752"/>
          <c:h val="0.80244810307802439"/>
        </c:manualLayout>
      </c:layout>
      <c:barChart>
        <c:barDir val="bar"/>
        <c:grouping val="clustered"/>
        <c:varyColors val="0"/>
        <c:ser>
          <c:idx val="1"/>
          <c:order val="0"/>
          <c:tx>
            <c:strRef>
              <c:f>'GE-UK Parties Visual'!$E$2</c:f>
              <c:strCache>
                <c:ptCount val="1"/>
                <c:pt idx="0">
                  <c:v>LD</c:v>
                </c:pt>
              </c:strCache>
            </c:strRef>
          </c:tx>
          <c:spPr>
            <a:solidFill>
              <a:srgbClr val="FAA01A"/>
            </a:solidFill>
          </c:spPr>
          <c:invertIfNegative val="0"/>
          <c:cat>
            <c:numRef>
              <c:f>'GE-UK Parties Visual'!$B$3:$B$30</c:f>
              <c:numCache>
                <c:formatCode>General</c:formatCode>
                <c:ptCount val="28"/>
                <c:pt idx="0">
                  <c:v>2019</c:v>
                </c:pt>
                <c:pt idx="1">
                  <c:v>2017</c:v>
                </c:pt>
                <c:pt idx="2" formatCode="0">
                  <c:v>2015</c:v>
                </c:pt>
                <c:pt idx="3" formatCode="0">
                  <c:v>2010</c:v>
                </c:pt>
                <c:pt idx="4" formatCode="0">
                  <c:v>2005</c:v>
                </c:pt>
                <c:pt idx="5" formatCode="0">
                  <c:v>2001</c:v>
                </c:pt>
                <c:pt idx="6" formatCode="0">
                  <c:v>1997</c:v>
                </c:pt>
                <c:pt idx="7" formatCode="0">
                  <c:v>1992</c:v>
                </c:pt>
                <c:pt idx="8" formatCode="0">
                  <c:v>1987</c:v>
                </c:pt>
                <c:pt idx="9" formatCode="0">
                  <c:v>1983</c:v>
                </c:pt>
                <c:pt idx="10" formatCode="0">
                  <c:v>1979</c:v>
                </c:pt>
                <c:pt idx="11" formatCode="0">
                  <c:v>1974</c:v>
                </c:pt>
                <c:pt idx="12" formatCode="0">
                  <c:v>1974</c:v>
                </c:pt>
                <c:pt idx="13" formatCode="0">
                  <c:v>1970</c:v>
                </c:pt>
                <c:pt idx="14" formatCode="0">
                  <c:v>1966</c:v>
                </c:pt>
                <c:pt idx="15" formatCode="0">
                  <c:v>1964</c:v>
                </c:pt>
                <c:pt idx="16" formatCode="0">
                  <c:v>1959</c:v>
                </c:pt>
                <c:pt idx="17" formatCode="0">
                  <c:v>1955</c:v>
                </c:pt>
                <c:pt idx="18" formatCode="0">
                  <c:v>1951</c:v>
                </c:pt>
                <c:pt idx="19" formatCode="0">
                  <c:v>1950</c:v>
                </c:pt>
                <c:pt idx="20" formatCode="0">
                  <c:v>1945</c:v>
                </c:pt>
                <c:pt idx="21" formatCode="0">
                  <c:v>1935</c:v>
                </c:pt>
                <c:pt idx="22" formatCode="0">
                  <c:v>1931</c:v>
                </c:pt>
                <c:pt idx="23" formatCode="0">
                  <c:v>1929</c:v>
                </c:pt>
                <c:pt idx="24" formatCode="0">
                  <c:v>1924</c:v>
                </c:pt>
                <c:pt idx="25" formatCode="0">
                  <c:v>1923</c:v>
                </c:pt>
                <c:pt idx="26" formatCode="0">
                  <c:v>1922</c:v>
                </c:pt>
                <c:pt idx="27" formatCode="0">
                  <c:v>1918</c:v>
                </c:pt>
              </c:numCache>
            </c:numRef>
          </c:cat>
          <c:val>
            <c:numRef>
              <c:f>'GE-UK Parties Visual'!$E$3:$E$30</c:f>
              <c:numCache>
                <c:formatCode>0.0%</c:formatCode>
                <c:ptCount val="28"/>
                <c:pt idx="0">
                  <c:v>0.11546218214406086</c:v>
                </c:pt>
                <c:pt idx="1">
                  <c:v>7.3650807826235759E-2</c:v>
                </c:pt>
                <c:pt idx="2" formatCode="0.00%">
                  <c:v>7.9000000000000001E-2</c:v>
                </c:pt>
                <c:pt idx="3">
                  <c:v>0.23027281016009241</c:v>
                </c:pt>
                <c:pt idx="4">
                  <c:v>0.22047081036859847</c:v>
                </c:pt>
                <c:pt idx="5">
                  <c:v>0.18258622784066206</c:v>
                </c:pt>
                <c:pt idx="6">
                  <c:v>0.16757972918739727</c:v>
                </c:pt>
                <c:pt idx="7">
                  <c:v>0.17848494056388403</c:v>
                </c:pt>
                <c:pt idx="8">
                  <c:v>0.22569100035666001</c:v>
                </c:pt>
                <c:pt idx="9">
                  <c:v>0.25368961704941029</c:v>
                </c:pt>
                <c:pt idx="10">
                  <c:v>0.13816834768451167</c:v>
                </c:pt>
                <c:pt idx="11">
                  <c:v>0.19334676700139583</c:v>
                </c:pt>
                <c:pt idx="12">
                  <c:v>0.18317465311713577</c:v>
                </c:pt>
                <c:pt idx="13">
                  <c:v>7.4688660684757741E-2</c:v>
                </c:pt>
                <c:pt idx="14">
                  <c:v>8.5365068672744335E-2</c:v>
                </c:pt>
                <c:pt idx="15">
                  <c:v>0.11206083143496935</c:v>
                </c:pt>
                <c:pt idx="16">
                  <c:v>5.8887431103112509E-2</c:v>
                </c:pt>
                <c:pt idx="17">
                  <c:v>2.6995863822088781E-2</c:v>
                </c:pt>
                <c:pt idx="18">
                  <c:v>2.5546608802432907E-2</c:v>
                </c:pt>
                <c:pt idx="19">
                  <c:v>9.1115209819400869E-2</c:v>
                </c:pt>
                <c:pt idx="20">
                  <c:v>8.9755429276401316E-2</c:v>
                </c:pt>
                <c:pt idx="21">
                  <c:v>6.5636042535418326E-2</c:v>
                </c:pt>
                <c:pt idx="22">
                  <c:v>6.8161136677873074E-2</c:v>
                </c:pt>
                <c:pt idx="23">
                  <c:v>0.23439818530026987</c:v>
                </c:pt>
                <c:pt idx="24">
                  <c:v>0.17600287831712438</c:v>
                </c:pt>
                <c:pt idx="25">
                  <c:v>0.29568127459367277</c:v>
                </c:pt>
                <c:pt idx="26">
                  <c:v>0.28761569530437392</c:v>
                </c:pt>
                <c:pt idx="27">
                  <c:v>0.25822017206557113</c:v>
                </c:pt>
              </c:numCache>
            </c:numRef>
          </c:val>
          <c:extLst>
            <c:ext xmlns:c16="http://schemas.microsoft.com/office/drawing/2014/chart" uri="{C3380CC4-5D6E-409C-BE32-E72D297353CC}">
              <c16:uniqueId val="{00000000-C2C3-4418-A3DA-47389C1E5457}"/>
            </c:ext>
          </c:extLst>
        </c:ser>
        <c:dLbls>
          <c:showLegendKey val="0"/>
          <c:showVal val="0"/>
          <c:showCatName val="0"/>
          <c:showSerName val="0"/>
          <c:showPercent val="0"/>
          <c:showBubbleSize val="0"/>
        </c:dLbls>
        <c:gapWidth val="90"/>
        <c:axId val="462614720"/>
        <c:axId val="461791336"/>
      </c:barChart>
      <c:catAx>
        <c:axId val="462614720"/>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7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1336"/>
        <c:crosses val="autoZero"/>
        <c:auto val="1"/>
        <c:lblAlgn val="ctr"/>
        <c:lblOffset val="100"/>
        <c:tickLblSkip val="1"/>
        <c:noMultiLvlLbl val="0"/>
      </c:catAx>
      <c:valAx>
        <c:axId val="461791336"/>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sz="8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261472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cap="all"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r>
              <a:rPr lang="en-GB" cap="none" baseline="0">
                <a:latin typeface="Open Sans" panose="020B0606030504020204" pitchFamily="34" charset="0"/>
                <a:ea typeface="Open Sans" panose="020B0606030504020204" pitchFamily="34" charset="0"/>
                <a:cs typeface="Open Sans" panose="020B0606030504020204" pitchFamily="34" charset="0"/>
              </a:rPr>
              <a:t>Other party vote share</a:t>
            </a:r>
          </a:p>
          <a:p>
            <a:pPr algn="l">
              <a:defRPr sz="900" b="1" i="0" u="none" strike="noStrike" cap="all"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r>
              <a:rPr lang="en-GB" cap="all" baseline="0">
                <a:latin typeface="Open Sans" panose="020B0606030504020204" pitchFamily="34" charset="0"/>
                <a:ea typeface="Open Sans" panose="020B0606030504020204" pitchFamily="34" charset="0"/>
                <a:cs typeface="Open Sans" panose="020B0606030504020204" pitchFamily="34" charset="0"/>
              </a:rPr>
              <a:t>1918-2019 (%)</a:t>
            </a:r>
          </a:p>
        </c:rich>
      </c:tx>
      <c:layout>
        <c:manualLayout>
          <c:xMode val="edge"/>
          <c:yMode val="edge"/>
          <c:x val="0.12574115128812782"/>
          <c:y val="1.3242845923032E-3"/>
        </c:manualLayout>
      </c:layout>
      <c:overlay val="0"/>
      <c:spPr>
        <a:noFill/>
        <a:ln w="25400">
          <a:noFill/>
        </a:ln>
      </c:spPr>
    </c:title>
    <c:autoTitleDeleted val="0"/>
    <c:plotArea>
      <c:layout>
        <c:manualLayout>
          <c:layoutTarget val="inner"/>
          <c:xMode val="edge"/>
          <c:yMode val="edge"/>
          <c:x val="0.27534490227556507"/>
          <c:y val="9.4851212652126926E-2"/>
          <c:w val="0.5986193716076752"/>
          <c:h val="0.76171550167482271"/>
        </c:manualLayout>
      </c:layout>
      <c:barChart>
        <c:barDir val="bar"/>
        <c:grouping val="clustered"/>
        <c:varyColors val="0"/>
        <c:ser>
          <c:idx val="1"/>
          <c:order val="0"/>
          <c:tx>
            <c:strRef>
              <c:f>'GE-UK Parties Visual'!$G$2</c:f>
              <c:strCache>
                <c:ptCount val="1"/>
                <c:pt idx="0">
                  <c:v>Other</c:v>
                </c:pt>
              </c:strCache>
            </c:strRef>
          </c:tx>
          <c:spPr>
            <a:solidFill>
              <a:srgbClr val="909090"/>
            </a:solidFill>
          </c:spPr>
          <c:invertIfNegative val="0"/>
          <c:cat>
            <c:numRef>
              <c:f>'GE-UK Parties Visual'!$B$3:$B$30</c:f>
              <c:numCache>
                <c:formatCode>General</c:formatCode>
                <c:ptCount val="28"/>
                <c:pt idx="0">
                  <c:v>2019</c:v>
                </c:pt>
                <c:pt idx="1">
                  <c:v>2017</c:v>
                </c:pt>
                <c:pt idx="2" formatCode="0">
                  <c:v>2015</c:v>
                </c:pt>
                <c:pt idx="3" formatCode="0">
                  <c:v>2010</c:v>
                </c:pt>
                <c:pt idx="4" formatCode="0">
                  <c:v>2005</c:v>
                </c:pt>
                <c:pt idx="5" formatCode="0">
                  <c:v>2001</c:v>
                </c:pt>
                <c:pt idx="6" formatCode="0">
                  <c:v>1997</c:v>
                </c:pt>
                <c:pt idx="7" formatCode="0">
                  <c:v>1992</c:v>
                </c:pt>
                <c:pt idx="8" formatCode="0">
                  <c:v>1987</c:v>
                </c:pt>
                <c:pt idx="9" formatCode="0">
                  <c:v>1983</c:v>
                </c:pt>
                <c:pt idx="10" formatCode="0">
                  <c:v>1979</c:v>
                </c:pt>
                <c:pt idx="11" formatCode="0">
                  <c:v>1974</c:v>
                </c:pt>
                <c:pt idx="12" formatCode="0">
                  <c:v>1974</c:v>
                </c:pt>
                <c:pt idx="13" formatCode="0">
                  <c:v>1970</c:v>
                </c:pt>
                <c:pt idx="14" formatCode="0">
                  <c:v>1966</c:v>
                </c:pt>
                <c:pt idx="15" formatCode="0">
                  <c:v>1964</c:v>
                </c:pt>
                <c:pt idx="16" formatCode="0">
                  <c:v>1959</c:v>
                </c:pt>
                <c:pt idx="17" formatCode="0">
                  <c:v>1955</c:v>
                </c:pt>
                <c:pt idx="18" formatCode="0">
                  <c:v>1951</c:v>
                </c:pt>
                <c:pt idx="19" formatCode="0">
                  <c:v>1950</c:v>
                </c:pt>
                <c:pt idx="20" formatCode="0">
                  <c:v>1945</c:v>
                </c:pt>
                <c:pt idx="21" formatCode="0">
                  <c:v>1935</c:v>
                </c:pt>
                <c:pt idx="22" formatCode="0">
                  <c:v>1931</c:v>
                </c:pt>
                <c:pt idx="23" formatCode="0">
                  <c:v>1929</c:v>
                </c:pt>
                <c:pt idx="24" formatCode="0">
                  <c:v>1924</c:v>
                </c:pt>
                <c:pt idx="25" formatCode="0">
                  <c:v>1923</c:v>
                </c:pt>
                <c:pt idx="26" formatCode="0">
                  <c:v>1922</c:v>
                </c:pt>
                <c:pt idx="27" formatCode="0">
                  <c:v>1918</c:v>
                </c:pt>
              </c:numCache>
            </c:numRef>
          </c:cat>
          <c:val>
            <c:numRef>
              <c:f>'GE-UK Parties Visual'!$G$3:$G$30</c:f>
              <c:numCache>
                <c:formatCode>0.0%</c:formatCode>
                <c:ptCount val="28"/>
                <c:pt idx="0">
                  <c:v>8.3917403919709102E-2</c:v>
                </c:pt>
                <c:pt idx="1">
                  <c:v>6.7521564835404169E-2</c:v>
                </c:pt>
                <c:pt idx="2">
                  <c:v>0.19600000000000006</c:v>
                </c:pt>
                <c:pt idx="3">
                  <c:v>9.7158564901364139E-2</c:v>
                </c:pt>
                <c:pt idx="4">
                  <c:v>8.2457563969440734E-2</c:v>
                </c:pt>
                <c:pt idx="5">
                  <c:v>7.684418282997596E-2</c:v>
                </c:pt>
                <c:pt idx="6">
                  <c:v>6.845322378330386E-2</c:v>
                </c:pt>
                <c:pt idx="7">
                  <c:v>3.4999208962293527E-2</c:v>
                </c:pt>
                <c:pt idx="8">
                  <c:v>2.7103671618488281E-2</c:v>
                </c:pt>
                <c:pt idx="9">
                  <c:v>3.1418920009388569E-2</c:v>
                </c:pt>
                <c:pt idx="10">
                  <c:v>3.4196105858546447E-2</c:v>
                </c:pt>
                <c:pt idx="11">
                  <c:v>3.1804079379040881E-2</c:v>
                </c:pt>
                <c:pt idx="12">
                  <c:v>3.2632827646919306E-2</c:v>
                </c:pt>
                <c:pt idx="13">
                  <c:v>1.4869783160917216E-2</c:v>
                </c:pt>
                <c:pt idx="14">
                  <c:v>9.6507038924660195E-3</c:v>
                </c:pt>
                <c:pt idx="15">
                  <c:v>8.5855562547519759E-3</c:v>
                </c:pt>
                <c:pt idx="16">
                  <c:v>5.5822396231341468E-3</c:v>
                </c:pt>
                <c:pt idx="17">
                  <c:v>1.081188079296317E-2</c:v>
                </c:pt>
                <c:pt idx="18">
                  <c:v>6.3205778981930581E-3</c:v>
                </c:pt>
                <c:pt idx="19">
                  <c:v>1.3502253161885495E-2</c:v>
                </c:pt>
                <c:pt idx="20">
                  <c:v>3.4125935263702917E-2</c:v>
                </c:pt>
                <c:pt idx="21">
                  <c:v>1.9557643402213078E-2</c:v>
                </c:pt>
                <c:pt idx="22">
                  <c:v>1.6199850270402844E-2</c:v>
                </c:pt>
                <c:pt idx="23">
                  <c:v>1.3646586123728589E-2</c:v>
                </c:pt>
                <c:pt idx="24">
                  <c:v>2.2110825185082391E-2</c:v>
                </c:pt>
                <c:pt idx="25">
                  <c:v>2.0064553181792715E-2</c:v>
                </c:pt>
                <c:pt idx="26">
                  <c:v>3.5659479736776467E-2</c:v>
                </c:pt>
                <c:pt idx="27">
                  <c:v>0.14939299059277708</c:v>
                </c:pt>
              </c:numCache>
            </c:numRef>
          </c:val>
          <c:extLst>
            <c:ext xmlns:c16="http://schemas.microsoft.com/office/drawing/2014/chart" uri="{C3380CC4-5D6E-409C-BE32-E72D297353CC}">
              <c16:uniqueId val="{00000000-AA89-4E09-92C1-897C6CE45CC2}"/>
            </c:ext>
          </c:extLst>
        </c:ser>
        <c:dLbls>
          <c:showLegendKey val="0"/>
          <c:showVal val="0"/>
          <c:showCatName val="0"/>
          <c:showSerName val="0"/>
          <c:showPercent val="0"/>
          <c:showBubbleSize val="0"/>
        </c:dLbls>
        <c:gapWidth val="90"/>
        <c:axId val="461792120"/>
        <c:axId val="461792512"/>
      </c:barChart>
      <c:catAx>
        <c:axId val="461792120"/>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7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2512"/>
        <c:crosses val="autoZero"/>
        <c:auto val="1"/>
        <c:lblAlgn val="ctr"/>
        <c:lblOffset val="100"/>
        <c:tickLblSkip val="1"/>
        <c:noMultiLvlLbl val="0"/>
      </c:catAx>
      <c:valAx>
        <c:axId val="461792512"/>
        <c:scaling>
          <c:orientation val="minMax"/>
          <c:max val="0.30000000000000004"/>
          <c:min val="0"/>
        </c:scaling>
        <c:delete val="0"/>
        <c:axPos val="b"/>
        <c:numFmt formatCode="0%" sourceLinked="0"/>
        <c:majorTickMark val="out"/>
        <c:minorTickMark val="none"/>
        <c:tickLblPos val="nextTo"/>
        <c:spPr>
          <a:noFill/>
          <a:ln>
            <a:solidFill>
              <a:schemeClr val="tx1"/>
            </a:solidFill>
          </a:ln>
          <a:effectLst/>
        </c:spPr>
        <c:txPr>
          <a:bodyPr rot="0" vert="horz"/>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2120"/>
        <c:crosses val="autoZero"/>
        <c:crossBetween val="between"/>
        <c:majorUnit val="0.1"/>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cap="all" baseline="0">
                <a:solidFill>
                  <a:srgbClr val="000000"/>
                </a:solidFill>
                <a:latin typeface="Frutiger LT Std 45 Light"/>
                <a:ea typeface="Frutiger LT Std 45 Light"/>
                <a:cs typeface="Frutiger LT Std 45 Light"/>
              </a:defRPr>
            </a:pPr>
            <a:r>
              <a:rPr lang="en-GB" sz="1000" cap="none" baseline="0"/>
              <a:t>PC/SNP vote share</a:t>
            </a:r>
          </a:p>
          <a:p>
            <a:pPr algn="l">
              <a:defRPr sz="900" b="1" i="0" u="none" strike="noStrike" cap="all" baseline="0">
                <a:solidFill>
                  <a:srgbClr val="000000"/>
                </a:solidFill>
                <a:latin typeface="Frutiger LT Std 45 Light"/>
                <a:ea typeface="Frutiger LT Std 45 Light"/>
                <a:cs typeface="Frutiger LT Std 45 Light"/>
              </a:defRPr>
            </a:pPr>
            <a:r>
              <a:rPr lang="en-GB" sz="1000" cap="all" baseline="0"/>
              <a:t>1918-2019 (%)</a:t>
            </a:r>
          </a:p>
        </c:rich>
      </c:tx>
      <c:layout>
        <c:manualLayout>
          <c:xMode val="edge"/>
          <c:yMode val="edge"/>
          <c:x val="8.4249205691393839E-2"/>
          <c:y val="4.6003340491529467E-3"/>
        </c:manualLayout>
      </c:layout>
      <c:overlay val="0"/>
      <c:spPr>
        <a:noFill/>
        <a:ln w="25400">
          <a:noFill/>
        </a:ln>
      </c:spPr>
    </c:title>
    <c:autoTitleDeleted val="0"/>
    <c:plotArea>
      <c:layout>
        <c:manualLayout>
          <c:layoutTarget val="inner"/>
          <c:xMode val="edge"/>
          <c:yMode val="edge"/>
          <c:x val="0.27534484994356229"/>
          <c:y val="9.6057776554599614E-2"/>
          <c:w val="0.5986193716076752"/>
          <c:h val="0.72801640315624616"/>
        </c:manualLayout>
      </c:layout>
      <c:barChart>
        <c:barDir val="bar"/>
        <c:grouping val="clustered"/>
        <c:varyColors val="0"/>
        <c:ser>
          <c:idx val="1"/>
          <c:order val="0"/>
          <c:tx>
            <c:strRef>
              <c:f>'GE-UK Parties Visual'!$F$2</c:f>
              <c:strCache>
                <c:ptCount val="1"/>
                <c:pt idx="0">
                  <c:v>PC/SNP</c:v>
                </c:pt>
              </c:strCache>
            </c:strRef>
          </c:tx>
          <c:spPr>
            <a:solidFill>
              <a:schemeClr val="bg1">
                <a:lumMod val="75000"/>
              </a:schemeClr>
            </a:solidFill>
          </c:spPr>
          <c:invertIfNegative val="0"/>
          <c:cat>
            <c:numRef>
              <c:f>'GE-UK Parties Visual'!$B$3:$B$30</c:f>
              <c:numCache>
                <c:formatCode>General</c:formatCode>
                <c:ptCount val="28"/>
                <c:pt idx="0">
                  <c:v>2019</c:v>
                </c:pt>
                <c:pt idx="1">
                  <c:v>2017</c:v>
                </c:pt>
                <c:pt idx="2" formatCode="0">
                  <c:v>2015</c:v>
                </c:pt>
                <c:pt idx="3" formatCode="0">
                  <c:v>2010</c:v>
                </c:pt>
                <c:pt idx="4" formatCode="0">
                  <c:v>2005</c:v>
                </c:pt>
                <c:pt idx="5" formatCode="0">
                  <c:v>2001</c:v>
                </c:pt>
                <c:pt idx="6" formatCode="0">
                  <c:v>1997</c:v>
                </c:pt>
                <c:pt idx="7" formatCode="0">
                  <c:v>1992</c:v>
                </c:pt>
                <c:pt idx="8" formatCode="0">
                  <c:v>1987</c:v>
                </c:pt>
                <c:pt idx="9" formatCode="0">
                  <c:v>1983</c:v>
                </c:pt>
                <c:pt idx="10" formatCode="0">
                  <c:v>1979</c:v>
                </c:pt>
                <c:pt idx="11" formatCode="0">
                  <c:v>1974</c:v>
                </c:pt>
                <c:pt idx="12" formatCode="0">
                  <c:v>1974</c:v>
                </c:pt>
                <c:pt idx="13" formatCode="0">
                  <c:v>1970</c:v>
                </c:pt>
                <c:pt idx="14" formatCode="0">
                  <c:v>1966</c:v>
                </c:pt>
                <c:pt idx="15" formatCode="0">
                  <c:v>1964</c:v>
                </c:pt>
                <c:pt idx="16" formatCode="0">
                  <c:v>1959</c:v>
                </c:pt>
                <c:pt idx="17" formatCode="0">
                  <c:v>1955</c:v>
                </c:pt>
                <c:pt idx="18" formatCode="0">
                  <c:v>1951</c:v>
                </c:pt>
                <c:pt idx="19" formatCode="0">
                  <c:v>1950</c:v>
                </c:pt>
                <c:pt idx="20" formatCode="0">
                  <c:v>1945</c:v>
                </c:pt>
                <c:pt idx="21" formatCode="0">
                  <c:v>1935</c:v>
                </c:pt>
                <c:pt idx="22" formatCode="0">
                  <c:v>1931</c:v>
                </c:pt>
                <c:pt idx="23" formatCode="0">
                  <c:v>1929</c:v>
                </c:pt>
                <c:pt idx="24" formatCode="0">
                  <c:v>1924</c:v>
                </c:pt>
                <c:pt idx="25" formatCode="0">
                  <c:v>1923</c:v>
                </c:pt>
                <c:pt idx="26" formatCode="0">
                  <c:v>1922</c:v>
                </c:pt>
                <c:pt idx="27" formatCode="0">
                  <c:v>1918</c:v>
                </c:pt>
              </c:numCache>
            </c:numRef>
          </c:cat>
          <c:val>
            <c:numRef>
              <c:f>'GE-UK Parties Visual'!$F$3:$F$30</c:f>
              <c:numCache>
                <c:formatCode>0.0%</c:formatCode>
                <c:ptCount val="28"/>
                <c:pt idx="0">
                  <c:v>4.3594683719147591E-2</c:v>
                </c:pt>
                <c:pt idx="1">
                  <c:v>3.5499999999999997E-2</c:v>
                </c:pt>
                <c:pt idx="2">
                  <c:v>5.2999999999999999E-2</c:v>
                </c:pt>
                <c:pt idx="3">
                  <c:v>2.2123038288977447E-2</c:v>
                </c:pt>
                <c:pt idx="4">
                  <c:v>2.162568037803916E-2</c:v>
                </c:pt>
                <c:pt idx="5">
                  <c:v>1.7609407805090099E-2</c:v>
                </c:pt>
                <c:pt idx="6">
                  <c:v>2.501351710545107E-2</c:v>
                </c:pt>
                <c:pt idx="7">
                  <c:v>2.3338765780071762E-2</c:v>
                </c:pt>
                <c:pt idx="8">
                  <c:v>1.6602490201379189E-2</c:v>
                </c:pt>
                <c:pt idx="9">
                  <c:v>1.4909261433640363E-2</c:v>
                </c:pt>
                <c:pt idx="10">
                  <c:v>2.0396387575916771E-2</c:v>
                </c:pt>
                <c:pt idx="11">
                  <c:v>2.5671660535768769E-2</c:v>
                </c:pt>
                <c:pt idx="12">
                  <c:v>3.4462791321035413E-2</c:v>
                </c:pt>
                <c:pt idx="13">
                  <c:v>1.6998462998395684E-2</c:v>
                </c:pt>
                <c:pt idx="14">
                  <c:v>6.9520175631925E-3</c:v>
                </c:pt>
                <c:pt idx="15">
                  <c:v>4.8288059202633623E-3</c:v>
                </c:pt>
                <c:pt idx="16">
                  <c:v>3.5642335840823771E-3</c:v>
                </c:pt>
                <c:pt idx="17">
                  <c:v>2.1386987887657607E-3</c:v>
                </c:pt>
                <c:pt idx="18">
                  <c:v>6.371038453040946E-4</c:v>
                </c:pt>
                <c:pt idx="19">
                  <c:v>9.4845095381049412E-4</c:v>
                </c:pt>
                <c:pt idx="20">
                  <c:v>1.8574073642384529E-3</c:v>
                </c:pt>
                <c:pt idx="21">
                  <c:v>1.4577721597310034E-3</c:v>
                </c:pt>
                <c:pt idx="22">
                  <c:v>1.0620430300124588E-3</c:v>
                </c:pt>
                <c:pt idx="23">
                  <c:v>1.7316915672757979E-4</c:v>
                </c:pt>
                <c:pt idx="24">
                  <c:v>0</c:v>
                </c:pt>
                <c:pt idx="25">
                  <c:v>0</c:v>
                </c:pt>
                <c:pt idx="26">
                  <c:v>0</c:v>
                </c:pt>
                <c:pt idx="27">
                  <c:v>0</c:v>
                </c:pt>
              </c:numCache>
            </c:numRef>
          </c:val>
          <c:extLst>
            <c:ext xmlns:c16="http://schemas.microsoft.com/office/drawing/2014/chart" uri="{C3380CC4-5D6E-409C-BE32-E72D297353CC}">
              <c16:uniqueId val="{00000000-B54B-4BDE-A983-9329D8AC62ED}"/>
            </c:ext>
          </c:extLst>
        </c:ser>
        <c:dLbls>
          <c:showLegendKey val="0"/>
          <c:showVal val="0"/>
          <c:showCatName val="0"/>
          <c:showSerName val="0"/>
          <c:showPercent val="0"/>
          <c:showBubbleSize val="0"/>
        </c:dLbls>
        <c:gapWidth val="90"/>
        <c:axId val="461793296"/>
        <c:axId val="461793688"/>
      </c:barChart>
      <c:catAx>
        <c:axId val="46179329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8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3688"/>
        <c:crosses val="autoZero"/>
        <c:auto val="1"/>
        <c:lblAlgn val="ctr"/>
        <c:lblOffset val="100"/>
        <c:tickLblSkip val="1"/>
        <c:noMultiLvlLbl val="0"/>
      </c:catAx>
      <c:valAx>
        <c:axId val="461793688"/>
        <c:scaling>
          <c:orientation val="minMax"/>
          <c:max val="0.1"/>
          <c:min val="0"/>
        </c:scaling>
        <c:delete val="0"/>
        <c:axPos val="b"/>
        <c:numFmt formatCode="0%" sourceLinked="0"/>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3296"/>
        <c:crosses val="autoZero"/>
        <c:crossBetween val="between"/>
        <c:majorUnit val="5.000000000000001E-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Frutiger LT Std 45 Light"/>
                <a:ea typeface="Frutiger LT Std 45 Light"/>
                <a:cs typeface="Frutiger LT Std 45 Light"/>
              </a:defRPr>
            </a:pPr>
            <a:r>
              <a:rPr lang="en-GB"/>
              <a:t>National Assembly for Wales </a:t>
            </a:r>
          </a:p>
        </c:rich>
      </c:tx>
      <c:layout>
        <c:manualLayout>
          <c:xMode val="edge"/>
          <c:yMode val="edge"/>
          <c:x val="7.8538887302299645E-2"/>
          <c:y val="4.8974095629350678E-2"/>
        </c:manualLayout>
      </c:layout>
      <c:overlay val="0"/>
      <c:spPr>
        <a:noFill/>
        <a:ln w="25400">
          <a:noFill/>
        </a:ln>
      </c:spPr>
    </c:title>
    <c:autoTitleDeleted val="0"/>
    <c:plotArea>
      <c:layout>
        <c:manualLayout>
          <c:layoutTarget val="inner"/>
          <c:xMode val="edge"/>
          <c:yMode val="edge"/>
          <c:x val="0.23159441276736958"/>
          <c:y val="0.12866380338821284"/>
          <c:w val="0.42285327061584566"/>
          <c:h val="0.81237220040369651"/>
        </c:manualLayout>
      </c:layout>
      <c:barChart>
        <c:barDir val="bar"/>
        <c:grouping val="clustered"/>
        <c:varyColors val="0"/>
        <c:ser>
          <c:idx val="0"/>
          <c:order val="0"/>
          <c:tx>
            <c:strRef>
              <c:f>'[3]16 NAW Visual'!$A$11</c:f>
              <c:strCache>
                <c:ptCount val="1"/>
                <c:pt idx="0">
                  <c:v>LAB</c:v>
                </c:pt>
              </c:strCache>
            </c:strRef>
          </c:tx>
          <c:spPr>
            <a:solidFill>
              <a:srgbClr val="FF0000"/>
            </a:solidFill>
            <a:ln w="25400">
              <a:noFill/>
            </a:ln>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Visual'!$B$11:$F$11</c:f>
              <c:numCache>
                <c:formatCode>General</c:formatCode>
                <c:ptCount val="5"/>
                <c:pt idx="0">
                  <c:v>29</c:v>
                </c:pt>
                <c:pt idx="1">
                  <c:v>30</c:v>
                </c:pt>
                <c:pt idx="2">
                  <c:v>26</c:v>
                </c:pt>
                <c:pt idx="3">
                  <c:v>30</c:v>
                </c:pt>
                <c:pt idx="4">
                  <c:v>28</c:v>
                </c:pt>
              </c:numCache>
            </c:numRef>
          </c:val>
          <c:extLst>
            <c:ext xmlns:c16="http://schemas.microsoft.com/office/drawing/2014/chart" uri="{C3380CC4-5D6E-409C-BE32-E72D297353CC}">
              <c16:uniqueId val="{00000000-FF0E-45D8-BF80-E5EBE9580AA3}"/>
            </c:ext>
          </c:extLst>
        </c:ser>
        <c:ser>
          <c:idx val="1"/>
          <c:order val="1"/>
          <c:tx>
            <c:strRef>
              <c:f>'[3]16 NAW Visual'!$A$12</c:f>
              <c:strCache>
                <c:ptCount val="1"/>
                <c:pt idx="0">
                  <c:v>PC</c:v>
                </c:pt>
              </c:strCache>
            </c:strRef>
          </c:tx>
          <c:spPr>
            <a:solidFill>
              <a:srgbClr val="00FF00"/>
            </a:solidFill>
            <a:ln w="25400">
              <a:noFill/>
            </a:ln>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Visual'!$B$12:$F$12</c:f>
              <c:numCache>
                <c:formatCode>General</c:formatCode>
                <c:ptCount val="5"/>
                <c:pt idx="0">
                  <c:v>12</c:v>
                </c:pt>
                <c:pt idx="1">
                  <c:v>11</c:v>
                </c:pt>
                <c:pt idx="2">
                  <c:v>15</c:v>
                </c:pt>
                <c:pt idx="3">
                  <c:v>12</c:v>
                </c:pt>
                <c:pt idx="4">
                  <c:v>17</c:v>
                </c:pt>
              </c:numCache>
            </c:numRef>
          </c:val>
          <c:extLst>
            <c:ext xmlns:c16="http://schemas.microsoft.com/office/drawing/2014/chart" uri="{C3380CC4-5D6E-409C-BE32-E72D297353CC}">
              <c16:uniqueId val="{00000001-FF0E-45D8-BF80-E5EBE9580AA3}"/>
            </c:ext>
          </c:extLst>
        </c:ser>
        <c:ser>
          <c:idx val="2"/>
          <c:order val="2"/>
          <c:tx>
            <c:strRef>
              <c:f>'[3]16 NAW Visual'!$A$13</c:f>
              <c:strCache>
                <c:ptCount val="1"/>
                <c:pt idx="0">
                  <c:v>CON</c:v>
                </c:pt>
              </c:strCache>
            </c:strRef>
          </c:tx>
          <c:spPr>
            <a:solidFill>
              <a:srgbClr val="0000FF"/>
            </a:solidFill>
            <a:ln w="25400">
              <a:noFill/>
            </a:ln>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Visual'!$B$13:$F$13</c:f>
              <c:numCache>
                <c:formatCode>General</c:formatCode>
                <c:ptCount val="5"/>
                <c:pt idx="0">
                  <c:v>11</c:v>
                </c:pt>
                <c:pt idx="1">
                  <c:v>14</c:v>
                </c:pt>
                <c:pt idx="2">
                  <c:v>12</c:v>
                </c:pt>
                <c:pt idx="3">
                  <c:v>11</c:v>
                </c:pt>
                <c:pt idx="4">
                  <c:v>9</c:v>
                </c:pt>
              </c:numCache>
            </c:numRef>
          </c:val>
          <c:extLst>
            <c:ext xmlns:c16="http://schemas.microsoft.com/office/drawing/2014/chart" uri="{C3380CC4-5D6E-409C-BE32-E72D297353CC}">
              <c16:uniqueId val="{00000002-FF0E-45D8-BF80-E5EBE9580AA3}"/>
            </c:ext>
          </c:extLst>
        </c:ser>
        <c:ser>
          <c:idx val="3"/>
          <c:order val="3"/>
          <c:tx>
            <c:strRef>
              <c:f>'[3]16 NAW Visual'!$A$14</c:f>
              <c:strCache>
                <c:ptCount val="1"/>
                <c:pt idx="0">
                  <c:v>UKIP</c:v>
                </c:pt>
              </c:strCache>
            </c:strRef>
          </c:tx>
          <c:spPr>
            <a:solidFill>
              <a:srgbClr val="7030A0"/>
            </a:solidFill>
            <a:ln w="25400">
              <a:noFill/>
            </a:ln>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Visual'!$B$14:$F$14</c:f>
              <c:numCache>
                <c:formatCode>General</c:formatCode>
                <c:ptCount val="5"/>
                <c:pt idx="0">
                  <c:v>7</c:v>
                </c:pt>
                <c:pt idx="1">
                  <c:v>0</c:v>
                </c:pt>
                <c:pt idx="2">
                  <c:v>0</c:v>
                </c:pt>
                <c:pt idx="3">
                  <c:v>0</c:v>
                </c:pt>
                <c:pt idx="4">
                  <c:v>0</c:v>
                </c:pt>
              </c:numCache>
            </c:numRef>
          </c:val>
          <c:extLst>
            <c:ext xmlns:c16="http://schemas.microsoft.com/office/drawing/2014/chart" uri="{C3380CC4-5D6E-409C-BE32-E72D297353CC}">
              <c16:uniqueId val="{00000003-FF0E-45D8-BF80-E5EBE9580AA3}"/>
            </c:ext>
          </c:extLst>
        </c:ser>
        <c:ser>
          <c:idx val="4"/>
          <c:order val="4"/>
          <c:tx>
            <c:strRef>
              <c:f>'[3]16 NAW Visual'!$A$15</c:f>
              <c:strCache>
                <c:ptCount val="1"/>
                <c:pt idx="0">
                  <c:v>LD</c:v>
                </c:pt>
              </c:strCache>
            </c:strRef>
          </c:tx>
          <c:spPr>
            <a:solidFill>
              <a:srgbClr val="FFC000"/>
            </a:solidFill>
            <a:ln w="25400">
              <a:noFill/>
            </a:ln>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Visual'!$B$15:$F$15</c:f>
              <c:numCache>
                <c:formatCode>General</c:formatCode>
                <c:ptCount val="5"/>
                <c:pt idx="0">
                  <c:v>1</c:v>
                </c:pt>
                <c:pt idx="1">
                  <c:v>5</c:v>
                </c:pt>
                <c:pt idx="2">
                  <c:v>6</c:v>
                </c:pt>
                <c:pt idx="3">
                  <c:v>6</c:v>
                </c:pt>
                <c:pt idx="4">
                  <c:v>6</c:v>
                </c:pt>
              </c:numCache>
            </c:numRef>
          </c:val>
          <c:extLst>
            <c:ext xmlns:c16="http://schemas.microsoft.com/office/drawing/2014/chart" uri="{C3380CC4-5D6E-409C-BE32-E72D297353CC}">
              <c16:uniqueId val="{00000004-FF0E-45D8-BF80-E5EBE9580AA3}"/>
            </c:ext>
          </c:extLst>
        </c:ser>
        <c:ser>
          <c:idx val="5"/>
          <c:order val="5"/>
          <c:tx>
            <c:strRef>
              <c:f>'[3]16 NAW Visual'!$A$16</c:f>
              <c:strCache>
                <c:ptCount val="1"/>
                <c:pt idx="0">
                  <c:v>Other</c:v>
                </c:pt>
              </c:strCache>
            </c:strRef>
          </c:tx>
          <c:spPr>
            <a:solidFill>
              <a:schemeClr val="bg1">
                <a:lumMod val="75000"/>
              </a:schemeClr>
            </a:solidFill>
          </c:spPr>
          <c:invertIfNegative val="0"/>
          <c:cat>
            <c:numRef>
              <c:f>'[3]16 NAW Visual'!$B$10:$F$10</c:f>
              <c:numCache>
                <c:formatCode>General</c:formatCode>
                <c:ptCount val="5"/>
                <c:pt idx="0">
                  <c:v>2016</c:v>
                </c:pt>
                <c:pt idx="1">
                  <c:v>2011</c:v>
                </c:pt>
                <c:pt idx="2">
                  <c:v>2007</c:v>
                </c:pt>
                <c:pt idx="3">
                  <c:v>2003</c:v>
                </c:pt>
                <c:pt idx="4">
                  <c:v>1999</c:v>
                </c:pt>
              </c:numCache>
            </c:numRef>
          </c:cat>
          <c:val>
            <c:numRef>
              <c:f>'[3]16 NAW Visual'!$B$16:$F$16</c:f>
              <c:numCache>
                <c:formatCode>General</c:formatCode>
                <c:ptCount val="5"/>
                <c:pt idx="0">
                  <c:v>0</c:v>
                </c:pt>
                <c:pt idx="1">
                  <c:v>0</c:v>
                </c:pt>
                <c:pt idx="2">
                  <c:v>1</c:v>
                </c:pt>
                <c:pt idx="3">
                  <c:v>1</c:v>
                </c:pt>
                <c:pt idx="4">
                  <c:v>0</c:v>
                </c:pt>
              </c:numCache>
            </c:numRef>
          </c:val>
          <c:extLst>
            <c:ext xmlns:c16="http://schemas.microsoft.com/office/drawing/2014/chart" uri="{C3380CC4-5D6E-409C-BE32-E72D297353CC}">
              <c16:uniqueId val="{00000005-FF0E-45D8-BF80-E5EBE9580AA3}"/>
            </c:ext>
          </c:extLst>
        </c:ser>
        <c:dLbls>
          <c:showLegendKey val="0"/>
          <c:showVal val="0"/>
          <c:showCatName val="0"/>
          <c:showSerName val="0"/>
          <c:showPercent val="0"/>
          <c:showBubbleSize val="0"/>
        </c:dLbls>
        <c:gapWidth val="90"/>
        <c:axId val="411510544"/>
        <c:axId val="460854920"/>
      </c:barChart>
      <c:catAx>
        <c:axId val="41151054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60854920"/>
        <c:crosses val="autoZero"/>
        <c:auto val="1"/>
        <c:lblAlgn val="ctr"/>
        <c:lblOffset val="100"/>
        <c:noMultiLvlLbl val="0"/>
      </c:catAx>
      <c:valAx>
        <c:axId val="460854920"/>
        <c:scaling>
          <c:orientation val="minMax"/>
        </c:scaling>
        <c:delete val="0"/>
        <c:axPos val="b"/>
        <c:numFmt formatCode="General" sourceLinked="1"/>
        <c:majorTickMark val="none"/>
        <c:minorTickMark val="none"/>
        <c:tickLblPos val="nextTo"/>
        <c:spPr>
          <a:noFill/>
          <a:ln>
            <a:solidFill>
              <a:schemeClr val="tx1"/>
            </a:solidFill>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11510544"/>
        <c:crosses val="autoZero"/>
        <c:crossBetween val="between"/>
        <c:majorUnit val="10"/>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baseline="0">
                <a:solidFill>
                  <a:sysClr val="windowText" lastClr="000000"/>
                </a:solidFill>
                <a:latin typeface="Frutiger LT Std 45 Light"/>
                <a:ea typeface="Frutiger LT Std 45 Light"/>
                <a:cs typeface="Frutiger LT Std 45 Light"/>
              </a:defRPr>
            </a:pPr>
            <a:r>
              <a:rPr lang="en-GB" cap="none"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Conservative vote share</a:t>
            </a:r>
          </a:p>
          <a:p>
            <a:pPr algn="l">
              <a:defRPr sz="900" b="1" i="0" u="none" strike="noStrike" baseline="0">
                <a:solidFill>
                  <a:sysClr val="windowText" lastClr="000000"/>
                </a:solidFill>
                <a:latin typeface="Frutiger LT Std 45 Light"/>
                <a:ea typeface="Frutiger LT Std 45 Light"/>
                <a:cs typeface="Frutiger LT Std 45 Light"/>
              </a:defRPr>
            </a:pPr>
            <a:r>
              <a:rPr lang="en-GB" cap="all"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1918-2019</a:t>
            </a:r>
          </a:p>
        </c:rich>
      </c:tx>
      <c:layout>
        <c:manualLayout>
          <c:xMode val="edge"/>
          <c:yMode val="edge"/>
          <c:x val="0.1467349839280139"/>
          <c:y val="2.3322500965337653E-2"/>
        </c:manualLayout>
      </c:layout>
      <c:overlay val="0"/>
      <c:spPr>
        <a:solidFill>
          <a:schemeClr val="bg1"/>
        </a:solidFill>
        <a:ln w="25400">
          <a:noFill/>
        </a:ln>
      </c:spPr>
    </c:title>
    <c:autoTitleDeleted val="0"/>
    <c:plotArea>
      <c:layout>
        <c:manualLayout>
          <c:layoutTarget val="inner"/>
          <c:xMode val="edge"/>
          <c:yMode val="edge"/>
          <c:x val="0.26887260558795889"/>
          <c:y val="0.13211262304486529"/>
          <c:w val="0.5986193716076752"/>
          <c:h val="0.81182381614062948"/>
        </c:manualLayout>
      </c:layout>
      <c:barChart>
        <c:barDir val="bar"/>
        <c:grouping val="clustered"/>
        <c:varyColors val="0"/>
        <c:ser>
          <c:idx val="0"/>
          <c:order val="0"/>
          <c:tx>
            <c:strRef>
              <c:f>'GE-UK Parties Visual'!$C$2</c:f>
              <c:strCache>
                <c:ptCount val="1"/>
                <c:pt idx="0">
                  <c:v>CON</c:v>
                </c:pt>
              </c:strCache>
            </c:strRef>
          </c:tx>
          <c:spPr>
            <a:solidFill>
              <a:srgbClr val="00539F"/>
            </a:solidFill>
            <a:ln w="25400">
              <a:noFill/>
            </a:ln>
          </c:spPr>
          <c:invertIfNegative val="0"/>
          <c:cat>
            <c:numRef>
              <c:f>'GE-UK Parties Visual'!$B$3:$B$30</c:f>
              <c:numCache>
                <c:formatCode>General</c:formatCode>
                <c:ptCount val="28"/>
                <c:pt idx="0">
                  <c:v>2019</c:v>
                </c:pt>
                <c:pt idx="1">
                  <c:v>2017</c:v>
                </c:pt>
                <c:pt idx="2" formatCode="0">
                  <c:v>2015</c:v>
                </c:pt>
                <c:pt idx="3" formatCode="0">
                  <c:v>2010</c:v>
                </c:pt>
                <c:pt idx="4" formatCode="0">
                  <c:v>2005</c:v>
                </c:pt>
                <c:pt idx="5" formatCode="0">
                  <c:v>2001</c:v>
                </c:pt>
                <c:pt idx="6" formatCode="0">
                  <c:v>1997</c:v>
                </c:pt>
                <c:pt idx="7" formatCode="0">
                  <c:v>1992</c:v>
                </c:pt>
                <c:pt idx="8" formatCode="0">
                  <c:v>1987</c:v>
                </c:pt>
                <c:pt idx="9" formatCode="0">
                  <c:v>1983</c:v>
                </c:pt>
                <c:pt idx="10" formatCode="0">
                  <c:v>1979</c:v>
                </c:pt>
                <c:pt idx="11" formatCode="0">
                  <c:v>1974</c:v>
                </c:pt>
                <c:pt idx="12" formatCode="0">
                  <c:v>1974</c:v>
                </c:pt>
                <c:pt idx="13" formatCode="0">
                  <c:v>1970</c:v>
                </c:pt>
                <c:pt idx="14" formatCode="0">
                  <c:v>1966</c:v>
                </c:pt>
                <c:pt idx="15" formatCode="0">
                  <c:v>1964</c:v>
                </c:pt>
                <c:pt idx="16" formatCode="0">
                  <c:v>1959</c:v>
                </c:pt>
                <c:pt idx="17" formatCode="0">
                  <c:v>1955</c:v>
                </c:pt>
                <c:pt idx="18" formatCode="0">
                  <c:v>1951</c:v>
                </c:pt>
                <c:pt idx="19" formatCode="0">
                  <c:v>1950</c:v>
                </c:pt>
                <c:pt idx="20" formatCode="0">
                  <c:v>1945</c:v>
                </c:pt>
                <c:pt idx="21" formatCode="0">
                  <c:v>1935</c:v>
                </c:pt>
                <c:pt idx="22" formatCode="0">
                  <c:v>1931</c:v>
                </c:pt>
                <c:pt idx="23" formatCode="0">
                  <c:v>1929</c:v>
                </c:pt>
                <c:pt idx="24" formatCode="0">
                  <c:v>1924</c:v>
                </c:pt>
                <c:pt idx="25" formatCode="0">
                  <c:v>1923</c:v>
                </c:pt>
                <c:pt idx="26" formatCode="0">
                  <c:v>1922</c:v>
                </c:pt>
                <c:pt idx="27" formatCode="0">
                  <c:v>1918</c:v>
                </c:pt>
              </c:numCache>
            </c:numRef>
          </c:cat>
          <c:val>
            <c:numRef>
              <c:f>'GE-UK Parties Visual'!$C$3:$C$30</c:f>
              <c:numCache>
                <c:formatCode>0.0%</c:formatCode>
                <c:ptCount val="28"/>
                <c:pt idx="0">
                  <c:v>0.43625932440414555</c:v>
                </c:pt>
                <c:pt idx="1">
                  <c:v>0.42344523333194944</c:v>
                </c:pt>
                <c:pt idx="2">
                  <c:v>0.36799999999999999</c:v>
                </c:pt>
                <c:pt idx="3">
                  <c:v>0.36054287169823473</c:v>
                </c:pt>
                <c:pt idx="4">
                  <c:v>0.32358737182998254</c:v>
                </c:pt>
                <c:pt idx="5">
                  <c:v>0.31620942434825633</c:v>
                </c:pt>
                <c:pt idx="6">
                  <c:v>0.30687386843384784</c:v>
                </c:pt>
                <c:pt idx="7">
                  <c:v>0.41925911747561451</c:v>
                </c:pt>
                <c:pt idx="8">
                  <c:v>0.42227399937373916</c:v>
                </c:pt>
                <c:pt idx="9">
                  <c:v>0.42425280810424471</c:v>
                </c:pt>
                <c:pt idx="10">
                  <c:v>0.43873560032390641</c:v>
                </c:pt>
                <c:pt idx="11">
                  <c:v>0.37758987972046859</c:v>
                </c:pt>
                <c:pt idx="12">
                  <c:v>0.35721754254601307</c:v>
                </c:pt>
                <c:pt idx="13">
                  <c:v>0.46375786484701709</c:v>
                </c:pt>
                <c:pt idx="14">
                  <c:v>0.41879922817548976</c:v>
                </c:pt>
                <c:pt idx="15">
                  <c:v>0.433199185975358</c:v>
                </c:pt>
                <c:pt idx="16">
                  <c:v>0.49352355260367892</c:v>
                </c:pt>
                <c:pt idx="17">
                  <c:v>0.496474347703596</c:v>
                </c:pt>
                <c:pt idx="18">
                  <c:v>0.47971443732075225</c:v>
                </c:pt>
                <c:pt idx="19">
                  <c:v>0.43334076902939211</c:v>
                </c:pt>
                <c:pt idx="20">
                  <c:v>0.3973673047768706</c:v>
                </c:pt>
                <c:pt idx="21">
                  <c:v>0.53468113695767394</c:v>
                </c:pt>
                <c:pt idx="22">
                  <c:v>0.60752509203641814</c:v>
                </c:pt>
                <c:pt idx="23">
                  <c:v>0.38220070976394549</c:v>
                </c:pt>
                <c:pt idx="24">
                  <c:v>0.47201870834016668</c:v>
                </c:pt>
                <c:pt idx="25">
                  <c:v>0.37906630569310124</c:v>
                </c:pt>
                <c:pt idx="26">
                  <c:v>0.38230765970485669</c:v>
                </c:pt>
                <c:pt idx="27">
                  <c:v>0.38419040721740183</c:v>
                </c:pt>
              </c:numCache>
            </c:numRef>
          </c:val>
          <c:extLst>
            <c:ext xmlns:c16="http://schemas.microsoft.com/office/drawing/2014/chart" uri="{C3380CC4-5D6E-409C-BE32-E72D297353CC}">
              <c16:uniqueId val="{00000000-E9C5-490F-9D6B-D8980B12B21F}"/>
            </c:ext>
          </c:extLst>
        </c:ser>
        <c:dLbls>
          <c:showLegendKey val="0"/>
          <c:showVal val="0"/>
          <c:showCatName val="0"/>
          <c:showSerName val="0"/>
          <c:showPercent val="0"/>
          <c:showBubbleSize val="0"/>
        </c:dLbls>
        <c:gapWidth val="90"/>
        <c:axId val="461794472"/>
        <c:axId val="461794864"/>
      </c:barChart>
      <c:catAx>
        <c:axId val="46179447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sz="7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4864"/>
        <c:crosses val="autoZero"/>
        <c:auto val="1"/>
        <c:lblAlgn val="ctr"/>
        <c:lblOffset val="100"/>
        <c:tickLblSkip val="1"/>
        <c:noMultiLvlLbl val="0"/>
      </c:catAx>
      <c:valAx>
        <c:axId val="461794864"/>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sz="7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1794472"/>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893168277564627"/>
          <c:y val="0.10329926354305841"/>
          <c:w val="0.6138582677165354"/>
          <c:h val="0.83783265209172308"/>
        </c:manualLayout>
      </c:layout>
      <c:barChart>
        <c:barDir val="bar"/>
        <c:grouping val="clustered"/>
        <c:varyColors val="0"/>
        <c:ser>
          <c:idx val="3"/>
          <c:order val="0"/>
          <c:tx>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tx>
          <c:spPr>
            <a:solidFill>
              <a:srgbClr val="36845B"/>
            </a:solidFill>
          </c:spPr>
          <c:invertIfNegative val="0"/>
          <c:dPt>
            <c:idx val="0"/>
            <c:invertIfNegative val="0"/>
            <c:bubble3D val="0"/>
            <c:spPr>
              <a:solidFill>
                <a:srgbClr val="00539F"/>
              </a:solidFill>
            </c:spPr>
            <c:extLst>
              <c:ext xmlns:c16="http://schemas.microsoft.com/office/drawing/2014/chart" uri="{C3380CC4-5D6E-409C-BE32-E72D297353CC}">
                <c16:uniqueId val="{00000001-EC05-47CC-A04D-96AE64DC990A}"/>
              </c:ext>
            </c:extLst>
          </c:dPt>
          <c:dPt>
            <c:idx val="1"/>
            <c:invertIfNegative val="0"/>
            <c:bubble3D val="0"/>
            <c:spPr>
              <a:solidFill>
                <a:srgbClr val="00539F"/>
              </a:solidFill>
            </c:spPr>
            <c:extLst>
              <c:ext xmlns:c16="http://schemas.microsoft.com/office/drawing/2014/chart" uri="{C3380CC4-5D6E-409C-BE32-E72D297353CC}">
                <c16:uniqueId val="{00000003-EC05-47CC-A04D-96AE64DC990A}"/>
              </c:ext>
            </c:extLst>
          </c:dPt>
          <c:dPt>
            <c:idx val="2"/>
            <c:invertIfNegative val="0"/>
            <c:bubble3D val="0"/>
            <c:spPr>
              <a:solidFill>
                <a:srgbClr val="00539F"/>
              </a:solidFill>
            </c:spPr>
            <c:extLst>
              <c:ext xmlns:c16="http://schemas.microsoft.com/office/drawing/2014/chart" uri="{C3380CC4-5D6E-409C-BE32-E72D297353CC}">
                <c16:uniqueId val="{00000005-EC05-47CC-A04D-96AE64DC990A}"/>
              </c:ext>
            </c:extLst>
          </c:dPt>
          <c:dPt>
            <c:idx val="3"/>
            <c:invertIfNegative val="0"/>
            <c:bubble3D val="0"/>
            <c:spPr>
              <a:solidFill>
                <a:srgbClr val="00539F"/>
              </a:solidFill>
              <a:ln>
                <a:solidFill>
                  <a:schemeClr val="accent4">
                    <a:lumMod val="20000"/>
                    <a:lumOff val="80000"/>
                  </a:schemeClr>
                </a:solidFill>
              </a:ln>
            </c:spPr>
            <c:extLst>
              <c:ext xmlns:c16="http://schemas.microsoft.com/office/drawing/2014/chart" uri="{C3380CC4-5D6E-409C-BE32-E72D297353CC}">
                <c16:uniqueId val="{00000007-EC05-47CC-A04D-96AE64DC990A}"/>
              </c:ext>
            </c:extLst>
          </c:dPt>
          <c:dPt>
            <c:idx val="4"/>
            <c:invertIfNegative val="0"/>
            <c:bubble3D val="0"/>
            <c:spPr>
              <a:solidFill>
                <a:srgbClr val="D50000"/>
              </a:solidFill>
            </c:spPr>
            <c:extLst>
              <c:ext xmlns:c16="http://schemas.microsoft.com/office/drawing/2014/chart" uri="{C3380CC4-5D6E-409C-BE32-E72D297353CC}">
                <c16:uniqueId val="{00000009-EC05-47CC-A04D-96AE64DC990A}"/>
              </c:ext>
            </c:extLst>
          </c:dPt>
          <c:dPt>
            <c:idx val="5"/>
            <c:invertIfNegative val="0"/>
            <c:bubble3D val="0"/>
            <c:spPr>
              <a:solidFill>
                <a:srgbClr val="00539F"/>
              </a:solidFill>
            </c:spPr>
            <c:extLst>
              <c:ext xmlns:c16="http://schemas.microsoft.com/office/drawing/2014/chart" uri="{C3380CC4-5D6E-409C-BE32-E72D297353CC}">
                <c16:uniqueId val="{0000000B-EC05-47CC-A04D-96AE64DC990A}"/>
              </c:ext>
            </c:extLst>
          </c:dPt>
          <c:dPt>
            <c:idx val="6"/>
            <c:invertIfNegative val="0"/>
            <c:bubble3D val="0"/>
            <c:spPr>
              <a:solidFill>
                <a:srgbClr val="D50000"/>
              </a:solidFill>
            </c:spPr>
            <c:extLst>
              <c:ext xmlns:c16="http://schemas.microsoft.com/office/drawing/2014/chart" uri="{C3380CC4-5D6E-409C-BE32-E72D297353CC}">
                <c16:uniqueId val="{0000000D-EC05-47CC-A04D-96AE64DC990A}"/>
              </c:ext>
            </c:extLst>
          </c:dPt>
          <c:dPt>
            <c:idx val="7"/>
            <c:invertIfNegative val="0"/>
            <c:bubble3D val="0"/>
            <c:spPr>
              <a:solidFill>
                <a:srgbClr val="00539F"/>
              </a:solidFill>
            </c:spPr>
            <c:extLst>
              <c:ext xmlns:c16="http://schemas.microsoft.com/office/drawing/2014/chart" uri="{C3380CC4-5D6E-409C-BE32-E72D297353CC}">
                <c16:uniqueId val="{0000000F-EC05-47CC-A04D-96AE64DC990A}"/>
              </c:ext>
            </c:extLst>
          </c:dPt>
          <c:dPt>
            <c:idx val="8"/>
            <c:invertIfNegative val="0"/>
            <c:bubble3D val="0"/>
            <c:spPr>
              <a:solidFill>
                <a:srgbClr val="909090"/>
              </a:solidFill>
            </c:spPr>
            <c:extLst>
              <c:ext xmlns:c16="http://schemas.microsoft.com/office/drawing/2014/chart" uri="{C3380CC4-5D6E-409C-BE32-E72D297353CC}">
                <c16:uniqueId val="{00000011-EC05-47CC-A04D-96AE64DC990A}"/>
              </c:ext>
            </c:extLst>
          </c:dPt>
          <c:dPt>
            <c:idx val="9"/>
            <c:invertIfNegative val="0"/>
            <c:bubble3D val="0"/>
            <c:spPr>
              <a:solidFill>
                <a:srgbClr val="909090"/>
              </a:solidFill>
            </c:spPr>
            <c:extLst>
              <c:ext xmlns:c16="http://schemas.microsoft.com/office/drawing/2014/chart" uri="{C3380CC4-5D6E-409C-BE32-E72D297353CC}">
                <c16:uniqueId val="{00000013-EC05-47CC-A04D-96AE64DC990A}"/>
              </c:ext>
            </c:extLst>
          </c:dPt>
          <c:dPt>
            <c:idx val="10"/>
            <c:invertIfNegative val="0"/>
            <c:bubble3D val="0"/>
            <c:spPr>
              <a:solidFill>
                <a:srgbClr val="D50000"/>
              </a:solidFill>
            </c:spPr>
            <c:extLst>
              <c:ext xmlns:c16="http://schemas.microsoft.com/office/drawing/2014/chart" uri="{C3380CC4-5D6E-409C-BE32-E72D297353CC}">
                <c16:uniqueId val="{00000015-EC05-47CC-A04D-96AE64DC990A}"/>
              </c:ext>
            </c:extLst>
          </c:dPt>
          <c:dPt>
            <c:idx val="11"/>
            <c:invertIfNegative val="0"/>
            <c:bubble3D val="0"/>
            <c:spPr>
              <a:solidFill>
                <a:srgbClr val="00539F"/>
              </a:solidFill>
            </c:spPr>
            <c:extLst>
              <c:ext xmlns:c16="http://schemas.microsoft.com/office/drawing/2014/chart" uri="{C3380CC4-5D6E-409C-BE32-E72D297353CC}">
                <c16:uniqueId val="{00000017-EC05-47CC-A04D-96AE64DC990A}"/>
              </c:ext>
            </c:extLst>
          </c:dPt>
          <c:dPt>
            <c:idx val="12"/>
            <c:invertIfNegative val="0"/>
            <c:bubble3D val="0"/>
            <c:spPr>
              <a:solidFill>
                <a:srgbClr val="00539F"/>
              </a:solidFill>
            </c:spPr>
            <c:extLst>
              <c:ext xmlns:c16="http://schemas.microsoft.com/office/drawing/2014/chart" uri="{C3380CC4-5D6E-409C-BE32-E72D297353CC}">
                <c16:uniqueId val="{00000019-EC05-47CC-A04D-96AE64DC990A}"/>
              </c:ext>
            </c:extLst>
          </c:dPt>
          <c:dPt>
            <c:idx val="13"/>
            <c:invertIfNegative val="0"/>
            <c:bubble3D val="0"/>
            <c:spPr>
              <a:solidFill>
                <a:schemeClr val="accent1"/>
              </a:solidFill>
            </c:spPr>
            <c:extLst>
              <c:ext xmlns:c16="http://schemas.microsoft.com/office/drawing/2014/chart" uri="{C3380CC4-5D6E-409C-BE32-E72D297353CC}">
                <c16:uniqueId val="{0000001B-EC05-47CC-A04D-96AE64DC990A}"/>
              </c:ext>
            </c:extLst>
          </c:dPt>
          <c:dPt>
            <c:idx val="14"/>
            <c:invertIfNegative val="0"/>
            <c:bubble3D val="0"/>
            <c:spPr>
              <a:solidFill>
                <a:srgbClr val="00539F"/>
              </a:solidFill>
            </c:spPr>
            <c:extLst>
              <c:ext xmlns:c16="http://schemas.microsoft.com/office/drawing/2014/chart" uri="{C3380CC4-5D6E-409C-BE32-E72D297353CC}">
                <c16:uniqueId val="{0000001D-EC05-47CC-A04D-96AE64DC990A}"/>
              </c:ext>
            </c:extLst>
          </c:dPt>
          <c:dPt>
            <c:idx val="15"/>
            <c:invertIfNegative val="0"/>
            <c:bubble3D val="0"/>
            <c:spPr>
              <a:solidFill>
                <a:srgbClr val="D50000"/>
              </a:solidFill>
            </c:spPr>
            <c:extLst>
              <c:ext xmlns:c16="http://schemas.microsoft.com/office/drawing/2014/chart" uri="{C3380CC4-5D6E-409C-BE32-E72D297353CC}">
                <c16:uniqueId val="{0000001F-EC05-47CC-A04D-96AE64DC990A}"/>
              </c:ext>
            </c:extLst>
          </c:dPt>
          <c:dPt>
            <c:idx val="16"/>
            <c:invertIfNegative val="0"/>
            <c:bubble3D val="0"/>
            <c:spPr>
              <a:solidFill>
                <a:srgbClr val="00539F"/>
              </a:solidFill>
            </c:spPr>
            <c:extLst>
              <c:ext xmlns:c16="http://schemas.microsoft.com/office/drawing/2014/chart" uri="{C3380CC4-5D6E-409C-BE32-E72D297353CC}">
                <c16:uniqueId val="{00000021-EC05-47CC-A04D-96AE64DC990A}"/>
              </c:ext>
            </c:extLst>
          </c:dPt>
          <c:dPt>
            <c:idx val="17"/>
            <c:invertIfNegative val="0"/>
            <c:bubble3D val="0"/>
            <c:spPr>
              <a:solidFill>
                <a:srgbClr val="D50000"/>
              </a:solidFill>
            </c:spPr>
            <c:extLst>
              <c:ext xmlns:c16="http://schemas.microsoft.com/office/drawing/2014/chart" uri="{C3380CC4-5D6E-409C-BE32-E72D297353CC}">
                <c16:uniqueId val="{00000023-EC05-47CC-A04D-96AE64DC990A}"/>
              </c:ext>
            </c:extLst>
          </c:dPt>
          <c:dPt>
            <c:idx val="18"/>
            <c:invertIfNegative val="0"/>
            <c:bubble3D val="0"/>
            <c:spPr>
              <a:solidFill>
                <a:srgbClr val="00539F"/>
              </a:solidFill>
            </c:spPr>
            <c:extLst>
              <c:ext xmlns:c16="http://schemas.microsoft.com/office/drawing/2014/chart" uri="{C3380CC4-5D6E-409C-BE32-E72D297353CC}">
                <c16:uniqueId val="{00000025-EC05-47CC-A04D-96AE64DC990A}"/>
              </c:ext>
            </c:extLst>
          </c:dPt>
          <c:cat>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cat>
          <c:val>
            <c:numRef>
              <c:f>'PM -time in office '!$G$42:$G$61</c:f>
              <c:numCache>
                <c:formatCode>#,##0.000;\-#,##0.000</c:formatCode>
                <c:ptCount val="20"/>
                <c:pt idx="0">
                  <c:v>0.57808219178082187</c:v>
                </c:pt>
                <c:pt idx="1">
                  <c:v>0.99726027397260275</c:v>
                </c:pt>
                <c:pt idx="2">
                  <c:v>1.7671232876712328</c:v>
                </c:pt>
                <c:pt idx="3">
                  <c:v>1.9972602739726026</c:v>
                </c:pt>
                <c:pt idx="4">
                  <c:v>2.8739726027397259</c:v>
                </c:pt>
                <c:pt idx="5">
                  <c:v>2.9534246575342467</c:v>
                </c:pt>
                <c:pt idx="6">
                  <c:v>3.0301369863013701</c:v>
                </c:pt>
                <c:pt idx="7">
                  <c:v>3.0794520547945203</c:v>
                </c:pt>
                <c:pt idx="8">
                  <c:v>3.7095890410958905</c:v>
                </c:pt>
                <c:pt idx="9">
                  <c:v>5.8821917808219197</c:v>
                </c:pt>
                <c:pt idx="10">
                  <c:v>6.1780821917808222</c:v>
                </c:pt>
                <c:pt idx="11">
                  <c:v>6.2547945205479456</c:v>
                </c:pt>
                <c:pt idx="12">
                  <c:v>6.4301369863013695</c:v>
                </c:pt>
                <c:pt idx="13">
                  <c:v>6.7726027397260271</c:v>
                </c:pt>
                <c:pt idx="14">
                  <c:v>6.7945205479452051</c:v>
                </c:pt>
                <c:pt idx="15">
                  <c:v>7.2328767123287667</c:v>
                </c:pt>
                <c:pt idx="16">
                  <c:v>7.7671232876712333</c:v>
                </c:pt>
                <c:pt idx="17">
                  <c:v>8.6602739726027398</c:v>
                </c:pt>
                <c:pt idx="18">
                  <c:v>10.158904109589042</c:v>
                </c:pt>
                <c:pt idx="19">
                  <c:v>11.578082191780823</c:v>
                </c:pt>
              </c:numCache>
            </c:numRef>
          </c:val>
          <c:extLst>
            <c:ext xmlns:c16="http://schemas.microsoft.com/office/drawing/2014/chart" uri="{C3380CC4-5D6E-409C-BE32-E72D297353CC}">
              <c16:uniqueId val="{00000026-EC05-47CC-A04D-96AE64DC990A}"/>
            </c:ext>
          </c:extLst>
        </c:ser>
        <c:dLbls>
          <c:showLegendKey val="0"/>
          <c:showVal val="0"/>
          <c:showCatName val="0"/>
          <c:showSerName val="0"/>
          <c:showPercent val="0"/>
          <c:showBubbleSize val="0"/>
        </c:dLbls>
        <c:gapWidth val="28"/>
        <c:overlap val="-59"/>
        <c:axId val="463042184"/>
        <c:axId val="463042576"/>
      </c:barChart>
      <c:catAx>
        <c:axId val="463042184"/>
        <c:scaling>
          <c:orientation val="minMax"/>
        </c:scaling>
        <c:delete val="0"/>
        <c:axPos val="l"/>
        <c:numFmt formatCode="dd/mm/yyyy" sourceLinked="0"/>
        <c:majorTickMark val="none"/>
        <c:minorTickMark val="out"/>
        <c:tickLblPos val="nextTo"/>
        <c:spPr>
          <a:noFill/>
          <a:ln w="9525" cap="flat" cmpd="sng" algn="ctr">
            <a:solidFill>
              <a:schemeClr val="tx1"/>
            </a:solidFill>
            <a:round/>
          </a:ln>
          <a:effectLst/>
        </c:spPr>
        <c:txPr>
          <a:bodyPr rot="0" vert="horz"/>
          <a:lstStyle/>
          <a:p>
            <a:pPr>
              <a:defRPr/>
            </a:pPr>
            <a:endParaRPr lang="en-US"/>
          </a:p>
        </c:txPr>
        <c:crossAx val="463042576"/>
        <c:crosses val="autoZero"/>
        <c:auto val="1"/>
        <c:lblAlgn val="ctr"/>
        <c:lblOffset val="100"/>
        <c:tickLblSkip val="1"/>
        <c:tickMarkSkip val="1"/>
        <c:noMultiLvlLbl val="0"/>
      </c:catAx>
      <c:valAx>
        <c:axId val="463042576"/>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3042184"/>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893168277564627"/>
          <c:y val="0.10329926354305841"/>
          <c:w val="0.6138582677165354"/>
          <c:h val="0.83783265209172308"/>
        </c:manualLayout>
      </c:layout>
      <c:barChart>
        <c:barDir val="bar"/>
        <c:grouping val="clustered"/>
        <c:varyColors val="0"/>
        <c:ser>
          <c:idx val="3"/>
          <c:order val="0"/>
          <c:tx>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tx>
          <c:spPr>
            <a:solidFill>
              <a:srgbClr val="36845B"/>
            </a:solidFill>
          </c:spPr>
          <c:invertIfNegative val="0"/>
          <c:dPt>
            <c:idx val="0"/>
            <c:invertIfNegative val="0"/>
            <c:bubble3D val="0"/>
            <c:spPr>
              <a:solidFill>
                <a:srgbClr val="00539F"/>
              </a:solidFill>
            </c:spPr>
            <c:extLst>
              <c:ext xmlns:c16="http://schemas.microsoft.com/office/drawing/2014/chart" uri="{C3380CC4-5D6E-409C-BE32-E72D297353CC}">
                <c16:uniqueId val="{00000001-5F99-4EA4-8B92-D7415C4DA733}"/>
              </c:ext>
            </c:extLst>
          </c:dPt>
          <c:dPt>
            <c:idx val="1"/>
            <c:invertIfNegative val="0"/>
            <c:bubble3D val="0"/>
            <c:spPr>
              <a:solidFill>
                <a:srgbClr val="00539F"/>
              </a:solidFill>
            </c:spPr>
            <c:extLst>
              <c:ext xmlns:c16="http://schemas.microsoft.com/office/drawing/2014/chart" uri="{C3380CC4-5D6E-409C-BE32-E72D297353CC}">
                <c16:uniqueId val="{00000003-5F99-4EA4-8B92-D7415C4DA733}"/>
              </c:ext>
            </c:extLst>
          </c:dPt>
          <c:dPt>
            <c:idx val="2"/>
            <c:invertIfNegative val="0"/>
            <c:bubble3D val="0"/>
            <c:spPr>
              <a:solidFill>
                <a:srgbClr val="00539F"/>
              </a:solidFill>
            </c:spPr>
            <c:extLst>
              <c:ext xmlns:c16="http://schemas.microsoft.com/office/drawing/2014/chart" uri="{C3380CC4-5D6E-409C-BE32-E72D297353CC}">
                <c16:uniqueId val="{00000005-5F99-4EA4-8B92-D7415C4DA733}"/>
              </c:ext>
            </c:extLst>
          </c:dPt>
          <c:dPt>
            <c:idx val="3"/>
            <c:invertIfNegative val="0"/>
            <c:bubble3D val="0"/>
            <c:spPr>
              <a:solidFill>
                <a:srgbClr val="00539F"/>
              </a:solidFill>
              <a:ln>
                <a:solidFill>
                  <a:schemeClr val="accent4">
                    <a:lumMod val="20000"/>
                    <a:lumOff val="80000"/>
                  </a:schemeClr>
                </a:solidFill>
              </a:ln>
            </c:spPr>
            <c:extLst>
              <c:ext xmlns:c16="http://schemas.microsoft.com/office/drawing/2014/chart" uri="{C3380CC4-5D6E-409C-BE32-E72D297353CC}">
                <c16:uniqueId val="{00000007-5F99-4EA4-8B92-D7415C4DA733}"/>
              </c:ext>
            </c:extLst>
          </c:dPt>
          <c:dPt>
            <c:idx val="4"/>
            <c:invertIfNegative val="0"/>
            <c:bubble3D val="0"/>
            <c:spPr>
              <a:solidFill>
                <a:srgbClr val="D50000"/>
              </a:solidFill>
            </c:spPr>
            <c:extLst>
              <c:ext xmlns:c16="http://schemas.microsoft.com/office/drawing/2014/chart" uri="{C3380CC4-5D6E-409C-BE32-E72D297353CC}">
                <c16:uniqueId val="{00000009-5F99-4EA4-8B92-D7415C4DA733}"/>
              </c:ext>
            </c:extLst>
          </c:dPt>
          <c:dPt>
            <c:idx val="5"/>
            <c:invertIfNegative val="0"/>
            <c:bubble3D val="0"/>
            <c:spPr>
              <a:solidFill>
                <a:srgbClr val="00539F"/>
              </a:solidFill>
            </c:spPr>
            <c:extLst>
              <c:ext xmlns:c16="http://schemas.microsoft.com/office/drawing/2014/chart" uri="{C3380CC4-5D6E-409C-BE32-E72D297353CC}">
                <c16:uniqueId val="{0000000B-5F99-4EA4-8B92-D7415C4DA733}"/>
              </c:ext>
            </c:extLst>
          </c:dPt>
          <c:dPt>
            <c:idx val="6"/>
            <c:invertIfNegative val="0"/>
            <c:bubble3D val="0"/>
            <c:spPr>
              <a:solidFill>
                <a:srgbClr val="D50000"/>
              </a:solidFill>
            </c:spPr>
            <c:extLst>
              <c:ext xmlns:c16="http://schemas.microsoft.com/office/drawing/2014/chart" uri="{C3380CC4-5D6E-409C-BE32-E72D297353CC}">
                <c16:uniqueId val="{0000000D-5F99-4EA4-8B92-D7415C4DA733}"/>
              </c:ext>
            </c:extLst>
          </c:dPt>
          <c:dPt>
            <c:idx val="7"/>
            <c:invertIfNegative val="0"/>
            <c:bubble3D val="0"/>
            <c:spPr>
              <a:solidFill>
                <a:srgbClr val="00539F"/>
              </a:solidFill>
            </c:spPr>
            <c:extLst>
              <c:ext xmlns:c16="http://schemas.microsoft.com/office/drawing/2014/chart" uri="{C3380CC4-5D6E-409C-BE32-E72D297353CC}">
                <c16:uniqueId val="{0000000F-5F99-4EA4-8B92-D7415C4DA733}"/>
              </c:ext>
            </c:extLst>
          </c:dPt>
          <c:dPt>
            <c:idx val="8"/>
            <c:invertIfNegative val="0"/>
            <c:bubble3D val="0"/>
            <c:spPr>
              <a:solidFill>
                <a:srgbClr val="FAA01A"/>
              </a:solidFill>
            </c:spPr>
            <c:extLst>
              <c:ext xmlns:c16="http://schemas.microsoft.com/office/drawing/2014/chart" uri="{C3380CC4-5D6E-409C-BE32-E72D297353CC}">
                <c16:uniqueId val="{00000011-5F99-4EA4-8B92-D7415C4DA733}"/>
              </c:ext>
            </c:extLst>
          </c:dPt>
          <c:dPt>
            <c:idx val="9"/>
            <c:invertIfNegative val="0"/>
            <c:bubble3D val="0"/>
            <c:spPr>
              <a:solidFill>
                <a:srgbClr val="00539F"/>
              </a:solidFill>
            </c:spPr>
            <c:extLst>
              <c:ext xmlns:c16="http://schemas.microsoft.com/office/drawing/2014/chart" uri="{C3380CC4-5D6E-409C-BE32-E72D297353CC}">
                <c16:uniqueId val="{00000013-5F99-4EA4-8B92-D7415C4DA733}"/>
              </c:ext>
            </c:extLst>
          </c:dPt>
          <c:dPt>
            <c:idx val="10"/>
            <c:invertIfNegative val="0"/>
            <c:bubble3D val="0"/>
            <c:spPr>
              <a:solidFill>
                <a:srgbClr val="D50000"/>
              </a:solidFill>
            </c:spPr>
            <c:extLst>
              <c:ext xmlns:c16="http://schemas.microsoft.com/office/drawing/2014/chart" uri="{C3380CC4-5D6E-409C-BE32-E72D297353CC}">
                <c16:uniqueId val="{00000015-5F99-4EA4-8B92-D7415C4DA733}"/>
              </c:ext>
            </c:extLst>
          </c:dPt>
          <c:dPt>
            <c:idx val="11"/>
            <c:invertIfNegative val="0"/>
            <c:bubble3D val="0"/>
            <c:spPr>
              <a:solidFill>
                <a:srgbClr val="00539F"/>
              </a:solidFill>
            </c:spPr>
            <c:extLst>
              <c:ext xmlns:c16="http://schemas.microsoft.com/office/drawing/2014/chart" uri="{C3380CC4-5D6E-409C-BE32-E72D297353CC}">
                <c16:uniqueId val="{00000017-5F99-4EA4-8B92-D7415C4DA733}"/>
              </c:ext>
            </c:extLst>
          </c:dPt>
          <c:dPt>
            <c:idx val="12"/>
            <c:invertIfNegative val="0"/>
            <c:bubble3D val="0"/>
            <c:spPr>
              <a:solidFill>
                <a:srgbClr val="00539F"/>
              </a:solidFill>
            </c:spPr>
            <c:extLst>
              <c:ext xmlns:c16="http://schemas.microsoft.com/office/drawing/2014/chart" uri="{C3380CC4-5D6E-409C-BE32-E72D297353CC}">
                <c16:uniqueId val="{00000019-5F99-4EA4-8B92-D7415C4DA733}"/>
              </c:ext>
            </c:extLst>
          </c:dPt>
          <c:dPt>
            <c:idx val="13"/>
            <c:invertIfNegative val="0"/>
            <c:bubble3D val="0"/>
            <c:spPr>
              <a:solidFill>
                <a:srgbClr val="D50000"/>
              </a:solidFill>
            </c:spPr>
            <c:extLst>
              <c:ext xmlns:c16="http://schemas.microsoft.com/office/drawing/2014/chart" uri="{C3380CC4-5D6E-409C-BE32-E72D297353CC}">
                <c16:uniqueId val="{0000001B-5F99-4EA4-8B92-D7415C4DA733}"/>
              </c:ext>
            </c:extLst>
          </c:dPt>
          <c:dPt>
            <c:idx val="14"/>
            <c:invertIfNegative val="0"/>
            <c:bubble3D val="0"/>
            <c:spPr>
              <a:solidFill>
                <a:srgbClr val="00539F"/>
              </a:solidFill>
            </c:spPr>
            <c:extLst>
              <c:ext xmlns:c16="http://schemas.microsoft.com/office/drawing/2014/chart" uri="{C3380CC4-5D6E-409C-BE32-E72D297353CC}">
                <c16:uniqueId val="{0000001D-5F99-4EA4-8B92-D7415C4DA733}"/>
              </c:ext>
            </c:extLst>
          </c:dPt>
          <c:dPt>
            <c:idx val="15"/>
            <c:invertIfNegative val="0"/>
            <c:bubble3D val="0"/>
            <c:spPr>
              <a:solidFill>
                <a:srgbClr val="D50000"/>
              </a:solidFill>
            </c:spPr>
            <c:extLst>
              <c:ext xmlns:c16="http://schemas.microsoft.com/office/drawing/2014/chart" uri="{C3380CC4-5D6E-409C-BE32-E72D297353CC}">
                <c16:uniqueId val="{0000001F-5F99-4EA4-8B92-D7415C4DA733}"/>
              </c:ext>
            </c:extLst>
          </c:dPt>
          <c:dPt>
            <c:idx val="16"/>
            <c:invertIfNegative val="0"/>
            <c:bubble3D val="0"/>
            <c:spPr>
              <a:solidFill>
                <a:srgbClr val="00539F"/>
              </a:solidFill>
            </c:spPr>
            <c:extLst>
              <c:ext xmlns:c16="http://schemas.microsoft.com/office/drawing/2014/chart" uri="{C3380CC4-5D6E-409C-BE32-E72D297353CC}">
                <c16:uniqueId val="{00000021-5F99-4EA4-8B92-D7415C4DA733}"/>
              </c:ext>
            </c:extLst>
          </c:dPt>
          <c:dPt>
            <c:idx val="17"/>
            <c:invertIfNegative val="0"/>
            <c:bubble3D val="0"/>
            <c:spPr>
              <a:solidFill>
                <a:srgbClr val="D50000"/>
              </a:solidFill>
            </c:spPr>
            <c:extLst>
              <c:ext xmlns:c16="http://schemas.microsoft.com/office/drawing/2014/chart" uri="{C3380CC4-5D6E-409C-BE32-E72D297353CC}">
                <c16:uniqueId val="{00000023-5F99-4EA4-8B92-D7415C4DA733}"/>
              </c:ext>
            </c:extLst>
          </c:dPt>
          <c:dPt>
            <c:idx val="18"/>
            <c:invertIfNegative val="0"/>
            <c:bubble3D val="0"/>
            <c:spPr>
              <a:solidFill>
                <a:srgbClr val="00539F"/>
              </a:solidFill>
            </c:spPr>
            <c:extLst>
              <c:ext xmlns:c16="http://schemas.microsoft.com/office/drawing/2014/chart" uri="{C3380CC4-5D6E-409C-BE32-E72D297353CC}">
                <c16:uniqueId val="{00000025-5F99-4EA4-8B92-D7415C4DA733}"/>
              </c:ext>
            </c:extLst>
          </c:dPt>
          <c:cat>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cat>
          <c:val>
            <c:numRef>
              <c:f>'PM -time in office '!$G$42:$G$61</c:f>
              <c:numCache>
                <c:formatCode>#,##0.000;\-#,##0.000</c:formatCode>
                <c:ptCount val="20"/>
                <c:pt idx="0">
                  <c:v>0.57808219178082187</c:v>
                </c:pt>
                <c:pt idx="1">
                  <c:v>0.99726027397260275</c:v>
                </c:pt>
                <c:pt idx="2">
                  <c:v>1.7671232876712328</c:v>
                </c:pt>
                <c:pt idx="3">
                  <c:v>1.9972602739726026</c:v>
                </c:pt>
                <c:pt idx="4">
                  <c:v>2.8739726027397259</c:v>
                </c:pt>
                <c:pt idx="5">
                  <c:v>2.9534246575342467</c:v>
                </c:pt>
                <c:pt idx="6">
                  <c:v>3.0301369863013701</c:v>
                </c:pt>
                <c:pt idx="7">
                  <c:v>3.0794520547945203</c:v>
                </c:pt>
                <c:pt idx="8">
                  <c:v>3.7095890410958905</c:v>
                </c:pt>
                <c:pt idx="9">
                  <c:v>5.8821917808219197</c:v>
                </c:pt>
                <c:pt idx="10">
                  <c:v>6.1780821917808222</c:v>
                </c:pt>
                <c:pt idx="11">
                  <c:v>6.2547945205479456</c:v>
                </c:pt>
                <c:pt idx="12">
                  <c:v>6.4301369863013695</c:v>
                </c:pt>
                <c:pt idx="13">
                  <c:v>6.7726027397260271</c:v>
                </c:pt>
                <c:pt idx="14">
                  <c:v>6.7945205479452051</c:v>
                </c:pt>
                <c:pt idx="15">
                  <c:v>7.2328767123287667</c:v>
                </c:pt>
                <c:pt idx="16">
                  <c:v>7.7671232876712333</c:v>
                </c:pt>
                <c:pt idx="17">
                  <c:v>8.6602739726027398</c:v>
                </c:pt>
                <c:pt idx="18">
                  <c:v>10.158904109589042</c:v>
                </c:pt>
                <c:pt idx="19">
                  <c:v>11.578082191780823</c:v>
                </c:pt>
              </c:numCache>
            </c:numRef>
          </c:val>
          <c:extLst>
            <c:ext xmlns:c16="http://schemas.microsoft.com/office/drawing/2014/chart" uri="{C3380CC4-5D6E-409C-BE32-E72D297353CC}">
              <c16:uniqueId val="{00000026-5F99-4EA4-8B92-D7415C4DA733}"/>
            </c:ext>
          </c:extLst>
        </c:ser>
        <c:dLbls>
          <c:showLegendKey val="0"/>
          <c:showVal val="0"/>
          <c:showCatName val="0"/>
          <c:showSerName val="0"/>
          <c:showPercent val="0"/>
          <c:showBubbleSize val="0"/>
        </c:dLbls>
        <c:gapWidth val="28"/>
        <c:overlap val="-59"/>
        <c:axId val="463043360"/>
        <c:axId val="463043752"/>
      </c:barChart>
      <c:catAx>
        <c:axId val="463043360"/>
        <c:scaling>
          <c:orientation val="minMax"/>
        </c:scaling>
        <c:delete val="0"/>
        <c:axPos val="l"/>
        <c:numFmt formatCode="dd/mm/yyyy" sourceLinked="0"/>
        <c:majorTickMark val="none"/>
        <c:minorTickMark val="out"/>
        <c:tickLblPos val="nextTo"/>
        <c:spPr>
          <a:noFill/>
          <a:ln w="9525" cap="flat" cmpd="sng" algn="ctr">
            <a:solidFill>
              <a:schemeClr val="tx1"/>
            </a:solidFill>
            <a:round/>
          </a:ln>
          <a:effectLst/>
        </c:spPr>
        <c:txPr>
          <a:bodyPr rot="0" vert="horz"/>
          <a:lstStyle/>
          <a:p>
            <a:pPr>
              <a:defRPr/>
            </a:pPr>
            <a:endParaRPr lang="en-US"/>
          </a:p>
        </c:txPr>
        <c:crossAx val="463043752"/>
        <c:crosses val="autoZero"/>
        <c:auto val="1"/>
        <c:lblAlgn val="ctr"/>
        <c:lblOffset val="100"/>
        <c:tickLblSkip val="1"/>
        <c:tickMarkSkip val="1"/>
        <c:noMultiLvlLbl val="0"/>
      </c:catAx>
      <c:valAx>
        <c:axId val="463043752"/>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304336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67844364984999"/>
          <c:y val="0.1032992875115931"/>
          <c:w val="0.6138582677165354"/>
          <c:h val="0.83783265209172308"/>
        </c:manualLayout>
      </c:layout>
      <c:barChart>
        <c:barDir val="bar"/>
        <c:grouping val="clustered"/>
        <c:varyColors val="0"/>
        <c:ser>
          <c:idx val="3"/>
          <c:order val="0"/>
          <c:tx>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tx>
          <c:spPr>
            <a:solidFill>
              <a:schemeClr val="accent1"/>
            </a:solidFill>
          </c:spPr>
          <c:invertIfNegative val="0"/>
          <c:dPt>
            <c:idx val="0"/>
            <c:invertIfNegative val="0"/>
            <c:bubble3D val="0"/>
            <c:extLst>
              <c:ext xmlns:c16="http://schemas.microsoft.com/office/drawing/2014/chart" uri="{C3380CC4-5D6E-409C-BE32-E72D297353CC}">
                <c16:uniqueId val="{00000000-7591-4B77-86DB-AD214E4F0B67}"/>
              </c:ext>
            </c:extLst>
          </c:dPt>
          <c:dPt>
            <c:idx val="1"/>
            <c:invertIfNegative val="0"/>
            <c:bubble3D val="0"/>
            <c:extLst>
              <c:ext xmlns:c16="http://schemas.microsoft.com/office/drawing/2014/chart" uri="{C3380CC4-5D6E-409C-BE32-E72D297353CC}">
                <c16:uniqueId val="{00000001-7591-4B77-86DB-AD214E4F0B67}"/>
              </c:ext>
            </c:extLst>
          </c:dPt>
          <c:dPt>
            <c:idx val="2"/>
            <c:invertIfNegative val="0"/>
            <c:bubble3D val="0"/>
            <c:extLst>
              <c:ext xmlns:c16="http://schemas.microsoft.com/office/drawing/2014/chart" uri="{C3380CC4-5D6E-409C-BE32-E72D297353CC}">
                <c16:uniqueId val="{00000002-7591-4B77-86DB-AD214E4F0B67}"/>
              </c:ext>
            </c:extLst>
          </c:dPt>
          <c:dPt>
            <c:idx val="3"/>
            <c:invertIfNegative val="0"/>
            <c:bubble3D val="0"/>
            <c:spPr>
              <a:solidFill>
                <a:schemeClr val="accent1"/>
              </a:solidFill>
              <a:ln>
                <a:solidFill>
                  <a:schemeClr val="accent4">
                    <a:lumMod val="20000"/>
                    <a:lumOff val="80000"/>
                  </a:schemeClr>
                </a:solidFill>
              </a:ln>
            </c:spPr>
            <c:extLst>
              <c:ext xmlns:c16="http://schemas.microsoft.com/office/drawing/2014/chart" uri="{C3380CC4-5D6E-409C-BE32-E72D297353CC}">
                <c16:uniqueId val="{00000004-7591-4B77-86DB-AD214E4F0B67}"/>
              </c:ext>
            </c:extLst>
          </c:dPt>
          <c:dPt>
            <c:idx val="4"/>
            <c:invertIfNegative val="0"/>
            <c:bubble3D val="0"/>
            <c:extLst>
              <c:ext xmlns:c16="http://schemas.microsoft.com/office/drawing/2014/chart" uri="{C3380CC4-5D6E-409C-BE32-E72D297353CC}">
                <c16:uniqueId val="{00000005-7591-4B77-86DB-AD214E4F0B67}"/>
              </c:ext>
            </c:extLst>
          </c:dPt>
          <c:dPt>
            <c:idx val="5"/>
            <c:invertIfNegative val="0"/>
            <c:bubble3D val="0"/>
            <c:extLst>
              <c:ext xmlns:c16="http://schemas.microsoft.com/office/drawing/2014/chart" uri="{C3380CC4-5D6E-409C-BE32-E72D297353CC}">
                <c16:uniqueId val="{00000006-7591-4B77-86DB-AD214E4F0B67}"/>
              </c:ext>
            </c:extLst>
          </c:dPt>
          <c:dPt>
            <c:idx val="6"/>
            <c:invertIfNegative val="0"/>
            <c:bubble3D val="0"/>
            <c:extLst>
              <c:ext xmlns:c16="http://schemas.microsoft.com/office/drawing/2014/chart" uri="{C3380CC4-5D6E-409C-BE32-E72D297353CC}">
                <c16:uniqueId val="{00000007-7591-4B77-86DB-AD214E4F0B67}"/>
              </c:ext>
            </c:extLst>
          </c:dPt>
          <c:dPt>
            <c:idx val="7"/>
            <c:invertIfNegative val="0"/>
            <c:bubble3D val="0"/>
            <c:extLst>
              <c:ext xmlns:c16="http://schemas.microsoft.com/office/drawing/2014/chart" uri="{C3380CC4-5D6E-409C-BE32-E72D297353CC}">
                <c16:uniqueId val="{00000008-7591-4B77-86DB-AD214E4F0B67}"/>
              </c:ext>
            </c:extLst>
          </c:dPt>
          <c:dPt>
            <c:idx val="8"/>
            <c:invertIfNegative val="0"/>
            <c:bubble3D val="0"/>
            <c:extLst>
              <c:ext xmlns:c16="http://schemas.microsoft.com/office/drawing/2014/chart" uri="{C3380CC4-5D6E-409C-BE32-E72D297353CC}">
                <c16:uniqueId val="{00000009-7591-4B77-86DB-AD214E4F0B67}"/>
              </c:ext>
            </c:extLst>
          </c:dPt>
          <c:dPt>
            <c:idx val="9"/>
            <c:invertIfNegative val="0"/>
            <c:bubble3D val="0"/>
            <c:extLst>
              <c:ext xmlns:c16="http://schemas.microsoft.com/office/drawing/2014/chart" uri="{C3380CC4-5D6E-409C-BE32-E72D297353CC}">
                <c16:uniqueId val="{0000000A-7591-4B77-86DB-AD214E4F0B67}"/>
              </c:ext>
            </c:extLst>
          </c:dPt>
          <c:dPt>
            <c:idx val="10"/>
            <c:invertIfNegative val="0"/>
            <c:bubble3D val="0"/>
            <c:extLst>
              <c:ext xmlns:c16="http://schemas.microsoft.com/office/drawing/2014/chart" uri="{C3380CC4-5D6E-409C-BE32-E72D297353CC}">
                <c16:uniqueId val="{0000000B-7591-4B77-86DB-AD214E4F0B67}"/>
              </c:ext>
            </c:extLst>
          </c:dPt>
          <c:dPt>
            <c:idx val="11"/>
            <c:invertIfNegative val="0"/>
            <c:bubble3D val="0"/>
            <c:extLst>
              <c:ext xmlns:c16="http://schemas.microsoft.com/office/drawing/2014/chart" uri="{C3380CC4-5D6E-409C-BE32-E72D297353CC}">
                <c16:uniqueId val="{0000000C-7591-4B77-86DB-AD214E4F0B67}"/>
              </c:ext>
            </c:extLst>
          </c:dPt>
          <c:dPt>
            <c:idx val="12"/>
            <c:invertIfNegative val="0"/>
            <c:bubble3D val="0"/>
            <c:extLst>
              <c:ext xmlns:c16="http://schemas.microsoft.com/office/drawing/2014/chart" uri="{C3380CC4-5D6E-409C-BE32-E72D297353CC}">
                <c16:uniqueId val="{0000000D-7591-4B77-86DB-AD214E4F0B67}"/>
              </c:ext>
            </c:extLst>
          </c:dPt>
          <c:dPt>
            <c:idx val="13"/>
            <c:invertIfNegative val="0"/>
            <c:bubble3D val="0"/>
            <c:extLst>
              <c:ext xmlns:c16="http://schemas.microsoft.com/office/drawing/2014/chart" uri="{C3380CC4-5D6E-409C-BE32-E72D297353CC}">
                <c16:uniqueId val="{0000000E-7591-4B77-86DB-AD214E4F0B67}"/>
              </c:ext>
            </c:extLst>
          </c:dPt>
          <c:dPt>
            <c:idx val="14"/>
            <c:invertIfNegative val="0"/>
            <c:bubble3D val="0"/>
            <c:extLst>
              <c:ext xmlns:c16="http://schemas.microsoft.com/office/drawing/2014/chart" uri="{C3380CC4-5D6E-409C-BE32-E72D297353CC}">
                <c16:uniqueId val="{0000000F-7591-4B77-86DB-AD214E4F0B67}"/>
              </c:ext>
            </c:extLst>
          </c:dPt>
          <c:dPt>
            <c:idx val="15"/>
            <c:invertIfNegative val="0"/>
            <c:bubble3D val="0"/>
            <c:extLst>
              <c:ext xmlns:c16="http://schemas.microsoft.com/office/drawing/2014/chart" uri="{C3380CC4-5D6E-409C-BE32-E72D297353CC}">
                <c16:uniqueId val="{00000010-7591-4B77-86DB-AD214E4F0B67}"/>
              </c:ext>
            </c:extLst>
          </c:dPt>
          <c:dPt>
            <c:idx val="16"/>
            <c:invertIfNegative val="0"/>
            <c:bubble3D val="0"/>
            <c:extLst>
              <c:ext xmlns:c16="http://schemas.microsoft.com/office/drawing/2014/chart" uri="{C3380CC4-5D6E-409C-BE32-E72D297353CC}">
                <c16:uniqueId val="{00000011-7591-4B77-86DB-AD214E4F0B67}"/>
              </c:ext>
            </c:extLst>
          </c:dPt>
          <c:dPt>
            <c:idx val="17"/>
            <c:invertIfNegative val="0"/>
            <c:bubble3D val="0"/>
            <c:extLst>
              <c:ext xmlns:c16="http://schemas.microsoft.com/office/drawing/2014/chart" uri="{C3380CC4-5D6E-409C-BE32-E72D297353CC}">
                <c16:uniqueId val="{00000012-7591-4B77-86DB-AD214E4F0B67}"/>
              </c:ext>
            </c:extLst>
          </c:dPt>
          <c:dPt>
            <c:idx val="18"/>
            <c:invertIfNegative val="0"/>
            <c:bubble3D val="0"/>
            <c:extLst>
              <c:ext xmlns:c16="http://schemas.microsoft.com/office/drawing/2014/chart" uri="{C3380CC4-5D6E-409C-BE32-E72D297353CC}">
                <c16:uniqueId val="{00000013-7591-4B77-86DB-AD214E4F0B67}"/>
              </c:ext>
            </c:extLst>
          </c:dPt>
          <c:cat>
            <c:strRef>
              <c:f>'PM -time in office '!$B$42:$B$61</c:f>
              <c:strCache>
                <c:ptCount val="20"/>
                <c:pt idx="0">
                  <c:v>Andrew Bonar Law</c:v>
                </c:pt>
                <c:pt idx="1">
                  <c:v>Alec Douglas-Home</c:v>
                </c:pt>
                <c:pt idx="2">
                  <c:v>Anthony Eden</c:v>
                </c:pt>
                <c:pt idx="3">
                  <c:v>Boris Johnson</c:v>
                </c:pt>
                <c:pt idx="4">
                  <c:v>Gordon Brown</c:v>
                </c:pt>
                <c:pt idx="5">
                  <c:v>Neville Chamberlain</c:v>
                </c:pt>
                <c:pt idx="6">
                  <c:v>Theresa May</c:v>
                </c:pt>
                <c:pt idx="7">
                  <c:v>James Callaghan</c:v>
                </c:pt>
                <c:pt idx="8">
                  <c:v>Edward Heath</c:v>
                </c:pt>
                <c:pt idx="9">
                  <c:v>David Lloyd George</c:v>
                </c:pt>
                <c:pt idx="10">
                  <c:v>David Cameron</c:v>
                </c:pt>
                <c:pt idx="11">
                  <c:v>Clement Attlee</c:v>
                </c:pt>
                <c:pt idx="12">
                  <c:v>John Major</c:v>
                </c:pt>
                <c:pt idx="13">
                  <c:v>Harold Macmillan</c:v>
                </c:pt>
                <c:pt idx="14">
                  <c:v>Ramsay MacDonald</c:v>
                </c:pt>
                <c:pt idx="15">
                  <c:v>Stanley Baldwin</c:v>
                </c:pt>
                <c:pt idx="16">
                  <c:v>Harold Wilson</c:v>
                </c:pt>
                <c:pt idx="17">
                  <c:v>Winston Churchill</c:v>
                </c:pt>
                <c:pt idx="18">
                  <c:v>Tony Blair</c:v>
                </c:pt>
                <c:pt idx="19">
                  <c:v>Margaret Thatcher</c:v>
                </c:pt>
              </c:strCache>
            </c:strRef>
          </c:cat>
          <c:val>
            <c:numRef>
              <c:f>'PM -time in office '!$G$42:$G$61</c:f>
              <c:numCache>
                <c:formatCode>#,##0.000;\-#,##0.000</c:formatCode>
                <c:ptCount val="20"/>
                <c:pt idx="0">
                  <c:v>0.57808219178082187</c:v>
                </c:pt>
                <c:pt idx="1">
                  <c:v>0.99726027397260275</c:v>
                </c:pt>
                <c:pt idx="2">
                  <c:v>1.7671232876712328</c:v>
                </c:pt>
                <c:pt idx="3">
                  <c:v>1.9972602739726026</c:v>
                </c:pt>
                <c:pt idx="4">
                  <c:v>2.8739726027397259</c:v>
                </c:pt>
                <c:pt idx="5">
                  <c:v>2.9534246575342467</c:v>
                </c:pt>
                <c:pt idx="6">
                  <c:v>3.0301369863013701</c:v>
                </c:pt>
                <c:pt idx="7">
                  <c:v>3.0794520547945203</c:v>
                </c:pt>
                <c:pt idx="8">
                  <c:v>3.7095890410958905</c:v>
                </c:pt>
                <c:pt idx="9">
                  <c:v>5.8821917808219197</c:v>
                </c:pt>
                <c:pt idx="10">
                  <c:v>6.1780821917808222</c:v>
                </c:pt>
                <c:pt idx="11">
                  <c:v>6.2547945205479456</c:v>
                </c:pt>
                <c:pt idx="12">
                  <c:v>6.4301369863013695</c:v>
                </c:pt>
                <c:pt idx="13">
                  <c:v>6.7726027397260271</c:v>
                </c:pt>
                <c:pt idx="14">
                  <c:v>6.7945205479452051</c:v>
                </c:pt>
                <c:pt idx="15">
                  <c:v>7.2328767123287667</c:v>
                </c:pt>
                <c:pt idx="16">
                  <c:v>7.7671232876712333</c:v>
                </c:pt>
                <c:pt idx="17">
                  <c:v>8.6602739726027398</c:v>
                </c:pt>
                <c:pt idx="18">
                  <c:v>10.158904109589042</c:v>
                </c:pt>
                <c:pt idx="19">
                  <c:v>11.578082191780823</c:v>
                </c:pt>
              </c:numCache>
            </c:numRef>
          </c:val>
          <c:extLst>
            <c:ext xmlns:c16="http://schemas.microsoft.com/office/drawing/2014/chart" uri="{C3380CC4-5D6E-409C-BE32-E72D297353CC}">
              <c16:uniqueId val="{00000014-7591-4B77-86DB-AD214E4F0B67}"/>
            </c:ext>
          </c:extLst>
        </c:ser>
        <c:dLbls>
          <c:showLegendKey val="0"/>
          <c:showVal val="0"/>
          <c:showCatName val="0"/>
          <c:showSerName val="0"/>
          <c:showPercent val="0"/>
          <c:showBubbleSize val="0"/>
        </c:dLbls>
        <c:gapWidth val="28"/>
        <c:overlap val="-59"/>
        <c:axId val="463044536"/>
        <c:axId val="463044928"/>
      </c:barChart>
      <c:catAx>
        <c:axId val="463044536"/>
        <c:scaling>
          <c:orientation val="minMax"/>
        </c:scaling>
        <c:delete val="0"/>
        <c:axPos val="l"/>
        <c:numFmt formatCode="dd/mm/yyyy" sourceLinked="0"/>
        <c:majorTickMark val="none"/>
        <c:minorTickMark val="out"/>
        <c:tickLblPos val="nextTo"/>
        <c:spPr>
          <a:noFill/>
          <a:ln w="9525" cap="flat" cmpd="sng" algn="ctr">
            <a:solidFill>
              <a:schemeClr val="tx1"/>
            </a:solidFill>
            <a:round/>
          </a:ln>
          <a:effectLst/>
        </c:spPr>
        <c:txPr>
          <a:bodyPr rot="0" vert="horz"/>
          <a:lstStyle/>
          <a:p>
            <a:pPr>
              <a:defRPr/>
            </a:pPr>
            <a:endParaRPr lang="en-US"/>
          </a:p>
        </c:txPr>
        <c:crossAx val="463044928"/>
        <c:crosses val="autoZero"/>
        <c:auto val="1"/>
        <c:lblAlgn val="ctr"/>
        <c:lblOffset val="100"/>
        <c:tickLblSkip val="1"/>
        <c:tickMarkSkip val="1"/>
        <c:noMultiLvlLbl val="0"/>
      </c:catAx>
      <c:valAx>
        <c:axId val="463044928"/>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304453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votes (%)</a:t>
            </a:r>
          </a:p>
        </c:rich>
      </c:tx>
      <c:layout>
        <c:manualLayout>
          <c:xMode val="edge"/>
          <c:yMode val="edge"/>
          <c:x val="0.18265359891463229"/>
          <c:y val="2.309889408133381E-2"/>
        </c:manualLayout>
      </c:layout>
      <c:overlay val="0"/>
      <c:spPr>
        <a:noFill/>
        <a:ln w="25400">
          <a:noFill/>
        </a:ln>
      </c:spPr>
    </c:title>
    <c:autoTitleDeleted val="0"/>
    <c:plotArea>
      <c:layout>
        <c:manualLayout>
          <c:layoutTarget val="inner"/>
          <c:xMode val="edge"/>
          <c:yMode val="edge"/>
          <c:x val="0.22356517935258094"/>
          <c:y val="7.4741472425290764E-2"/>
          <c:w val="0.49593018601051481"/>
          <c:h val="0.87701924933339592"/>
        </c:manualLayout>
      </c:layout>
      <c:barChart>
        <c:barDir val="bar"/>
        <c:grouping val="stacked"/>
        <c:varyColors val="0"/>
        <c:ser>
          <c:idx val="7"/>
          <c:order val="0"/>
          <c:tx>
            <c:v>CON</c:v>
          </c:tx>
          <c:spPr>
            <a:solidFill>
              <a:srgbClr val="00539F"/>
            </a:solidFill>
            <a:ln w="25400">
              <a:noFill/>
            </a:ln>
          </c:spPr>
          <c:invertIfNegative val="0"/>
          <c:cat>
            <c:numRef>
              <c:extLst>
                <c:ext xmlns:c15="http://schemas.microsoft.com/office/drawing/2012/chart" uri="{02D57815-91ED-43cb-92C2-25804820EDAC}">
                  <c15:fullRef>
                    <c15:sqref>'1 GE-UK'!$A$38:$A$66</c15:sqref>
                  </c15:fullRef>
                </c:ext>
              </c:extLst>
              <c:f>'1 GE-UK'!$A$39:$A$66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GE-UK'!$C$38:$C$66</c15:sqref>
                  </c15:fullRef>
                </c:ext>
              </c:extLst>
              <c:f>'1 GE-UK'!$C$39:$C$66</c:f>
              <c:numCache>
                <c:formatCode>0.0%</c:formatCode>
                <c:ptCount val="28"/>
                <c:pt idx="0">
                  <c:v>0.38700000000000001</c:v>
                </c:pt>
                <c:pt idx="1">
                  <c:v>0.38500000000000001</c:v>
                </c:pt>
                <c:pt idx="2">
                  <c:v>0.38</c:v>
                </c:pt>
                <c:pt idx="3">
                  <c:v>0.46799999999999997</c:v>
                </c:pt>
                <c:pt idx="4">
                  <c:v>0.38100000000000001</c:v>
                </c:pt>
                <c:pt idx="5">
                  <c:v>0.6070000000000001</c:v>
                </c:pt>
                <c:pt idx="6">
                  <c:v>0.53300000000000003</c:v>
                </c:pt>
                <c:pt idx="7">
                  <c:v>0.39600000000000002</c:v>
                </c:pt>
                <c:pt idx="8">
                  <c:v>0.43419937295463329</c:v>
                </c:pt>
                <c:pt idx="9">
                  <c:v>0.47971443732075225</c:v>
                </c:pt>
                <c:pt idx="10">
                  <c:v>0.49742248884508511</c:v>
                </c:pt>
                <c:pt idx="11">
                  <c:v>0.49352355260367892</c:v>
                </c:pt>
                <c:pt idx="12">
                  <c:v>0.43397974368145265</c:v>
                </c:pt>
                <c:pt idx="13">
                  <c:v>0.41879922817548976</c:v>
                </c:pt>
                <c:pt idx="14">
                  <c:v>0.46375786484701709</c:v>
                </c:pt>
                <c:pt idx="15">
                  <c:v>0.37881680381869115</c:v>
                </c:pt>
                <c:pt idx="16">
                  <c:v>0.35844077296788557</c:v>
                </c:pt>
                <c:pt idx="17">
                  <c:v>0.43873560032390646</c:v>
                </c:pt>
                <c:pt idx="18">
                  <c:v>0.42425280810424471</c:v>
                </c:pt>
                <c:pt idx="19">
                  <c:v>0.42301756881076047</c:v>
                </c:pt>
                <c:pt idx="20">
                  <c:v>0.41925911747561451</c:v>
                </c:pt>
                <c:pt idx="21">
                  <c:v>0.3068738684338479</c:v>
                </c:pt>
                <c:pt idx="22">
                  <c:v>0.31620942434825633</c:v>
                </c:pt>
                <c:pt idx="23">
                  <c:v>0.32358737182998254</c:v>
                </c:pt>
                <c:pt idx="24">
                  <c:v>0.36054287169823473</c:v>
                </c:pt>
                <c:pt idx="25">
                  <c:v>0.36809512175258569</c:v>
                </c:pt>
                <c:pt idx="26">
                  <c:v>0.42344523333194956</c:v>
                </c:pt>
                <c:pt idx="27">
                  <c:v>0.43625932440414555</c:v>
                </c:pt>
              </c:numCache>
            </c:numRef>
          </c:val>
          <c:extLst>
            <c:ext xmlns:c16="http://schemas.microsoft.com/office/drawing/2014/chart" uri="{C3380CC4-5D6E-409C-BE32-E72D297353CC}">
              <c16:uniqueId val="{00000000-12F0-494B-B2D5-051E95B55AA5}"/>
            </c:ext>
          </c:extLst>
        </c:ser>
        <c:ser>
          <c:idx val="8"/>
          <c:order val="1"/>
          <c:tx>
            <c:strRef>
              <c:f>'1 GE-UK'!$D$37</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GE-UK'!$A$38:$A$66</c15:sqref>
                  </c15:fullRef>
                </c:ext>
              </c:extLst>
              <c:f>'1 GE-UK'!$A$39:$A$66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GE-UK'!$D$38:$D$66</c15:sqref>
                  </c15:fullRef>
                </c:ext>
              </c:extLst>
              <c:f>'1 GE-UK'!$D$39:$D$66</c:f>
              <c:numCache>
                <c:formatCode>0.0%</c:formatCode>
                <c:ptCount val="28"/>
                <c:pt idx="0">
                  <c:v>0.20800000000000002</c:v>
                </c:pt>
                <c:pt idx="1">
                  <c:v>0.29699999999999999</c:v>
                </c:pt>
                <c:pt idx="2">
                  <c:v>0.307</c:v>
                </c:pt>
                <c:pt idx="3">
                  <c:v>0.33299999999999996</c:v>
                </c:pt>
                <c:pt idx="4">
                  <c:v>0.371</c:v>
                </c:pt>
                <c:pt idx="5">
                  <c:v>0.309</c:v>
                </c:pt>
                <c:pt idx="6">
                  <c:v>0.38</c:v>
                </c:pt>
                <c:pt idx="7">
                  <c:v>0.48</c:v>
                </c:pt>
                <c:pt idx="8">
                  <c:v>0.46109342130672404</c:v>
                </c:pt>
                <c:pt idx="9">
                  <c:v>0.48778127213331768</c:v>
                </c:pt>
                <c:pt idx="10">
                  <c:v>0.4635792088925863</c:v>
                </c:pt>
                <c:pt idx="11">
                  <c:v>0.43844254308599195</c:v>
                </c:pt>
                <c:pt idx="12">
                  <c:v>0.44132562041465734</c:v>
                </c:pt>
                <c:pt idx="13">
                  <c:v>0.48035028529698076</c:v>
                </c:pt>
                <c:pt idx="14">
                  <c:v>0.43072305542625494</c:v>
                </c:pt>
                <c:pt idx="15">
                  <c:v>0.37158761336332596</c:v>
                </c:pt>
                <c:pt idx="16">
                  <c:v>0.39251218536889654</c:v>
                </c:pt>
                <c:pt idx="17">
                  <c:v>0.36936947209413862</c:v>
                </c:pt>
                <c:pt idx="18">
                  <c:v>0.27572939340331598</c:v>
                </c:pt>
                <c:pt idx="19">
                  <c:v>0.30832883844973336</c:v>
                </c:pt>
                <c:pt idx="20">
                  <c:v>0.34391796721813606</c:v>
                </c:pt>
                <c:pt idx="21">
                  <c:v>0.43207966148999988</c:v>
                </c:pt>
                <c:pt idx="22">
                  <c:v>0.40675075717601555</c:v>
                </c:pt>
                <c:pt idx="23">
                  <c:v>0.35185857345393912</c:v>
                </c:pt>
                <c:pt idx="24">
                  <c:v>0.28990271495133119</c:v>
                </c:pt>
                <c:pt idx="25">
                  <c:v>0.30449710888508835</c:v>
                </c:pt>
                <c:pt idx="26">
                  <c:v>0.39988239400641062</c:v>
                </c:pt>
                <c:pt idx="27">
                  <c:v>0.32076640581293681</c:v>
                </c:pt>
              </c:numCache>
            </c:numRef>
          </c:val>
          <c:extLst>
            <c:ext xmlns:c16="http://schemas.microsoft.com/office/drawing/2014/chart" uri="{C3380CC4-5D6E-409C-BE32-E72D297353CC}">
              <c16:uniqueId val="{00000001-12F0-494B-B2D5-051E95B55AA5}"/>
            </c:ext>
          </c:extLst>
        </c:ser>
        <c:ser>
          <c:idx val="9"/>
          <c:order val="2"/>
          <c:tx>
            <c:v>LD</c:v>
          </c:tx>
          <c:spPr>
            <a:solidFill>
              <a:srgbClr val="FFC000"/>
            </a:solidFill>
            <a:ln w="25400">
              <a:noFill/>
            </a:ln>
          </c:spPr>
          <c:invertIfNegative val="0"/>
          <c:dPt>
            <c:idx val="25"/>
            <c:invertIfNegative val="0"/>
            <c:bubble3D val="0"/>
            <c:spPr>
              <a:solidFill>
                <a:srgbClr val="FAA01A"/>
              </a:solidFill>
              <a:ln w="25400">
                <a:noFill/>
              </a:ln>
            </c:spPr>
            <c:extLst>
              <c:ext xmlns:c16="http://schemas.microsoft.com/office/drawing/2014/chart" uri="{C3380CC4-5D6E-409C-BE32-E72D297353CC}">
                <c16:uniqueId val="{00000003-12F0-494B-B2D5-051E95B55AA5}"/>
              </c:ext>
            </c:extLst>
          </c:dPt>
          <c:cat>
            <c:numRef>
              <c:extLst>
                <c:ext xmlns:c15="http://schemas.microsoft.com/office/drawing/2012/chart" uri="{02D57815-91ED-43cb-92C2-25804820EDAC}">
                  <c15:fullRef>
                    <c15:sqref>'1 GE-UK'!$A$38:$A$66</c15:sqref>
                  </c15:fullRef>
                </c:ext>
              </c:extLst>
              <c:f>'1 GE-UK'!$A$39:$A$66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GE-UK'!$E$38:$E$66</c15:sqref>
                  </c15:fullRef>
                </c:ext>
              </c:extLst>
              <c:f>'1 GE-UK'!$E$39:$E$66</c:f>
              <c:numCache>
                <c:formatCode>0.0%</c:formatCode>
                <c:ptCount val="28"/>
                <c:pt idx="0">
                  <c:v>0.25600000000000001</c:v>
                </c:pt>
                <c:pt idx="1">
                  <c:v>0.28799999999999998</c:v>
                </c:pt>
                <c:pt idx="2">
                  <c:v>0.29699999999999999</c:v>
                </c:pt>
                <c:pt idx="3">
                  <c:v>0.17800000000000002</c:v>
                </c:pt>
                <c:pt idx="4">
                  <c:v>0.23499999999999999</c:v>
                </c:pt>
                <c:pt idx="5">
                  <c:v>7.0000000000000007E-2</c:v>
                </c:pt>
                <c:pt idx="6">
                  <c:v>6.7000000000000004E-2</c:v>
                </c:pt>
                <c:pt idx="7">
                  <c:v>0.09</c:v>
                </c:pt>
                <c:pt idx="8">
                  <c:v>9.1115209819400869E-2</c:v>
                </c:pt>
                <c:pt idx="9">
                  <c:v>2.5546608802432907E-2</c:v>
                </c:pt>
                <c:pt idx="10">
                  <c:v>2.6995863822088781E-2</c:v>
                </c:pt>
                <c:pt idx="11">
                  <c:v>5.8887431103112509E-2</c:v>
                </c:pt>
                <c:pt idx="12">
                  <c:v>0.11206083143496937</c:v>
                </c:pt>
                <c:pt idx="13">
                  <c:v>8.5365068672744335E-2</c:v>
                </c:pt>
                <c:pt idx="14">
                  <c:v>7.4688660684757741E-2</c:v>
                </c:pt>
                <c:pt idx="15">
                  <c:v>0.19334676700139586</c:v>
                </c:pt>
                <c:pt idx="16">
                  <c:v>0.18317465311713577</c:v>
                </c:pt>
                <c:pt idx="17">
                  <c:v>0.13816834768451164</c:v>
                </c:pt>
                <c:pt idx="18">
                  <c:v>0.25368961704941034</c:v>
                </c:pt>
                <c:pt idx="19">
                  <c:v>0.22569100035666001</c:v>
                </c:pt>
                <c:pt idx="20">
                  <c:v>0.17848494056388403</c:v>
                </c:pt>
                <c:pt idx="21">
                  <c:v>0.16757972918739727</c:v>
                </c:pt>
                <c:pt idx="22">
                  <c:v>0.18258622784066209</c:v>
                </c:pt>
                <c:pt idx="23">
                  <c:v>0.2204708103685985</c:v>
                </c:pt>
                <c:pt idx="24">
                  <c:v>0.23027281016009241</c:v>
                </c:pt>
                <c:pt idx="25">
                  <c:v>7.8700219887612999E-2</c:v>
                </c:pt>
                <c:pt idx="26">
                  <c:v>7.3650807826235773E-2</c:v>
                </c:pt>
                <c:pt idx="27">
                  <c:v>0.11546218214406084</c:v>
                </c:pt>
              </c:numCache>
            </c:numRef>
          </c:val>
          <c:extLst>
            <c:ext xmlns:c16="http://schemas.microsoft.com/office/drawing/2014/chart" uri="{C3380CC4-5D6E-409C-BE32-E72D297353CC}">
              <c16:uniqueId val="{00000004-12F0-494B-B2D5-051E95B55AA5}"/>
            </c:ext>
          </c:extLst>
        </c:ser>
        <c:dLbls>
          <c:showLegendKey val="0"/>
          <c:showVal val="0"/>
          <c:showCatName val="0"/>
          <c:showSerName val="0"/>
          <c:showPercent val="0"/>
          <c:showBubbleSize val="0"/>
        </c:dLbls>
        <c:gapWidth val="65"/>
        <c:overlap val="100"/>
        <c:axId val="463549632"/>
        <c:axId val="463550024"/>
      </c:barChart>
      <c:catAx>
        <c:axId val="463549632"/>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0024"/>
        <c:crosses val="autoZero"/>
        <c:auto val="1"/>
        <c:lblAlgn val="ctr"/>
        <c:lblOffset val="100"/>
        <c:noMultiLvlLbl val="0"/>
      </c:catAx>
      <c:valAx>
        <c:axId val="463550024"/>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3549632"/>
        <c:crosses val="max"/>
        <c:crossBetween val="between"/>
        <c:majorUnit val="0.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votes (millions)</a:t>
            </a:r>
          </a:p>
        </c:rich>
      </c:tx>
      <c:layout>
        <c:manualLayout>
          <c:xMode val="edge"/>
          <c:yMode val="edge"/>
          <c:x val="0.18906852339562122"/>
          <c:y val="1.3241912198360931E-3"/>
        </c:manualLayout>
      </c:layout>
      <c:overlay val="0"/>
      <c:spPr>
        <a:noFill/>
        <a:ln w="25400">
          <a:noFill/>
        </a:ln>
      </c:spPr>
    </c:title>
    <c:autoTitleDeleted val="0"/>
    <c:plotArea>
      <c:layout>
        <c:manualLayout>
          <c:layoutTarget val="inner"/>
          <c:xMode val="edge"/>
          <c:yMode val="edge"/>
          <c:x val="0.22356509159536206"/>
          <c:y val="7.8990692010555891E-2"/>
          <c:w val="0.49593018601051481"/>
          <c:h val="0.87573997644454427"/>
        </c:manualLayout>
      </c:layout>
      <c:barChart>
        <c:barDir val="bar"/>
        <c:grouping val="stacked"/>
        <c:varyColors val="0"/>
        <c:ser>
          <c:idx val="0"/>
          <c:order val="0"/>
          <c:tx>
            <c:v>CON</c:v>
          </c:tx>
          <c:spPr>
            <a:solidFill>
              <a:srgbClr val="00539F"/>
            </a:solidFill>
            <a:ln w="25400">
              <a:noFill/>
            </a:ln>
          </c:spPr>
          <c:invertIfNegative val="0"/>
          <c:cat>
            <c:numRef>
              <c:extLst>
                <c:ext xmlns:c15="http://schemas.microsoft.com/office/drawing/2012/chart" uri="{02D57815-91ED-43cb-92C2-25804820EDAC}">
                  <c15:fullRef>
                    <c15:sqref>'1 GE-UK'!$A$6:$A$34</c15:sqref>
                  </c15:fullRef>
                </c:ext>
              </c:extLst>
              <c:f>'1 GE-UK'!$A$7:$A$34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GE-UK'!$C$6:$C$34</c15:sqref>
                  </c15:fullRef>
                </c:ext>
              </c:extLst>
              <c:f>'1 GE-UK'!$C$7:$C$34</c:f>
              <c:numCache>
                <c:formatCode>#,##0.00_);\(#,##0.00\)</c:formatCode>
                <c:ptCount val="28"/>
                <c:pt idx="0">
                  <c:v>4.1441920000000003</c:v>
                </c:pt>
                <c:pt idx="1">
                  <c:v>5.5022979999999997</c:v>
                </c:pt>
                <c:pt idx="2">
                  <c:v>5.5145410000000004</c:v>
                </c:pt>
                <c:pt idx="3">
                  <c:v>7.8545230000000004</c:v>
                </c:pt>
                <c:pt idx="4">
                  <c:v>8.6562249999999992</c:v>
                </c:pt>
                <c:pt idx="5">
                  <c:v>13.156790000000001</c:v>
                </c:pt>
                <c:pt idx="6">
                  <c:v>11.755654</c:v>
                </c:pt>
                <c:pt idx="7">
                  <c:v>9.9720099999999992</c:v>
                </c:pt>
                <c:pt idx="8">
                  <c:v>12.492404000000001</c:v>
                </c:pt>
                <c:pt idx="9">
                  <c:v>13.718199</c:v>
                </c:pt>
                <c:pt idx="10">
                  <c:v>13.310891</c:v>
                </c:pt>
                <c:pt idx="11">
                  <c:v>13.750875000000001</c:v>
                </c:pt>
                <c:pt idx="12">
                  <c:v>12.002642</c:v>
                </c:pt>
                <c:pt idx="13">
                  <c:v>11.418455</c:v>
                </c:pt>
                <c:pt idx="14">
                  <c:v>13.145123</c:v>
                </c:pt>
                <c:pt idx="15">
                  <c:v>11.87218</c:v>
                </c:pt>
                <c:pt idx="16">
                  <c:v>10.462565</c:v>
                </c:pt>
                <c:pt idx="17">
                  <c:v>13.697922999999999</c:v>
                </c:pt>
                <c:pt idx="18">
                  <c:v>13.012316</c:v>
                </c:pt>
                <c:pt idx="19">
                  <c:v>13.760583</c:v>
                </c:pt>
                <c:pt idx="20">
                  <c:v>14.093007</c:v>
                </c:pt>
                <c:pt idx="21">
                  <c:v>9.6009429999999991</c:v>
                </c:pt>
                <c:pt idx="22">
                  <c:v>8.3376149999999996</c:v>
                </c:pt>
                <c:pt idx="23">
                  <c:v>8.7849149999999998</c:v>
                </c:pt>
                <c:pt idx="24">
                  <c:v>10.703654</c:v>
                </c:pt>
                <c:pt idx="25">
                  <c:v>11.2996</c:v>
                </c:pt>
                <c:pt idx="26">
                  <c:v>13.63669</c:v>
                </c:pt>
                <c:pt idx="27">
                  <c:v>13.966454000000001</c:v>
                </c:pt>
              </c:numCache>
            </c:numRef>
          </c:val>
          <c:extLst>
            <c:ext xmlns:c16="http://schemas.microsoft.com/office/drawing/2014/chart" uri="{C3380CC4-5D6E-409C-BE32-E72D297353CC}">
              <c16:uniqueId val="{00000000-11A9-4491-8E33-47E0B3462524}"/>
            </c:ext>
          </c:extLst>
        </c:ser>
        <c:ser>
          <c:idx val="1"/>
          <c:order val="1"/>
          <c:tx>
            <c:strRef>
              <c:f>'1 GE-UK'!$D$5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GE-UK'!$A$6:$A$34</c15:sqref>
                  </c15:fullRef>
                </c:ext>
              </c:extLst>
              <c:f>'1 GE-UK'!$A$7:$A$34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GE-UK'!$D$6:$D$34</c15:sqref>
                  </c15:fullRef>
                </c:ext>
              </c:extLst>
              <c:f>'1 GE-UK'!$D$7:$D$34</c:f>
              <c:numCache>
                <c:formatCode>#,##0.00_);\(#,##0.00\)</c:formatCode>
                <c:ptCount val="28"/>
                <c:pt idx="0">
                  <c:v>2.2457769999999999</c:v>
                </c:pt>
                <c:pt idx="1">
                  <c:v>4.237349</c:v>
                </c:pt>
                <c:pt idx="2">
                  <c:v>4.4397799999999998</c:v>
                </c:pt>
                <c:pt idx="3">
                  <c:v>5.4890869999999996</c:v>
                </c:pt>
                <c:pt idx="4">
                  <c:v>8.3704169999999998</c:v>
                </c:pt>
                <c:pt idx="5">
                  <c:v>6.6496300000000002</c:v>
                </c:pt>
                <c:pt idx="6">
                  <c:v>8.3254909999999995</c:v>
                </c:pt>
                <c:pt idx="7">
                  <c:v>11.967746</c:v>
                </c:pt>
                <c:pt idx="8">
                  <c:v>13.266176</c:v>
                </c:pt>
                <c:pt idx="9">
                  <c:v>13.948883</c:v>
                </c:pt>
                <c:pt idx="10">
                  <c:v>12.405253999999999</c:v>
                </c:pt>
                <c:pt idx="11">
                  <c:v>12.216172</c:v>
                </c:pt>
                <c:pt idx="12">
                  <c:v>12.205807999999999</c:v>
                </c:pt>
                <c:pt idx="13">
                  <c:v>13.096629</c:v>
                </c:pt>
                <c:pt idx="14">
                  <c:v>12.208758</c:v>
                </c:pt>
                <c:pt idx="15">
                  <c:v>11.645616</c:v>
                </c:pt>
                <c:pt idx="16">
                  <c:v>11.457079</c:v>
                </c:pt>
                <c:pt idx="17">
                  <c:v>11.532218</c:v>
                </c:pt>
                <c:pt idx="18">
                  <c:v>8.4569340000000004</c:v>
                </c:pt>
                <c:pt idx="19">
                  <c:v>10.029807</c:v>
                </c:pt>
                <c:pt idx="20">
                  <c:v>11.560484000000001</c:v>
                </c:pt>
                <c:pt idx="21">
                  <c:v>13.518167</c:v>
                </c:pt>
                <c:pt idx="22">
                  <c:v>10.724952999999999</c:v>
                </c:pt>
                <c:pt idx="23">
                  <c:v>9.5524360000000001</c:v>
                </c:pt>
                <c:pt idx="24">
                  <c:v>8.6065170000000002</c:v>
                </c:pt>
                <c:pt idx="25">
                  <c:v>9.3473000000000006</c:v>
                </c:pt>
                <c:pt idx="26">
                  <c:v>12.877869</c:v>
                </c:pt>
                <c:pt idx="27">
                  <c:v>10.269050999999999</c:v>
                </c:pt>
              </c:numCache>
            </c:numRef>
          </c:val>
          <c:extLst>
            <c:ext xmlns:c16="http://schemas.microsoft.com/office/drawing/2014/chart" uri="{C3380CC4-5D6E-409C-BE32-E72D297353CC}">
              <c16:uniqueId val="{00000001-11A9-4491-8E33-47E0B3462524}"/>
            </c:ext>
          </c:extLst>
        </c:ser>
        <c:ser>
          <c:idx val="2"/>
          <c:order val="2"/>
          <c:tx>
            <c:v>LD</c:v>
          </c:tx>
          <c:spPr>
            <a:solidFill>
              <a:srgbClr val="FAA01A"/>
            </a:solidFill>
            <a:ln w="25400">
              <a:noFill/>
            </a:ln>
          </c:spPr>
          <c:invertIfNegative val="0"/>
          <c:cat>
            <c:numRef>
              <c:extLst>
                <c:ext xmlns:c15="http://schemas.microsoft.com/office/drawing/2012/chart" uri="{02D57815-91ED-43cb-92C2-25804820EDAC}">
                  <c15:fullRef>
                    <c15:sqref>'1 GE-UK'!$A$6:$A$34</c15:sqref>
                  </c15:fullRef>
                </c:ext>
              </c:extLst>
              <c:f>'1 GE-UK'!$A$7:$A$34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GE-UK'!$E$6:$E$34</c15:sqref>
                  </c15:fullRef>
                </c:ext>
              </c:extLst>
              <c:f>'1 GE-UK'!$E$7:$E$34</c:f>
              <c:numCache>
                <c:formatCode>#,##0.00_);\(#,##0.00\)</c:formatCode>
                <c:ptCount val="28"/>
                <c:pt idx="0">
                  <c:v>2.785374</c:v>
                </c:pt>
                <c:pt idx="1">
                  <c:v>4.1394599999999997</c:v>
                </c:pt>
                <c:pt idx="2">
                  <c:v>4.3014809999999999</c:v>
                </c:pt>
                <c:pt idx="3">
                  <c:v>2.9287369999999999</c:v>
                </c:pt>
                <c:pt idx="4">
                  <c:v>5.308738</c:v>
                </c:pt>
                <c:pt idx="5">
                  <c:v>1.4761230000000001</c:v>
                </c:pt>
                <c:pt idx="6">
                  <c:v>1.443093</c:v>
                </c:pt>
                <c:pt idx="7">
                  <c:v>2.2524299999999999</c:v>
                </c:pt>
                <c:pt idx="8">
                  <c:v>2.6214870000000001</c:v>
                </c:pt>
                <c:pt idx="9">
                  <c:v>0.73054600000000003</c:v>
                </c:pt>
                <c:pt idx="10">
                  <c:v>0.72240199999999999</c:v>
                </c:pt>
                <c:pt idx="11">
                  <c:v>1.64076</c:v>
                </c:pt>
                <c:pt idx="12">
                  <c:v>3.0992829999999998</c:v>
                </c:pt>
                <c:pt idx="13">
                  <c:v>2.3274569999999999</c:v>
                </c:pt>
                <c:pt idx="14">
                  <c:v>2.117035</c:v>
                </c:pt>
                <c:pt idx="15">
                  <c:v>6.0595189999999999</c:v>
                </c:pt>
                <c:pt idx="16">
                  <c:v>5.3467039999999999</c:v>
                </c:pt>
                <c:pt idx="17">
                  <c:v>4.3138040000000002</c:v>
                </c:pt>
                <c:pt idx="18">
                  <c:v>7.7809489999999997</c:v>
                </c:pt>
                <c:pt idx="19">
                  <c:v>7.3416329999999999</c:v>
                </c:pt>
                <c:pt idx="20">
                  <c:v>5.999606</c:v>
                </c:pt>
                <c:pt idx="21">
                  <c:v>5.242947</c:v>
                </c:pt>
                <c:pt idx="22">
                  <c:v>4.8143209999999996</c:v>
                </c:pt>
                <c:pt idx="23">
                  <c:v>5.9854539999999998</c:v>
                </c:pt>
                <c:pt idx="24">
                  <c:v>6.8362480000000003</c:v>
                </c:pt>
                <c:pt idx="25">
                  <c:v>2.4159000000000002</c:v>
                </c:pt>
                <c:pt idx="26">
                  <c:v>2.371861</c:v>
                </c:pt>
                <c:pt idx="27">
                  <c:v>3.6964190000000001</c:v>
                </c:pt>
              </c:numCache>
            </c:numRef>
          </c:val>
          <c:extLst>
            <c:ext xmlns:c16="http://schemas.microsoft.com/office/drawing/2014/chart" uri="{C3380CC4-5D6E-409C-BE32-E72D297353CC}">
              <c16:uniqueId val="{00000002-11A9-4491-8E33-47E0B3462524}"/>
            </c:ext>
          </c:extLst>
        </c:ser>
        <c:dLbls>
          <c:showLegendKey val="0"/>
          <c:showVal val="0"/>
          <c:showCatName val="0"/>
          <c:showSerName val="0"/>
          <c:showPercent val="0"/>
          <c:showBubbleSize val="0"/>
        </c:dLbls>
        <c:gapWidth val="65"/>
        <c:overlap val="100"/>
        <c:axId val="463550808"/>
        <c:axId val="463551200"/>
      </c:barChart>
      <c:catAx>
        <c:axId val="463550808"/>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1200"/>
        <c:crosses val="autoZero"/>
        <c:auto val="1"/>
        <c:lblAlgn val="ctr"/>
        <c:lblOffset val="100"/>
        <c:noMultiLvlLbl val="0"/>
      </c:catAx>
      <c:valAx>
        <c:axId val="463551200"/>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3550808"/>
        <c:crosses val="max"/>
        <c:crossBetween val="between"/>
      </c:valAx>
      <c:spPr>
        <a:noFill/>
        <a:ln w="25400">
          <a:noFill/>
        </a:ln>
      </c:spPr>
    </c:plotArea>
    <c:legend>
      <c:legendPos val="r"/>
      <c:layout>
        <c:manualLayout>
          <c:xMode val="edge"/>
          <c:yMode val="edge"/>
          <c:x val="0.68899521531100483"/>
          <c:y val="8.0078046847917597E-2"/>
          <c:w val="0.23288399954790337"/>
          <c:h val="0.13666757864638077"/>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candidates </a:t>
            </a:r>
          </a:p>
        </c:rich>
      </c:tx>
      <c:layout>
        <c:manualLayout>
          <c:xMode val="edge"/>
          <c:yMode val="edge"/>
          <c:x val="0.11873674897800424"/>
          <c:y val="9.7717932858578452E-3"/>
        </c:manualLayout>
      </c:layout>
      <c:overlay val="0"/>
      <c:spPr>
        <a:noFill/>
        <a:ln w="25400">
          <a:noFill/>
        </a:ln>
      </c:spPr>
    </c:title>
    <c:autoTitleDeleted val="0"/>
    <c:plotArea>
      <c:layout>
        <c:manualLayout>
          <c:layoutTarget val="inner"/>
          <c:xMode val="edge"/>
          <c:yMode val="edge"/>
          <c:x val="0.22356517935258094"/>
          <c:y val="6.6921750783910536E-2"/>
          <c:w val="0.48953530352780994"/>
          <c:h val="0.88247949821823701"/>
        </c:manualLayout>
      </c:layout>
      <c:barChart>
        <c:barDir val="bar"/>
        <c:grouping val="clustered"/>
        <c:varyColors val="0"/>
        <c:ser>
          <c:idx val="6"/>
          <c:order val="0"/>
          <c:tx>
            <c:v>CON</c:v>
          </c:tx>
          <c:spPr>
            <a:solidFill>
              <a:srgbClr val="00539F"/>
            </a:solidFill>
            <a:ln>
              <a:noFill/>
            </a:ln>
          </c:spPr>
          <c:invertIfNegative val="0"/>
          <c:cat>
            <c:numRef>
              <c:extLst>
                <c:ext xmlns:c15="http://schemas.microsoft.com/office/drawing/2012/chart" uri="{02D57815-91ED-43cb-92C2-25804820EDAC}">
                  <c15:fullRef>
                    <c15:sqref>'1 GE-UK'!$J$6:$J$34</c15:sqref>
                  </c15:fullRef>
                </c:ext>
              </c:extLst>
              <c:f>'1 GE-UK'!$J$7:$J$34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GE-UK'!$L$6:$L$34</c15:sqref>
                  </c15:fullRef>
                </c:ext>
              </c:extLst>
              <c:f>'1 GE-UK'!$L$7:$L$34</c:f>
              <c:numCache>
                <c:formatCode>0</c:formatCode>
                <c:ptCount val="28"/>
                <c:pt idx="0">
                  <c:v>445</c:v>
                </c:pt>
                <c:pt idx="1">
                  <c:v>482</c:v>
                </c:pt>
                <c:pt idx="2">
                  <c:v>536</c:v>
                </c:pt>
                <c:pt idx="3">
                  <c:v>534</c:v>
                </c:pt>
                <c:pt idx="4">
                  <c:v>590</c:v>
                </c:pt>
                <c:pt idx="5">
                  <c:v>583</c:v>
                </c:pt>
                <c:pt idx="6">
                  <c:v>583</c:v>
                </c:pt>
                <c:pt idx="7" formatCode="#,##0_);\(#,##0\)">
                  <c:v>618</c:v>
                </c:pt>
                <c:pt idx="8" formatCode="#,##0_);\(#,##0\)">
                  <c:v>619</c:v>
                </c:pt>
                <c:pt idx="9" formatCode="#,##0_);\(#,##0\)">
                  <c:v>617</c:v>
                </c:pt>
                <c:pt idx="10" formatCode="#,##0_);\(#,##0\)">
                  <c:v>624</c:v>
                </c:pt>
                <c:pt idx="11" formatCode="#,##0_);\(#,##0\)">
                  <c:v>625</c:v>
                </c:pt>
                <c:pt idx="12" formatCode="#,##0_);\(#,##0\)">
                  <c:v>630</c:v>
                </c:pt>
                <c:pt idx="13" formatCode="#,##0_);\(#,##0\)">
                  <c:v>629</c:v>
                </c:pt>
                <c:pt idx="14" formatCode="#,##0_);\(#,##0\)">
                  <c:v>628</c:v>
                </c:pt>
                <c:pt idx="15" formatCode="#,##0_);\(#,##0\)">
                  <c:v>623</c:v>
                </c:pt>
                <c:pt idx="16" formatCode="#,##0_);\(#,##0\)">
                  <c:v>622</c:v>
                </c:pt>
                <c:pt idx="17" formatCode="#,##0_);\(#,##0\)">
                  <c:v>622</c:v>
                </c:pt>
                <c:pt idx="18" formatCode="#,##0_);\(#,##0\)">
                  <c:v>633</c:v>
                </c:pt>
                <c:pt idx="19" formatCode="#,##0_);\(#,##0\)">
                  <c:v>633</c:v>
                </c:pt>
                <c:pt idx="20" formatCode="#,##0_);\(#,##0\)">
                  <c:v>645</c:v>
                </c:pt>
                <c:pt idx="21" formatCode="#,##0_);\(#,##0\)">
                  <c:v>648</c:v>
                </c:pt>
                <c:pt idx="22" formatCode="#,##0_);\(#,##0\)">
                  <c:v>643</c:v>
                </c:pt>
                <c:pt idx="23" formatCode="#,##0_);\(#,##0\)">
                  <c:v>630</c:v>
                </c:pt>
                <c:pt idx="24" formatCode="#,##0_);\(#,##0\)">
                  <c:v>631</c:v>
                </c:pt>
                <c:pt idx="25" formatCode="#,##0_);\(#,##0\)">
                  <c:v>647</c:v>
                </c:pt>
                <c:pt idx="26" formatCode="#,##0_);\(#,##0\)">
                  <c:v>638</c:v>
                </c:pt>
                <c:pt idx="27" formatCode="#,##0_);\(#,##0\)">
                  <c:v>635</c:v>
                </c:pt>
              </c:numCache>
            </c:numRef>
          </c:val>
          <c:extLst>
            <c:ext xmlns:c16="http://schemas.microsoft.com/office/drawing/2014/chart" uri="{C3380CC4-5D6E-409C-BE32-E72D297353CC}">
              <c16:uniqueId val="{00000000-15C7-402B-A876-9FECBBBBE0B1}"/>
            </c:ext>
          </c:extLst>
        </c:ser>
        <c:ser>
          <c:idx val="8"/>
          <c:order val="1"/>
          <c:tx>
            <c:strRef>
              <c:f>'1 GE-UK'!$M$5</c:f>
              <c:strCache>
                <c:ptCount val="1"/>
                <c:pt idx="0">
                  <c:v>LAB </c:v>
                </c:pt>
              </c:strCache>
            </c:strRef>
          </c:tx>
          <c:spPr>
            <a:solidFill>
              <a:srgbClr val="D50000"/>
            </a:solidFill>
            <a:ln>
              <a:noFill/>
            </a:ln>
          </c:spPr>
          <c:invertIfNegative val="0"/>
          <c:cat>
            <c:numRef>
              <c:extLst>
                <c:ext xmlns:c15="http://schemas.microsoft.com/office/drawing/2012/chart" uri="{02D57815-91ED-43cb-92C2-25804820EDAC}">
                  <c15:fullRef>
                    <c15:sqref>'1 GE-UK'!$J$6:$J$34</c15:sqref>
                  </c15:fullRef>
                </c:ext>
              </c:extLst>
              <c:f>'1 GE-UK'!$J$7:$J$34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GE-UK'!$M$6:$M$34</c15:sqref>
                  </c15:fullRef>
                </c:ext>
              </c:extLst>
              <c:f>'1 GE-UK'!$M$7:$M$34</c:f>
              <c:numCache>
                <c:formatCode>0</c:formatCode>
                <c:ptCount val="28"/>
                <c:pt idx="0">
                  <c:v>361</c:v>
                </c:pt>
                <c:pt idx="1">
                  <c:v>414</c:v>
                </c:pt>
                <c:pt idx="2">
                  <c:v>427</c:v>
                </c:pt>
                <c:pt idx="3">
                  <c:v>514</c:v>
                </c:pt>
                <c:pt idx="4">
                  <c:v>569</c:v>
                </c:pt>
                <c:pt idx="5">
                  <c:v>516</c:v>
                </c:pt>
                <c:pt idx="6">
                  <c:v>552</c:v>
                </c:pt>
                <c:pt idx="7" formatCode="#,##0_);\(#,##0\)">
                  <c:v>603</c:v>
                </c:pt>
                <c:pt idx="8" formatCode="#,##0_);\(#,##0\)">
                  <c:v>617</c:v>
                </c:pt>
                <c:pt idx="9" formatCode="#,##0_);\(#,##0\)">
                  <c:v>617</c:v>
                </c:pt>
                <c:pt idx="10" formatCode="#,##0_);\(#,##0\)">
                  <c:v>620</c:v>
                </c:pt>
                <c:pt idx="11" formatCode="#,##0_);\(#,##0\)">
                  <c:v>621</c:v>
                </c:pt>
                <c:pt idx="12" formatCode="#,##0_);\(#,##0\)">
                  <c:v>628</c:v>
                </c:pt>
                <c:pt idx="13" formatCode="#,##0_);\(#,##0\)">
                  <c:v>622</c:v>
                </c:pt>
                <c:pt idx="14" formatCode="#,##0_);\(#,##0\)">
                  <c:v>625</c:v>
                </c:pt>
                <c:pt idx="15" formatCode="#,##0_);\(#,##0\)">
                  <c:v>623</c:v>
                </c:pt>
                <c:pt idx="16" formatCode="#,##0_);\(#,##0\)">
                  <c:v>623</c:v>
                </c:pt>
                <c:pt idx="17" formatCode="#,##0_);\(#,##0\)">
                  <c:v>623</c:v>
                </c:pt>
                <c:pt idx="18" formatCode="#,##0_);\(#,##0\)">
                  <c:v>633</c:v>
                </c:pt>
                <c:pt idx="19" formatCode="#,##0_);\(#,##0\)">
                  <c:v>633</c:v>
                </c:pt>
                <c:pt idx="20" formatCode="#,##0_);\(#,##0\)">
                  <c:v>634</c:v>
                </c:pt>
                <c:pt idx="21" formatCode="#,##0_);\(#,##0\)">
                  <c:v>639</c:v>
                </c:pt>
                <c:pt idx="22" formatCode="#,##0_);\(#,##0\)">
                  <c:v>640</c:v>
                </c:pt>
                <c:pt idx="23" formatCode="#,##0_);\(#,##0\)">
                  <c:v>627</c:v>
                </c:pt>
                <c:pt idx="24" formatCode="#,##0_);\(#,##0\)">
                  <c:v>631</c:v>
                </c:pt>
                <c:pt idx="25" formatCode="#,##0_);\(#,##0\)">
                  <c:v>631</c:v>
                </c:pt>
                <c:pt idx="26" formatCode="#,##0_);\(#,##0\)">
                  <c:v>631</c:v>
                </c:pt>
                <c:pt idx="27" formatCode="#,##0_);\(#,##0\)">
                  <c:v>631</c:v>
                </c:pt>
              </c:numCache>
            </c:numRef>
          </c:val>
          <c:extLst>
            <c:ext xmlns:c16="http://schemas.microsoft.com/office/drawing/2014/chart" uri="{C3380CC4-5D6E-409C-BE32-E72D297353CC}">
              <c16:uniqueId val="{00000001-15C7-402B-A876-9FECBBBBE0B1}"/>
            </c:ext>
          </c:extLst>
        </c:ser>
        <c:ser>
          <c:idx val="9"/>
          <c:order val="2"/>
          <c:tx>
            <c:v>LD</c:v>
          </c:tx>
          <c:spPr>
            <a:solidFill>
              <a:srgbClr val="FAA01A"/>
            </a:solidFill>
            <a:ln>
              <a:noFill/>
            </a:ln>
          </c:spPr>
          <c:invertIfNegative val="0"/>
          <c:cat>
            <c:numRef>
              <c:extLst>
                <c:ext xmlns:c15="http://schemas.microsoft.com/office/drawing/2012/chart" uri="{02D57815-91ED-43cb-92C2-25804820EDAC}">
                  <c15:fullRef>
                    <c15:sqref>'1 GE-UK'!$J$6:$J$34</c15:sqref>
                  </c15:fullRef>
                </c:ext>
              </c:extLst>
              <c:f>'1 GE-UK'!$J$7:$J$34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GE-UK'!$N$6:$N$34</c15:sqref>
                  </c15:fullRef>
                </c:ext>
              </c:extLst>
              <c:f>'1 GE-UK'!$N$7:$N$34</c:f>
              <c:numCache>
                <c:formatCode>0</c:formatCode>
                <c:ptCount val="28"/>
                <c:pt idx="0">
                  <c:v>421</c:v>
                </c:pt>
                <c:pt idx="1">
                  <c:v>485</c:v>
                </c:pt>
                <c:pt idx="2">
                  <c:v>457</c:v>
                </c:pt>
                <c:pt idx="3">
                  <c:v>339</c:v>
                </c:pt>
                <c:pt idx="4">
                  <c:v>513</c:v>
                </c:pt>
                <c:pt idx="5">
                  <c:v>117</c:v>
                </c:pt>
                <c:pt idx="6">
                  <c:v>161</c:v>
                </c:pt>
                <c:pt idx="7" formatCode="#,##0_);\(#,##0\)">
                  <c:v>306</c:v>
                </c:pt>
                <c:pt idx="8" formatCode="#,##0_);\(#,##0\)">
                  <c:v>475</c:v>
                </c:pt>
                <c:pt idx="9" formatCode="#,##0_);\(#,##0\)">
                  <c:v>109</c:v>
                </c:pt>
                <c:pt idx="10" formatCode="#,##0_);\(#,##0\)">
                  <c:v>110</c:v>
                </c:pt>
                <c:pt idx="11" formatCode="#,##0_);\(#,##0\)">
                  <c:v>216</c:v>
                </c:pt>
                <c:pt idx="12" formatCode="#,##0_);\(#,##0\)">
                  <c:v>365</c:v>
                </c:pt>
                <c:pt idx="13" formatCode="#,##0_);\(#,##0\)">
                  <c:v>311</c:v>
                </c:pt>
                <c:pt idx="14" formatCode="#,##0_);\(#,##0\)">
                  <c:v>332</c:v>
                </c:pt>
                <c:pt idx="15" formatCode="#,##0_);\(#,##0\)">
                  <c:v>517</c:v>
                </c:pt>
                <c:pt idx="16" formatCode="#,##0_);\(#,##0\)">
                  <c:v>619</c:v>
                </c:pt>
                <c:pt idx="17" formatCode="#,##0_);\(#,##0\)">
                  <c:v>577</c:v>
                </c:pt>
                <c:pt idx="18" formatCode="#,##0_);\(#,##0\)">
                  <c:v>633</c:v>
                </c:pt>
                <c:pt idx="19" formatCode="#,##0_);\(#,##0\)">
                  <c:v>633</c:v>
                </c:pt>
                <c:pt idx="20" formatCode="#,##0_);\(#,##0\)">
                  <c:v>632</c:v>
                </c:pt>
                <c:pt idx="21" formatCode="#,##0_);\(#,##0\)">
                  <c:v>639</c:v>
                </c:pt>
                <c:pt idx="22" formatCode="#,##0_);\(#,##0\)">
                  <c:v>639</c:v>
                </c:pt>
                <c:pt idx="23" formatCode="#,##0_);\(#,##0\)">
                  <c:v>626</c:v>
                </c:pt>
                <c:pt idx="24" formatCode="#,##0_);\(#,##0\)">
                  <c:v>631</c:v>
                </c:pt>
                <c:pt idx="25" formatCode="#,##0_);\(#,##0\)">
                  <c:v>631</c:v>
                </c:pt>
                <c:pt idx="26" formatCode="#,##0_);\(#,##0\)">
                  <c:v>629</c:v>
                </c:pt>
                <c:pt idx="27" formatCode="#,##0_);\(#,##0\)">
                  <c:v>611</c:v>
                </c:pt>
              </c:numCache>
            </c:numRef>
          </c:val>
          <c:extLst>
            <c:ext xmlns:c16="http://schemas.microsoft.com/office/drawing/2014/chart" uri="{C3380CC4-5D6E-409C-BE32-E72D297353CC}">
              <c16:uniqueId val="{00000002-15C7-402B-A876-9FECBBBBE0B1}"/>
            </c:ext>
          </c:extLst>
        </c:ser>
        <c:dLbls>
          <c:showLegendKey val="0"/>
          <c:showVal val="0"/>
          <c:showCatName val="0"/>
          <c:showSerName val="0"/>
          <c:showPercent val="0"/>
          <c:showBubbleSize val="0"/>
        </c:dLbls>
        <c:gapWidth val="122"/>
        <c:axId val="463551984"/>
        <c:axId val="463552376"/>
      </c:barChart>
      <c:catAx>
        <c:axId val="463551984"/>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2376"/>
        <c:crosses val="autoZero"/>
        <c:auto val="0"/>
        <c:lblAlgn val="ctr"/>
        <c:lblOffset val="100"/>
        <c:tickLblSkip val="1"/>
        <c:noMultiLvlLbl val="0"/>
      </c:catAx>
      <c:valAx>
        <c:axId val="463552376"/>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3551984"/>
        <c:crosses val="max"/>
        <c:crossBetween val="between"/>
        <c:majorUnit val="2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seats won</a:t>
            </a:r>
          </a:p>
        </c:rich>
      </c:tx>
      <c:layout>
        <c:manualLayout>
          <c:xMode val="edge"/>
          <c:yMode val="edge"/>
          <c:x val="0.14429272091405521"/>
          <c:y val="1.7012214798656975E-3"/>
        </c:manualLayout>
      </c:layout>
      <c:overlay val="0"/>
      <c:spPr>
        <a:noFill/>
        <a:ln w="25400">
          <a:noFill/>
        </a:ln>
      </c:spPr>
    </c:title>
    <c:autoTitleDeleted val="0"/>
    <c:plotArea>
      <c:layout>
        <c:manualLayout>
          <c:layoutTarget val="inner"/>
          <c:xMode val="edge"/>
          <c:yMode val="edge"/>
          <c:x val="0.22356505281685674"/>
          <c:y val="5.0181715797694926E-2"/>
          <c:w val="0.49593018601051481"/>
          <c:h val="0.89975714125228512"/>
        </c:manualLayout>
      </c:layout>
      <c:barChart>
        <c:barDir val="bar"/>
        <c:grouping val="stacked"/>
        <c:varyColors val="0"/>
        <c:ser>
          <c:idx val="4"/>
          <c:order val="0"/>
          <c:tx>
            <c:v>CON</c:v>
          </c:tx>
          <c:spPr>
            <a:solidFill>
              <a:srgbClr val="00539F"/>
            </a:solidFill>
          </c:spPr>
          <c:invertIfNegative val="0"/>
          <c:cat>
            <c:numRef>
              <c:extLst>
                <c:ext xmlns:c15="http://schemas.microsoft.com/office/drawing/2012/chart" uri="{02D57815-91ED-43cb-92C2-25804820EDAC}">
                  <c15:fullRef>
                    <c15:sqref>'1 GE-UK'!$J$38:$J$66</c15:sqref>
                  </c15:fullRef>
                </c:ext>
              </c:extLst>
              <c:f>'1 GE-UK'!$J$39:$J$66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GE-UK'!$L$38:$L$66</c15:sqref>
                  </c15:fullRef>
                </c:ext>
              </c:extLst>
              <c:f>'1 GE-UK'!$L$39:$L$66</c:f>
              <c:numCache>
                <c:formatCode>0</c:formatCode>
                <c:ptCount val="28"/>
                <c:pt idx="0">
                  <c:v>382</c:v>
                </c:pt>
                <c:pt idx="1">
                  <c:v>344</c:v>
                </c:pt>
                <c:pt idx="2">
                  <c:v>258</c:v>
                </c:pt>
                <c:pt idx="3">
                  <c:v>412</c:v>
                </c:pt>
                <c:pt idx="4">
                  <c:v>260</c:v>
                </c:pt>
                <c:pt idx="5">
                  <c:v>522</c:v>
                </c:pt>
                <c:pt idx="6">
                  <c:v>429</c:v>
                </c:pt>
                <c:pt idx="7">
                  <c:v>210</c:v>
                </c:pt>
                <c:pt idx="8">
                  <c:v>298</c:v>
                </c:pt>
                <c:pt idx="9">
                  <c:v>321</c:v>
                </c:pt>
                <c:pt idx="10">
                  <c:v>345</c:v>
                </c:pt>
                <c:pt idx="11">
                  <c:v>365</c:v>
                </c:pt>
                <c:pt idx="12">
                  <c:v>304</c:v>
                </c:pt>
                <c:pt idx="13">
                  <c:v>253</c:v>
                </c:pt>
                <c:pt idx="14">
                  <c:v>330</c:v>
                </c:pt>
                <c:pt idx="15">
                  <c:v>297</c:v>
                </c:pt>
                <c:pt idx="16">
                  <c:v>277</c:v>
                </c:pt>
                <c:pt idx="17">
                  <c:v>339</c:v>
                </c:pt>
                <c:pt idx="18">
                  <c:v>397</c:v>
                </c:pt>
                <c:pt idx="19">
                  <c:v>376</c:v>
                </c:pt>
                <c:pt idx="20">
                  <c:v>336</c:v>
                </c:pt>
                <c:pt idx="21">
                  <c:v>165</c:v>
                </c:pt>
                <c:pt idx="22">
                  <c:v>166</c:v>
                </c:pt>
                <c:pt idx="23">
                  <c:v>198</c:v>
                </c:pt>
                <c:pt idx="24">
                  <c:v>306</c:v>
                </c:pt>
                <c:pt idx="25" formatCode="#,##0_);\(#,##0\)">
                  <c:v>330</c:v>
                </c:pt>
                <c:pt idx="26" formatCode="#,##0_);\(#,##0\)">
                  <c:v>317</c:v>
                </c:pt>
                <c:pt idx="27" formatCode="#,##0_);\(#,##0\)">
                  <c:v>365</c:v>
                </c:pt>
              </c:numCache>
            </c:numRef>
          </c:val>
          <c:extLst>
            <c:ext xmlns:c16="http://schemas.microsoft.com/office/drawing/2014/chart" uri="{C3380CC4-5D6E-409C-BE32-E72D297353CC}">
              <c16:uniqueId val="{00000000-A6F6-462B-ABB5-82EA94FF1C8B}"/>
            </c:ext>
          </c:extLst>
        </c:ser>
        <c:ser>
          <c:idx val="5"/>
          <c:order val="1"/>
          <c:tx>
            <c:strRef>
              <c:f>'1 GE-UK'!$M$37</c:f>
              <c:strCache>
                <c:ptCount val="1"/>
                <c:pt idx="0">
                  <c:v>LAB </c:v>
                </c:pt>
              </c:strCache>
            </c:strRef>
          </c:tx>
          <c:spPr>
            <a:solidFill>
              <a:srgbClr val="D50000"/>
            </a:solidFill>
          </c:spPr>
          <c:invertIfNegative val="0"/>
          <c:cat>
            <c:numRef>
              <c:extLst>
                <c:ext xmlns:c15="http://schemas.microsoft.com/office/drawing/2012/chart" uri="{02D57815-91ED-43cb-92C2-25804820EDAC}">
                  <c15:fullRef>
                    <c15:sqref>'1 GE-UK'!$J$38:$J$66</c15:sqref>
                  </c15:fullRef>
                </c:ext>
              </c:extLst>
              <c:f>'1 GE-UK'!$J$39:$J$66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GE-UK'!$M$38:$M$66</c15:sqref>
                  </c15:fullRef>
                </c:ext>
              </c:extLst>
              <c:f>'1 GE-UK'!$M$39:$M$66</c:f>
              <c:numCache>
                <c:formatCode>0</c:formatCode>
                <c:ptCount val="28"/>
                <c:pt idx="0">
                  <c:v>57</c:v>
                </c:pt>
                <c:pt idx="1">
                  <c:v>142</c:v>
                </c:pt>
                <c:pt idx="2">
                  <c:v>191</c:v>
                </c:pt>
                <c:pt idx="3">
                  <c:v>151</c:v>
                </c:pt>
                <c:pt idx="4">
                  <c:v>287</c:v>
                </c:pt>
                <c:pt idx="5">
                  <c:v>52</c:v>
                </c:pt>
                <c:pt idx="6">
                  <c:v>154</c:v>
                </c:pt>
                <c:pt idx="7">
                  <c:v>393</c:v>
                </c:pt>
                <c:pt idx="8">
                  <c:v>315</c:v>
                </c:pt>
                <c:pt idx="9">
                  <c:v>295</c:v>
                </c:pt>
                <c:pt idx="10">
                  <c:v>277</c:v>
                </c:pt>
                <c:pt idx="11">
                  <c:v>258</c:v>
                </c:pt>
                <c:pt idx="12">
                  <c:v>317</c:v>
                </c:pt>
                <c:pt idx="13">
                  <c:v>364</c:v>
                </c:pt>
                <c:pt idx="14">
                  <c:v>288</c:v>
                </c:pt>
                <c:pt idx="15">
                  <c:v>301</c:v>
                </c:pt>
                <c:pt idx="16">
                  <c:v>319</c:v>
                </c:pt>
                <c:pt idx="17">
                  <c:v>269</c:v>
                </c:pt>
                <c:pt idx="18">
                  <c:v>209</c:v>
                </c:pt>
                <c:pt idx="19">
                  <c:v>229</c:v>
                </c:pt>
                <c:pt idx="20">
                  <c:v>271</c:v>
                </c:pt>
                <c:pt idx="21">
                  <c:v>418</c:v>
                </c:pt>
                <c:pt idx="22">
                  <c:v>412</c:v>
                </c:pt>
                <c:pt idx="23">
                  <c:v>355</c:v>
                </c:pt>
                <c:pt idx="24">
                  <c:v>258</c:v>
                </c:pt>
                <c:pt idx="25" formatCode="#,##0_);\(#,##0\)">
                  <c:v>232</c:v>
                </c:pt>
                <c:pt idx="26" formatCode="#,##0_);\(#,##0\)">
                  <c:v>262</c:v>
                </c:pt>
                <c:pt idx="27" formatCode="#,##0_);\(#,##0\)">
                  <c:v>202</c:v>
                </c:pt>
              </c:numCache>
            </c:numRef>
          </c:val>
          <c:extLst>
            <c:ext xmlns:c16="http://schemas.microsoft.com/office/drawing/2014/chart" uri="{C3380CC4-5D6E-409C-BE32-E72D297353CC}">
              <c16:uniqueId val="{00000001-A6F6-462B-ABB5-82EA94FF1C8B}"/>
            </c:ext>
          </c:extLst>
        </c:ser>
        <c:ser>
          <c:idx val="6"/>
          <c:order val="2"/>
          <c:tx>
            <c:v>LD</c:v>
          </c:tx>
          <c:spPr>
            <a:solidFill>
              <a:srgbClr val="FAA01A"/>
            </a:solidFill>
          </c:spPr>
          <c:invertIfNegative val="0"/>
          <c:cat>
            <c:numRef>
              <c:extLst>
                <c:ext xmlns:c15="http://schemas.microsoft.com/office/drawing/2012/chart" uri="{02D57815-91ED-43cb-92C2-25804820EDAC}">
                  <c15:fullRef>
                    <c15:sqref>'1 GE-UK'!$J$38:$J$66</c15:sqref>
                  </c15:fullRef>
                </c:ext>
              </c:extLst>
              <c:f>'1 GE-UK'!$J$39:$J$66</c:f>
              <c:numCache>
                <c:formatCode>General</c:formatCode>
                <c:ptCount val="28"/>
                <c:pt idx="0">
                  <c:v>1918</c:v>
                </c:pt>
                <c:pt idx="1" formatCode="0">
                  <c:v>1922</c:v>
                </c:pt>
                <c:pt idx="2" formatCode="0">
                  <c:v>1923</c:v>
                </c:pt>
                <c:pt idx="3" formatCode="0">
                  <c:v>1924</c:v>
                </c:pt>
                <c:pt idx="4" formatCode="0">
                  <c:v>1929</c:v>
                </c:pt>
                <c:pt idx="5" formatCode="0">
                  <c:v>1931</c:v>
                </c:pt>
                <c:pt idx="6" formatCode="0">
                  <c:v>1935</c:v>
                </c:pt>
                <c:pt idx="7" formatCode="0">
                  <c:v>1945</c:v>
                </c:pt>
                <c:pt idx="8" formatCode="0">
                  <c:v>1950</c:v>
                </c:pt>
                <c:pt idx="9" formatCode="0">
                  <c:v>1951</c:v>
                </c:pt>
                <c:pt idx="10" formatCode="0">
                  <c:v>1955</c:v>
                </c:pt>
                <c:pt idx="11" formatCode="0">
                  <c:v>1959</c:v>
                </c:pt>
                <c:pt idx="12" formatCode="0">
                  <c:v>1964</c:v>
                </c:pt>
                <c:pt idx="13" formatCode="0">
                  <c:v>1966</c:v>
                </c:pt>
                <c:pt idx="14" formatCode="0">
                  <c:v>1970</c:v>
                </c:pt>
                <c:pt idx="15" formatCode="0">
                  <c:v>1974</c:v>
                </c:pt>
                <c:pt idx="16" formatCode="0">
                  <c:v>1974</c:v>
                </c:pt>
                <c:pt idx="17" formatCode="0">
                  <c:v>1979</c:v>
                </c:pt>
                <c:pt idx="18" formatCode="0">
                  <c:v>1983</c:v>
                </c:pt>
                <c:pt idx="19" formatCode="0">
                  <c:v>1987</c:v>
                </c:pt>
                <c:pt idx="20" formatCode="0">
                  <c:v>1992</c:v>
                </c:pt>
                <c:pt idx="21" formatCode="0">
                  <c:v>1997</c:v>
                </c:pt>
                <c:pt idx="22" formatCode="0">
                  <c:v>2001</c:v>
                </c:pt>
                <c:pt idx="23" formatCode="0">
                  <c:v>2005</c:v>
                </c:pt>
                <c:pt idx="24" formatCode="0">
                  <c:v>2010</c:v>
                </c:pt>
                <c:pt idx="25" formatCode="0">
                  <c:v>2015</c:v>
                </c:pt>
                <c:pt idx="26" formatCode="0">
                  <c:v>2017</c:v>
                </c:pt>
                <c:pt idx="27" formatCode="0">
                  <c:v>2019</c:v>
                </c:pt>
              </c:numCache>
            </c:numRef>
          </c:cat>
          <c:val>
            <c:numRef>
              <c:extLst>
                <c:ext xmlns:c15="http://schemas.microsoft.com/office/drawing/2012/chart" uri="{02D57815-91ED-43cb-92C2-25804820EDAC}">
                  <c15:fullRef>
                    <c15:sqref>'1 GE-UK'!$N$38:$N$66</c15:sqref>
                  </c15:fullRef>
                </c:ext>
              </c:extLst>
              <c:f>'1 GE-UK'!$N$39:$N$66</c:f>
              <c:numCache>
                <c:formatCode>0</c:formatCode>
                <c:ptCount val="28"/>
                <c:pt idx="0">
                  <c:v>163</c:v>
                </c:pt>
                <c:pt idx="1">
                  <c:v>115</c:v>
                </c:pt>
                <c:pt idx="2">
                  <c:v>158</c:v>
                </c:pt>
                <c:pt idx="3">
                  <c:v>40</c:v>
                </c:pt>
                <c:pt idx="4">
                  <c:v>59</c:v>
                </c:pt>
                <c:pt idx="5">
                  <c:v>36</c:v>
                </c:pt>
                <c:pt idx="6">
                  <c:v>21</c:v>
                </c:pt>
                <c:pt idx="7">
                  <c:v>12</c:v>
                </c:pt>
                <c:pt idx="8">
                  <c:v>9</c:v>
                </c:pt>
                <c:pt idx="9">
                  <c:v>6</c:v>
                </c:pt>
                <c:pt idx="10">
                  <c:v>6</c:v>
                </c:pt>
                <c:pt idx="11">
                  <c:v>6</c:v>
                </c:pt>
                <c:pt idx="12">
                  <c:v>9</c:v>
                </c:pt>
                <c:pt idx="13">
                  <c:v>12</c:v>
                </c:pt>
                <c:pt idx="14">
                  <c:v>6</c:v>
                </c:pt>
                <c:pt idx="15">
                  <c:v>14</c:v>
                </c:pt>
                <c:pt idx="16">
                  <c:v>13</c:v>
                </c:pt>
                <c:pt idx="17">
                  <c:v>11</c:v>
                </c:pt>
                <c:pt idx="18">
                  <c:v>23</c:v>
                </c:pt>
                <c:pt idx="19">
                  <c:v>22</c:v>
                </c:pt>
                <c:pt idx="20">
                  <c:v>20</c:v>
                </c:pt>
                <c:pt idx="21">
                  <c:v>46</c:v>
                </c:pt>
                <c:pt idx="22">
                  <c:v>52</c:v>
                </c:pt>
                <c:pt idx="23">
                  <c:v>62</c:v>
                </c:pt>
                <c:pt idx="24">
                  <c:v>57</c:v>
                </c:pt>
                <c:pt idx="25" formatCode="#,##0_);\(#,##0\)">
                  <c:v>8</c:v>
                </c:pt>
                <c:pt idx="26" formatCode="#,##0_);\(#,##0\)">
                  <c:v>12</c:v>
                </c:pt>
                <c:pt idx="27" formatCode="#,##0_);\(#,##0\)">
                  <c:v>11</c:v>
                </c:pt>
              </c:numCache>
            </c:numRef>
          </c:val>
          <c:extLst>
            <c:ext xmlns:c16="http://schemas.microsoft.com/office/drawing/2014/chart" uri="{C3380CC4-5D6E-409C-BE32-E72D297353CC}">
              <c16:uniqueId val="{00000002-A6F6-462B-ABB5-82EA94FF1C8B}"/>
            </c:ext>
          </c:extLst>
        </c:ser>
        <c:dLbls>
          <c:showLegendKey val="0"/>
          <c:showVal val="0"/>
          <c:showCatName val="0"/>
          <c:showSerName val="0"/>
          <c:showPercent val="0"/>
          <c:showBubbleSize val="0"/>
        </c:dLbls>
        <c:gapWidth val="65"/>
        <c:overlap val="100"/>
        <c:axId val="463553160"/>
        <c:axId val="464502760"/>
      </c:barChart>
      <c:catAx>
        <c:axId val="463553160"/>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4502760"/>
        <c:crosses val="autoZero"/>
        <c:auto val="1"/>
        <c:lblAlgn val="ctr"/>
        <c:lblOffset val="100"/>
        <c:noMultiLvlLbl val="0"/>
      </c:catAx>
      <c:valAx>
        <c:axId val="464502760"/>
        <c:scaling>
          <c:orientation val="minMax"/>
          <c:max val="650"/>
          <c:min val="0"/>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3553160"/>
        <c:crosses val="max"/>
        <c:crossBetween val="between"/>
        <c:majorUnit val="200"/>
        <c:minorUnit val="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votes (%)</a:t>
            </a:r>
          </a:p>
        </c:rich>
      </c:tx>
      <c:layout>
        <c:manualLayout>
          <c:xMode val="edge"/>
          <c:yMode val="edge"/>
          <c:x val="0.18265359891463229"/>
          <c:y val="2.309889408133381E-2"/>
        </c:manualLayout>
      </c:layout>
      <c:overlay val="0"/>
      <c:spPr>
        <a:noFill/>
        <a:ln w="25400">
          <a:noFill/>
        </a:ln>
      </c:spPr>
    </c:title>
    <c:autoTitleDeleted val="0"/>
    <c:plotArea>
      <c:layout>
        <c:manualLayout>
          <c:layoutTarget val="inner"/>
          <c:xMode val="edge"/>
          <c:yMode val="edge"/>
          <c:x val="0.22356517935258094"/>
          <c:y val="7.4741472425290764E-2"/>
          <c:w val="0.49593018601051481"/>
          <c:h val="0.87701924933339592"/>
        </c:manualLayout>
      </c:layout>
      <c:barChart>
        <c:barDir val="bar"/>
        <c:grouping val="stacked"/>
        <c:varyColors val="0"/>
        <c:ser>
          <c:idx val="7"/>
          <c:order val="0"/>
          <c:tx>
            <c:strRef>
              <c:f>'1 GE-GB'!$C$35</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GE-GB'!$A$36:$A$64</c15:sqref>
                  </c15:fullRef>
                </c:ext>
              </c:extLst>
              <c:f>'1 GE-GB'!$A$37:$A$64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GE-GB'!$C$36:$C$64</c15:sqref>
                  </c15:fullRef>
                </c:ext>
              </c:extLst>
              <c:f>'1 GE-GB'!$C$37:$C$64</c:f>
              <c:numCache>
                <c:formatCode>0.0%</c:formatCode>
                <c:ptCount val="28"/>
                <c:pt idx="0">
                  <c:v>0.39500000000000002</c:v>
                </c:pt>
                <c:pt idx="1">
                  <c:v>0.38</c:v>
                </c:pt>
                <c:pt idx="2">
                  <c:v>0.377</c:v>
                </c:pt>
                <c:pt idx="3">
                  <c:v>0.45899999999999996</c:v>
                </c:pt>
                <c:pt idx="4">
                  <c:v>0.375</c:v>
                </c:pt>
                <c:pt idx="5">
                  <c:v>0.6090000000000001</c:v>
                </c:pt>
                <c:pt idx="6">
                  <c:v>0.53200000000000003</c:v>
                </c:pt>
                <c:pt idx="7">
                  <c:v>0.39300065680892604</c:v>
                </c:pt>
                <c:pt idx="8">
                  <c:v>0.4303511212425406</c:v>
                </c:pt>
                <c:pt idx="9">
                  <c:v>0.47784057664452062</c:v>
                </c:pt>
                <c:pt idx="10">
                  <c:v>0.49278867915684338</c:v>
                </c:pt>
                <c:pt idx="11">
                  <c:v>0.48763465384891796</c:v>
                </c:pt>
                <c:pt idx="12">
                  <c:v>0.42935775314047625</c:v>
                </c:pt>
                <c:pt idx="13">
                  <c:v>0.41433983375899142</c:v>
                </c:pt>
                <c:pt idx="14">
                  <c:v>0.46155508197964246</c:v>
                </c:pt>
                <c:pt idx="15">
                  <c:v>0.3876942131768577</c:v>
                </c:pt>
                <c:pt idx="16">
                  <c:v>0.36727494391303261</c:v>
                </c:pt>
                <c:pt idx="17">
                  <c:v>0.44873742341437767</c:v>
                </c:pt>
                <c:pt idx="18">
                  <c:v>0.43510411816782413</c:v>
                </c:pt>
                <c:pt idx="19">
                  <c:v>0.43273054677150463</c:v>
                </c:pt>
                <c:pt idx="20">
                  <c:v>0.42792674557885302</c:v>
                </c:pt>
                <c:pt idx="21">
                  <c:v>0.31450797923708274</c:v>
                </c:pt>
                <c:pt idx="22">
                  <c:v>0.32614117716200669</c:v>
                </c:pt>
                <c:pt idx="23">
                  <c:v>0.33226996968851769</c:v>
                </c:pt>
                <c:pt idx="24">
                  <c:v>0.36891681604707677</c:v>
                </c:pt>
                <c:pt idx="25">
                  <c:v>0.37657802488818326</c:v>
                </c:pt>
                <c:pt idx="26">
                  <c:v>0.43428869966328038</c:v>
                </c:pt>
                <c:pt idx="27">
                  <c:v>0.4472525214179367</c:v>
                </c:pt>
              </c:numCache>
            </c:numRef>
          </c:val>
          <c:extLst>
            <c:ext xmlns:c16="http://schemas.microsoft.com/office/drawing/2014/chart" uri="{C3380CC4-5D6E-409C-BE32-E72D297353CC}">
              <c16:uniqueId val="{00000000-5689-4FFF-A404-F3E4E65CF44D}"/>
            </c:ext>
          </c:extLst>
        </c:ser>
        <c:ser>
          <c:idx val="8"/>
          <c:order val="1"/>
          <c:tx>
            <c:strRef>
              <c:f>'1 GE-GB'!$D$35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GE-GB'!$A$36:$A$64</c15:sqref>
                  </c15:fullRef>
                </c:ext>
              </c:extLst>
              <c:f>'1 GE-GB'!$A$37:$A$64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GE-GB'!$D$36:$D$64</c15:sqref>
                  </c15:fullRef>
                </c:ext>
              </c:extLst>
              <c:f>'1 GE-GB'!$D$37:$D$64</c:f>
              <c:numCache>
                <c:formatCode>0.0%</c:formatCode>
                <c:ptCount val="28"/>
                <c:pt idx="0">
                  <c:v>0.23</c:v>
                </c:pt>
                <c:pt idx="1">
                  <c:v>0.29899999999999999</c:v>
                </c:pt>
                <c:pt idx="2">
                  <c:v>0.31</c:v>
                </c:pt>
                <c:pt idx="3">
                  <c:v>0.34</c:v>
                </c:pt>
                <c:pt idx="4">
                  <c:v>0.37799999999999995</c:v>
                </c:pt>
                <c:pt idx="5">
                  <c:v>0.311</c:v>
                </c:pt>
                <c:pt idx="6">
                  <c:v>0.38600000000000001</c:v>
                </c:pt>
                <c:pt idx="7">
                  <c:v>0.48829033990374732</c:v>
                </c:pt>
                <c:pt idx="8">
                  <c:v>0.46786624991146658</c:v>
                </c:pt>
                <c:pt idx="9">
                  <c:v>0.4935972324122721</c:v>
                </c:pt>
                <c:pt idx="10">
                  <c:v>0.47369466706146202</c:v>
                </c:pt>
                <c:pt idx="11">
                  <c:v>0.44607350166321935</c:v>
                </c:pt>
                <c:pt idx="12">
                  <c:v>0.44794863819427871</c:v>
                </c:pt>
                <c:pt idx="13">
                  <c:v>0.4883668416420715</c:v>
                </c:pt>
                <c:pt idx="14">
                  <c:v>0.43933477437618546</c:v>
                </c:pt>
                <c:pt idx="15">
                  <c:v>0.38029560974309901</c:v>
                </c:pt>
                <c:pt idx="16">
                  <c:v>0.40218608411342571</c:v>
                </c:pt>
                <c:pt idx="17">
                  <c:v>0.37778996068038251</c:v>
                </c:pt>
                <c:pt idx="18">
                  <c:v>0.28278185147620838</c:v>
                </c:pt>
                <c:pt idx="19">
                  <c:v>0.31540842907038635</c:v>
                </c:pt>
                <c:pt idx="20">
                  <c:v>0.35214263884706015</c:v>
                </c:pt>
                <c:pt idx="21">
                  <c:v>0.44328367292745474</c:v>
                </c:pt>
                <c:pt idx="22">
                  <c:v>0.41964820687741666</c:v>
                </c:pt>
                <c:pt idx="23">
                  <c:v>0.36141157163423976</c:v>
                </c:pt>
                <c:pt idx="24">
                  <c:v>0.29663597579808154</c:v>
                </c:pt>
                <c:pt idx="25">
                  <c:v>0.31176268506875771</c:v>
                </c:pt>
                <c:pt idx="26">
                  <c:v>0.41024048217488401</c:v>
                </c:pt>
                <c:pt idx="27">
                  <c:v>0.32897729702715756</c:v>
                </c:pt>
              </c:numCache>
            </c:numRef>
          </c:val>
          <c:extLst>
            <c:ext xmlns:c16="http://schemas.microsoft.com/office/drawing/2014/chart" uri="{C3380CC4-5D6E-409C-BE32-E72D297353CC}">
              <c16:uniqueId val="{00000001-5689-4FFF-A404-F3E4E65CF44D}"/>
            </c:ext>
          </c:extLst>
        </c:ser>
        <c:ser>
          <c:idx val="9"/>
          <c:order val="2"/>
          <c:tx>
            <c:strRef>
              <c:f>'1 GE-GB'!$E$35</c:f>
              <c:strCache>
                <c:ptCount val="1"/>
                <c:pt idx="0">
                  <c:v>LD3</c:v>
                </c:pt>
              </c:strCache>
            </c:strRef>
          </c:tx>
          <c:spPr>
            <a:solidFill>
              <a:srgbClr val="FFC000"/>
            </a:solidFill>
            <a:ln w="25400">
              <a:noFill/>
            </a:ln>
          </c:spPr>
          <c:invertIfNegative val="0"/>
          <c:dPt>
            <c:idx val="25"/>
            <c:invertIfNegative val="0"/>
            <c:bubble3D val="0"/>
            <c:spPr>
              <a:solidFill>
                <a:srgbClr val="FAA01A"/>
              </a:solidFill>
              <a:ln w="25400">
                <a:noFill/>
              </a:ln>
            </c:spPr>
            <c:extLst>
              <c:ext xmlns:c16="http://schemas.microsoft.com/office/drawing/2014/chart" uri="{C3380CC4-5D6E-409C-BE32-E72D297353CC}">
                <c16:uniqueId val="{00000003-5689-4FFF-A404-F3E4E65CF44D}"/>
              </c:ext>
            </c:extLst>
          </c:dPt>
          <c:cat>
            <c:numRef>
              <c:extLst>
                <c:ext xmlns:c15="http://schemas.microsoft.com/office/drawing/2012/chart" uri="{02D57815-91ED-43cb-92C2-25804820EDAC}">
                  <c15:fullRef>
                    <c15:sqref>'1 GE-GB'!$A$36:$A$64</c15:sqref>
                  </c15:fullRef>
                </c:ext>
              </c:extLst>
              <c:f>'1 GE-GB'!$A$37:$A$64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GE-GB'!$E$36:$E$64</c15:sqref>
                  </c15:fullRef>
                </c:ext>
              </c:extLst>
              <c:f>'1 GE-GB'!$E$37:$E$64</c:f>
              <c:numCache>
                <c:formatCode>0.0%</c:formatCode>
                <c:ptCount val="28"/>
                <c:pt idx="0">
                  <c:v>0.28549999999999998</c:v>
                </c:pt>
                <c:pt idx="1">
                  <c:v>0.29200000000000004</c:v>
                </c:pt>
                <c:pt idx="2">
                  <c:v>0.30099999999999999</c:v>
                </c:pt>
                <c:pt idx="3">
                  <c:v>0.182</c:v>
                </c:pt>
                <c:pt idx="4">
                  <c:v>0.23499999999999999</c:v>
                </c:pt>
                <c:pt idx="5">
                  <c:v>6.9000000000000006E-2</c:v>
                </c:pt>
                <c:pt idx="6">
                  <c:v>6.7000000000000004E-2</c:v>
                </c:pt>
                <c:pt idx="7">
                  <c:v>9.24057544831004E-2</c:v>
                </c:pt>
                <c:pt idx="8">
                  <c:v>9.292861324298328E-2</c:v>
                </c:pt>
                <c:pt idx="9">
                  <c:v>2.5967230884905018E-2</c:v>
                </c:pt>
                <c:pt idx="10">
                  <c:v>2.766434389962313E-2</c:v>
                </c:pt>
                <c:pt idx="11">
                  <c:v>6.0011531693337873E-2</c:v>
                </c:pt>
                <c:pt idx="12">
                  <c:v>0.11406595962401335</c:v>
                </c:pt>
                <c:pt idx="13">
                  <c:v>8.6182092662844684E-2</c:v>
                </c:pt>
                <c:pt idx="14">
                  <c:v>7.6364146220200949E-2</c:v>
                </c:pt>
                <c:pt idx="15">
                  <c:v>0.19787776557761252</c:v>
                </c:pt>
                <c:pt idx="16">
                  <c:v>0.18768919588261457</c:v>
                </c:pt>
                <c:pt idx="17">
                  <c:v>0.14131816130625321</c:v>
                </c:pt>
                <c:pt idx="18">
                  <c:v>0.26017835358085473</c:v>
                </c:pt>
                <c:pt idx="19">
                  <c:v>0.23087312959674178</c:v>
                </c:pt>
                <c:pt idx="20">
                  <c:v>0.18275334223745782</c:v>
                </c:pt>
                <c:pt idx="21">
                  <c:v>0.1719251436325635</c:v>
                </c:pt>
                <c:pt idx="22">
                  <c:v>0.18837576024643574</c:v>
                </c:pt>
                <c:pt idx="23">
                  <c:v>0.22645661662474856</c:v>
                </c:pt>
                <c:pt idx="24">
                  <c:v>0.23562111087187573</c:v>
                </c:pt>
                <c:pt idx="25">
                  <c:v>8.0578078253357832E-2</c:v>
                </c:pt>
                <c:pt idx="26">
                  <c:v>7.5530962597678969E-2</c:v>
                </c:pt>
                <c:pt idx="27">
                  <c:v>0.11841775167927676</c:v>
                </c:pt>
              </c:numCache>
            </c:numRef>
          </c:val>
          <c:extLst>
            <c:ext xmlns:c16="http://schemas.microsoft.com/office/drawing/2014/chart" uri="{C3380CC4-5D6E-409C-BE32-E72D297353CC}">
              <c16:uniqueId val="{00000004-5689-4FFF-A404-F3E4E65CF44D}"/>
            </c:ext>
          </c:extLst>
        </c:ser>
        <c:dLbls>
          <c:showLegendKey val="0"/>
          <c:showVal val="0"/>
          <c:showCatName val="0"/>
          <c:showSerName val="0"/>
          <c:showPercent val="0"/>
          <c:showBubbleSize val="0"/>
        </c:dLbls>
        <c:gapWidth val="65"/>
        <c:overlap val="100"/>
        <c:axId val="463549632"/>
        <c:axId val="463550024"/>
      </c:barChart>
      <c:catAx>
        <c:axId val="463549632"/>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0024"/>
        <c:crosses val="autoZero"/>
        <c:auto val="1"/>
        <c:lblAlgn val="ctr"/>
        <c:lblOffset val="100"/>
        <c:noMultiLvlLbl val="0"/>
      </c:catAx>
      <c:valAx>
        <c:axId val="463550024"/>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3549632"/>
        <c:crosses val="max"/>
        <c:crossBetween val="between"/>
        <c:majorUnit val="0.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votes (millions)</a:t>
            </a:r>
          </a:p>
        </c:rich>
      </c:tx>
      <c:layout>
        <c:manualLayout>
          <c:xMode val="edge"/>
          <c:yMode val="edge"/>
          <c:x val="0.18906852339562122"/>
          <c:y val="1.3241912198360931E-3"/>
        </c:manualLayout>
      </c:layout>
      <c:overlay val="0"/>
      <c:spPr>
        <a:noFill/>
        <a:ln w="25400">
          <a:noFill/>
        </a:ln>
      </c:spPr>
    </c:title>
    <c:autoTitleDeleted val="0"/>
    <c:plotArea>
      <c:layout>
        <c:manualLayout>
          <c:layoutTarget val="inner"/>
          <c:xMode val="edge"/>
          <c:yMode val="edge"/>
          <c:x val="0.22356509159536206"/>
          <c:y val="7.8990692010555891E-2"/>
          <c:w val="0.49593018601051481"/>
          <c:h val="0.87573997644454427"/>
        </c:manualLayout>
      </c:layout>
      <c:barChart>
        <c:barDir val="bar"/>
        <c:grouping val="stacked"/>
        <c:varyColors val="0"/>
        <c:ser>
          <c:idx val="0"/>
          <c:order val="0"/>
          <c:tx>
            <c:v>CON</c:v>
          </c:tx>
          <c:spPr>
            <a:solidFill>
              <a:srgbClr val="00539F"/>
            </a:solidFill>
            <a:ln w="25400">
              <a:noFill/>
            </a:ln>
          </c:spPr>
          <c:invertIfNegative val="0"/>
          <c:cat>
            <c:numRef>
              <c:extLst>
                <c:ext xmlns:c15="http://schemas.microsoft.com/office/drawing/2012/chart" uri="{02D57815-91ED-43cb-92C2-25804820EDAC}">
                  <c15:fullRef>
                    <c15:sqref>'1 GE-GB'!$A$4:$A$32</c15:sqref>
                  </c15:fullRef>
                </c:ext>
              </c:extLst>
              <c:f>'1 GE-GB'!$A$5:$A$32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GE-GB'!$C$4:$C$32</c15:sqref>
                  </c15:fullRef>
                </c:ext>
              </c:extLst>
              <c:f>'1 GE-GB'!$C$5:$C$32</c:f>
              <c:numCache>
                <c:formatCode>0.00</c:formatCode>
                <c:ptCount val="28"/>
                <c:pt idx="0">
                  <c:v>3.8549790000000002</c:v>
                </c:pt>
                <c:pt idx="1">
                  <c:v>5.3943260000000004</c:v>
                </c:pt>
                <c:pt idx="2">
                  <c:v>5.3973800000000001</c:v>
                </c:pt>
                <c:pt idx="3">
                  <c:v>7.4032450000000001</c:v>
                </c:pt>
                <c:pt idx="4">
                  <c:v>8.3015679999999996</c:v>
                </c:pt>
                <c:pt idx="5">
                  <c:v>13.007224000000001</c:v>
                </c:pt>
                <c:pt idx="6">
                  <c:v>11.462814</c:v>
                </c:pt>
                <c:pt idx="7" formatCode="#,##0.00_);\(#,##0.00\)">
                  <c:v>9.5795600000000007</c:v>
                </c:pt>
                <c:pt idx="8" formatCode="#,##0.00_);\(#,##0.00\)">
                  <c:v>12.14007</c:v>
                </c:pt>
                <c:pt idx="9" formatCode="#,##0.00_);\(#,##0.00\)">
                  <c:v>13.443270999999999</c:v>
                </c:pt>
                <c:pt idx="10" formatCode="#,##0.00_);\(#,##0.00\)">
                  <c:v>12.868244000000001</c:v>
                </c:pt>
                <c:pt idx="11" formatCode="#,##0.00_);\(#,##0.00\)">
                  <c:v>13.305861999999999</c:v>
                </c:pt>
                <c:pt idx="12" formatCode="#,##0.00_);\(#,##0.00\)">
                  <c:v>11.600745</c:v>
                </c:pt>
                <c:pt idx="13" formatCode="#,##0.00_);\(#,##0.00\)">
                  <c:v>11.049825999999999</c:v>
                </c:pt>
                <c:pt idx="14" formatCode="#,##0.00_);\(#,##0.00\)">
                  <c:v>12.723082</c:v>
                </c:pt>
                <c:pt idx="15" formatCode="#,##0.00_);\(#,##0.00\)">
                  <c:v>11.87218</c:v>
                </c:pt>
                <c:pt idx="16" formatCode="#,##0.00_);\(#,##0.00\)">
                  <c:v>10.462565</c:v>
                </c:pt>
                <c:pt idx="17" formatCode="#,##0.00_);\(#,##0.00\)">
                  <c:v>13.697922999999999</c:v>
                </c:pt>
                <c:pt idx="18" formatCode="#,##0.00_);\(#,##0.00\)">
                  <c:v>13.012316</c:v>
                </c:pt>
                <c:pt idx="19" formatCode="#,##0.00_);\(#,##0.00\)">
                  <c:v>13.760583</c:v>
                </c:pt>
                <c:pt idx="20" formatCode="#,##0.00_);\(#,##0.00\)">
                  <c:v>14.048399</c:v>
                </c:pt>
                <c:pt idx="21" formatCode="#,##0.00_);\(#,##0.00\)">
                  <c:v>9.5910849999999996</c:v>
                </c:pt>
                <c:pt idx="22" formatCode="#,##0.00">
                  <c:v>8.3351930000000003</c:v>
                </c:pt>
                <c:pt idx="23" formatCode="#,##0.00">
                  <c:v>8.782197</c:v>
                </c:pt>
                <c:pt idx="24" formatCode="#,##0.00">
                  <c:v>10.703654</c:v>
                </c:pt>
                <c:pt idx="25">
                  <c:v>11.2906</c:v>
                </c:pt>
                <c:pt idx="26">
                  <c:v>13.6328</c:v>
                </c:pt>
                <c:pt idx="27">
                  <c:v>13.961021000000001</c:v>
                </c:pt>
              </c:numCache>
            </c:numRef>
          </c:val>
          <c:extLst>
            <c:ext xmlns:c16="http://schemas.microsoft.com/office/drawing/2014/chart" uri="{C3380CC4-5D6E-409C-BE32-E72D297353CC}">
              <c16:uniqueId val="{00000000-E89D-4D4E-A2BE-5F3A23A25881}"/>
            </c:ext>
          </c:extLst>
        </c:ser>
        <c:ser>
          <c:idx val="1"/>
          <c:order val="1"/>
          <c:tx>
            <c:strRef>
              <c:f>'1 GE-GB'!$D$3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GE-GB'!$A$4:$A$32</c15:sqref>
                  </c15:fullRef>
                </c:ext>
              </c:extLst>
              <c:f>'1 GE-GB'!$A$5:$A$32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GE-GB'!$D$4:$D$32</c15:sqref>
                  </c15:fullRef>
                </c:ext>
              </c:extLst>
              <c:f>'1 GE-GB'!$D$5:$D$32</c:f>
              <c:numCache>
                <c:formatCode>0.00</c:formatCode>
                <c:ptCount val="28"/>
                <c:pt idx="0">
                  <c:v>2.2457769999999999</c:v>
                </c:pt>
                <c:pt idx="1">
                  <c:v>4.237349</c:v>
                </c:pt>
                <c:pt idx="2">
                  <c:v>4.4397799999999998</c:v>
                </c:pt>
                <c:pt idx="3">
                  <c:v>5.4890869999999996</c:v>
                </c:pt>
                <c:pt idx="4">
                  <c:v>8.3704169999999998</c:v>
                </c:pt>
                <c:pt idx="5">
                  <c:v>6.6402200000000002</c:v>
                </c:pt>
                <c:pt idx="6">
                  <c:v>8.3254909999999995</c:v>
                </c:pt>
                <c:pt idx="7" formatCode="#,##0.00_);\(#,##0.00\)">
                  <c:v>11.902286999999999</c:v>
                </c:pt>
                <c:pt idx="8" formatCode="#,##0.00_);\(#,##0.00\)">
                  <c:v>13.198359999999999</c:v>
                </c:pt>
                <c:pt idx="9" formatCode="#,##0.00_);\(#,##0.00\)">
                  <c:v>13.886559</c:v>
                </c:pt>
                <c:pt idx="10" formatCode="#,##0.00_);\(#,##0.00\)">
                  <c:v>12.36964</c:v>
                </c:pt>
                <c:pt idx="11" formatCode="#,##0.00_);\(#,##0.00\)">
                  <c:v>12.171802</c:v>
                </c:pt>
                <c:pt idx="12" formatCode="#,##0.00_);\(#,##0.00\)">
                  <c:v>12.103049</c:v>
                </c:pt>
                <c:pt idx="13" formatCode="#,##0.00_);\(#,##0.00\)">
                  <c:v>13.024016</c:v>
                </c:pt>
                <c:pt idx="14" formatCode="#,##0.00_);\(#,##0.00\)">
                  <c:v>12.110564</c:v>
                </c:pt>
                <c:pt idx="15" formatCode="#,##0.00_);\(#,##0.00\)">
                  <c:v>11.645616</c:v>
                </c:pt>
                <c:pt idx="16" formatCode="#,##0.00_);\(#,##0.00\)">
                  <c:v>11.457079</c:v>
                </c:pt>
                <c:pt idx="17" formatCode="#,##0.00_);\(#,##0.00\)">
                  <c:v>11.532218</c:v>
                </c:pt>
                <c:pt idx="18" formatCode="#,##0.00_);\(#,##0.00\)">
                  <c:v>8.4569340000000004</c:v>
                </c:pt>
                <c:pt idx="19" formatCode="#,##0.00_);\(#,##0.00\)">
                  <c:v>10.029807</c:v>
                </c:pt>
                <c:pt idx="20" formatCode="#,##0.00_);\(#,##0.00\)">
                  <c:v>11.560484000000001</c:v>
                </c:pt>
                <c:pt idx="21" formatCode="#,##0.00_);\(#,##0.00\)">
                  <c:v>13.518167</c:v>
                </c:pt>
                <c:pt idx="22" formatCode="#,##0.00">
                  <c:v>10.724952999999999</c:v>
                </c:pt>
                <c:pt idx="23" formatCode="#,##0.00">
                  <c:v>9.5524360000000001</c:v>
                </c:pt>
                <c:pt idx="24" formatCode="#,##0.00">
                  <c:v>8.6065170000000002</c:v>
                </c:pt>
                <c:pt idx="25">
                  <c:v>9.3473000000000006</c:v>
                </c:pt>
                <c:pt idx="26">
                  <c:v>12.8779</c:v>
                </c:pt>
                <c:pt idx="27">
                  <c:v>10.269050999999999</c:v>
                </c:pt>
              </c:numCache>
            </c:numRef>
          </c:val>
          <c:extLst>
            <c:ext xmlns:c16="http://schemas.microsoft.com/office/drawing/2014/chart" uri="{C3380CC4-5D6E-409C-BE32-E72D297353CC}">
              <c16:uniqueId val="{00000001-E89D-4D4E-A2BE-5F3A23A25881}"/>
            </c:ext>
          </c:extLst>
        </c:ser>
        <c:ser>
          <c:idx val="2"/>
          <c:order val="2"/>
          <c:tx>
            <c:v>LD</c:v>
          </c:tx>
          <c:spPr>
            <a:solidFill>
              <a:srgbClr val="FAA01A"/>
            </a:solidFill>
            <a:ln w="25400">
              <a:noFill/>
            </a:ln>
          </c:spPr>
          <c:invertIfNegative val="0"/>
          <c:cat>
            <c:numRef>
              <c:extLst>
                <c:ext xmlns:c15="http://schemas.microsoft.com/office/drawing/2012/chart" uri="{02D57815-91ED-43cb-92C2-25804820EDAC}">
                  <c15:fullRef>
                    <c15:sqref>'1 GE-GB'!$A$4:$A$32</c15:sqref>
                  </c15:fullRef>
                </c:ext>
              </c:extLst>
              <c:f>'1 GE-GB'!$A$5:$A$32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GE-GB'!$E$4:$E$32</c15:sqref>
                  </c15:fullRef>
                </c:ext>
              </c:extLst>
              <c:f>'1 GE-GB'!$E$5:$E$32</c:f>
              <c:numCache>
                <c:formatCode>0.00</c:formatCode>
                <c:ptCount val="28"/>
                <c:pt idx="0">
                  <c:v>2.785374</c:v>
                </c:pt>
                <c:pt idx="1">
                  <c:v>4.1394599999999997</c:v>
                </c:pt>
                <c:pt idx="2">
                  <c:v>4.3014809999999999</c:v>
                </c:pt>
                <c:pt idx="3">
                  <c:v>2.9287369999999999</c:v>
                </c:pt>
                <c:pt idx="4">
                  <c:v>5.2086350000000001</c:v>
                </c:pt>
                <c:pt idx="5">
                  <c:v>1.4761230000000001</c:v>
                </c:pt>
                <c:pt idx="6">
                  <c:v>1.443093</c:v>
                </c:pt>
                <c:pt idx="7" formatCode="#,##0.00_);\(#,##0.00\)">
                  <c:v>2.2524299999999999</c:v>
                </c:pt>
                <c:pt idx="8" formatCode="#,##0.00_);\(#,##0.00\)">
                  <c:v>2.6214870000000001</c:v>
                </c:pt>
                <c:pt idx="9" formatCode="#,##0.00_);\(#,##0.00\)">
                  <c:v>0.73054600000000003</c:v>
                </c:pt>
                <c:pt idx="10" formatCode="#,##0.00_);\(#,##0.00\)">
                  <c:v>0.72240199999999999</c:v>
                </c:pt>
                <c:pt idx="11" formatCode="#,##0.00_);\(#,##0.00\)">
                  <c:v>1.637507</c:v>
                </c:pt>
                <c:pt idx="12" formatCode="#,##0.00_);\(#,##0.00\)">
                  <c:v>3.0819290000000001</c:v>
                </c:pt>
                <c:pt idx="13" formatCode="#,##0.00_);\(#,##0.00\)">
                  <c:v>2.2983479999999998</c:v>
                </c:pt>
                <c:pt idx="14" formatCode="#,##0.00_);\(#,##0.00\)">
                  <c:v>2.1050300000000002</c:v>
                </c:pt>
                <c:pt idx="15" formatCode="#,##0.00_);\(#,##0.00\)">
                  <c:v>6.0595189999999999</c:v>
                </c:pt>
                <c:pt idx="16" formatCode="#,##0.00_);\(#,##0.00\)">
                  <c:v>5.3467039999999999</c:v>
                </c:pt>
                <c:pt idx="17" formatCode="#,##0.00_);\(#,##0.00\)">
                  <c:v>4.3138040000000002</c:v>
                </c:pt>
                <c:pt idx="18" formatCode="#,##0.00_);\(#,##0.00\)">
                  <c:v>7.7809489999999997</c:v>
                </c:pt>
                <c:pt idx="19" formatCode="#,##0.00_);\(#,##0.00\)">
                  <c:v>7.3416329999999999</c:v>
                </c:pt>
                <c:pt idx="20" formatCode="#,##0.00_);\(#,##0.00\)">
                  <c:v>5.999606</c:v>
                </c:pt>
                <c:pt idx="21" formatCode="#,##0.00_);\(#,##0.00\)">
                  <c:v>5.242947</c:v>
                </c:pt>
                <c:pt idx="22" formatCode="#,##0.00">
                  <c:v>4.8143209999999996</c:v>
                </c:pt>
                <c:pt idx="23" formatCode="#,##0.00">
                  <c:v>5.9854539999999998</c:v>
                </c:pt>
                <c:pt idx="24" formatCode="#,##0.00">
                  <c:v>6.8362480000000003</c:v>
                </c:pt>
                <c:pt idx="25">
                  <c:v>2.4159000000000002</c:v>
                </c:pt>
                <c:pt idx="26">
                  <c:v>2.371</c:v>
                </c:pt>
                <c:pt idx="27">
                  <c:v>3.6964190000000001</c:v>
                </c:pt>
              </c:numCache>
            </c:numRef>
          </c:val>
          <c:extLst>
            <c:ext xmlns:c16="http://schemas.microsoft.com/office/drawing/2014/chart" uri="{C3380CC4-5D6E-409C-BE32-E72D297353CC}">
              <c16:uniqueId val="{00000002-E89D-4D4E-A2BE-5F3A23A25881}"/>
            </c:ext>
          </c:extLst>
        </c:ser>
        <c:dLbls>
          <c:showLegendKey val="0"/>
          <c:showVal val="0"/>
          <c:showCatName val="0"/>
          <c:showSerName val="0"/>
          <c:showPercent val="0"/>
          <c:showBubbleSize val="0"/>
        </c:dLbls>
        <c:gapWidth val="65"/>
        <c:overlap val="100"/>
        <c:axId val="463550808"/>
        <c:axId val="463551200"/>
      </c:barChart>
      <c:catAx>
        <c:axId val="463550808"/>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1200"/>
        <c:crosses val="autoZero"/>
        <c:auto val="1"/>
        <c:lblAlgn val="ctr"/>
        <c:lblOffset val="100"/>
        <c:noMultiLvlLbl val="0"/>
      </c:catAx>
      <c:valAx>
        <c:axId val="463551200"/>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3550808"/>
        <c:crosses val="max"/>
        <c:crossBetween val="between"/>
      </c:valAx>
      <c:spPr>
        <a:noFill/>
        <a:ln w="25400">
          <a:noFill/>
        </a:ln>
      </c:spPr>
    </c:plotArea>
    <c:legend>
      <c:legendPos val="r"/>
      <c:layout>
        <c:manualLayout>
          <c:xMode val="edge"/>
          <c:yMode val="edge"/>
          <c:x val="0.68899521531100483"/>
          <c:y val="8.0078046847917597E-2"/>
          <c:w val="0.23288399954790337"/>
          <c:h val="0.13666757864638077"/>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strike="noStrike" baseline="0">
                <a:solidFill>
                  <a:srgbClr val="000000"/>
                </a:solidFill>
                <a:latin typeface="Frutiger LT Std 45 Light"/>
                <a:ea typeface="Frutiger LT Std 45 Light"/>
                <a:cs typeface="Frutiger LT Std 45 Light"/>
              </a:defRPr>
            </a:pPr>
            <a:r>
              <a:rPr lang="en-GB"/>
              <a:t>London Assembly </a:t>
            </a:r>
          </a:p>
        </c:rich>
      </c:tx>
      <c:layout>
        <c:manualLayout>
          <c:xMode val="edge"/>
          <c:yMode val="edge"/>
          <c:x val="0.1045141096493373"/>
          <c:y val="3.9471296857123632E-2"/>
        </c:manualLayout>
      </c:layout>
      <c:overlay val="0"/>
      <c:spPr>
        <a:noFill/>
        <a:ln w="25400">
          <a:noFill/>
        </a:ln>
      </c:spPr>
    </c:title>
    <c:autoTitleDeleted val="0"/>
    <c:plotArea>
      <c:layout>
        <c:manualLayout>
          <c:layoutTarget val="inner"/>
          <c:xMode val="edge"/>
          <c:yMode val="edge"/>
          <c:x val="0.2341768665055482"/>
          <c:y val="0.11545018360738001"/>
          <c:w val="0.52628861296184137"/>
          <c:h val="0.81668791210660496"/>
        </c:manualLayout>
      </c:layout>
      <c:barChart>
        <c:barDir val="bar"/>
        <c:grouping val="clustered"/>
        <c:varyColors val="0"/>
        <c:ser>
          <c:idx val="0"/>
          <c:order val="0"/>
          <c:tx>
            <c:strRef>
              <c:f>'[3]20 London Assembly Visual'!$A$6</c:f>
              <c:strCache>
                <c:ptCount val="1"/>
                <c:pt idx="0">
                  <c:v>CON</c:v>
                </c:pt>
              </c:strCache>
            </c:strRef>
          </c:tx>
          <c:spPr>
            <a:solidFill>
              <a:srgbClr val="0000FF"/>
            </a:solidFill>
            <a:ln w="25400">
              <a:noFill/>
            </a:ln>
          </c:spPr>
          <c:invertIfNegative val="0"/>
          <c:cat>
            <c:numRef>
              <c:f>'[3]20 London Assembly Visual'!$B$5:$F$5</c:f>
              <c:numCache>
                <c:formatCode>General</c:formatCode>
                <c:ptCount val="5"/>
                <c:pt idx="0">
                  <c:v>2016</c:v>
                </c:pt>
                <c:pt idx="1">
                  <c:v>2012</c:v>
                </c:pt>
                <c:pt idx="2">
                  <c:v>2008</c:v>
                </c:pt>
                <c:pt idx="3">
                  <c:v>2004</c:v>
                </c:pt>
                <c:pt idx="4">
                  <c:v>2000</c:v>
                </c:pt>
              </c:numCache>
            </c:numRef>
          </c:cat>
          <c:val>
            <c:numRef>
              <c:f>'[3]20 London Assembly Visual'!$B$6:$F$6</c:f>
              <c:numCache>
                <c:formatCode>General</c:formatCode>
                <c:ptCount val="5"/>
                <c:pt idx="0">
                  <c:v>8</c:v>
                </c:pt>
                <c:pt idx="1">
                  <c:v>9</c:v>
                </c:pt>
                <c:pt idx="2">
                  <c:v>11</c:v>
                </c:pt>
                <c:pt idx="3">
                  <c:v>9</c:v>
                </c:pt>
                <c:pt idx="4">
                  <c:v>9</c:v>
                </c:pt>
              </c:numCache>
            </c:numRef>
          </c:val>
          <c:extLst>
            <c:ext xmlns:c16="http://schemas.microsoft.com/office/drawing/2014/chart" uri="{C3380CC4-5D6E-409C-BE32-E72D297353CC}">
              <c16:uniqueId val="{00000000-3415-4A18-8320-168547056E5E}"/>
            </c:ext>
          </c:extLst>
        </c:ser>
        <c:ser>
          <c:idx val="1"/>
          <c:order val="1"/>
          <c:tx>
            <c:strRef>
              <c:f>'[3]20 London Assembly Visual'!$A$7</c:f>
              <c:strCache>
                <c:ptCount val="1"/>
                <c:pt idx="0">
                  <c:v>LAB</c:v>
                </c:pt>
              </c:strCache>
            </c:strRef>
          </c:tx>
          <c:spPr>
            <a:solidFill>
              <a:srgbClr val="FF0000"/>
            </a:solidFill>
            <a:ln w="25400">
              <a:noFill/>
            </a:ln>
          </c:spPr>
          <c:invertIfNegative val="0"/>
          <c:cat>
            <c:numRef>
              <c:f>'[3]20 London Assembly Visual'!$B$5:$F$5</c:f>
              <c:numCache>
                <c:formatCode>General</c:formatCode>
                <c:ptCount val="5"/>
                <c:pt idx="0">
                  <c:v>2016</c:v>
                </c:pt>
                <c:pt idx="1">
                  <c:v>2012</c:v>
                </c:pt>
                <c:pt idx="2">
                  <c:v>2008</c:v>
                </c:pt>
                <c:pt idx="3">
                  <c:v>2004</c:v>
                </c:pt>
                <c:pt idx="4">
                  <c:v>2000</c:v>
                </c:pt>
              </c:numCache>
            </c:numRef>
          </c:cat>
          <c:val>
            <c:numRef>
              <c:f>'[3]20 London Assembly Visual'!$B$7:$F$7</c:f>
              <c:numCache>
                <c:formatCode>General</c:formatCode>
                <c:ptCount val="5"/>
                <c:pt idx="0">
                  <c:v>12</c:v>
                </c:pt>
                <c:pt idx="1">
                  <c:v>12</c:v>
                </c:pt>
                <c:pt idx="2">
                  <c:v>8</c:v>
                </c:pt>
                <c:pt idx="3">
                  <c:v>7</c:v>
                </c:pt>
                <c:pt idx="4">
                  <c:v>9</c:v>
                </c:pt>
              </c:numCache>
            </c:numRef>
          </c:val>
          <c:extLst>
            <c:ext xmlns:c16="http://schemas.microsoft.com/office/drawing/2014/chart" uri="{C3380CC4-5D6E-409C-BE32-E72D297353CC}">
              <c16:uniqueId val="{00000001-3415-4A18-8320-168547056E5E}"/>
            </c:ext>
          </c:extLst>
        </c:ser>
        <c:ser>
          <c:idx val="2"/>
          <c:order val="2"/>
          <c:tx>
            <c:strRef>
              <c:f>'[3]20 London Assembly Visual'!$A$8</c:f>
              <c:strCache>
                <c:ptCount val="1"/>
                <c:pt idx="0">
                  <c:v>LD</c:v>
                </c:pt>
              </c:strCache>
            </c:strRef>
          </c:tx>
          <c:spPr>
            <a:solidFill>
              <a:srgbClr val="FFC000"/>
            </a:solidFill>
            <a:ln w="25400">
              <a:noFill/>
            </a:ln>
          </c:spPr>
          <c:invertIfNegative val="0"/>
          <c:cat>
            <c:numRef>
              <c:f>'[3]20 London Assembly Visual'!$B$5:$F$5</c:f>
              <c:numCache>
                <c:formatCode>General</c:formatCode>
                <c:ptCount val="5"/>
                <c:pt idx="0">
                  <c:v>2016</c:v>
                </c:pt>
                <c:pt idx="1">
                  <c:v>2012</c:v>
                </c:pt>
                <c:pt idx="2">
                  <c:v>2008</c:v>
                </c:pt>
                <c:pt idx="3">
                  <c:v>2004</c:v>
                </c:pt>
                <c:pt idx="4">
                  <c:v>2000</c:v>
                </c:pt>
              </c:numCache>
            </c:numRef>
          </c:cat>
          <c:val>
            <c:numRef>
              <c:f>'[3]20 London Assembly Visual'!$B$8:$F$8</c:f>
              <c:numCache>
                <c:formatCode>General</c:formatCode>
                <c:ptCount val="5"/>
                <c:pt idx="0">
                  <c:v>1</c:v>
                </c:pt>
                <c:pt idx="1">
                  <c:v>2</c:v>
                </c:pt>
                <c:pt idx="2">
                  <c:v>3</c:v>
                </c:pt>
                <c:pt idx="3">
                  <c:v>5</c:v>
                </c:pt>
                <c:pt idx="4">
                  <c:v>4</c:v>
                </c:pt>
              </c:numCache>
            </c:numRef>
          </c:val>
          <c:extLst>
            <c:ext xmlns:c16="http://schemas.microsoft.com/office/drawing/2014/chart" uri="{C3380CC4-5D6E-409C-BE32-E72D297353CC}">
              <c16:uniqueId val="{00000002-3415-4A18-8320-168547056E5E}"/>
            </c:ext>
          </c:extLst>
        </c:ser>
        <c:ser>
          <c:idx val="3"/>
          <c:order val="3"/>
          <c:tx>
            <c:strRef>
              <c:f>'[3]20 London Assembly Visual'!$A$9</c:f>
              <c:strCache>
                <c:ptCount val="1"/>
                <c:pt idx="0">
                  <c:v>Green</c:v>
                </c:pt>
              </c:strCache>
            </c:strRef>
          </c:tx>
          <c:spPr>
            <a:solidFill>
              <a:srgbClr val="008000"/>
            </a:solidFill>
            <a:ln w="25400">
              <a:noFill/>
            </a:ln>
          </c:spPr>
          <c:invertIfNegative val="0"/>
          <c:cat>
            <c:numRef>
              <c:f>'[3]20 London Assembly Visual'!$B$5:$F$5</c:f>
              <c:numCache>
                <c:formatCode>General</c:formatCode>
                <c:ptCount val="5"/>
                <c:pt idx="0">
                  <c:v>2016</c:v>
                </c:pt>
                <c:pt idx="1">
                  <c:v>2012</c:v>
                </c:pt>
                <c:pt idx="2">
                  <c:v>2008</c:v>
                </c:pt>
                <c:pt idx="3">
                  <c:v>2004</c:v>
                </c:pt>
                <c:pt idx="4">
                  <c:v>2000</c:v>
                </c:pt>
              </c:numCache>
            </c:numRef>
          </c:cat>
          <c:val>
            <c:numRef>
              <c:f>'[3]20 London Assembly Visual'!$B$9:$F$9</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3-3415-4A18-8320-168547056E5E}"/>
            </c:ext>
          </c:extLst>
        </c:ser>
        <c:ser>
          <c:idx val="4"/>
          <c:order val="4"/>
          <c:tx>
            <c:strRef>
              <c:f>'[3]20 London Assembly Visual'!$A$10</c:f>
              <c:strCache>
                <c:ptCount val="1"/>
                <c:pt idx="0">
                  <c:v>UKIP</c:v>
                </c:pt>
              </c:strCache>
            </c:strRef>
          </c:tx>
          <c:spPr>
            <a:solidFill>
              <a:srgbClr val="701470"/>
            </a:solidFill>
            <a:ln w="25400">
              <a:noFill/>
            </a:ln>
          </c:spPr>
          <c:invertIfNegative val="0"/>
          <c:cat>
            <c:numRef>
              <c:f>'[3]20 London Assembly Visual'!$B$5:$F$5</c:f>
              <c:numCache>
                <c:formatCode>General</c:formatCode>
                <c:ptCount val="5"/>
                <c:pt idx="0">
                  <c:v>2016</c:v>
                </c:pt>
                <c:pt idx="1">
                  <c:v>2012</c:v>
                </c:pt>
                <c:pt idx="2">
                  <c:v>2008</c:v>
                </c:pt>
                <c:pt idx="3">
                  <c:v>2004</c:v>
                </c:pt>
                <c:pt idx="4">
                  <c:v>2000</c:v>
                </c:pt>
              </c:numCache>
            </c:numRef>
          </c:cat>
          <c:val>
            <c:numRef>
              <c:f>'[3]20 London Assembly Visual'!$B$10:$F$10</c:f>
              <c:numCache>
                <c:formatCode>General</c:formatCode>
                <c:ptCount val="5"/>
                <c:pt idx="0">
                  <c:v>2</c:v>
                </c:pt>
                <c:pt idx="1">
                  <c:v>0</c:v>
                </c:pt>
                <c:pt idx="2">
                  <c:v>0</c:v>
                </c:pt>
                <c:pt idx="3">
                  <c:v>2</c:v>
                </c:pt>
                <c:pt idx="4">
                  <c:v>0</c:v>
                </c:pt>
              </c:numCache>
            </c:numRef>
          </c:val>
          <c:extLst>
            <c:ext xmlns:c16="http://schemas.microsoft.com/office/drawing/2014/chart" uri="{C3380CC4-5D6E-409C-BE32-E72D297353CC}">
              <c16:uniqueId val="{00000004-3415-4A18-8320-168547056E5E}"/>
            </c:ext>
          </c:extLst>
        </c:ser>
        <c:ser>
          <c:idx val="5"/>
          <c:order val="5"/>
          <c:tx>
            <c:strRef>
              <c:f>'[3]20 London Assembly Visual'!$A$11</c:f>
              <c:strCache>
                <c:ptCount val="1"/>
                <c:pt idx="0">
                  <c:v>BNP</c:v>
                </c:pt>
              </c:strCache>
            </c:strRef>
          </c:tx>
          <c:spPr>
            <a:solidFill>
              <a:schemeClr val="bg1">
                <a:lumMod val="75000"/>
              </a:schemeClr>
            </a:solidFill>
            <a:ln>
              <a:noFill/>
            </a:ln>
            <a:effectLst/>
          </c:spPr>
          <c:invertIfNegative val="0"/>
          <c:dPt>
            <c:idx val="1"/>
            <c:invertIfNegative val="0"/>
            <c:bubble3D val="0"/>
            <c:spPr>
              <a:solidFill>
                <a:srgbClr val="666699"/>
              </a:solidFill>
              <a:ln w="25400">
                <a:noFill/>
              </a:ln>
            </c:spPr>
            <c:extLst>
              <c:ext xmlns:c16="http://schemas.microsoft.com/office/drawing/2014/chart" uri="{C3380CC4-5D6E-409C-BE32-E72D297353CC}">
                <c16:uniqueId val="{00000006-3415-4A18-8320-168547056E5E}"/>
              </c:ext>
            </c:extLst>
          </c:dPt>
          <c:cat>
            <c:numRef>
              <c:f>'[3]20 London Assembly Visual'!$B$5:$F$5</c:f>
              <c:numCache>
                <c:formatCode>General</c:formatCode>
                <c:ptCount val="5"/>
                <c:pt idx="0">
                  <c:v>2016</c:v>
                </c:pt>
                <c:pt idx="1">
                  <c:v>2012</c:v>
                </c:pt>
                <c:pt idx="2">
                  <c:v>2008</c:v>
                </c:pt>
                <c:pt idx="3">
                  <c:v>2004</c:v>
                </c:pt>
                <c:pt idx="4">
                  <c:v>2000</c:v>
                </c:pt>
              </c:numCache>
            </c:numRef>
          </c:cat>
          <c:val>
            <c:numRef>
              <c:f>'[3]20 London Assembly Visual'!$B$11:$F$11</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7-3415-4A18-8320-168547056E5E}"/>
            </c:ext>
          </c:extLst>
        </c:ser>
        <c:dLbls>
          <c:showLegendKey val="0"/>
          <c:showVal val="0"/>
          <c:showCatName val="0"/>
          <c:showSerName val="0"/>
          <c:showPercent val="0"/>
          <c:showBubbleSize val="0"/>
        </c:dLbls>
        <c:gapWidth val="90"/>
        <c:axId val="460855704"/>
        <c:axId val="460856096"/>
      </c:barChart>
      <c:catAx>
        <c:axId val="46085570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60856096"/>
        <c:crosses val="autoZero"/>
        <c:auto val="1"/>
        <c:lblAlgn val="ctr"/>
        <c:lblOffset val="100"/>
        <c:noMultiLvlLbl val="0"/>
      </c:catAx>
      <c:valAx>
        <c:axId val="460856096"/>
        <c:scaling>
          <c:orientation val="minMax"/>
        </c:scaling>
        <c:delete val="0"/>
        <c:axPos val="b"/>
        <c:numFmt formatCode="General" sourceLinked="1"/>
        <c:majorTickMark val="none"/>
        <c:minorTickMark val="none"/>
        <c:tickLblPos val="nextTo"/>
        <c:spPr>
          <a:noFill/>
          <a:ln>
            <a:solidFill>
              <a:schemeClr val="tx1"/>
            </a:solidFill>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60855704"/>
        <c:crosses val="autoZero"/>
        <c:crossBetween val="between"/>
        <c:majorUnit val="5"/>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candidates </a:t>
            </a:r>
          </a:p>
        </c:rich>
      </c:tx>
      <c:layout>
        <c:manualLayout>
          <c:xMode val="edge"/>
          <c:yMode val="edge"/>
          <c:x val="0.11873674897800424"/>
          <c:y val="9.7717932858578452E-3"/>
        </c:manualLayout>
      </c:layout>
      <c:overlay val="0"/>
      <c:spPr>
        <a:noFill/>
        <a:ln w="25400">
          <a:noFill/>
        </a:ln>
      </c:spPr>
    </c:title>
    <c:autoTitleDeleted val="0"/>
    <c:plotArea>
      <c:layout>
        <c:manualLayout>
          <c:layoutTarget val="inner"/>
          <c:xMode val="edge"/>
          <c:yMode val="edge"/>
          <c:x val="0.22356517935258094"/>
          <c:y val="6.6921750783910536E-2"/>
          <c:w val="0.48953530352780994"/>
          <c:h val="0.88247949821823701"/>
        </c:manualLayout>
      </c:layout>
      <c:barChart>
        <c:barDir val="bar"/>
        <c:grouping val="clustered"/>
        <c:varyColors val="0"/>
        <c:ser>
          <c:idx val="6"/>
          <c:order val="0"/>
          <c:tx>
            <c:strRef>
              <c:f>'1 GE-GB'!$L$3</c:f>
              <c:strCache>
                <c:ptCount val="1"/>
                <c:pt idx="0">
                  <c:v>CON2</c:v>
                </c:pt>
              </c:strCache>
            </c:strRef>
          </c:tx>
          <c:spPr>
            <a:solidFill>
              <a:srgbClr val="00539F"/>
            </a:solidFill>
            <a:ln>
              <a:noFill/>
            </a:ln>
          </c:spPr>
          <c:invertIfNegative val="0"/>
          <c:cat>
            <c:numRef>
              <c:extLst>
                <c:ext xmlns:c15="http://schemas.microsoft.com/office/drawing/2012/chart" uri="{02D57815-91ED-43cb-92C2-25804820EDAC}">
                  <c15:fullRef>
                    <c15:sqref>'1 GE-GB'!$J$4:$J$32</c15:sqref>
                  </c15:fullRef>
                </c:ext>
              </c:extLst>
              <c:f>'1 GE-GB'!$J$5:$J$32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GE-GB'!$L$4:$L$32</c15:sqref>
                  </c15:fullRef>
                </c:ext>
              </c:extLst>
              <c:f>'1 GE-GB'!$L$5:$L$32</c:f>
              <c:numCache>
                <c:formatCode>#,##0</c:formatCode>
                <c:ptCount val="28"/>
                <c:pt idx="0">
                  <c:v>409</c:v>
                </c:pt>
                <c:pt idx="1" formatCode="0">
                  <c:v>470</c:v>
                </c:pt>
                <c:pt idx="2">
                  <c:v>524</c:v>
                </c:pt>
                <c:pt idx="3">
                  <c:v>522</c:v>
                </c:pt>
                <c:pt idx="4">
                  <c:v>580</c:v>
                </c:pt>
                <c:pt idx="5">
                  <c:v>571</c:v>
                </c:pt>
                <c:pt idx="6">
                  <c:v>571</c:v>
                </c:pt>
                <c:pt idx="7" formatCode="#,##0_);\(#,##0\)">
                  <c:v>606</c:v>
                </c:pt>
                <c:pt idx="8" formatCode="#,##0_);\(#,##0\)">
                  <c:v>607</c:v>
                </c:pt>
                <c:pt idx="9" formatCode="#,##0_);\(#,##0\)">
                  <c:v>605</c:v>
                </c:pt>
                <c:pt idx="10" formatCode="#,##0_);\(#,##0\)">
                  <c:v>612</c:v>
                </c:pt>
                <c:pt idx="11" formatCode="#,##0_);\(#,##0\)">
                  <c:v>613</c:v>
                </c:pt>
                <c:pt idx="12" formatCode="#,##0_);\(#,##0\)">
                  <c:v>618</c:v>
                </c:pt>
                <c:pt idx="13" formatCode="#,##0_);\(#,##0\)">
                  <c:v>617</c:v>
                </c:pt>
                <c:pt idx="14" formatCode="#,##0_);\(#,##0\)">
                  <c:v>616</c:v>
                </c:pt>
                <c:pt idx="15" formatCode="#,##0_);\(#,##0\)">
                  <c:v>623</c:v>
                </c:pt>
                <c:pt idx="16" formatCode="#,##0_);\(#,##0\)">
                  <c:v>622</c:v>
                </c:pt>
                <c:pt idx="17" formatCode="#,##0_);\(#,##0\)">
                  <c:v>622</c:v>
                </c:pt>
                <c:pt idx="18" formatCode="#,##0_);\(#,##0\)">
                  <c:v>633</c:v>
                </c:pt>
                <c:pt idx="19" formatCode="#,##0_);\(#,##0\)">
                  <c:v>633</c:v>
                </c:pt>
                <c:pt idx="20" formatCode="#,##0_);\(#,##0\)">
                  <c:v>634</c:v>
                </c:pt>
                <c:pt idx="21" formatCode="#,##0_);\(#,##0\)">
                  <c:v>640</c:v>
                </c:pt>
                <c:pt idx="22" formatCode="#,##0_);\(#,##0\)">
                  <c:v>640</c:v>
                </c:pt>
                <c:pt idx="23" formatCode="#,##0_);\(#,##0\)">
                  <c:v>627</c:v>
                </c:pt>
                <c:pt idx="24" formatCode="#,##0_);\(#,##0\)">
                  <c:v>631</c:v>
                </c:pt>
                <c:pt idx="25" formatCode="#,##0_);\(#,##0\)">
                  <c:v>631</c:v>
                </c:pt>
                <c:pt idx="26" formatCode="General">
                  <c:v>631</c:v>
                </c:pt>
                <c:pt idx="27" formatCode="General">
                  <c:v>631</c:v>
                </c:pt>
              </c:numCache>
            </c:numRef>
          </c:val>
          <c:extLst>
            <c:ext xmlns:c16="http://schemas.microsoft.com/office/drawing/2014/chart" uri="{C3380CC4-5D6E-409C-BE32-E72D297353CC}">
              <c16:uniqueId val="{00000000-A4D9-41B1-A9FE-2BDE40EE25B8}"/>
            </c:ext>
          </c:extLst>
        </c:ser>
        <c:ser>
          <c:idx val="8"/>
          <c:order val="1"/>
          <c:tx>
            <c:strRef>
              <c:f>'1 GE-GB'!$M$3</c:f>
              <c:strCache>
                <c:ptCount val="1"/>
                <c:pt idx="0">
                  <c:v>LAB </c:v>
                </c:pt>
              </c:strCache>
            </c:strRef>
          </c:tx>
          <c:spPr>
            <a:solidFill>
              <a:srgbClr val="D50000"/>
            </a:solidFill>
            <a:ln>
              <a:noFill/>
            </a:ln>
          </c:spPr>
          <c:invertIfNegative val="0"/>
          <c:cat>
            <c:numRef>
              <c:extLst>
                <c:ext xmlns:c15="http://schemas.microsoft.com/office/drawing/2012/chart" uri="{02D57815-91ED-43cb-92C2-25804820EDAC}">
                  <c15:fullRef>
                    <c15:sqref>'1 GE-GB'!$J$4:$J$32</c15:sqref>
                  </c15:fullRef>
                </c:ext>
              </c:extLst>
              <c:f>'1 GE-GB'!$J$5:$J$32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GE-GB'!$M$4:$M$32</c15:sqref>
                  </c15:fullRef>
                </c:ext>
              </c:extLst>
              <c:f>'1 GE-GB'!$M$5:$M$32</c:f>
              <c:numCache>
                <c:formatCode>#,##0</c:formatCode>
                <c:ptCount val="28"/>
                <c:pt idx="0">
                  <c:v>361</c:v>
                </c:pt>
                <c:pt idx="1" formatCode="0">
                  <c:v>414</c:v>
                </c:pt>
                <c:pt idx="2">
                  <c:v>427</c:v>
                </c:pt>
                <c:pt idx="3">
                  <c:v>514</c:v>
                </c:pt>
                <c:pt idx="4">
                  <c:v>569</c:v>
                </c:pt>
                <c:pt idx="5">
                  <c:v>515</c:v>
                </c:pt>
                <c:pt idx="6">
                  <c:v>552</c:v>
                </c:pt>
                <c:pt idx="7" formatCode="#,##0_);\(#,##0\)">
                  <c:v>598</c:v>
                </c:pt>
                <c:pt idx="8" formatCode="#,##0_);\(#,##0\)">
                  <c:v>612</c:v>
                </c:pt>
                <c:pt idx="9" formatCode="#,##0_);\(#,##0\)">
                  <c:v>613</c:v>
                </c:pt>
                <c:pt idx="10" formatCode="#,##0_);\(#,##0\)">
                  <c:v>617</c:v>
                </c:pt>
                <c:pt idx="11" formatCode="#,##0_);\(#,##0\)">
                  <c:v>618</c:v>
                </c:pt>
                <c:pt idx="12" formatCode="#,##0_);\(#,##0\)">
                  <c:v>618</c:v>
                </c:pt>
                <c:pt idx="13" formatCode="#,##0_);\(#,##0\)">
                  <c:v>618</c:v>
                </c:pt>
                <c:pt idx="14" formatCode="#,##0_);\(#,##0\)">
                  <c:v>618</c:v>
                </c:pt>
                <c:pt idx="15" formatCode="#,##0_);\(#,##0\)">
                  <c:v>623</c:v>
                </c:pt>
                <c:pt idx="16" formatCode="#,##0_);\(#,##0\)">
                  <c:v>623</c:v>
                </c:pt>
                <c:pt idx="17" formatCode="#,##0_);\(#,##0\)">
                  <c:v>623</c:v>
                </c:pt>
                <c:pt idx="18" formatCode="#,##0_);\(#,##0\)">
                  <c:v>633</c:v>
                </c:pt>
                <c:pt idx="19" formatCode="#,##0_);\(#,##0\)">
                  <c:v>633</c:v>
                </c:pt>
                <c:pt idx="20" formatCode="#,##0_);\(#,##0\)">
                  <c:v>634</c:v>
                </c:pt>
                <c:pt idx="21" formatCode="#,##0_);\(#,##0\)">
                  <c:v>639</c:v>
                </c:pt>
                <c:pt idx="22" formatCode="#,##0_);\(#,##0\)">
                  <c:v>640</c:v>
                </c:pt>
                <c:pt idx="23" formatCode="#,##0_);\(#,##0\)">
                  <c:v>627</c:v>
                </c:pt>
                <c:pt idx="24" formatCode="#,##0_);\(#,##0\)">
                  <c:v>631</c:v>
                </c:pt>
                <c:pt idx="25" formatCode="#,##0_);\(#,##0\)">
                  <c:v>631</c:v>
                </c:pt>
                <c:pt idx="26" formatCode="General">
                  <c:v>631</c:v>
                </c:pt>
                <c:pt idx="27" formatCode="General">
                  <c:v>631</c:v>
                </c:pt>
              </c:numCache>
            </c:numRef>
          </c:val>
          <c:extLst>
            <c:ext xmlns:c16="http://schemas.microsoft.com/office/drawing/2014/chart" uri="{C3380CC4-5D6E-409C-BE32-E72D297353CC}">
              <c16:uniqueId val="{00000001-A4D9-41B1-A9FE-2BDE40EE25B8}"/>
            </c:ext>
          </c:extLst>
        </c:ser>
        <c:ser>
          <c:idx val="9"/>
          <c:order val="2"/>
          <c:tx>
            <c:strRef>
              <c:f>'1 GE-GB'!$N$3</c:f>
              <c:strCache>
                <c:ptCount val="1"/>
                <c:pt idx="0">
                  <c:v>LD3</c:v>
                </c:pt>
              </c:strCache>
            </c:strRef>
          </c:tx>
          <c:spPr>
            <a:solidFill>
              <a:srgbClr val="FAA01A"/>
            </a:solidFill>
            <a:ln>
              <a:noFill/>
            </a:ln>
          </c:spPr>
          <c:invertIfNegative val="0"/>
          <c:cat>
            <c:numRef>
              <c:extLst>
                <c:ext xmlns:c15="http://schemas.microsoft.com/office/drawing/2012/chart" uri="{02D57815-91ED-43cb-92C2-25804820EDAC}">
                  <c15:fullRef>
                    <c15:sqref>'1 GE-GB'!$J$4:$J$32</c15:sqref>
                  </c15:fullRef>
                </c:ext>
              </c:extLst>
              <c:f>'1 GE-GB'!$J$5:$J$32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GE-GB'!$N$4:$N$32</c15:sqref>
                  </c15:fullRef>
                </c:ext>
              </c:extLst>
              <c:f>'1 GE-GB'!$N$5:$N$32</c:f>
              <c:numCache>
                <c:formatCode>#,##0</c:formatCode>
                <c:ptCount val="28"/>
                <c:pt idx="0">
                  <c:v>421</c:v>
                </c:pt>
                <c:pt idx="1" formatCode="0">
                  <c:v>485</c:v>
                </c:pt>
                <c:pt idx="2">
                  <c:v>457</c:v>
                </c:pt>
                <c:pt idx="3">
                  <c:v>339</c:v>
                </c:pt>
                <c:pt idx="4">
                  <c:v>507</c:v>
                </c:pt>
                <c:pt idx="5">
                  <c:v>117</c:v>
                </c:pt>
                <c:pt idx="6">
                  <c:v>161</c:v>
                </c:pt>
                <c:pt idx="7" formatCode="#,##0_);\(#,##0\)">
                  <c:v>306</c:v>
                </c:pt>
                <c:pt idx="8" formatCode="#,##0_);\(#,##0\)">
                  <c:v>475</c:v>
                </c:pt>
                <c:pt idx="9" formatCode="#,##0_);\(#,##0\)">
                  <c:v>109</c:v>
                </c:pt>
                <c:pt idx="10" formatCode="#,##0_);\(#,##0\)">
                  <c:v>110</c:v>
                </c:pt>
                <c:pt idx="11" formatCode="#,##0_);\(#,##0\)">
                  <c:v>215</c:v>
                </c:pt>
                <c:pt idx="12" formatCode="#,##0_);\(#,##0\)">
                  <c:v>361</c:v>
                </c:pt>
                <c:pt idx="13" formatCode="#,##0_);\(#,##0\)">
                  <c:v>308</c:v>
                </c:pt>
                <c:pt idx="14" formatCode="#,##0_);\(#,##0\)">
                  <c:v>328</c:v>
                </c:pt>
                <c:pt idx="15" formatCode="#,##0_);\(#,##0\)">
                  <c:v>517</c:v>
                </c:pt>
                <c:pt idx="16" formatCode="#,##0_);\(#,##0\)">
                  <c:v>619</c:v>
                </c:pt>
                <c:pt idx="17" formatCode="#,##0_);\(#,##0\)">
                  <c:v>577</c:v>
                </c:pt>
                <c:pt idx="18" formatCode="#,##0_);\(#,##0\)">
                  <c:v>633</c:v>
                </c:pt>
                <c:pt idx="19" formatCode="#,##0_);\(#,##0\)">
                  <c:v>633</c:v>
                </c:pt>
                <c:pt idx="20" formatCode="#,##0_);\(#,##0\)">
                  <c:v>632</c:v>
                </c:pt>
                <c:pt idx="21" formatCode="#,##0_);\(#,##0\)">
                  <c:v>639</c:v>
                </c:pt>
                <c:pt idx="22" formatCode="#,##0_);\(#,##0\)">
                  <c:v>639</c:v>
                </c:pt>
                <c:pt idx="23" formatCode="#,##0_);\(#,##0\)">
                  <c:v>626</c:v>
                </c:pt>
                <c:pt idx="24" formatCode="#,##0_);\(#,##0\)">
                  <c:v>631</c:v>
                </c:pt>
                <c:pt idx="25" formatCode="#,##0_);\(#,##0\)">
                  <c:v>631</c:v>
                </c:pt>
                <c:pt idx="26" formatCode="General">
                  <c:v>629</c:v>
                </c:pt>
                <c:pt idx="27" formatCode="General">
                  <c:v>611</c:v>
                </c:pt>
              </c:numCache>
            </c:numRef>
          </c:val>
          <c:extLst>
            <c:ext xmlns:c16="http://schemas.microsoft.com/office/drawing/2014/chart" uri="{C3380CC4-5D6E-409C-BE32-E72D297353CC}">
              <c16:uniqueId val="{00000002-A4D9-41B1-A9FE-2BDE40EE25B8}"/>
            </c:ext>
          </c:extLst>
        </c:ser>
        <c:dLbls>
          <c:showLegendKey val="0"/>
          <c:showVal val="0"/>
          <c:showCatName val="0"/>
          <c:showSerName val="0"/>
          <c:showPercent val="0"/>
          <c:showBubbleSize val="0"/>
        </c:dLbls>
        <c:gapWidth val="122"/>
        <c:axId val="463551984"/>
        <c:axId val="463552376"/>
      </c:barChart>
      <c:catAx>
        <c:axId val="463551984"/>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3552376"/>
        <c:crosses val="autoZero"/>
        <c:auto val="0"/>
        <c:lblAlgn val="ctr"/>
        <c:lblOffset val="100"/>
        <c:tickLblSkip val="1"/>
        <c:noMultiLvlLbl val="0"/>
      </c:catAx>
      <c:valAx>
        <c:axId val="463552376"/>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3551984"/>
        <c:crosses val="max"/>
        <c:crossBetween val="between"/>
        <c:majorUnit val="2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seats won</a:t>
            </a:r>
          </a:p>
        </c:rich>
      </c:tx>
      <c:layout>
        <c:manualLayout>
          <c:xMode val="edge"/>
          <c:yMode val="edge"/>
          <c:x val="0.14429272091405521"/>
          <c:y val="1.7012214798656975E-3"/>
        </c:manualLayout>
      </c:layout>
      <c:overlay val="0"/>
      <c:spPr>
        <a:noFill/>
        <a:ln w="25400">
          <a:noFill/>
        </a:ln>
      </c:spPr>
    </c:title>
    <c:autoTitleDeleted val="0"/>
    <c:plotArea>
      <c:layout>
        <c:manualLayout>
          <c:layoutTarget val="inner"/>
          <c:xMode val="edge"/>
          <c:yMode val="edge"/>
          <c:x val="0.22356505281685674"/>
          <c:y val="5.0181715797694926E-2"/>
          <c:w val="0.49593018601051481"/>
          <c:h val="0.89975714125228512"/>
        </c:manualLayout>
      </c:layout>
      <c:barChart>
        <c:barDir val="bar"/>
        <c:grouping val="stacked"/>
        <c:varyColors val="0"/>
        <c:ser>
          <c:idx val="4"/>
          <c:order val="0"/>
          <c:tx>
            <c:strRef>
              <c:f>'1 GE-GB'!$L$35</c:f>
              <c:strCache>
                <c:ptCount val="1"/>
                <c:pt idx="0">
                  <c:v>CON2</c:v>
                </c:pt>
              </c:strCache>
            </c:strRef>
          </c:tx>
          <c:spPr>
            <a:solidFill>
              <a:srgbClr val="00539F"/>
            </a:solidFill>
          </c:spPr>
          <c:invertIfNegative val="0"/>
          <c:cat>
            <c:numRef>
              <c:extLst>
                <c:ext xmlns:c15="http://schemas.microsoft.com/office/drawing/2012/chart" uri="{02D57815-91ED-43cb-92C2-25804820EDAC}">
                  <c15:fullRef>
                    <c15:sqref>'1 GE-GB'!$J$36:$J$64</c15:sqref>
                  </c15:fullRef>
                </c:ext>
              </c:extLst>
              <c:f>'1 GE-GB'!$J$37:$J$64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GE-GB'!$L$36:$L$64</c15:sqref>
                  </c15:fullRef>
                </c:ext>
              </c:extLst>
              <c:f>'1 GE-GB'!$L$37:$L$64</c:f>
              <c:numCache>
                <c:formatCode>General</c:formatCode>
                <c:ptCount val="28"/>
                <c:pt idx="0">
                  <c:v>359</c:v>
                </c:pt>
                <c:pt idx="1">
                  <c:v>334</c:v>
                </c:pt>
                <c:pt idx="2">
                  <c:v>248</c:v>
                </c:pt>
                <c:pt idx="3">
                  <c:v>400</c:v>
                </c:pt>
                <c:pt idx="4">
                  <c:v>250</c:v>
                </c:pt>
                <c:pt idx="5">
                  <c:v>512</c:v>
                </c:pt>
                <c:pt idx="6" formatCode="#,##0">
                  <c:v>419</c:v>
                </c:pt>
                <c:pt idx="7" formatCode="#,##0_);\(#,##0\)">
                  <c:v>202</c:v>
                </c:pt>
                <c:pt idx="8" formatCode="#,##0_);\(#,##0\)">
                  <c:v>288</c:v>
                </c:pt>
                <c:pt idx="9" formatCode="#,##0_);\(#,##0\)">
                  <c:v>312</c:v>
                </c:pt>
                <c:pt idx="10" formatCode="#,##0_);\(#,##0\)">
                  <c:v>335</c:v>
                </c:pt>
                <c:pt idx="11" formatCode="#,##0_);\(#,##0\)">
                  <c:v>353</c:v>
                </c:pt>
                <c:pt idx="12" formatCode="#,##0_);\(#,##0\)">
                  <c:v>292</c:v>
                </c:pt>
                <c:pt idx="13" formatCode="#,##0_);\(#,##0\)">
                  <c:v>242</c:v>
                </c:pt>
                <c:pt idx="14" formatCode="#,##0_);\(#,##0\)">
                  <c:v>322</c:v>
                </c:pt>
                <c:pt idx="15" formatCode="#,##0_);\(#,##0\)">
                  <c:v>297</c:v>
                </c:pt>
                <c:pt idx="16" formatCode="#,##0_);\(#,##0\)">
                  <c:v>277</c:v>
                </c:pt>
                <c:pt idx="17" formatCode="#,##0_);\(#,##0\)">
                  <c:v>339</c:v>
                </c:pt>
                <c:pt idx="18" formatCode="#,##0_);\(#,##0\)">
                  <c:v>397</c:v>
                </c:pt>
                <c:pt idx="19" formatCode="#,##0_);\(#,##0\)">
                  <c:v>376</c:v>
                </c:pt>
                <c:pt idx="20" formatCode="#,##0_);\(#,##0\)">
                  <c:v>336</c:v>
                </c:pt>
                <c:pt idx="21" formatCode="#,##0_);\(#,##0\)">
                  <c:v>165</c:v>
                </c:pt>
                <c:pt idx="22" formatCode="#,##0_);\(#,##0\)">
                  <c:v>166</c:v>
                </c:pt>
                <c:pt idx="23" formatCode="#,##0_);\(#,##0\)">
                  <c:v>198</c:v>
                </c:pt>
                <c:pt idx="24" formatCode="#,##0_);\(#,##0\)">
                  <c:v>306</c:v>
                </c:pt>
                <c:pt idx="25" formatCode="#,##0_);\(#,##0\)">
                  <c:v>330</c:v>
                </c:pt>
                <c:pt idx="26" formatCode="0">
                  <c:v>317</c:v>
                </c:pt>
                <c:pt idx="27" formatCode="0">
                  <c:v>365</c:v>
                </c:pt>
              </c:numCache>
            </c:numRef>
          </c:val>
          <c:extLst>
            <c:ext xmlns:c16="http://schemas.microsoft.com/office/drawing/2014/chart" uri="{C3380CC4-5D6E-409C-BE32-E72D297353CC}">
              <c16:uniqueId val="{00000000-B987-4CED-BABB-191046C70350}"/>
            </c:ext>
          </c:extLst>
        </c:ser>
        <c:ser>
          <c:idx val="5"/>
          <c:order val="1"/>
          <c:tx>
            <c:strRef>
              <c:f>'1 GE-GB'!$M$35</c:f>
              <c:strCache>
                <c:ptCount val="1"/>
                <c:pt idx="0">
                  <c:v>LAB </c:v>
                </c:pt>
              </c:strCache>
            </c:strRef>
          </c:tx>
          <c:spPr>
            <a:solidFill>
              <a:srgbClr val="D50000"/>
            </a:solidFill>
          </c:spPr>
          <c:invertIfNegative val="0"/>
          <c:cat>
            <c:numRef>
              <c:extLst>
                <c:ext xmlns:c15="http://schemas.microsoft.com/office/drawing/2012/chart" uri="{02D57815-91ED-43cb-92C2-25804820EDAC}">
                  <c15:fullRef>
                    <c15:sqref>'1 GE-GB'!$J$36:$J$64</c15:sqref>
                  </c15:fullRef>
                </c:ext>
              </c:extLst>
              <c:f>'1 GE-GB'!$J$37:$J$64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GE-GB'!$M$36:$M$64</c15:sqref>
                  </c15:fullRef>
                </c:ext>
              </c:extLst>
              <c:f>'1 GE-GB'!$M$37:$M$64</c:f>
              <c:numCache>
                <c:formatCode>General</c:formatCode>
                <c:ptCount val="28"/>
                <c:pt idx="0">
                  <c:v>57</c:v>
                </c:pt>
                <c:pt idx="1">
                  <c:v>142</c:v>
                </c:pt>
                <c:pt idx="2">
                  <c:v>191</c:v>
                </c:pt>
                <c:pt idx="3">
                  <c:v>151</c:v>
                </c:pt>
                <c:pt idx="4">
                  <c:v>287</c:v>
                </c:pt>
                <c:pt idx="5">
                  <c:v>52</c:v>
                </c:pt>
                <c:pt idx="6">
                  <c:v>154</c:v>
                </c:pt>
                <c:pt idx="7" formatCode="#,##0_);\(#,##0\)">
                  <c:v>393</c:v>
                </c:pt>
                <c:pt idx="8" formatCode="#,##0_);\(#,##0\)">
                  <c:v>315</c:v>
                </c:pt>
                <c:pt idx="9" formatCode="#,##0_);\(#,##0\)">
                  <c:v>295</c:v>
                </c:pt>
                <c:pt idx="10" formatCode="#,##0_);\(#,##0\)">
                  <c:v>277</c:v>
                </c:pt>
                <c:pt idx="11" formatCode="#,##0_);\(#,##0\)">
                  <c:v>258</c:v>
                </c:pt>
                <c:pt idx="12" formatCode="#,##0_);\(#,##0\)">
                  <c:v>317</c:v>
                </c:pt>
                <c:pt idx="13" formatCode="#,##0_);\(#,##0\)">
                  <c:v>364</c:v>
                </c:pt>
                <c:pt idx="14" formatCode="#,##0_);\(#,##0\)">
                  <c:v>288</c:v>
                </c:pt>
                <c:pt idx="15" formatCode="#,##0_);\(#,##0\)">
                  <c:v>301</c:v>
                </c:pt>
                <c:pt idx="16" formatCode="#,##0_);\(#,##0\)">
                  <c:v>319</c:v>
                </c:pt>
                <c:pt idx="17" formatCode="#,##0_);\(#,##0\)">
                  <c:v>269</c:v>
                </c:pt>
                <c:pt idx="18" formatCode="#,##0_);\(#,##0\)">
                  <c:v>209</c:v>
                </c:pt>
                <c:pt idx="19" formatCode="#,##0_);\(#,##0\)">
                  <c:v>229</c:v>
                </c:pt>
                <c:pt idx="20" formatCode="#,##0_);\(#,##0\)">
                  <c:v>271</c:v>
                </c:pt>
                <c:pt idx="21" formatCode="#,##0_);\(#,##0\)">
                  <c:v>418</c:v>
                </c:pt>
                <c:pt idx="22" formatCode="#,##0_);\(#,##0\)">
                  <c:v>412</c:v>
                </c:pt>
                <c:pt idx="23" formatCode="#,##0_);\(#,##0\)">
                  <c:v>355</c:v>
                </c:pt>
                <c:pt idx="24" formatCode="#,##0_);\(#,##0\)">
                  <c:v>258</c:v>
                </c:pt>
                <c:pt idx="25" formatCode="#,##0_);\(#,##0\)">
                  <c:v>232</c:v>
                </c:pt>
                <c:pt idx="26" formatCode="0">
                  <c:v>262</c:v>
                </c:pt>
                <c:pt idx="27" formatCode="0">
                  <c:v>202</c:v>
                </c:pt>
              </c:numCache>
            </c:numRef>
          </c:val>
          <c:extLst>
            <c:ext xmlns:c16="http://schemas.microsoft.com/office/drawing/2014/chart" uri="{C3380CC4-5D6E-409C-BE32-E72D297353CC}">
              <c16:uniqueId val="{00000001-B987-4CED-BABB-191046C70350}"/>
            </c:ext>
          </c:extLst>
        </c:ser>
        <c:ser>
          <c:idx val="6"/>
          <c:order val="2"/>
          <c:tx>
            <c:strRef>
              <c:f>'1 GE-GB'!$N$35</c:f>
              <c:strCache>
                <c:ptCount val="1"/>
                <c:pt idx="0">
                  <c:v>LD3</c:v>
                </c:pt>
              </c:strCache>
            </c:strRef>
          </c:tx>
          <c:spPr>
            <a:solidFill>
              <a:srgbClr val="FAA01A"/>
            </a:solidFill>
          </c:spPr>
          <c:invertIfNegative val="0"/>
          <c:cat>
            <c:numRef>
              <c:extLst>
                <c:ext xmlns:c15="http://schemas.microsoft.com/office/drawing/2012/chart" uri="{02D57815-91ED-43cb-92C2-25804820EDAC}">
                  <c15:fullRef>
                    <c15:sqref>'1 GE-GB'!$J$36:$J$64</c15:sqref>
                  </c15:fullRef>
                </c:ext>
              </c:extLst>
              <c:f>'1 GE-GB'!$J$37:$J$64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GE-GB'!$N$36:$N$64</c15:sqref>
                  </c15:fullRef>
                </c:ext>
              </c:extLst>
              <c:f>'1 GE-GB'!$N$37:$N$64</c:f>
              <c:numCache>
                <c:formatCode>General</c:formatCode>
                <c:ptCount val="28"/>
                <c:pt idx="0">
                  <c:v>163</c:v>
                </c:pt>
                <c:pt idx="1">
                  <c:v>115</c:v>
                </c:pt>
                <c:pt idx="2">
                  <c:v>158</c:v>
                </c:pt>
                <c:pt idx="3">
                  <c:v>40</c:v>
                </c:pt>
                <c:pt idx="4">
                  <c:v>59</c:v>
                </c:pt>
                <c:pt idx="5">
                  <c:v>36</c:v>
                </c:pt>
                <c:pt idx="6">
                  <c:v>21</c:v>
                </c:pt>
                <c:pt idx="7" formatCode="#,##0_);\(#,##0\)">
                  <c:v>12</c:v>
                </c:pt>
                <c:pt idx="8" formatCode="#,##0_);\(#,##0\)">
                  <c:v>9</c:v>
                </c:pt>
                <c:pt idx="9" formatCode="#,##0_);\(#,##0\)">
                  <c:v>6</c:v>
                </c:pt>
                <c:pt idx="10" formatCode="#,##0_);\(#,##0\)">
                  <c:v>6</c:v>
                </c:pt>
                <c:pt idx="11" formatCode="#,##0_);\(#,##0\)">
                  <c:v>6</c:v>
                </c:pt>
                <c:pt idx="12" formatCode="#,##0_);\(#,##0\)">
                  <c:v>9</c:v>
                </c:pt>
                <c:pt idx="13" formatCode="#,##0_);\(#,##0\)">
                  <c:v>12</c:v>
                </c:pt>
                <c:pt idx="14" formatCode="#,##0_);\(#,##0\)">
                  <c:v>6</c:v>
                </c:pt>
                <c:pt idx="15" formatCode="#,##0_);\(#,##0\)">
                  <c:v>14</c:v>
                </c:pt>
                <c:pt idx="16" formatCode="#,##0_);\(#,##0\)">
                  <c:v>13</c:v>
                </c:pt>
                <c:pt idx="17" formatCode="#,##0_);\(#,##0\)">
                  <c:v>11</c:v>
                </c:pt>
                <c:pt idx="18" formatCode="#,##0_);\(#,##0\)">
                  <c:v>23</c:v>
                </c:pt>
                <c:pt idx="19" formatCode="#,##0_);\(#,##0\)">
                  <c:v>22</c:v>
                </c:pt>
                <c:pt idx="20" formatCode="#,##0_);\(#,##0\)">
                  <c:v>20</c:v>
                </c:pt>
                <c:pt idx="21" formatCode="#,##0_);\(#,##0\)">
                  <c:v>46</c:v>
                </c:pt>
                <c:pt idx="22" formatCode="#,##0_);\(#,##0\)">
                  <c:v>52</c:v>
                </c:pt>
                <c:pt idx="23" formatCode="#,##0_);\(#,##0\)">
                  <c:v>62</c:v>
                </c:pt>
                <c:pt idx="24" formatCode="#,##0_);\(#,##0\)">
                  <c:v>57</c:v>
                </c:pt>
                <c:pt idx="25" formatCode="#,##0_);\(#,##0\)">
                  <c:v>8</c:v>
                </c:pt>
                <c:pt idx="26" formatCode="0">
                  <c:v>12</c:v>
                </c:pt>
                <c:pt idx="27" formatCode="0">
                  <c:v>11</c:v>
                </c:pt>
              </c:numCache>
            </c:numRef>
          </c:val>
          <c:extLst>
            <c:ext xmlns:c16="http://schemas.microsoft.com/office/drawing/2014/chart" uri="{C3380CC4-5D6E-409C-BE32-E72D297353CC}">
              <c16:uniqueId val="{00000002-B987-4CED-BABB-191046C70350}"/>
            </c:ext>
          </c:extLst>
        </c:ser>
        <c:dLbls>
          <c:showLegendKey val="0"/>
          <c:showVal val="0"/>
          <c:showCatName val="0"/>
          <c:showSerName val="0"/>
          <c:showPercent val="0"/>
          <c:showBubbleSize val="0"/>
        </c:dLbls>
        <c:gapWidth val="65"/>
        <c:overlap val="100"/>
        <c:axId val="463553160"/>
        <c:axId val="464502760"/>
      </c:barChart>
      <c:catAx>
        <c:axId val="463553160"/>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4502760"/>
        <c:crosses val="autoZero"/>
        <c:auto val="1"/>
        <c:lblAlgn val="ctr"/>
        <c:lblOffset val="100"/>
        <c:noMultiLvlLbl val="0"/>
      </c:catAx>
      <c:valAx>
        <c:axId val="464502760"/>
        <c:scaling>
          <c:orientation val="minMax"/>
          <c:max val="650"/>
          <c:min val="0"/>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3553160"/>
        <c:crosses val="max"/>
        <c:crossBetween val="between"/>
        <c:majorUnit val="200"/>
        <c:minorUnit val="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Share of votes (%)</a:t>
            </a:r>
          </a:p>
        </c:rich>
      </c:tx>
      <c:layout>
        <c:manualLayout>
          <c:xMode val="edge"/>
          <c:yMode val="edge"/>
          <c:x val="0.18905572205264445"/>
          <c:y val="2.0613135490849942E-2"/>
        </c:manualLayout>
      </c:layout>
      <c:overlay val="0"/>
      <c:spPr>
        <a:noFill/>
        <a:ln w="25400">
          <a:noFill/>
        </a:ln>
      </c:spPr>
    </c:title>
    <c:autoTitleDeleted val="0"/>
    <c:plotArea>
      <c:layout>
        <c:manualLayout>
          <c:layoutTarget val="inner"/>
          <c:xMode val="edge"/>
          <c:yMode val="edge"/>
          <c:x val="0.22356517935258094"/>
          <c:y val="7.4741472425290764E-2"/>
          <c:w val="0.49593018601051481"/>
          <c:h val="0.87701924933339592"/>
        </c:manualLayout>
      </c:layout>
      <c:barChart>
        <c:barDir val="bar"/>
        <c:grouping val="stacked"/>
        <c:varyColors val="0"/>
        <c:ser>
          <c:idx val="7"/>
          <c:order val="0"/>
          <c:tx>
            <c:strRef>
              <c:f>'1 GE-Eng'!$C$35</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GE-Eng'!$A$36:$A$64</c15:sqref>
                  </c15:fullRef>
                </c:ext>
              </c:extLst>
              <c:f>'1 GE-Eng'!$A$37:$A$64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GE-Eng'!$C$36:$C$64</c15:sqref>
                  </c15:fullRef>
                </c:ext>
              </c:extLst>
              <c:f>'1 GE-Eng'!$C$37:$C$64</c:f>
              <c:numCache>
                <c:formatCode>0.0%</c:formatCode>
                <c:ptCount val="28"/>
                <c:pt idx="0">
                  <c:v>0.42600000000000005</c:v>
                </c:pt>
                <c:pt idx="1">
                  <c:v>0.41499999999999998</c:v>
                </c:pt>
                <c:pt idx="2">
                  <c:v>0.39799999999999996</c:v>
                </c:pt>
                <c:pt idx="3">
                  <c:v>0.47700000000000004</c:v>
                </c:pt>
                <c:pt idx="4">
                  <c:v>0.38799999999999996</c:v>
                </c:pt>
                <c:pt idx="5">
                  <c:v>0.63300000000000001</c:v>
                </c:pt>
                <c:pt idx="6">
                  <c:v>0.54500000000000004</c:v>
                </c:pt>
                <c:pt idx="7">
                  <c:v>0.40200000000000002</c:v>
                </c:pt>
                <c:pt idx="8">
                  <c:v>0.43830657254135014</c:v>
                </c:pt>
                <c:pt idx="9">
                  <c:v>0.48781405429635027</c:v>
                </c:pt>
                <c:pt idx="10">
                  <c:v>0.504</c:v>
                </c:pt>
                <c:pt idx="11">
                  <c:v>0.49979918080295599</c:v>
                </c:pt>
                <c:pt idx="12">
                  <c:v>0.4405945594788146</c:v>
                </c:pt>
                <c:pt idx="13">
                  <c:v>0.42711348299529872</c:v>
                </c:pt>
                <c:pt idx="14">
                  <c:v>0.48296623554165047</c:v>
                </c:pt>
                <c:pt idx="15">
                  <c:v>0.40200178122103997</c:v>
                </c:pt>
                <c:pt idx="16">
                  <c:v>0.38915221150417123</c:v>
                </c:pt>
                <c:pt idx="17">
                  <c:v>0.47186955308069189</c:v>
                </c:pt>
                <c:pt idx="18">
                  <c:v>0.4597684512241092</c:v>
                </c:pt>
                <c:pt idx="19">
                  <c:v>0.46238693229725208</c:v>
                </c:pt>
                <c:pt idx="20">
                  <c:v>0.45461638354802913</c:v>
                </c:pt>
                <c:pt idx="21">
                  <c:v>0.33696527288071643</c:v>
                </c:pt>
                <c:pt idx="22">
                  <c:v>0.35233660354403745</c:v>
                </c:pt>
                <c:pt idx="23">
                  <c:v>0.35742032501153304</c:v>
                </c:pt>
                <c:pt idx="24">
                  <c:v>0.39503660660218615</c:v>
                </c:pt>
                <c:pt idx="25">
                  <c:v>0.40861291546249839</c:v>
                </c:pt>
                <c:pt idx="26">
                  <c:v>0.4546324937398733</c:v>
                </c:pt>
                <c:pt idx="27">
                  <c:v>0.47231755369058098</c:v>
                </c:pt>
              </c:numCache>
            </c:numRef>
          </c:val>
          <c:extLst>
            <c:ext xmlns:c16="http://schemas.microsoft.com/office/drawing/2014/chart" uri="{C3380CC4-5D6E-409C-BE32-E72D297353CC}">
              <c16:uniqueId val="{00000000-815D-4BAF-BD65-484899ADC979}"/>
            </c:ext>
          </c:extLst>
        </c:ser>
        <c:ser>
          <c:idx val="8"/>
          <c:order val="1"/>
          <c:tx>
            <c:strRef>
              <c:f>'1 GE-Eng'!$D$35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GE-Eng'!$A$36:$A$64</c15:sqref>
                  </c15:fullRef>
                </c:ext>
              </c:extLst>
              <c:f>'1 GE-Eng'!$A$37:$A$64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GE-Eng'!$D$36:$D$64</c15:sqref>
                  </c15:fullRef>
                </c:ext>
              </c:extLst>
              <c:f>'1 GE-Eng'!$D$37:$D$64</c:f>
              <c:numCache>
                <c:formatCode>0.0%</c:formatCode>
                <c:ptCount val="28"/>
                <c:pt idx="0">
                  <c:v>0.22600000000000001</c:v>
                </c:pt>
                <c:pt idx="1">
                  <c:v>0.28800000000000003</c:v>
                </c:pt>
                <c:pt idx="2">
                  <c:v>0.29699999999999999</c:v>
                </c:pt>
                <c:pt idx="3">
                  <c:v>0.32799999999999996</c:v>
                </c:pt>
                <c:pt idx="4">
                  <c:v>0.36899999999999999</c:v>
                </c:pt>
                <c:pt idx="5">
                  <c:v>0.30199999999999999</c:v>
                </c:pt>
                <c:pt idx="6">
                  <c:v>0.38500000000000001</c:v>
                </c:pt>
                <c:pt idx="7">
                  <c:v>0.48499999999999999</c:v>
                </c:pt>
                <c:pt idx="8">
                  <c:v>0.46133252580063627</c:v>
                </c:pt>
                <c:pt idx="9">
                  <c:v>0.48813987352942223</c:v>
                </c:pt>
                <c:pt idx="10">
                  <c:v>0.46782757419657367</c:v>
                </c:pt>
                <c:pt idx="11">
                  <c:v>0.43606008863198176</c:v>
                </c:pt>
                <c:pt idx="12">
                  <c:v>0.43520298051409911</c:v>
                </c:pt>
                <c:pt idx="13">
                  <c:v>0.47973182559409538</c:v>
                </c:pt>
                <c:pt idx="14">
                  <c:v>0.43369719209400187</c:v>
                </c:pt>
                <c:pt idx="15">
                  <c:v>0.37650569295289987</c:v>
                </c:pt>
                <c:pt idx="16">
                  <c:v>0.40076984609485428</c:v>
                </c:pt>
                <c:pt idx="17">
                  <c:v>0.36674835641887016</c:v>
                </c:pt>
                <c:pt idx="18">
                  <c:v>0.26940357903925649</c:v>
                </c:pt>
                <c:pt idx="19">
                  <c:v>0.29507654774783754</c:v>
                </c:pt>
                <c:pt idx="20">
                  <c:v>0.33933985697144992</c:v>
                </c:pt>
                <c:pt idx="21">
                  <c:v>0.43547363353952412</c:v>
                </c:pt>
                <c:pt idx="22">
                  <c:v>0.41410646780391097</c:v>
                </c:pt>
                <c:pt idx="23">
                  <c:v>0.35457447667847264</c:v>
                </c:pt>
                <c:pt idx="24">
                  <c:v>0.28066312277353761</c:v>
                </c:pt>
                <c:pt idx="25">
                  <c:v>0.31628530869073829</c:v>
                </c:pt>
                <c:pt idx="26">
                  <c:v>0.41939166298423913</c:v>
                </c:pt>
                <c:pt idx="27">
                  <c:v>0.33907900951621073</c:v>
                </c:pt>
              </c:numCache>
            </c:numRef>
          </c:val>
          <c:extLst>
            <c:ext xmlns:c16="http://schemas.microsoft.com/office/drawing/2014/chart" uri="{C3380CC4-5D6E-409C-BE32-E72D297353CC}">
              <c16:uniqueId val="{00000001-815D-4BAF-BD65-484899ADC979}"/>
            </c:ext>
          </c:extLst>
        </c:ser>
        <c:ser>
          <c:idx val="9"/>
          <c:order val="2"/>
          <c:tx>
            <c:strRef>
              <c:f>'1 GE-Eng'!$E$35</c:f>
              <c:strCache>
                <c:ptCount val="1"/>
                <c:pt idx="0">
                  <c:v>LD3</c:v>
                </c:pt>
              </c:strCache>
            </c:strRef>
          </c:tx>
          <c:spPr>
            <a:solidFill>
              <a:srgbClr val="FAA01A"/>
            </a:solidFill>
            <a:ln w="25400">
              <a:noFill/>
            </a:ln>
          </c:spPr>
          <c:invertIfNegative val="0"/>
          <c:cat>
            <c:numRef>
              <c:extLst>
                <c:ext xmlns:c15="http://schemas.microsoft.com/office/drawing/2012/chart" uri="{02D57815-91ED-43cb-92C2-25804820EDAC}">
                  <c15:fullRef>
                    <c15:sqref>'1 GE-Eng'!$A$36:$A$64</c15:sqref>
                  </c15:fullRef>
                </c:ext>
              </c:extLst>
              <c:f>'1 GE-Eng'!$A$37:$A$64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GE-Eng'!$E$36:$E$64</c15:sqref>
                  </c15:fullRef>
                </c:ext>
              </c:extLst>
              <c:f>'1 GE-Eng'!$E$37:$E$64</c:f>
              <c:numCache>
                <c:formatCode>0.0%</c:formatCode>
                <c:ptCount val="28"/>
                <c:pt idx="0">
                  <c:v>0.26300000000000001</c:v>
                </c:pt>
                <c:pt idx="1">
                  <c:v>0.27200000000000002</c:v>
                </c:pt>
                <c:pt idx="2">
                  <c:v>0.29899999999999999</c:v>
                </c:pt>
                <c:pt idx="3">
                  <c:v>0.17600000000000002</c:v>
                </c:pt>
                <c:pt idx="4">
                  <c:v>0.23600000000000002</c:v>
                </c:pt>
                <c:pt idx="5">
                  <c:v>0.06</c:v>
                </c:pt>
                <c:pt idx="6">
                  <c:v>6.3E-2</c:v>
                </c:pt>
                <c:pt idx="7">
                  <c:v>9.4E-2</c:v>
                </c:pt>
                <c:pt idx="8">
                  <c:v>9.3850085796174473E-2</c:v>
                </c:pt>
                <c:pt idx="9">
                  <c:v>2.255652888146379E-2</c:v>
                </c:pt>
                <c:pt idx="10">
                  <c:v>2.5796469391894609E-2</c:v>
                </c:pt>
                <c:pt idx="11">
                  <c:v>6.2677597653279918E-2</c:v>
                </c:pt>
                <c:pt idx="12">
                  <c:v>0.12101502486065135</c:v>
                </c:pt>
                <c:pt idx="13">
                  <c:v>8.9755447733290389E-2</c:v>
                </c:pt>
                <c:pt idx="14">
                  <c:v>7.9346956555091039E-2</c:v>
                </c:pt>
                <c:pt idx="15">
                  <c:v>0.21325894977120391</c:v>
                </c:pt>
                <c:pt idx="16">
                  <c:v>0.20167740416928248</c:v>
                </c:pt>
                <c:pt idx="17">
                  <c:v>0.14931532693547922</c:v>
                </c:pt>
                <c:pt idx="18">
                  <c:v>0.26361442780620437</c:v>
                </c:pt>
                <c:pt idx="19">
                  <c:v>0.23835276526209903</c:v>
                </c:pt>
                <c:pt idx="20">
                  <c:v>0.19177902372509575</c:v>
                </c:pt>
                <c:pt idx="21">
                  <c:v>0.17950100526841081</c:v>
                </c:pt>
                <c:pt idx="22">
                  <c:v>0.19417947120452411</c:v>
                </c:pt>
                <c:pt idx="23">
                  <c:v>0.22908121112906268</c:v>
                </c:pt>
                <c:pt idx="24">
                  <c:v>0.24223707509524639</c:v>
                </c:pt>
                <c:pt idx="25">
                  <c:v>8.2065942145172835E-2</c:v>
                </c:pt>
                <c:pt idx="26">
                  <c:v>7.7772867874502868E-2</c:v>
                </c:pt>
                <c:pt idx="27">
                  <c:v>0.1241406651400172</c:v>
                </c:pt>
              </c:numCache>
            </c:numRef>
          </c:val>
          <c:extLst>
            <c:ext xmlns:c16="http://schemas.microsoft.com/office/drawing/2014/chart" uri="{C3380CC4-5D6E-409C-BE32-E72D297353CC}">
              <c16:uniqueId val="{00000002-815D-4BAF-BD65-484899ADC979}"/>
            </c:ext>
          </c:extLst>
        </c:ser>
        <c:dLbls>
          <c:showLegendKey val="0"/>
          <c:showVal val="0"/>
          <c:showCatName val="0"/>
          <c:showSerName val="0"/>
          <c:showPercent val="0"/>
          <c:showBubbleSize val="0"/>
        </c:dLbls>
        <c:gapWidth val="65"/>
        <c:overlap val="100"/>
        <c:axId val="464957720"/>
        <c:axId val="464958112"/>
      </c:barChart>
      <c:catAx>
        <c:axId val="464957720"/>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958112"/>
        <c:crosses val="autoZero"/>
        <c:auto val="1"/>
        <c:lblAlgn val="ctr"/>
        <c:lblOffset val="100"/>
        <c:tickLblSkip val="1"/>
        <c:noMultiLvlLbl val="0"/>
      </c:catAx>
      <c:valAx>
        <c:axId val="464958112"/>
        <c:scaling>
          <c:orientation val="minMax"/>
          <c:max val="1"/>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957720"/>
        <c:crosses val="max"/>
        <c:crossBetween val="between"/>
        <c:majorUnit val="0.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votes (millions)</a:t>
            </a:r>
          </a:p>
        </c:rich>
      </c:tx>
      <c:layout>
        <c:manualLayout>
          <c:xMode val="edge"/>
          <c:yMode val="edge"/>
          <c:x val="0.12473614839356353"/>
          <c:y val="1.3242350532334027E-3"/>
        </c:manualLayout>
      </c:layout>
      <c:overlay val="0"/>
      <c:spPr>
        <a:noFill/>
        <a:ln w="25400">
          <a:noFill/>
        </a:ln>
      </c:spPr>
    </c:title>
    <c:autoTitleDeleted val="0"/>
    <c:plotArea>
      <c:layout>
        <c:manualLayout>
          <c:layoutTarget val="inner"/>
          <c:xMode val="edge"/>
          <c:yMode val="edge"/>
          <c:x val="0.22356509159536206"/>
          <c:y val="7.8990692010555891E-2"/>
          <c:w val="0.49593018601051481"/>
          <c:h val="0.87573997644454427"/>
        </c:manualLayout>
      </c:layout>
      <c:barChart>
        <c:barDir val="bar"/>
        <c:grouping val="stacked"/>
        <c:varyColors val="0"/>
        <c:ser>
          <c:idx val="0"/>
          <c:order val="0"/>
          <c:tx>
            <c:v>CON</c:v>
          </c:tx>
          <c:spPr>
            <a:solidFill>
              <a:srgbClr val="00539F"/>
            </a:solidFill>
            <a:ln w="25400">
              <a:noFill/>
            </a:ln>
          </c:spPr>
          <c:invertIfNegative val="0"/>
          <c:cat>
            <c:numRef>
              <c:extLst>
                <c:ext xmlns:c15="http://schemas.microsoft.com/office/drawing/2012/chart" uri="{02D57815-91ED-43cb-92C2-25804820EDAC}">
                  <c15:fullRef>
                    <c15:sqref>'1 GE-Eng'!$A$4:$A$32</c15:sqref>
                  </c15:fullRef>
                </c:ext>
              </c:extLst>
              <c:f>'1 GE-Eng'!$A$5:$A$32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GE-Eng'!$C$4:$C$32</c15:sqref>
                  </c15:fullRef>
                </c:ext>
              </c:extLst>
              <c:f>'1 GE-Eng'!$C$5:$C$32</c:f>
              <c:numCache>
                <c:formatCode>0.00</c:formatCode>
                <c:ptCount val="28"/>
                <c:pt idx="0">
                  <c:v>3.414631</c:v>
                </c:pt>
                <c:pt idx="1">
                  <c:v>4.8097969999999997</c:v>
                </c:pt>
                <c:pt idx="2">
                  <c:v>4.7321759999999999</c:v>
                </c:pt>
                <c:pt idx="3">
                  <c:v>6.4602659999999998</c:v>
                </c:pt>
                <c:pt idx="4">
                  <c:v>7.1775510000000002</c:v>
                </c:pt>
                <c:pt idx="5">
                  <c:v>11.478384999999999</c:v>
                </c:pt>
                <c:pt idx="6">
                  <c:v>9.9879370000000005</c:v>
                </c:pt>
                <c:pt idx="7" formatCode="#,##0.00_);\(#,##0.00\)">
                  <c:v>8.2691909999999993</c:v>
                </c:pt>
                <c:pt idx="8" formatCode="#,##0.00_);\(#,##0.00\)">
                  <c:v>10.499392</c:v>
                </c:pt>
                <c:pt idx="9" formatCode="#,##0.00_);\(#,##0.00\)">
                  <c:v>11.622704000000001</c:v>
                </c:pt>
                <c:pt idx="10" formatCode="#,##0.00_);\(#,##0.00\)">
                  <c:v>11.165436</c:v>
                </c:pt>
                <c:pt idx="11" formatCode="#,##0.00_);\(#,##0.00\)">
                  <c:v>11.559240000000001</c:v>
                </c:pt>
                <c:pt idx="12" formatCode="#,##0.00_);\(#,##0.00\)">
                  <c:v>10.106028</c:v>
                </c:pt>
                <c:pt idx="13" formatCode="#,##0.00_);\(#,##0.00\)">
                  <c:v>9.6923560000000002</c:v>
                </c:pt>
                <c:pt idx="14" formatCode="#,##0.00_);\(#,##0.00\)">
                  <c:v>11.282524</c:v>
                </c:pt>
                <c:pt idx="15" formatCode="#,##0.00_);\(#,##0.00\)">
                  <c:v>10.508977</c:v>
                </c:pt>
                <c:pt idx="16" formatCode="#,##0.00_);\(#,##0.00\)">
                  <c:v>9.4140080000000008</c:v>
                </c:pt>
                <c:pt idx="17" formatCode="#,##0.00_);\(#,##0.00\)">
                  <c:v>12.255514</c:v>
                </c:pt>
                <c:pt idx="18" formatCode="#,##0.00_);\(#,##0.00\)">
                  <c:v>11.711518999999999</c:v>
                </c:pt>
                <c:pt idx="19" formatCode="#,##0.00_);\(#,##0.00\)">
                  <c:v>12.546186000000001</c:v>
                </c:pt>
                <c:pt idx="20" formatCode="#,##0.00_);\(#,##0.00\)">
                  <c:v>12.796772000000001</c:v>
                </c:pt>
                <c:pt idx="21" formatCode="#,##0.00_);\(#,##0.00\)">
                  <c:v>8.7808810000000008</c:v>
                </c:pt>
                <c:pt idx="22">
                  <c:v>7.70587</c:v>
                </c:pt>
                <c:pt idx="23">
                  <c:v>8.1149789999999999</c:v>
                </c:pt>
                <c:pt idx="24" formatCode="#,##0.00_);\(#,##0.00\)">
                  <c:v>9.9080189999999995</c:v>
                </c:pt>
                <c:pt idx="25" formatCode="#,##0.00_);\(#,##0.00\)">
                  <c:v>10.448600000000001</c:v>
                </c:pt>
                <c:pt idx="26" formatCode="#,##0.00_);\(#,##0.00\)">
                  <c:v>12.346</c:v>
                </c:pt>
                <c:pt idx="27" formatCode="#,##0.00_);\(#,##0.00\)">
                  <c:v>12.710848</c:v>
                </c:pt>
              </c:numCache>
            </c:numRef>
          </c:val>
          <c:extLst>
            <c:ext xmlns:c16="http://schemas.microsoft.com/office/drawing/2014/chart" uri="{C3380CC4-5D6E-409C-BE32-E72D297353CC}">
              <c16:uniqueId val="{00000000-8A45-42EB-9061-752212955EB2}"/>
            </c:ext>
          </c:extLst>
        </c:ser>
        <c:ser>
          <c:idx val="1"/>
          <c:order val="1"/>
          <c:tx>
            <c:strRef>
              <c:f>'1 GE-Eng'!$D$3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GE-Eng'!$A$4:$A$32</c15:sqref>
                  </c15:fullRef>
                </c:ext>
              </c:extLst>
              <c:f>'1 GE-Eng'!$A$5:$A$32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GE-Eng'!$D$4:$D$32</c15:sqref>
                  </c15:fullRef>
                </c:ext>
              </c:extLst>
              <c:f>'1 GE-Eng'!$D$5:$D$32</c:f>
              <c:numCache>
                <c:formatCode>0.00</c:formatCode>
                <c:ptCount val="28"/>
                <c:pt idx="0">
                  <c:v>1.811739</c:v>
                </c:pt>
                <c:pt idx="1">
                  <c:v>3.3704299999999998</c:v>
                </c:pt>
                <c:pt idx="2">
                  <c:v>3.5498880000000002</c:v>
                </c:pt>
                <c:pt idx="3">
                  <c:v>4.4672359999999998</c:v>
                </c:pt>
                <c:pt idx="4">
                  <c:v>6.8507379999999998</c:v>
                </c:pt>
                <c:pt idx="5">
                  <c:v>5.4644250000000003</c:v>
                </c:pt>
                <c:pt idx="6">
                  <c:v>7.0540500000000002</c:v>
                </c:pt>
                <c:pt idx="7" formatCode="#,##0.00_);\(#,##0.00\)">
                  <c:v>9.9725190000000001</c:v>
                </c:pt>
                <c:pt idx="8" formatCode="#,##0.00_);\(#,##0.00\)">
                  <c:v>11.050966000000001</c:v>
                </c:pt>
                <c:pt idx="9" formatCode="#,##0.00_);\(#,##0.00\)">
                  <c:v>11.630466999999999</c:v>
                </c:pt>
                <c:pt idx="10" formatCode="#,##0.00_);\(#,##0.00\)">
                  <c:v>10.355892000000001</c:v>
                </c:pt>
                <c:pt idx="11" formatCode="#,##0.00_);\(#,##0.00\)">
                  <c:v>10.085096999999999</c:v>
                </c:pt>
                <c:pt idx="12" formatCode="#,##0.00_);\(#,##0.00\)">
                  <c:v>9.9823599999999999</c:v>
                </c:pt>
                <c:pt idx="13" formatCode="#,##0.00_);\(#,##0.00\)">
                  <c:v>10.886407999999999</c:v>
                </c:pt>
                <c:pt idx="14" formatCode="#,##0.00_);\(#,##0.00\)">
                  <c:v>10.131555000000001</c:v>
                </c:pt>
                <c:pt idx="15" formatCode="#,##0.00_);\(#,##0.00\)">
                  <c:v>9.8424680000000002</c:v>
                </c:pt>
                <c:pt idx="16" formatCode="#,##0.00_);\(#,##0.00\)">
                  <c:v>9.6950509999999994</c:v>
                </c:pt>
                <c:pt idx="17" formatCode="#,##0.00_);\(#,##0.00\)">
                  <c:v>9.5252800000000004</c:v>
                </c:pt>
                <c:pt idx="18" formatCode="#,##0.00_);\(#,##0.00\)">
                  <c:v>6.8624219999999996</c:v>
                </c:pt>
                <c:pt idx="19" formatCode="#,##0.00_);\(#,##0.00\)">
                  <c:v>8.0064659999999996</c:v>
                </c:pt>
                <c:pt idx="20" formatCode="#,##0.00_);\(#,##0.00\)">
                  <c:v>9.5519099999999995</c:v>
                </c:pt>
                <c:pt idx="21" formatCode="#,##0.00_);\(#,##0.00\)">
                  <c:v>11.347882</c:v>
                </c:pt>
                <c:pt idx="22">
                  <c:v>9.0568240000000007</c:v>
                </c:pt>
                <c:pt idx="23">
                  <c:v>8.0503660000000004</c:v>
                </c:pt>
                <c:pt idx="24" formatCode="#,##0.00_);\(#,##0.00\)">
                  <c:v>7.0393869999999996</c:v>
                </c:pt>
                <c:pt idx="25" formatCode="#,##0.00_);\(#,##0.00\)">
                  <c:v>8.0876999999999999</c:v>
                </c:pt>
                <c:pt idx="26" formatCode="#,##0.00_);\(#,##0.00\)">
                  <c:v>11.388999999999999</c:v>
                </c:pt>
                <c:pt idx="27" formatCode="#,##0.00_);\(#,##0.00\)">
                  <c:v>9.125178</c:v>
                </c:pt>
              </c:numCache>
            </c:numRef>
          </c:val>
          <c:extLst>
            <c:ext xmlns:c16="http://schemas.microsoft.com/office/drawing/2014/chart" uri="{C3380CC4-5D6E-409C-BE32-E72D297353CC}">
              <c16:uniqueId val="{00000001-8A45-42EB-9061-752212955EB2}"/>
            </c:ext>
          </c:extLst>
        </c:ser>
        <c:ser>
          <c:idx val="2"/>
          <c:order val="2"/>
          <c:tx>
            <c:v>LD</c:v>
          </c:tx>
          <c:spPr>
            <a:solidFill>
              <a:srgbClr val="FAA01A"/>
            </a:solidFill>
            <a:ln w="25400">
              <a:noFill/>
            </a:ln>
          </c:spPr>
          <c:invertIfNegative val="0"/>
          <c:cat>
            <c:numRef>
              <c:extLst>
                <c:ext xmlns:c15="http://schemas.microsoft.com/office/drawing/2012/chart" uri="{02D57815-91ED-43cb-92C2-25804820EDAC}">
                  <c15:fullRef>
                    <c15:sqref>'1 GE-Eng'!$A$4:$A$32</c15:sqref>
                  </c15:fullRef>
                </c:ext>
              </c:extLst>
              <c:f>'1 GE-Eng'!$A$5:$A$32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GE-Eng'!$E$4:$E$32</c15:sqref>
                  </c15:fullRef>
                </c:ext>
              </c:extLst>
              <c:f>'1 GE-Eng'!$E$5:$E$32</c:f>
              <c:numCache>
                <c:formatCode>0.00</c:formatCode>
                <c:ptCount val="28"/>
                <c:pt idx="0">
                  <c:v>2.1355710000000001</c:v>
                </c:pt>
                <c:pt idx="1">
                  <c:v>3.2109380000000001</c:v>
                </c:pt>
                <c:pt idx="2">
                  <c:v>3.5723349999999998</c:v>
                </c:pt>
                <c:pt idx="3">
                  <c:v>2.3884289999999999</c:v>
                </c:pt>
                <c:pt idx="4">
                  <c:v>4.3407030000000004</c:v>
                </c:pt>
                <c:pt idx="5">
                  <c:v>1.039499</c:v>
                </c:pt>
                <c:pt idx="6">
                  <c:v>1.1089709999999999</c:v>
                </c:pt>
                <c:pt idx="7" formatCode="#,##0.00_);\(#,##0.00\)">
                  <c:v>1.9139170000000001</c:v>
                </c:pt>
                <c:pt idx="8" formatCode="#,##0.00_);\(#,##0.00\)">
                  <c:v>2.2481270000000002</c:v>
                </c:pt>
                <c:pt idx="9" formatCode="#,##0.00_);\(#,##0.00\)">
                  <c:v>0.53743399999999997</c:v>
                </c:pt>
                <c:pt idx="10" formatCode="#,##0.00_);\(#,##0.00\)">
                  <c:v>0.57103400000000004</c:v>
                </c:pt>
                <c:pt idx="11" formatCode="#,##0.00_);\(#,##0.00\)">
                  <c:v>1.4495929999999999</c:v>
                </c:pt>
                <c:pt idx="12" formatCode="#,##0.00_);\(#,##0.00\)">
                  <c:v>2.7757520000000002</c:v>
                </c:pt>
                <c:pt idx="13" formatCode="#,##0.00_);\(#,##0.00\)">
                  <c:v>2.0367929999999999</c:v>
                </c:pt>
                <c:pt idx="14" formatCode="#,##0.00_);\(#,##0.00\)">
                  <c:v>1.8536159999999999</c:v>
                </c:pt>
                <c:pt idx="15" formatCode="#,##0.00_);\(#,##0.00\)">
                  <c:v>5.5749339999999998</c:v>
                </c:pt>
                <c:pt idx="16" formatCode="#,##0.00_);\(#,##0.00\)">
                  <c:v>4.8787919999999998</c:v>
                </c:pt>
                <c:pt idx="17" formatCode="#,##0.00_);\(#,##0.00\)">
                  <c:v>3.8780549999999998</c:v>
                </c:pt>
                <c:pt idx="18" formatCode="#,##0.00_);\(#,##0.00\)">
                  <c:v>6.7149570000000001</c:v>
                </c:pt>
                <c:pt idx="19" formatCode="#,##0.00_);\(#,##0.00\)">
                  <c:v>6.4673499999999997</c:v>
                </c:pt>
                <c:pt idx="20" formatCode="#,##0.00_);\(#,##0.00\)">
                  <c:v>5.3982929999999998</c:v>
                </c:pt>
                <c:pt idx="21" formatCode="#,##0.00_);\(#,##0.00\)">
                  <c:v>4.6775650000000004</c:v>
                </c:pt>
                <c:pt idx="22">
                  <c:v>4.2468529999999998</c:v>
                </c:pt>
                <c:pt idx="23">
                  <c:v>5.2011289999999999</c:v>
                </c:pt>
                <c:pt idx="24" formatCode="#,##0.00_);\(#,##0.00\)">
                  <c:v>6.0756129999999997</c:v>
                </c:pt>
                <c:pt idx="25" formatCode="#,##0.00_);\(#,##0.00\)">
                  <c:v>2.0985</c:v>
                </c:pt>
                <c:pt idx="26" formatCode="#,##0.00_);\(#,##0.00\)">
                  <c:v>2.1120000000000001</c:v>
                </c:pt>
                <c:pt idx="27" formatCode="#,##0.00_);\(#,##0.00\)">
                  <c:v>3.3408310000000001</c:v>
                </c:pt>
              </c:numCache>
            </c:numRef>
          </c:val>
          <c:extLst>
            <c:ext xmlns:c16="http://schemas.microsoft.com/office/drawing/2014/chart" uri="{C3380CC4-5D6E-409C-BE32-E72D297353CC}">
              <c16:uniqueId val="{00000002-8A45-42EB-9061-752212955EB2}"/>
            </c:ext>
          </c:extLst>
        </c:ser>
        <c:dLbls>
          <c:showLegendKey val="0"/>
          <c:showVal val="0"/>
          <c:showCatName val="0"/>
          <c:showSerName val="0"/>
          <c:showPercent val="0"/>
          <c:showBubbleSize val="0"/>
        </c:dLbls>
        <c:gapWidth val="65"/>
        <c:overlap val="100"/>
        <c:axId val="464958896"/>
        <c:axId val="464959288"/>
      </c:barChart>
      <c:catAx>
        <c:axId val="464958896"/>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959288"/>
        <c:crosses val="autoZero"/>
        <c:auto val="1"/>
        <c:lblAlgn val="ctr"/>
        <c:lblOffset val="100"/>
        <c:tickLblSkip val="1"/>
        <c:noMultiLvlLbl val="0"/>
      </c:catAx>
      <c:valAx>
        <c:axId val="464959288"/>
        <c:scaling>
          <c:orientation val="minMax"/>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958896"/>
        <c:crosses val="max"/>
        <c:crossBetween val="between"/>
      </c:valAx>
      <c:spPr>
        <a:noFill/>
        <a:ln w="25400">
          <a:noFill/>
        </a:ln>
      </c:spPr>
    </c:plotArea>
    <c:legend>
      <c:legendPos val="r"/>
      <c:layout>
        <c:manualLayout>
          <c:xMode val="edge"/>
          <c:yMode val="edge"/>
          <c:x val="0.69230920654149009"/>
          <c:y val="7.9365242492481156E-2"/>
          <c:w val="0.23483406392684808"/>
          <c:h val="0.13620047659106677"/>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candidates </a:t>
            </a:r>
          </a:p>
        </c:rich>
      </c:tx>
      <c:layout>
        <c:manualLayout>
          <c:xMode val="edge"/>
          <c:yMode val="edge"/>
          <c:x val="0.1058525861290594"/>
          <c:y val="9.8770296639576413E-3"/>
        </c:manualLayout>
      </c:layout>
      <c:overlay val="0"/>
      <c:spPr>
        <a:noFill/>
        <a:ln w="25400">
          <a:noFill/>
        </a:ln>
      </c:spPr>
    </c:title>
    <c:autoTitleDeleted val="0"/>
    <c:plotArea>
      <c:layout>
        <c:manualLayout>
          <c:layoutTarget val="inner"/>
          <c:xMode val="edge"/>
          <c:yMode val="edge"/>
          <c:x val="0.22356517935258094"/>
          <c:y val="6.1828110814875242E-2"/>
          <c:w val="0.48953530352780994"/>
          <c:h val="0.87998638648388017"/>
        </c:manualLayout>
      </c:layout>
      <c:barChart>
        <c:barDir val="bar"/>
        <c:grouping val="clustered"/>
        <c:varyColors val="0"/>
        <c:ser>
          <c:idx val="7"/>
          <c:order val="0"/>
          <c:tx>
            <c:strRef>
              <c:f>'1 GE-Eng'!$K$3</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GE-Eng'!$I$4:$I$32</c15:sqref>
                  </c15:fullRef>
                </c:ext>
              </c:extLst>
              <c:f>'1 GE-Eng'!$I$5:$I$32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GE-Eng'!$K$4:$K$32</c15:sqref>
                  </c15:fullRef>
                </c:ext>
              </c:extLst>
              <c:f>'1 GE-Eng'!$K$5:$K$32</c:f>
              <c:numCache>
                <c:formatCode>#,##0</c:formatCode>
                <c:ptCount val="28"/>
                <c:pt idx="0">
                  <c:v>352</c:v>
                </c:pt>
                <c:pt idx="1" formatCode="0">
                  <c:v>406</c:v>
                </c:pt>
                <c:pt idx="2">
                  <c:v>444</c:v>
                </c:pt>
                <c:pt idx="3">
                  <c:v>440</c:v>
                </c:pt>
                <c:pt idx="4">
                  <c:v>469</c:v>
                </c:pt>
                <c:pt idx="5">
                  <c:v>476</c:v>
                </c:pt>
                <c:pt idx="6">
                  <c:v>473</c:v>
                </c:pt>
                <c:pt idx="7" formatCode="#,##0_);\(#,##0\)">
                  <c:v>507</c:v>
                </c:pt>
                <c:pt idx="8" formatCode="#,##0_);\(#,##0\)">
                  <c:v>504</c:v>
                </c:pt>
                <c:pt idx="9" formatCode="#,##0_);\(#,##0\)">
                  <c:v>502</c:v>
                </c:pt>
                <c:pt idx="10" formatCode="#,##0_);\(#,##0\)">
                  <c:v>509</c:v>
                </c:pt>
                <c:pt idx="11" formatCode="#,##0_);\(#,##0\)">
                  <c:v>509</c:v>
                </c:pt>
                <c:pt idx="12" formatCode="#,##0_);\(#,##0\)">
                  <c:v>511</c:v>
                </c:pt>
                <c:pt idx="13" formatCode="#,##0_);\(#,##0\)">
                  <c:v>510</c:v>
                </c:pt>
                <c:pt idx="14" formatCode="#,##0_);\(#,##0\)">
                  <c:v>510</c:v>
                </c:pt>
                <c:pt idx="15" formatCode="#,##0_);\(#,##0\)">
                  <c:v>516</c:v>
                </c:pt>
                <c:pt idx="16" formatCode="#,##0_);\(#,##0\)">
                  <c:v>515</c:v>
                </c:pt>
                <c:pt idx="17" formatCode="#,##0_);\(#,##0\)">
                  <c:v>516</c:v>
                </c:pt>
                <c:pt idx="18" formatCode="#,##0_);\(#,##0\)">
                  <c:v>523</c:v>
                </c:pt>
                <c:pt idx="19" formatCode="#,##0_);\(#,##0\)">
                  <c:v>523</c:v>
                </c:pt>
                <c:pt idx="20" formatCode="#,##0_);\(#,##0\)">
                  <c:v>524</c:v>
                </c:pt>
                <c:pt idx="21" formatCode="#,##0_);\(#,##0\)">
                  <c:v>528</c:v>
                </c:pt>
                <c:pt idx="22" formatCode="#,##0_);\(#,##0\)">
                  <c:v>529</c:v>
                </c:pt>
                <c:pt idx="23" formatCode="#,##0_);\(#,##0\)">
                  <c:v>529</c:v>
                </c:pt>
                <c:pt idx="24" formatCode="#,##0_);\(#,##0\)">
                  <c:v>532</c:v>
                </c:pt>
                <c:pt idx="25" formatCode="#,##0_);\(#,##0\)">
                  <c:v>532</c:v>
                </c:pt>
                <c:pt idx="26" formatCode="#,##0_);\(#,##0\)">
                  <c:v>532</c:v>
                </c:pt>
                <c:pt idx="27" formatCode="#,##0_);\(#,##0\)">
                  <c:v>532</c:v>
                </c:pt>
              </c:numCache>
            </c:numRef>
          </c:val>
          <c:extLst>
            <c:ext xmlns:c16="http://schemas.microsoft.com/office/drawing/2014/chart" uri="{C3380CC4-5D6E-409C-BE32-E72D297353CC}">
              <c16:uniqueId val="{00000000-88CE-4892-B356-C17EA0682B62}"/>
            </c:ext>
          </c:extLst>
        </c:ser>
        <c:ser>
          <c:idx val="8"/>
          <c:order val="1"/>
          <c:tx>
            <c:strRef>
              <c:f>'1 GE-Eng'!$L$3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GE-Eng'!$I$4:$I$32</c15:sqref>
                  </c15:fullRef>
                </c:ext>
              </c:extLst>
              <c:f>'1 GE-Eng'!$I$5:$I$32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GE-Eng'!$L$4:$L$32</c15:sqref>
                  </c15:fullRef>
                </c:ext>
              </c:extLst>
              <c:f>'1 GE-Eng'!$L$5:$L$32</c:f>
              <c:numCache>
                <c:formatCode>#,##0</c:formatCode>
                <c:ptCount val="28"/>
                <c:pt idx="0">
                  <c:v>291</c:v>
                </c:pt>
                <c:pt idx="1" formatCode="0">
                  <c:v>340</c:v>
                </c:pt>
                <c:pt idx="2">
                  <c:v>350</c:v>
                </c:pt>
                <c:pt idx="3">
                  <c:v>414</c:v>
                </c:pt>
                <c:pt idx="4">
                  <c:v>467</c:v>
                </c:pt>
                <c:pt idx="5">
                  <c:v>428</c:v>
                </c:pt>
                <c:pt idx="6">
                  <c:v>452</c:v>
                </c:pt>
                <c:pt idx="7" formatCode="#,##0_);\(#,##0\)">
                  <c:v>494</c:v>
                </c:pt>
                <c:pt idx="8" formatCode="#,##0_);\(#,##0\)">
                  <c:v>505</c:v>
                </c:pt>
                <c:pt idx="9" formatCode="#,##0_);\(#,##0\)">
                  <c:v>506</c:v>
                </c:pt>
                <c:pt idx="10" formatCode="#,##0_);\(#,##0\)">
                  <c:v>510</c:v>
                </c:pt>
                <c:pt idx="11" formatCode="#,##0_);\(#,##0\)">
                  <c:v>511</c:v>
                </c:pt>
                <c:pt idx="12" formatCode="#,##0_);\(#,##0\)">
                  <c:v>511</c:v>
                </c:pt>
                <c:pt idx="13" formatCode="#,##0_);\(#,##0\)">
                  <c:v>511</c:v>
                </c:pt>
                <c:pt idx="14" formatCode="#,##0_);\(#,##0\)">
                  <c:v>511</c:v>
                </c:pt>
                <c:pt idx="15" formatCode="#,##0_);\(#,##0\)">
                  <c:v>516</c:v>
                </c:pt>
                <c:pt idx="16" formatCode="#,##0_);\(#,##0\)">
                  <c:v>516</c:v>
                </c:pt>
                <c:pt idx="17" formatCode="#,##0_);\(#,##0\)">
                  <c:v>516</c:v>
                </c:pt>
                <c:pt idx="18" formatCode="#,##0_);\(#,##0\)">
                  <c:v>523</c:v>
                </c:pt>
                <c:pt idx="19" formatCode="#,##0_);\(#,##0\)">
                  <c:v>523</c:v>
                </c:pt>
                <c:pt idx="20" formatCode="#,##0_);\(#,##0\)">
                  <c:v>524</c:v>
                </c:pt>
                <c:pt idx="21" formatCode="#,##0_);\(#,##0\)">
                  <c:v>527</c:v>
                </c:pt>
                <c:pt idx="22" formatCode="#,##0_);\(#,##0\)">
                  <c:v>529</c:v>
                </c:pt>
                <c:pt idx="23" formatCode="#,##0_);\(#,##0\)">
                  <c:v>529</c:v>
                </c:pt>
                <c:pt idx="24" formatCode="#,##0_);\(#,##0\)">
                  <c:v>532</c:v>
                </c:pt>
                <c:pt idx="25" formatCode="#,##0_);\(#,##0\)">
                  <c:v>532</c:v>
                </c:pt>
                <c:pt idx="26" formatCode="#,##0_);\(#,##0\)">
                  <c:v>532</c:v>
                </c:pt>
                <c:pt idx="27" formatCode="#,##0_);\(#,##0\)">
                  <c:v>532</c:v>
                </c:pt>
              </c:numCache>
            </c:numRef>
          </c:val>
          <c:extLst>
            <c:ext xmlns:c16="http://schemas.microsoft.com/office/drawing/2014/chart" uri="{C3380CC4-5D6E-409C-BE32-E72D297353CC}">
              <c16:uniqueId val="{00000001-88CE-4892-B356-C17EA0682B62}"/>
            </c:ext>
          </c:extLst>
        </c:ser>
        <c:ser>
          <c:idx val="9"/>
          <c:order val="2"/>
          <c:tx>
            <c:strRef>
              <c:f>'1 GE-Eng'!$M$3</c:f>
              <c:strCache>
                <c:ptCount val="1"/>
                <c:pt idx="0">
                  <c:v>LD3</c:v>
                </c:pt>
              </c:strCache>
            </c:strRef>
          </c:tx>
          <c:spPr>
            <a:solidFill>
              <a:srgbClr val="FAA01A"/>
            </a:solidFill>
            <a:ln w="25400">
              <a:noFill/>
            </a:ln>
          </c:spPr>
          <c:invertIfNegative val="0"/>
          <c:cat>
            <c:numRef>
              <c:extLst>
                <c:ext xmlns:c15="http://schemas.microsoft.com/office/drawing/2012/chart" uri="{02D57815-91ED-43cb-92C2-25804820EDAC}">
                  <c15:fullRef>
                    <c15:sqref>'1 GE-Eng'!$I$4:$I$32</c15:sqref>
                  </c15:fullRef>
                </c:ext>
              </c:extLst>
              <c:f>'1 GE-Eng'!$I$5:$I$32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GE-Eng'!$M$4:$M$32</c15:sqref>
                  </c15:fullRef>
                </c:ext>
              </c:extLst>
              <c:f>'1 GE-Eng'!$M$5:$M$32</c:f>
              <c:numCache>
                <c:formatCode>#,##0</c:formatCode>
                <c:ptCount val="28"/>
                <c:pt idx="0">
                  <c:v>327</c:v>
                </c:pt>
                <c:pt idx="1" formatCode="0">
                  <c:v>368</c:v>
                </c:pt>
                <c:pt idx="2">
                  <c:v>362</c:v>
                </c:pt>
                <c:pt idx="3">
                  <c:v>280</c:v>
                </c:pt>
                <c:pt idx="4">
                  <c:v>422</c:v>
                </c:pt>
                <c:pt idx="5">
                  <c:v>87</c:v>
                </c:pt>
                <c:pt idx="6">
                  <c:v>132</c:v>
                </c:pt>
                <c:pt idx="7" formatCode="#,##0_);\(#,##0\)">
                  <c:v>265</c:v>
                </c:pt>
                <c:pt idx="8" formatCode="#,##0_);\(#,##0\)">
                  <c:v>413</c:v>
                </c:pt>
                <c:pt idx="9" formatCode="#,##0_);\(#,##0\)">
                  <c:v>91</c:v>
                </c:pt>
                <c:pt idx="10" formatCode="#,##0_);\(#,##0\)">
                  <c:v>95</c:v>
                </c:pt>
                <c:pt idx="11" formatCode="#,##0_);\(#,##0\)">
                  <c:v>191</c:v>
                </c:pt>
                <c:pt idx="12" formatCode="#,##0_);\(#,##0\)">
                  <c:v>323</c:v>
                </c:pt>
                <c:pt idx="13" formatCode="#,##0_);\(#,##0\)">
                  <c:v>273</c:v>
                </c:pt>
                <c:pt idx="14" formatCode="#,##0_);\(#,##0\)">
                  <c:v>282</c:v>
                </c:pt>
                <c:pt idx="15" formatCode="#,##0_);\(#,##0\)">
                  <c:v>452</c:v>
                </c:pt>
                <c:pt idx="16" formatCode="#,##0_);\(#,##0\)">
                  <c:v>515</c:v>
                </c:pt>
                <c:pt idx="17" formatCode="#,##0_);\(#,##0\)">
                  <c:v>506</c:v>
                </c:pt>
                <c:pt idx="18" formatCode="#,##0_);\(#,##0\)">
                  <c:v>523</c:v>
                </c:pt>
                <c:pt idx="19" formatCode="#,##0_);\(#,##0\)">
                  <c:v>523</c:v>
                </c:pt>
                <c:pt idx="20" formatCode="#,##0_);\(#,##0\)">
                  <c:v>522</c:v>
                </c:pt>
                <c:pt idx="21" formatCode="#,##0_);\(#,##0\)">
                  <c:v>527</c:v>
                </c:pt>
                <c:pt idx="22" formatCode="#,##0_);\(#,##0\)">
                  <c:v>528</c:v>
                </c:pt>
                <c:pt idx="23" formatCode="#,##0_);\(#,##0\)">
                  <c:v>528</c:v>
                </c:pt>
                <c:pt idx="24" formatCode="#,##0_);\(#,##0\)">
                  <c:v>532</c:v>
                </c:pt>
                <c:pt idx="25" formatCode="#,##0_);\(#,##0\)">
                  <c:v>532</c:v>
                </c:pt>
                <c:pt idx="26" formatCode="#,##0_);\(#,##0\)">
                  <c:v>530</c:v>
                </c:pt>
                <c:pt idx="27" formatCode="#,##0_);\(#,##0\)">
                  <c:v>520</c:v>
                </c:pt>
              </c:numCache>
            </c:numRef>
          </c:val>
          <c:extLst>
            <c:ext xmlns:c16="http://schemas.microsoft.com/office/drawing/2014/chart" uri="{C3380CC4-5D6E-409C-BE32-E72D297353CC}">
              <c16:uniqueId val="{00000002-88CE-4892-B356-C17EA0682B62}"/>
            </c:ext>
          </c:extLst>
        </c:ser>
        <c:dLbls>
          <c:showLegendKey val="0"/>
          <c:showVal val="0"/>
          <c:showCatName val="0"/>
          <c:showSerName val="0"/>
          <c:showPercent val="0"/>
          <c:showBubbleSize val="0"/>
        </c:dLbls>
        <c:gapWidth val="122"/>
        <c:axId val="465013504"/>
        <c:axId val="465013896"/>
      </c:barChart>
      <c:catAx>
        <c:axId val="465013504"/>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5013896"/>
        <c:crosses val="autoZero"/>
        <c:auto val="0"/>
        <c:lblAlgn val="ctr"/>
        <c:lblOffset val="100"/>
        <c:tickLblSkip val="1"/>
        <c:noMultiLvlLbl val="0"/>
      </c:catAx>
      <c:valAx>
        <c:axId val="465013896"/>
        <c:scaling>
          <c:orientation val="minMax"/>
        </c:scaling>
        <c:delete val="0"/>
        <c:axPos val="b"/>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13504"/>
        <c:crosses val="max"/>
        <c:crossBetween val="between"/>
        <c:majorUnit val="2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seats won</a:t>
            </a:r>
          </a:p>
        </c:rich>
      </c:tx>
      <c:layout>
        <c:manualLayout>
          <c:xMode val="edge"/>
          <c:yMode val="edge"/>
          <c:x val="0.13792164155256006"/>
          <c:y val="1.7227735947079562E-3"/>
        </c:manualLayout>
      </c:layout>
      <c:overlay val="0"/>
      <c:spPr>
        <a:noFill/>
        <a:ln w="25400">
          <a:noFill/>
        </a:ln>
      </c:spPr>
    </c:title>
    <c:autoTitleDeleted val="0"/>
    <c:plotArea>
      <c:layout>
        <c:manualLayout>
          <c:layoutTarget val="inner"/>
          <c:xMode val="edge"/>
          <c:yMode val="edge"/>
          <c:x val="0.22356505281685674"/>
          <c:y val="5.0181715797694926E-2"/>
          <c:w val="0.49593018601051481"/>
          <c:h val="0.89975714125228512"/>
        </c:manualLayout>
      </c:layout>
      <c:barChart>
        <c:barDir val="bar"/>
        <c:grouping val="stacked"/>
        <c:varyColors val="0"/>
        <c:ser>
          <c:idx val="7"/>
          <c:order val="0"/>
          <c:tx>
            <c:strRef>
              <c:f>'1 GE-Eng'!$K$35</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GE-Eng'!$I$36:$I$64</c15:sqref>
                  </c15:fullRef>
                </c:ext>
              </c:extLst>
              <c:f>'1 GE-Eng'!$I$37:$I$64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GE-Eng'!$K$36:$K$64</c15:sqref>
                  </c15:fullRef>
                </c:ext>
              </c:extLst>
              <c:f>'1 GE-Eng'!$K$37:$K$64</c:f>
              <c:numCache>
                <c:formatCode>General</c:formatCode>
                <c:ptCount val="28"/>
                <c:pt idx="0">
                  <c:v>315</c:v>
                </c:pt>
                <c:pt idx="1" formatCode="0">
                  <c:v>307</c:v>
                </c:pt>
                <c:pt idx="2" formatCode="#,##0">
                  <c:v>221</c:v>
                </c:pt>
                <c:pt idx="3" formatCode="#,##0">
                  <c:v>347</c:v>
                </c:pt>
                <c:pt idx="4" formatCode="#,##0">
                  <c:v>221</c:v>
                </c:pt>
                <c:pt idx="5" formatCode="#,##0">
                  <c:v>436</c:v>
                </c:pt>
                <c:pt idx="6" formatCode="#,##0">
                  <c:v>357</c:v>
                </c:pt>
                <c:pt idx="7" formatCode="#,##0_);\(#,##0\)">
                  <c:v>167</c:v>
                </c:pt>
                <c:pt idx="8" formatCode="#,##0_);\(#,##0\)">
                  <c:v>253</c:v>
                </c:pt>
                <c:pt idx="9" formatCode="#,##0_);\(#,##0\)">
                  <c:v>271</c:v>
                </c:pt>
                <c:pt idx="10" formatCode="#,##0_);\(#,##0\)">
                  <c:v>293</c:v>
                </c:pt>
                <c:pt idx="11" formatCode="#,##0_);\(#,##0\)">
                  <c:v>315</c:v>
                </c:pt>
                <c:pt idx="12" formatCode="#,##0_);\(#,##0\)">
                  <c:v>262</c:v>
                </c:pt>
                <c:pt idx="13" formatCode="#,##0_);\(#,##0\)">
                  <c:v>219</c:v>
                </c:pt>
                <c:pt idx="14" formatCode="#,##0_);\(#,##0\)">
                  <c:v>292</c:v>
                </c:pt>
                <c:pt idx="15" formatCode="#,##0_);\(#,##0\)">
                  <c:v>268</c:v>
                </c:pt>
                <c:pt idx="16" formatCode="#,##0_);\(#,##0\)">
                  <c:v>253</c:v>
                </c:pt>
                <c:pt idx="17" formatCode="#,##0_);\(#,##0\)">
                  <c:v>306</c:v>
                </c:pt>
                <c:pt idx="18" formatCode="#,##0_);\(#,##0\)">
                  <c:v>362</c:v>
                </c:pt>
                <c:pt idx="19" formatCode="#,##0_);\(#,##0\)">
                  <c:v>358</c:v>
                </c:pt>
                <c:pt idx="20" formatCode="#,##0_);\(#,##0\)">
                  <c:v>319</c:v>
                </c:pt>
                <c:pt idx="21" formatCode="#,##0_);\(#,##0\)">
                  <c:v>165</c:v>
                </c:pt>
                <c:pt idx="22" formatCode="#,##0_);\(#,##0\)">
                  <c:v>165</c:v>
                </c:pt>
                <c:pt idx="23" formatCode="#,##0_);\(#,##0\)">
                  <c:v>194</c:v>
                </c:pt>
                <c:pt idx="24" formatCode="#,##0_);\(#,##0\)">
                  <c:v>297</c:v>
                </c:pt>
                <c:pt idx="25" formatCode="#,##0_);\(#,##0\)">
                  <c:v>318</c:v>
                </c:pt>
                <c:pt idx="26" formatCode="#,##0_);\(#,##0\)">
                  <c:v>296</c:v>
                </c:pt>
                <c:pt idx="27" formatCode="#,##0_);\(#,##0\)">
                  <c:v>345</c:v>
                </c:pt>
              </c:numCache>
            </c:numRef>
          </c:val>
          <c:extLst>
            <c:ext xmlns:c16="http://schemas.microsoft.com/office/drawing/2014/chart" uri="{C3380CC4-5D6E-409C-BE32-E72D297353CC}">
              <c16:uniqueId val="{00000000-3A6C-43F1-BC38-1925D3884E04}"/>
            </c:ext>
          </c:extLst>
        </c:ser>
        <c:ser>
          <c:idx val="8"/>
          <c:order val="1"/>
          <c:tx>
            <c:strRef>
              <c:f>'1 GE-Eng'!$L$35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GE-Eng'!$I$36:$I$64</c15:sqref>
                  </c15:fullRef>
                </c:ext>
              </c:extLst>
              <c:f>'1 GE-Eng'!$I$37:$I$64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GE-Eng'!$L$36:$L$64</c15:sqref>
                  </c15:fullRef>
                </c:ext>
              </c:extLst>
              <c:f>'1 GE-Eng'!$L$37:$L$64</c:f>
              <c:numCache>
                <c:formatCode>#,##0</c:formatCode>
                <c:ptCount val="28"/>
                <c:pt idx="0">
                  <c:v>42</c:v>
                </c:pt>
                <c:pt idx="1" formatCode="0">
                  <c:v>95</c:v>
                </c:pt>
                <c:pt idx="2">
                  <c:v>138</c:v>
                </c:pt>
                <c:pt idx="3">
                  <c:v>109</c:v>
                </c:pt>
                <c:pt idx="4">
                  <c:v>226</c:v>
                </c:pt>
                <c:pt idx="5">
                  <c:v>29</c:v>
                </c:pt>
                <c:pt idx="6">
                  <c:v>116</c:v>
                </c:pt>
                <c:pt idx="7" formatCode="#,##0_);\(#,##0\)">
                  <c:v>331</c:v>
                </c:pt>
                <c:pt idx="8" formatCode="#,##0_);\(#,##0\)">
                  <c:v>251</c:v>
                </c:pt>
                <c:pt idx="9" formatCode="#,##0_);\(#,##0\)">
                  <c:v>233</c:v>
                </c:pt>
                <c:pt idx="10" formatCode="#,##0_);\(#,##0\)">
                  <c:v>216</c:v>
                </c:pt>
                <c:pt idx="11" formatCode="#,##0_);\(#,##0\)">
                  <c:v>193</c:v>
                </c:pt>
                <c:pt idx="12" formatCode="#,##0_);\(#,##0\)">
                  <c:v>246</c:v>
                </c:pt>
                <c:pt idx="13" formatCode="#,##0_);\(#,##0\)">
                  <c:v>285</c:v>
                </c:pt>
                <c:pt idx="14" formatCode="#,##0_);\(#,##0\)">
                  <c:v>216</c:v>
                </c:pt>
                <c:pt idx="15" formatCode="#,##0_);\(#,##0\)">
                  <c:v>237</c:v>
                </c:pt>
                <c:pt idx="16" formatCode="#,##0_);\(#,##0\)">
                  <c:v>255</c:v>
                </c:pt>
                <c:pt idx="17" formatCode="#,##0_);\(#,##0\)">
                  <c:v>203</c:v>
                </c:pt>
                <c:pt idx="18" formatCode="#,##0_);\(#,##0\)">
                  <c:v>148</c:v>
                </c:pt>
                <c:pt idx="19" formatCode="#,##0_);\(#,##0\)">
                  <c:v>155</c:v>
                </c:pt>
                <c:pt idx="20" formatCode="#,##0_);\(#,##0\)">
                  <c:v>195</c:v>
                </c:pt>
                <c:pt idx="21" formatCode="#,##0_);\(#,##0\)">
                  <c:v>328</c:v>
                </c:pt>
                <c:pt idx="22" formatCode="#,##0_);\(#,##0\)">
                  <c:v>323</c:v>
                </c:pt>
                <c:pt idx="23" formatCode="#,##0_);\(#,##0\)">
                  <c:v>286</c:v>
                </c:pt>
                <c:pt idx="24" formatCode="#,##0_);\(#,##0\)">
                  <c:v>191</c:v>
                </c:pt>
                <c:pt idx="25" formatCode="#,##0_);\(#,##0\)">
                  <c:v>206</c:v>
                </c:pt>
                <c:pt idx="26" formatCode="#,##0_);\(#,##0\)">
                  <c:v>227</c:v>
                </c:pt>
                <c:pt idx="27" formatCode="#,##0_);\(#,##0\)">
                  <c:v>179</c:v>
                </c:pt>
              </c:numCache>
            </c:numRef>
          </c:val>
          <c:extLst>
            <c:ext xmlns:c16="http://schemas.microsoft.com/office/drawing/2014/chart" uri="{C3380CC4-5D6E-409C-BE32-E72D297353CC}">
              <c16:uniqueId val="{00000001-3A6C-43F1-BC38-1925D3884E04}"/>
            </c:ext>
          </c:extLst>
        </c:ser>
        <c:ser>
          <c:idx val="9"/>
          <c:order val="2"/>
          <c:tx>
            <c:strRef>
              <c:f>'1 GE-Eng'!$M$35</c:f>
              <c:strCache>
                <c:ptCount val="1"/>
                <c:pt idx="0">
                  <c:v>LD3</c:v>
                </c:pt>
              </c:strCache>
            </c:strRef>
          </c:tx>
          <c:spPr>
            <a:solidFill>
              <a:srgbClr val="FAA01A"/>
            </a:solidFill>
            <a:ln w="25400">
              <a:noFill/>
            </a:ln>
          </c:spPr>
          <c:invertIfNegative val="0"/>
          <c:cat>
            <c:numRef>
              <c:extLst>
                <c:ext xmlns:c15="http://schemas.microsoft.com/office/drawing/2012/chart" uri="{02D57815-91ED-43cb-92C2-25804820EDAC}">
                  <c15:fullRef>
                    <c15:sqref>'1 GE-Eng'!$I$36:$I$64</c15:sqref>
                  </c15:fullRef>
                </c:ext>
              </c:extLst>
              <c:f>'1 GE-Eng'!$I$37:$I$64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GE-Eng'!$M$36:$M$64</c15:sqref>
                  </c15:fullRef>
                </c:ext>
              </c:extLst>
              <c:f>'1 GE-Eng'!$M$37:$M$64</c:f>
              <c:numCache>
                <c:formatCode>#,##0</c:formatCode>
                <c:ptCount val="28"/>
                <c:pt idx="0">
                  <c:v>107</c:v>
                </c:pt>
                <c:pt idx="1" formatCode="0">
                  <c:v>75</c:v>
                </c:pt>
                <c:pt idx="2">
                  <c:v>123</c:v>
                </c:pt>
                <c:pt idx="3">
                  <c:v>19</c:v>
                </c:pt>
                <c:pt idx="4">
                  <c:v>35</c:v>
                </c:pt>
                <c:pt idx="5">
                  <c:v>19</c:v>
                </c:pt>
                <c:pt idx="6">
                  <c:v>11</c:v>
                </c:pt>
                <c:pt idx="7" formatCode="#,##0_);\(#,##0\)">
                  <c:v>5</c:v>
                </c:pt>
                <c:pt idx="8" formatCode="#,##0_);\(#,##0\)">
                  <c:v>2</c:v>
                </c:pt>
                <c:pt idx="9" formatCode="#,##0_);\(#,##0\)">
                  <c:v>2</c:v>
                </c:pt>
                <c:pt idx="10" formatCode="#,##0_);\(#,##0\)">
                  <c:v>2</c:v>
                </c:pt>
                <c:pt idx="11" formatCode="#,##0_);\(#,##0\)">
                  <c:v>3</c:v>
                </c:pt>
                <c:pt idx="12" formatCode="#,##0_);\(#,##0\)">
                  <c:v>3</c:v>
                </c:pt>
                <c:pt idx="13" formatCode="#,##0_);\(#,##0\)">
                  <c:v>6</c:v>
                </c:pt>
                <c:pt idx="14" formatCode="#,##0_);\(#,##0\)">
                  <c:v>2</c:v>
                </c:pt>
                <c:pt idx="15" formatCode="#,##0_);\(#,##0\)">
                  <c:v>9</c:v>
                </c:pt>
                <c:pt idx="16" formatCode="#,##0_);\(#,##0\)">
                  <c:v>8</c:v>
                </c:pt>
                <c:pt idx="17" formatCode="#,##0_);\(#,##0\)">
                  <c:v>7</c:v>
                </c:pt>
                <c:pt idx="18" formatCode="#,##0_);\(#,##0\)">
                  <c:v>13</c:v>
                </c:pt>
                <c:pt idx="19" formatCode="#,##0_);\(#,##0\)">
                  <c:v>10</c:v>
                </c:pt>
                <c:pt idx="20" formatCode="#,##0_);\(#,##0\)">
                  <c:v>10</c:v>
                </c:pt>
                <c:pt idx="21" formatCode="#,##0_);\(#,##0\)">
                  <c:v>34</c:v>
                </c:pt>
                <c:pt idx="22" formatCode="#,##0_);\(#,##0\)">
                  <c:v>40</c:v>
                </c:pt>
                <c:pt idx="23" formatCode="#,##0_);\(#,##0\)">
                  <c:v>47</c:v>
                </c:pt>
                <c:pt idx="24" formatCode="#,##0_);\(#,##0\)">
                  <c:v>43</c:v>
                </c:pt>
                <c:pt idx="25" formatCode="#,##0_);\(#,##0\)">
                  <c:v>6</c:v>
                </c:pt>
                <c:pt idx="26" formatCode="#,##0_);\(#,##0\)">
                  <c:v>8</c:v>
                </c:pt>
                <c:pt idx="27" formatCode="#,##0_);\(#,##0\)">
                  <c:v>7</c:v>
                </c:pt>
              </c:numCache>
            </c:numRef>
          </c:val>
          <c:extLst>
            <c:ext xmlns:c16="http://schemas.microsoft.com/office/drawing/2014/chart" uri="{C3380CC4-5D6E-409C-BE32-E72D297353CC}">
              <c16:uniqueId val="{00000002-3A6C-43F1-BC38-1925D3884E04}"/>
            </c:ext>
          </c:extLst>
        </c:ser>
        <c:dLbls>
          <c:showLegendKey val="0"/>
          <c:showVal val="0"/>
          <c:showCatName val="0"/>
          <c:showSerName val="0"/>
          <c:showPercent val="0"/>
          <c:showBubbleSize val="0"/>
        </c:dLbls>
        <c:gapWidth val="65"/>
        <c:overlap val="100"/>
        <c:axId val="465014680"/>
        <c:axId val="465015072"/>
      </c:barChart>
      <c:catAx>
        <c:axId val="465014680"/>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5015072"/>
        <c:crosses val="autoZero"/>
        <c:auto val="1"/>
        <c:lblAlgn val="ctr"/>
        <c:lblOffset val="100"/>
        <c:tickLblSkip val="1"/>
        <c:noMultiLvlLbl val="0"/>
      </c:catAx>
      <c:valAx>
        <c:axId val="465015072"/>
        <c:scaling>
          <c:orientation val="minMax"/>
          <c:max val="600"/>
          <c:min val="0"/>
        </c:scaling>
        <c:delete val="0"/>
        <c:axPos val="b"/>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14680"/>
        <c:crosses val="max"/>
        <c:crossBetween val="between"/>
        <c:majorUnit val="200"/>
        <c:minorUnit val="5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Share of votes (%)</a:t>
            </a:r>
          </a:p>
        </c:rich>
      </c:tx>
      <c:layout>
        <c:manualLayout>
          <c:xMode val="edge"/>
          <c:yMode val="edge"/>
          <c:x val="0.18265355586532545"/>
          <c:y val="2.8139309509388252E-2"/>
        </c:manualLayout>
      </c:layout>
      <c:overlay val="0"/>
      <c:spPr>
        <a:noFill/>
        <a:ln w="25400">
          <a:noFill/>
        </a:ln>
      </c:spPr>
    </c:title>
    <c:autoTitleDeleted val="0"/>
    <c:plotArea>
      <c:layout>
        <c:manualLayout>
          <c:layoutTarget val="inner"/>
          <c:xMode val="edge"/>
          <c:yMode val="edge"/>
          <c:x val="0.22356517935258094"/>
          <c:y val="7.4741472425290764E-2"/>
          <c:w val="0.49593018601051481"/>
          <c:h val="0.87701924933339592"/>
        </c:manualLayout>
      </c:layout>
      <c:barChart>
        <c:barDir val="bar"/>
        <c:grouping val="stacked"/>
        <c:varyColors val="0"/>
        <c:ser>
          <c:idx val="7"/>
          <c:order val="0"/>
          <c:tx>
            <c:strRef>
              <c:f>'1 GE-Wales'!$C$35</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GE-Wales'!$A$36:$A$64</c15:sqref>
                  </c15:fullRef>
                </c:ext>
              </c:extLst>
              <c:f>'1 GE-Wales'!$A$37:$A$64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GE-Wales'!$C$36:$C$64</c15:sqref>
                  </c15:fullRef>
                </c:ext>
              </c:extLst>
              <c:f>'1 GE-Wales'!$C$37:$C$64</c:f>
              <c:numCache>
                <c:formatCode>0.0%</c:formatCode>
                <c:ptCount val="28"/>
                <c:pt idx="0">
                  <c:v>0.11300000000000002</c:v>
                </c:pt>
                <c:pt idx="1">
                  <c:v>0.214</c:v>
                </c:pt>
                <c:pt idx="2">
                  <c:v>0.21100000000000002</c:v>
                </c:pt>
                <c:pt idx="3">
                  <c:v>0.28399999999999997</c:v>
                </c:pt>
                <c:pt idx="4">
                  <c:v>0.22</c:v>
                </c:pt>
                <c:pt idx="5">
                  <c:v>0.31300000000000006</c:v>
                </c:pt>
                <c:pt idx="6">
                  <c:v>0.33599999999999997</c:v>
                </c:pt>
                <c:pt idx="7">
                  <c:v>0.23799999999999999</c:v>
                </c:pt>
                <c:pt idx="8">
                  <c:v>0.273898076221056</c:v>
                </c:pt>
                <c:pt idx="9">
                  <c:v>0.30812992129845457</c:v>
                </c:pt>
                <c:pt idx="10">
                  <c:v>0.29912730762685147</c:v>
                </c:pt>
                <c:pt idx="11">
                  <c:v>0.32612420260223424</c:v>
                </c:pt>
                <c:pt idx="12">
                  <c:v>0.29371780501187938</c:v>
                </c:pt>
                <c:pt idx="13">
                  <c:v>0.27875877718336278</c:v>
                </c:pt>
                <c:pt idx="14">
                  <c:v>0.27686716068138689</c:v>
                </c:pt>
                <c:pt idx="15">
                  <c:v>0.25883038668174974</c:v>
                </c:pt>
                <c:pt idx="16">
                  <c:v>0.23879597357332363</c:v>
                </c:pt>
                <c:pt idx="17">
                  <c:v>0.32155557782410721</c:v>
                </c:pt>
                <c:pt idx="18">
                  <c:v>0.31032588226373631</c:v>
                </c:pt>
                <c:pt idx="19">
                  <c:v>0.29522241380934883</c:v>
                </c:pt>
                <c:pt idx="20">
                  <c:v>0.28572939831665217</c:v>
                </c:pt>
                <c:pt idx="21">
                  <c:v>0.19576102642985269</c:v>
                </c:pt>
                <c:pt idx="22">
                  <c:v>0.19574207348970454</c:v>
                </c:pt>
                <c:pt idx="23">
                  <c:v>0.21384787598934171</c:v>
                </c:pt>
                <c:pt idx="24">
                  <c:v>0.2609490108646369</c:v>
                </c:pt>
                <c:pt idx="25">
                  <c:v>0.27221146785928846</c:v>
                </c:pt>
                <c:pt idx="26">
                  <c:v>0.33560075593445349</c:v>
                </c:pt>
                <c:pt idx="27">
                  <c:v>0.36081942193417715</c:v>
                </c:pt>
              </c:numCache>
            </c:numRef>
          </c:val>
          <c:extLst>
            <c:ext xmlns:c16="http://schemas.microsoft.com/office/drawing/2014/chart" uri="{C3380CC4-5D6E-409C-BE32-E72D297353CC}">
              <c16:uniqueId val="{00000000-1F0B-4FB0-8DCA-6C92656B7544}"/>
            </c:ext>
          </c:extLst>
        </c:ser>
        <c:ser>
          <c:idx val="8"/>
          <c:order val="1"/>
          <c:tx>
            <c:strRef>
              <c:f>'1 GE-Wales'!$D$35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GE-Wales'!$A$36:$A$64</c15:sqref>
                  </c15:fullRef>
                </c:ext>
              </c:extLst>
              <c:f>'1 GE-Wales'!$A$37:$A$64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GE-Wales'!$D$36:$D$64</c15:sqref>
                  </c15:fullRef>
                </c:ext>
              </c:extLst>
              <c:f>'1 GE-Wales'!$D$37:$D$64</c:f>
              <c:numCache>
                <c:formatCode>0.0%</c:formatCode>
                <c:ptCount val="28"/>
                <c:pt idx="0">
                  <c:v>0.308</c:v>
                </c:pt>
                <c:pt idx="1">
                  <c:v>0.40799999999999997</c:v>
                </c:pt>
                <c:pt idx="2">
                  <c:v>0.42</c:v>
                </c:pt>
                <c:pt idx="3">
                  <c:v>0.40600000000000003</c:v>
                </c:pt>
                <c:pt idx="4">
                  <c:v>0.439</c:v>
                </c:pt>
                <c:pt idx="5">
                  <c:v>0.441</c:v>
                </c:pt>
                <c:pt idx="6">
                  <c:v>0.45399999999999996</c:v>
                </c:pt>
                <c:pt idx="7">
                  <c:v>0.58499999999999996</c:v>
                </c:pt>
                <c:pt idx="8">
                  <c:v>0.58093073584577315</c:v>
                </c:pt>
                <c:pt idx="9">
                  <c:v>0.60534741596483443</c:v>
                </c:pt>
                <c:pt idx="10">
                  <c:v>0.57590582287804348</c:v>
                </c:pt>
                <c:pt idx="11">
                  <c:v>0.56425552403106904</c:v>
                </c:pt>
                <c:pt idx="12">
                  <c:v>0.57843656231125284</c:v>
                </c:pt>
                <c:pt idx="13">
                  <c:v>0.60676602725098094</c:v>
                </c:pt>
                <c:pt idx="14">
                  <c:v>0.5156037965018061</c:v>
                </c:pt>
                <c:pt idx="15">
                  <c:v>0.46776690050400194</c:v>
                </c:pt>
                <c:pt idx="16">
                  <c:v>0.49514058679706602</c:v>
                </c:pt>
                <c:pt idx="17">
                  <c:v>0.48606796579224582</c:v>
                </c:pt>
                <c:pt idx="18">
                  <c:v>0.37530345198777365</c:v>
                </c:pt>
                <c:pt idx="19">
                  <c:v>0.45062764413790501</c:v>
                </c:pt>
                <c:pt idx="20">
                  <c:v>0.4950105130614138</c:v>
                </c:pt>
                <c:pt idx="21">
                  <c:v>0.5474697881932914</c:v>
                </c:pt>
                <c:pt idx="22">
                  <c:v>0.48592615475182616</c:v>
                </c:pt>
                <c:pt idx="23">
                  <c:v>0.42709333325674453</c:v>
                </c:pt>
                <c:pt idx="24">
                  <c:v>0.36245137844867847</c:v>
                </c:pt>
                <c:pt idx="25">
                  <c:v>0.36880048060877113</c:v>
                </c:pt>
                <c:pt idx="26">
                  <c:v>0.48950055781261298</c:v>
                </c:pt>
                <c:pt idx="27">
                  <c:v>0.40925446642194774</c:v>
                </c:pt>
              </c:numCache>
            </c:numRef>
          </c:val>
          <c:extLst>
            <c:ext xmlns:c16="http://schemas.microsoft.com/office/drawing/2014/chart" uri="{C3380CC4-5D6E-409C-BE32-E72D297353CC}">
              <c16:uniqueId val="{00000001-1F0B-4FB0-8DCA-6C92656B7544}"/>
            </c:ext>
          </c:extLst>
        </c:ser>
        <c:ser>
          <c:idx val="9"/>
          <c:order val="2"/>
          <c:tx>
            <c:strRef>
              <c:f>'1 GE-Wales'!$E$35</c:f>
              <c:strCache>
                <c:ptCount val="1"/>
                <c:pt idx="0">
                  <c:v>LD3</c:v>
                </c:pt>
              </c:strCache>
            </c:strRef>
          </c:tx>
          <c:spPr>
            <a:solidFill>
              <a:srgbClr val="FAA01A"/>
            </a:solidFill>
            <a:ln w="25400">
              <a:noFill/>
            </a:ln>
          </c:spPr>
          <c:invertIfNegative val="0"/>
          <c:cat>
            <c:numRef>
              <c:extLst>
                <c:ext xmlns:c15="http://schemas.microsoft.com/office/drawing/2012/chart" uri="{02D57815-91ED-43cb-92C2-25804820EDAC}">
                  <c15:fullRef>
                    <c15:sqref>'1 GE-Wales'!$A$36:$A$64</c15:sqref>
                  </c15:fullRef>
                </c:ext>
              </c:extLst>
              <c:f>'1 GE-Wales'!$A$37:$A$64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GE-Wales'!$E$36:$E$64</c15:sqref>
                  </c15:fullRef>
                </c:ext>
              </c:extLst>
              <c:f>'1 GE-Wales'!$E$37:$E$64</c:f>
              <c:numCache>
                <c:formatCode>0.0%</c:formatCode>
                <c:ptCount val="28"/>
                <c:pt idx="0">
                  <c:v>0.48899999999999999</c:v>
                </c:pt>
                <c:pt idx="1">
                  <c:v>0.34200000000000003</c:v>
                </c:pt>
                <c:pt idx="2">
                  <c:v>0.35399999999999998</c:v>
                </c:pt>
                <c:pt idx="3">
                  <c:v>0.31</c:v>
                </c:pt>
                <c:pt idx="4">
                  <c:v>0.33500000000000002</c:v>
                </c:pt>
                <c:pt idx="5">
                  <c:v>0.21099999999999999</c:v>
                </c:pt>
                <c:pt idx="6">
                  <c:v>0.18</c:v>
                </c:pt>
                <c:pt idx="7">
                  <c:v>0.14899999999999999</c:v>
                </c:pt>
                <c:pt idx="8">
                  <c:v>0.12632200105459146</c:v>
                </c:pt>
                <c:pt idx="9">
                  <c:v>7.6381101952402469E-2</c:v>
                </c:pt>
                <c:pt idx="10">
                  <c:v>7.2604629621879802E-2</c:v>
                </c:pt>
                <c:pt idx="11">
                  <c:v>5.2942584678563116E-2</c:v>
                </c:pt>
                <c:pt idx="12">
                  <c:v>7.3331665563266299E-2</c:v>
                </c:pt>
                <c:pt idx="13">
                  <c:v>6.260068074762809E-2</c:v>
                </c:pt>
                <c:pt idx="14">
                  <c:v>6.8409697247839504E-2</c:v>
                </c:pt>
                <c:pt idx="15">
                  <c:v>0.16025606035224296</c:v>
                </c:pt>
                <c:pt idx="16">
                  <c:v>0.15544985174010301</c:v>
                </c:pt>
                <c:pt idx="17">
                  <c:v>0.10602851786766125</c:v>
                </c:pt>
                <c:pt idx="18">
                  <c:v>0.23204552432401526</c:v>
                </c:pt>
                <c:pt idx="19">
                  <c:v>0.17915948214941912</c:v>
                </c:pt>
                <c:pt idx="20">
                  <c:v>0.12434804437615544</c:v>
                </c:pt>
                <c:pt idx="21">
                  <c:v>0.12346441062132189</c:v>
                </c:pt>
                <c:pt idx="22">
                  <c:v>0.13801650363630799</c:v>
                </c:pt>
                <c:pt idx="23">
                  <c:v>0.18399188924686172</c:v>
                </c:pt>
                <c:pt idx="24">
                  <c:v>0.20124566624735374</c:v>
                </c:pt>
                <c:pt idx="25">
                  <c:v>6.5282691409118215E-2</c:v>
                </c:pt>
                <c:pt idx="26">
                  <c:v>4.5081285799321989E-2</c:v>
                </c:pt>
                <c:pt idx="27">
                  <c:v>5.9682443890887928E-2</c:v>
                </c:pt>
              </c:numCache>
            </c:numRef>
          </c:val>
          <c:extLst>
            <c:ext xmlns:c16="http://schemas.microsoft.com/office/drawing/2014/chart" uri="{C3380CC4-5D6E-409C-BE32-E72D297353CC}">
              <c16:uniqueId val="{00000002-1F0B-4FB0-8DCA-6C92656B7544}"/>
            </c:ext>
          </c:extLst>
        </c:ser>
        <c:dLbls>
          <c:showLegendKey val="0"/>
          <c:showVal val="0"/>
          <c:showCatName val="0"/>
          <c:showSerName val="0"/>
          <c:showPercent val="0"/>
          <c:showBubbleSize val="0"/>
        </c:dLbls>
        <c:gapWidth val="62"/>
        <c:overlap val="100"/>
        <c:axId val="465015856"/>
        <c:axId val="465016248"/>
      </c:barChart>
      <c:catAx>
        <c:axId val="465015856"/>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5016248"/>
        <c:crosses val="autoZero"/>
        <c:auto val="1"/>
        <c:lblAlgn val="ctr"/>
        <c:lblOffset val="100"/>
        <c:tickLblSkip val="1"/>
        <c:noMultiLvlLbl val="0"/>
      </c:catAx>
      <c:valAx>
        <c:axId val="465016248"/>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015856"/>
        <c:crosses val="max"/>
        <c:crossBetween val="between"/>
        <c:majorUnit val="0.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votes (thousands)</a:t>
            </a:r>
          </a:p>
        </c:rich>
      </c:tx>
      <c:layout>
        <c:manualLayout>
          <c:xMode val="edge"/>
          <c:yMode val="edge"/>
          <c:x val="9.218703075831633E-2"/>
          <c:y val="1.3244483532907599E-3"/>
        </c:manualLayout>
      </c:layout>
      <c:overlay val="0"/>
      <c:spPr>
        <a:noFill/>
        <a:ln w="25400">
          <a:noFill/>
        </a:ln>
      </c:spPr>
    </c:title>
    <c:autoTitleDeleted val="0"/>
    <c:plotArea>
      <c:layout>
        <c:manualLayout>
          <c:layoutTarget val="inner"/>
          <c:xMode val="edge"/>
          <c:yMode val="edge"/>
          <c:x val="0.22356509159536206"/>
          <c:y val="7.8990692010555891E-2"/>
          <c:w val="0.49593018601051481"/>
          <c:h val="0.87573997644454427"/>
        </c:manualLayout>
      </c:layout>
      <c:barChart>
        <c:barDir val="bar"/>
        <c:grouping val="stacked"/>
        <c:varyColors val="0"/>
        <c:ser>
          <c:idx val="0"/>
          <c:order val="0"/>
          <c:tx>
            <c:v>CON</c:v>
          </c:tx>
          <c:spPr>
            <a:solidFill>
              <a:srgbClr val="00539F"/>
            </a:solidFill>
            <a:ln w="25400">
              <a:noFill/>
            </a:ln>
          </c:spPr>
          <c:invertIfNegative val="0"/>
          <c:cat>
            <c:numRef>
              <c:extLst>
                <c:ext xmlns:c15="http://schemas.microsoft.com/office/drawing/2012/chart" uri="{02D57815-91ED-43cb-92C2-25804820EDAC}">
                  <c15:fullRef>
                    <c15:sqref>'1 GE-Wales'!$A$4:$A$32</c15:sqref>
                  </c15:fullRef>
                </c:ext>
              </c:extLst>
              <c:f>'1 GE-Wales'!$A$5:$A$32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GE-Wales'!$C$4:$C$32</c15:sqref>
                  </c15:fullRef>
                </c:ext>
              </c:extLst>
              <c:f>'1 GE-Wales'!$C$5:$C$32</c:f>
              <c:numCache>
                <c:formatCode>0.0</c:formatCode>
                <c:ptCount val="28"/>
                <c:pt idx="0">
                  <c:v>59.591999999999999</c:v>
                </c:pt>
                <c:pt idx="1">
                  <c:v>190.91900000000001</c:v>
                </c:pt>
                <c:pt idx="2">
                  <c:v>178.113</c:v>
                </c:pt>
                <c:pt idx="3">
                  <c:v>224.01400000000001</c:v>
                </c:pt>
                <c:pt idx="4">
                  <c:v>289.69499999999999</c:v>
                </c:pt>
                <c:pt idx="5">
                  <c:v>340.69799999999998</c:v>
                </c:pt>
                <c:pt idx="6">
                  <c:v>292.52699999999999</c:v>
                </c:pt>
                <c:pt idx="7" formatCode="#,##0.0;\-#,##0.0">
                  <c:v>316.72899999999998</c:v>
                </c:pt>
                <c:pt idx="8" formatCode="#,##0.0;\-#,##0.0">
                  <c:v>418.66800000000001</c:v>
                </c:pt>
                <c:pt idx="9" formatCode="#,##0.0;\-#,##0.0">
                  <c:v>471.26900000000001</c:v>
                </c:pt>
                <c:pt idx="10" formatCode="#,##0.0;\-#,##0.0">
                  <c:v>428.86599999999999</c:v>
                </c:pt>
                <c:pt idx="11" formatCode="#,##0.0;\-#,##0.0">
                  <c:v>486.33499999999998</c:v>
                </c:pt>
                <c:pt idx="12" formatCode="#,##0.0;\-#,##0.0">
                  <c:v>425.02199999999999</c:v>
                </c:pt>
                <c:pt idx="13" formatCode="#,##0.0;\-#,##0.0">
                  <c:v>396.79500000000002</c:v>
                </c:pt>
                <c:pt idx="14" formatCode="#,##0.0;\-#,##0.0">
                  <c:v>419.88400000000001</c:v>
                </c:pt>
                <c:pt idx="15" formatCode="#,##0.0;\-#,##0.0">
                  <c:v>412.53500000000003</c:v>
                </c:pt>
                <c:pt idx="16" formatCode="#,##0.0;\-#,##0.0">
                  <c:v>367.23</c:v>
                </c:pt>
                <c:pt idx="17" formatCode="#,##0.0;\-#,##0.0">
                  <c:v>526.25400000000002</c:v>
                </c:pt>
                <c:pt idx="18" formatCode="#,##0.0;\-#,##0.0">
                  <c:v>499.31</c:v>
                </c:pt>
                <c:pt idx="19" formatCode="#,##0.0;\-#,##0.0">
                  <c:v>501.31599999999997</c:v>
                </c:pt>
                <c:pt idx="20" formatCode="#,##0.0;\-#,##0.0">
                  <c:v>499.67700000000002</c:v>
                </c:pt>
                <c:pt idx="21" formatCode="#,##0.0;\-#,##0.0">
                  <c:v>317.14499999999998</c:v>
                </c:pt>
                <c:pt idx="22">
                  <c:v>268.66500000000002</c:v>
                </c:pt>
                <c:pt idx="23">
                  <c:v>297.83</c:v>
                </c:pt>
                <c:pt idx="24">
                  <c:v>382.73</c:v>
                </c:pt>
                <c:pt idx="25">
                  <c:v>407.8</c:v>
                </c:pt>
                <c:pt idx="26">
                  <c:v>528.83900000000006</c:v>
                </c:pt>
                <c:pt idx="27">
                  <c:v>557.23400000000004</c:v>
                </c:pt>
              </c:numCache>
            </c:numRef>
          </c:val>
          <c:extLst>
            <c:ext xmlns:c16="http://schemas.microsoft.com/office/drawing/2014/chart" uri="{C3380CC4-5D6E-409C-BE32-E72D297353CC}">
              <c16:uniqueId val="{00000000-B6B0-4411-A5C8-EDE194301F2A}"/>
            </c:ext>
          </c:extLst>
        </c:ser>
        <c:ser>
          <c:idx val="1"/>
          <c:order val="1"/>
          <c:tx>
            <c:strRef>
              <c:f>'1 GE-Wales'!$D$3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GE-Wales'!$A$4:$A$32</c15:sqref>
                  </c15:fullRef>
                </c:ext>
              </c:extLst>
              <c:f>'1 GE-Wales'!$A$5:$A$32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GE-Wales'!$D$4:$D$32</c15:sqref>
                  </c15:fullRef>
                </c:ext>
              </c:extLst>
              <c:f>'1 GE-Wales'!$D$5:$D$32</c:f>
              <c:numCache>
                <c:formatCode>0.0</c:formatCode>
                <c:ptCount val="28"/>
                <c:pt idx="0">
                  <c:v>163.05500000000001</c:v>
                </c:pt>
                <c:pt idx="1">
                  <c:v>363.56799999999998</c:v>
                </c:pt>
                <c:pt idx="2">
                  <c:v>355.17200000000003</c:v>
                </c:pt>
                <c:pt idx="3">
                  <c:v>320.39699999999999</c:v>
                </c:pt>
                <c:pt idx="4">
                  <c:v>577.55399999999997</c:v>
                </c:pt>
                <c:pt idx="5">
                  <c:v>479.54700000000003</c:v>
                </c:pt>
                <c:pt idx="6">
                  <c:v>395.83</c:v>
                </c:pt>
                <c:pt idx="7" formatCode="#,##0.0;\-#,##0.0">
                  <c:v>779.18399999999997</c:v>
                </c:pt>
                <c:pt idx="8" formatCode="#,##0.0;\-#,##0.0">
                  <c:v>887.98400000000004</c:v>
                </c:pt>
                <c:pt idx="9" formatCode="#,##0.0;\-#,##0.0">
                  <c:v>925.84799999999996</c:v>
                </c:pt>
                <c:pt idx="10" formatCode="#,##0.0;\-#,##0.0">
                  <c:v>825.69</c:v>
                </c:pt>
                <c:pt idx="11" formatCode="#,##0.0;\-#,##0.0">
                  <c:v>841.45</c:v>
                </c:pt>
                <c:pt idx="12" formatCode="#,##0.0;\-#,##0.0">
                  <c:v>837.02200000000005</c:v>
                </c:pt>
                <c:pt idx="13" formatCode="#,##0.0;\-#,##0.0">
                  <c:v>863.69200000000001</c:v>
                </c:pt>
                <c:pt idx="14" formatCode="#,##0.0;\-#,##0.0">
                  <c:v>781.94100000000003</c:v>
                </c:pt>
                <c:pt idx="15" formatCode="#,##0.0;\-#,##0.0">
                  <c:v>745.54700000000003</c:v>
                </c:pt>
                <c:pt idx="16" formatCode="#,##0.0;\-#,##0.0">
                  <c:v>761.447</c:v>
                </c:pt>
                <c:pt idx="17" formatCode="#,##0.0;\-#,##0.0">
                  <c:v>795.49300000000005</c:v>
                </c:pt>
                <c:pt idx="18" formatCode="#,##0.0;\-#,##0.0">
                  <c:v>603.85799999999995</c:v>
                </c:pt>
                <c:pt idx="19" formatCode="#,##0.0;\-#,##0.0">
                  <c:v>765.20899999999995</c:v>
                </c:pt>
                <c:pt idx="20" formatCode="#,##0.0;\-#,##0.0">
                  <c:v>865.66300000000001</c:v>
                </c:pt>
                <c:pt idx="21" formatCode="#,##0.0;\-#,##0.0">
                  <c:v>886.93499999999995</c:v>
                </c:pt>
                <c:pt idx="22">
                  <c:v>666.95600000000002</c:v>
                </c:pt>
                <c:pt idx="23">
                  <c:v>594.82100000000003</c:v>
                </c:pt>
                <c:pt idx="24">
                  <c:v>531.60199999999998</c:v>
                </c:pt>
                <c:pt idx="25">
                  <c:v>552.5</c:v>
                </c:pt>
                <c:pt idx="26">
                  <c:v>771.35400000000004</c:v>
                </c:pt>
                <c:pt idx="27">
                  <c:v>632.03499999999997</c:v>
                </c:pt>
              </c:numCache>
            </c:numRef>
          </c:val>
          <c:extLst>
            <c:ext xmlns:c16="http://schemas.microsoft.com/office/drawing/2014/chart" uri="{C3380CC4-5D6E-409C-BE32-E72D297353CC}">
              <c16:uniqueId val="{00000001-B6B0-4411-A5C8-EDE194301F2A}"/>
            </c:ext>
          </c:extLst>
        </c:ser>
        <c:ser>
          <c:idx val="2"/>
          <c:order val="2"/>
          <c:tx>
            <c:v>LD</c:v>
          </c:tx>
          <c:spPr>
            <a:solidFill>
              <a:srgbClr val="FAA01A"/>
            </a:solidFill>
            <a:ln w="25400">
              <a:noFill/>
            </a:ln>
          </c:spPr>
          <c:invertIfNegative val="0"/>
          <c:cat>
            <c:numRef>
              <c:extLst>
                <c:ext xmlns:c15="http://schemas.microsoft.com/office/drawing/2012/chart" uri="{02D57815-91ED-43cb-92C2-25804820EDAC}">
                  <c15:fullRef>
                    <c15:sqref>'1 GE-Wales'!$A$4:$A$32</c15:sqref>
                  </c15:fullRef>
                </c:ext>
              </c:extLst>
              <c:f>'1 GE-Wales'!$A$5:$A$32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GE-Wales'!$E$4:$E$32</c15:sqref>
                  </c15:fullRef>
                </c:ext>
              </c:extLst>
              <c:f>'1 GE-Wales'!$E$5:$E$32</c:f>
              <c:numCache>
                <c:formatCode>0.0</c:formatCode>
                <c:ptCount val="28"/>
                <c:pt idx="0">
                  <c:v>258.75900000000001</c:v>
                </c:pt>
                <c:pt idx="1">
                  <c:v>305.95699999999999</c:v>
                </c:pt>
                <c:pt idx="2">
                  <c:v>299.31400000000002</c:v>
                </c:pt>
                <c:pt idx="3">
                  <c:v>244.828</c:v>
                </c:pt>
                <c:pt idx="4">
                  <c:v>440.911</c:v>
                </c:pt>
                <c:pt idx="5">
                  <c:v>229.011</c:v>
                </c:pt>
                <c:pt idx="6">
                  <c:v>157.09100000000001</c:v>
                </c:pt>
                <c:pt idx="7" formatCode="#,##0.0;\-#,##0.0">
                  <c:v>198.553</c:v>
                </c:pt>
                <c:pt idx="8" formatCode="#,##0.0;\-#,##0.0">
                  <c:v>193.09</c:v>
                </c:pt>
                <c:pt idx="9" formatCode="#,##0.0;\-#,##0.0">
                  <c:v>116.821</c:v>
                </c:pt>
                <c:pt idx="10" formatCode="#,##0.0;\-#,##0.0">
                  <c:v>104.095</c:v>
                </c:pt>
                <c:pt idx="11" formatCode="#,##0.0;\-#,##0.0">
                  <c:v>78.950999999999993</c:v>
                </c:pt>
                <c:pt idx="12" formatCode="#,##0.0;\-#,##0.0">
                  <c:v>106.114</c:v>
                </c:pt>
                <c:pt idx="13" formatCode="#,##0.0;\-#,##0.0">
                  <c:v>89.108000000000004</c:v>
                </c:pt>
                <c:pt idx="14" formatCode="#,##0.0;\-#,##0.0">
                  <c:v>103.747</c:v>
                </c:pt>
                <c:pt idx="15" formatCode="#,##0.0;\-#,##0.0">
                  <c:v>255.423</c:v>
                </c:pt>
                <c:pt idx="16" formatCode="#,##0.0;\-#,##0.0">
                  <c:v>239.05699999999999</c:v>
                </c:pt>
                <c:pt idx="17" formatCode="#,##0.0;\-#,##0.0">
                  <c:v>173.52500000000001</c:v>
                </c:pt>
                <c:pt idx="18" formatCode="#,##0.0;\-#,##0.0">
                  <c:v>373.358</c:v>
                </c:pt>
                <c:pt idx="19" formatCode="#,##0.0;\-#,##0.0">
                  <c:v>304.23</c:v>
                </c:pt>
                <c:pt idx="20" formatCode="#,##0.0;\-#,##0.0">
                  <c:v>217.45699999999999</c:v>
                </c:pt>
                <c:pt idx="21" formatCode="#,##0.0;\-#,##0.0">
                  <c:v>200.02</c:v>
                </c:pt>
                <c:pt idx="22">
                  <c:v>189.434</c:v>
                </c:pt>
                <c:pt idx="23">
                  <c:v>256.24900000000002</c:v>
                </c:pt>
                <c:pt idx="24">
                  <c:v>295.16399999999999</c:v>
                </c:pt>
                <c:pt idx="25">
                  <c:v>97.8</c:v>
                </c:pt>
                <c:pt idx="26">
                  <c:v>71.039000000000001</c:v>
                </c:pt>
                <c:pt idx="27">
                  <c:v>92.171000000000006</c:v>
                </c:pt>
              </c:numCache>
            </c:numRef>
          </c:val>
          <c:extLst>
            <c:ext xmlns:c16="http://schemas.microsoft.com/office/drawing/2014/chart" uri="{C3380CC4-5D6E-409C-BE32-E72D297353CC}">
              <c16:uniqueId val="{00000002-B6B0-4411-A5C8-EDE194301F2A}"/>
            </c:ext>
          </c:extLst>
        </c:ser>
        <c:dLbls>
          <c:showLegendKey val="0"/>
          <c:showVal val="0"/>
          <c:showCatName val="0"/>
          <c:showSerName val="0"/>
          <c:showPercent val="0"/>
          <c:showBubbleSize val="0"/>
        </c:dLbls>
        <c:gapWidth val="65"/>
        <c:overlap val="100"/>
        <c:axId val="465017032"/>
        <c:axId val="464805632"/>
      </c:barChart>
      <c:catAx>
        <c:axId val="465017032"/>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4805632"/>
        <c:crosses val="autoZero"/>
        <c:auto val="1"/>
        <c:lblAlgn val="ctr"/>
        <c:lblOffset val="100"/>
        <c:tickLblSkip val="1"/>
        <c:noMultiLvlLbl val="0"/>
      </c:catAx>
      <c:valAx>
        <c:axId val="464805632"/>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017032"/>
        <c:crosses val="max"/>
        <c:crossBetween val="between"/>
      </c:valAx>
      <c:spPr>
        <a:noFill/>
        <a:ln w="25400">
          <a:noFill/>
        </a:ln>
      </c:spPr>
    </c:plotArea>
    <c:legend>
      <c:legendPos val="r"/>
      <c:layout>
        <c:manualLayout>
          <c:xMode val="edge"/>
          <c:yMode val="edge"/>
          <c:x val="0.68750151423379768"/>
          <c:y val="7.936523319200485E-2"/>
          <c:w val="0.23517774230219612"/>
          <c:h val="0.13655519947532138"/>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candidates </a:t>
            </a:r>
          </a:p>
        </c:rich>
      </c:tx>
      <c:layout>
        <c:manualLayout>
          <c:xMode val="edge"/>
          <c:yMode val="edge"/>
          <c:x val="0.1251280193054371"/>
          <c:y val="2.261151193629532E-3"/>
        </c:manualLayout>
      </c:layout>
      <c:overlay val="0"/>
      <c:spPr>
        <a:noFill/>
        <a:ln w="25400">
          <a:noFill/>
        </a:ln>
      </c:spPr>
    </c:title>
    <c:autoTitleDeleted val="0"/>
    <c:plotArea>
      <c:layout>
        <c:manualLayout>
          <c:layoutTarget val="inner"/>
          <c:xMode val="edge"/>
          <c:yMode val="edge"/>
          <c:x val="0.2235651143303615"/>
          <c:y val="4.4330684662796466E-2"/>
          <c:w val="0.48953530352780994"/>
          <c:h val="0.90022985593094951"/>
        </c:manualLayout>
      </c:layout>
      <c:barChart>
        <c:barDir val="bar"/>
        <c:grouping val="clustered"/>
        <c:varyColors val="0"/>
        <c:ser>
          <c:idx val="7"/>
          <c:order val="0"/>
          <c:tx>
            <c:v>CON</c:v>
          </c:tx>
          <c:spPr>
            <a:solidFill>
              <a:srgbClr val="00539F"/>
            </a:solidFill>
            <a:ln w="25400">
              <a:noFill/>
            </a:ln>
          </c:spPr>
          <c:invertIfNegative val="0"/>
          <c:cat>
            <c:numRef>
              <c:extLst>
                <c:ext xmlns:c15="http://schemas.microsoft.com/office/drawing/2012/chart" uri="{02D57815-91ED-43cb-92C2-25804820EDAC}">
                  <c15:fullRef>
                    <c15:sqref>'1 GE-Wales'!$J$4:$J$32</c15:sqref>
                  </c15:fullRef>
                </c:ext>
              </c:extLst>
              <c:f>'1 GE-Wales'!$J$5:$J$32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GE-Wales'!$L$4:$L$32</c15:sqref>
                  </c15:fullRef>
                </c:ext>
              </c:extLst>
              <c:f>'1 GE-Wales'!$L$5:$L$32</c:f>
              <c:numCache>
                <c:formatCode>#,##0</c:formatCode>
                <c:ptCount val="28"/>
                <c:pt idx="0">
                  <c:v>8</c:v>
                </c:pt>
                <c:pt idx="1" formatCode="0">
                  <c:v>19</c:v>
                </c:pt>
                <c:pt idx="2">
                  <c:v>19</c:v>
                </c:pt>
                <c:pt idx="3">
                  <c:v>17</c:v>
                </c:pt>
                <c:pt idx="4">
                  <c:v>35</c:v>
                </c:pt>
                <c:pt idx="5">
                  <c:v>20</c:v>
                </c:pt>
                <c:pt idx="6">
                  <c:v>20</c:v>
                </c:pt>
                <c:pt idx="7" formatCode="#,##0_);\(#,##0\)">
                  <c:v>27</c:v>
                </c:pt>
                <c:pt idx="8" formatCode="#,##0_);\(#,##0\)">
                  <c:v>35</c:v>
                </c:pt>
                <c:pt idx="9" formatCode="#,##0_);\(#,##0\)">
                  <c:v>33</c:v>
                </c:pt>
                <c:pt idx="10" formatCode="#,##0_);\(#,##0\)">
                  <c:v>32</c:v>
                </c:pt>
                <c:pt idx="11" formatCode="#,##0_);\(#,##0\)">
                  <c:v>34</c:v>
                </c:pt>
                <c:pt idx="12" formatCode="#,##0_);\(#,##0\)">
                  <c:v>36</c:v>
                </c:pt>
                <c:pt idx="13" formatCode="#,##0_);\(#,##0\)">
                  <c:v>36</c:v>
                </c:pt>
                <c:pt idx="14" formatCode="#,##0_);\(#,##0\)">
                  <c:v>36</c:v>
                </c:pt>
                <c:pt idx="15" formatCode="#,##0_);\(#,##0\)">
                  <c:v>36</c:v>
                </c:pt>
                <c:pt idx="16" formatCode="#,##0_);\(#,##0\)">
                  <c:v>36</c:v>
                </c:pt>
                <c:pt idx="17" formatCode="#,##0_);\(#,##0\)">
                  <c:v>35</c:v>
                </c:pt>
                <c:pt idx="18" formatCode="#,##0_);\(#,##0\)">
                  <c:v>38</c:v>
                </c:pt>
                <c:pt idx="19" formatCode="#,##0_);\(#,##0\)">
                  <c:v>38</c:v>
                </c:pt>
                <c:pt idx="20" formatCode="#,##0_);\(#,##0\)">
                  <c:v>38</c:v>
                </c:pt>
                <c:pt idx="21" formatCode="#,##0_);\(#,##0\)">
                  <c:v>40</c:v>
                </c:pt>
                <c:pt idx="22" formatCode="#,##0_);\(#,##0\)">
                  <c:v>40</c:v>
                </c:pt>
                <c:pt idx="23" formatCode="#,##0_);\(#,##0\)">
                  <c:v>40</c:v>
                </c:pt>
                <c:pt idx="24" formatCode="#,##0_);\(#,##0\)">
                  <c:v>40</c:v>
                </c:pt>
                <c:pt idx="25" formatCode="#,##0_);\(#,##0\)">
                  <c:v>40</c:v>
                </c:pt>
                <c:pt idx="26" formatCode="#,##0_);\(#,##0\)">
                  <c:v>40</c:v>
                </c:pt>
                <c:pt idx="27" formatCode="#,##0_);\(#,##0\)">
                  <c:v>40</c:v>
                </c:pt>
              </c:numCache>
            </c:numRef>
          </c:val>
          <c:extLst>
            <c:ext xmlns:c16="http://schemas.microsoft.com/office/drawing/2014/chart" uri="{C3380CC4-5D6E-409C-BE32-E72D297353CC}">
              <c16:uniqueId val="{00000000-127A-4A2A-A8CC-94FCC6DEDCBE}"/>
            </c:ext>
          </c:extLst>
        </c:ser>
        <c:ser>
          <c:idx val="8"/>
          <c:order val="1"/>
          <c:tx>
            <c:strRef>
              <c:f>'1 GE-Wales'!$M$3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GE-Wales'!$J$4:$J$32</c15:sqref>
                  </c15:fullRef>
                </c:ext>
              </c:extLst>
              <c:f>'1 GE-Wales'!$J$5:$J$32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GE-Wales'!$M$4:$M$32</c15:sqref>
                  </c15:fullRef>
                </c:ext>
              </c:extLst>
              <c:f>'1 GE-Wales'!$M$5:$M$32</c:f>
              <c:numCache>
                <c:formatCode>#,##0</c:formatCode>
                <c:ptCount val="28"/>
                <c:pt idx="0">
                  <c:v>25</c:v>
                </c:pt>
                <c:pt idx="1" formatCode="0">
                  <c:v>28</c:v>
                </c:pt>
                <c:pt idx="2">
                  <c:v>27</c:v>
                </c:pt>
                <c:pt idx="3">
                  <c:v>33</c:v>
                </c:pt>
                <c:pt idx="4">
                  <c:v>33</c:v>
                </c:pt>
                <c:pt idx="5">
                  <c:v>30</c:v>
                </c:pt>
                <c:pt idx="6">
                  <c:v>33</c:v>
                </c:pt>
                <c:pt idx="7" formatCode="#,##0_);\(#,##0\)">
                  <c:v>34</c:v>
                </c:pt>
                <c:pt idx="8" formatCode="#,##0_);\(#,##0\)">
                  <c:v>36</c:v>
                </c:pt>
                <c:pt idx="9" formatCode="#,##0_);\(#,##0\)">
                  <c:v>36</c:v>
                </c:pt>
                <c:pt idx="10" formatCode="#,##0_);\(#,##0\)">
                  <c:v>36</c:v>
                </c:pt>
                <c:pt idx="11" formatCode="#,##0_);\(#,##0\)">
                  <c:v>36</c:v>
                </c:pt>
                <c:pt idx="12" formatCode="#,##0_);\(#,##0\)">
                  <c:v>36</c:v>
                </c:pt>
                <c:pt idx="13" formatCode="#,##0_);\(#,##0\)">
                  <c:v>36</c:v>
                </c:pt>
                <c:pt idx="14" formatCode="#,##0_);\(#,##0\)">
                  <c:v>36</c:v>
                </c:pt>
                <c:pt idx="15" formatCode="#,##0_);\(#,##0\)">
                  <c:v>36</c:v>
                </c:pt>
                <c:pt idx="16" formatCode="#,##0_);\(#,##0\)">
                  <c:v>36</c:v>
                </c:pt>
                <c:pt idx="17" formatCode="#,##0_);\(#,##0\)">
                  <c:v>36</c:v>
                </c:pt>
                <c:pt idx="18" formatCode="#,##0_);\(#,##0\)">
                  <c:v>38</c:v>
                </c:pt>
                <c:pt idx="19" formatCode="#,##0_);\(#,##0\)">
                  <c:v>38</c:v>
                </c:pt>
                <c:pt idx="20" formatCode="#,##0_);\(#,##0\)">
                  <c:v>38</c:v>
                </c:pt>
                <c:pt idx="21" formatCode="#,##0_);\(#,##0\)">
                  <c:v>40</c:v>
                </c:pt>
                <c:pt idx="22" formatCode="#,##0_);\(#,##0\)">
                  <c:v>40</c:v>
                </c:pt>
                <c:pt idx="23" formatCode="#,##0_);\(#,##0\)">
                  <c:v>40</c:v>
                </c:pt>
                <c:pt idx="24" formatCode="#,##0_);\(#,##0\)">
                  <c:v>40</c:v>
                </c:pt>
                <c:pt idx="25" formatCode="#,##0_);\(#,##0\)">
                  <c:v>40</c:v>
                </c:pt>
                <c:pt idx="26" formatCode="#,##0_);\(#,##0\)">
                  <c:v>40</c:v>
                </c:pt>
                <c:pt idx="27" formatCode="#,##0_);\(#,##0\)">
                  <c:v>40</c:v>
                </c:pt>
              </c:numCache>
            </c:numRef>
          </c:val>
          <c:extLst>
            <c:ext xmlns:c16="http://schemas.microsoft.com/office/drawing/2014/chart" uri="{C3380CC4-5D6E-409C-BE32-E72D297353CC}">
              <c16:uniqueId val="{00000001-127A-4A2A-A8CC-94FCC6DEDCBE}"/>
            </c:ext>
          </c:extLst>
        </c:ser>
        <c:ser>
          <c:idx val="9"/>
          <c:order val="2"/>
          <c:tx>
            <c:v>LD</c:v>
          </c:tx>
          <c:spPr>
            <a:solidFill>
              <a:srgbClr val="FAA01A"/>
            </a:solidFill>
            <a:ln w="25400">
              <a:noFill/>
            </a:ln>
          </c:spPr>
          <c:invertIfNegative val="0"/>
          <c:cat>
            <c:numRef>
              <c:extLst>
                <c:ext xmlns:c15="http://schemas.microsoft.com/office/drawing/2012/chart" uri="{02D57815-91ED-43cb-92C2-25804820EDAC}">
                  <c15:fullRef>
                    <c15:sqref>'1 GE-Wales'!$J$4:$J$32</c15:sqref>
                  </c15:fullRef>
                </c:ext>
              </c:extLst>
              <c:f>'1 GE-Wales'!$J$5:$J$32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GE-Wales'!$N$4:$N$32</c15:sqref>
                  </c15:fullRef>
                </c:ext>
              </c:extLst>
              <c:f>'1 GE-Wales'!$N$5:$N$32</c:f>
              <c:numCache>
                <c:formatCode>#,##0</c:formatCode>
                <c:ptCount val="28"/>
                <c:pt idx="0">
                  <c:v>29</c:v>
                </c:pt>
                <c:pt idx="1" formatCode="0">
                  <c:v>30</c:v>
                </c:pt>
                <c:pt idx="2">
                  <c:v>31</c:v>
                </c:pt>
                <c:pt idx="3">
                  <c:v>21</c:v>
                </c:pt>
                <c:pt idx="4">
                  <c:v>34</c:v>
                </c:pt>
                <c:pt idx="5">
                  <c:v>14</c:v>
                </c:pt>
                <c:pt idx="6">
                  <c:v>12</c:v>
                </c:pt>
                <c:pt idx="7" formatCode="#,##0_);\(#,##0\)">
                  <c:v>17</c:v>
                </c:pt>
                <c:pt idx="8" formatCode="#,##0_);\(#,##0\)">
                  <c:v>21</c:v>
                </c:pt>
                <c:pt idx="9" formatCode="#,##0_);\(#,##0\)">
                  <c:v>9</c:v>
                </c:pt>
                <c:pt idx="10" formatCode="#,##0_);\(#,##0\)">
                  <c:v>10</c:v>
                </c:pt>
                <c:pt idx="11" formatCode="#,##0_);\(#,##0\)">
                  <c:v>8</c:v>
                </c:pt>
                <c:pt idx="12" formatCode="#,##0_);\(#,##0\)">
                  <c:v>12</c:v>
                </c:pt>
                <c:pt idx="13" formatCode="#,##0_);\(#,##0\)">
                  <c:v>11</c:v>
                </c:pt>
                <c:pt idx="14" formatCode="#,##0_);\(#,##0\)">
                  <c:v>19</c:v>
                </c:pt>
                <c:pt idx="15" formatCode="#,##0_);\(#,##0\)">
                  <c:v>31</c:v>
                </c:pt>
                <c:pt idx="16" formatCode="#,##0_);\(#,##0\)">
                  <c:v>36</c:v>
                </c:pt>
                <c:pt idx="17" formatCode="#,##0_);\(#,##0\)">
                  <c:v>28</c:v>
                </c:pt>
                <c:pt idx="18" formatCode="#,##0_);\(#,##0\)">
                  <c:v>38</c:v>
                </c:pt>
                <c:pt idx="19" formatCode="#,##0_);\(#,##0\)">
                  <c:v>38</c:v>
                </c:pt>
                <c:pt idx="20" formatCode="#,##0_);\(#,##0\)">
                  <c:v>38</c:v>
                </c:pt>
                <c:pt idx="21" formatCode="#,##0_);\(#,##0\)">
                  <c:v>40</c:v>
                </c:pt>
                <c:pt idx="22" formatCode="#,##0_);\(#,##0\)">
                  <c:v>40</c:v>
                </c:pt>
                <c:pt idx="23" formatCode="#,##0_);\(#,##0\)">
                  <c:v>40</c:v>
                </c:pt>
                <c:pt idx="24" formatCode="#,##0_);\(#,##0\)">
                  <c:v>40</c:v>
                </c:pt>
                <c:pt idx="25" formatCode="#,##0_);\(#,##0\)">
                  <c:v>40</c:v>
                </c:pt>
                <c:pt idx="26" formatCode="#,##0_);\(#,##0\)">
                  <c:v>40</c:v>
                </c:pt>
                <c:pt idx="27" formatCode="#,##0_);\(#,##0\)">
                  <c:v>32</c:v>
                </c:pt>
              </c:numCache>
            </c:numRef>
          </c:val>
          <c:extLst>
            <c:ext xmlns:c16="http://schemas.microsoft.com/office/drawing/2014/chart" uri="{C3380CC4-5D6E-409C-BE32-E72D297353CC}">
              <c16:uniqueId val="{00000002-127A-4A2A-A8CC-94FCC6DEDCBE}"/>
            </c:ext>
          </c:extLst>
        </c:ser>
        <c:dLbls>
          <c:showLegendKey val="0"/>
          <c:showVal val="0"/>
          <c:showCatName val="0"/>
          <c:showSerName val="0"/>
          <c:showPercent val="0"/>
          <c:showBubbleSize val="0"/>
        </c:dLbls>
        <c:gapWidth val="122"/>
        <c:axId val="464806416"/>
        <c:axId val="464806808"/>
      </c:barChart>
      <c:catAx>
        <c:axId val="464806416"/>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4806808"/>
        <c:crosses val="autoZero"/>
        <c:auto val="0"/>
        <c:lblAlgn val="ctr"/>
        <c:lblOffset val="100"/>
        <c:tickLblSkip val="1"/>
        <c:noMultiLvlLbl val="0"/>
      </c:catAx>
      <c:valAx>
        <c:axId val="464806808"/>
        <c:scaling>
          <c:orientation val="minMax"/>
          <c:max val="50"/>
          <c:min val="0"/>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4806416"/>
        <c:crosses val="max"/>
        <c:crossBetween val="between"/>
        <c:majorUnit val="10"/>
        <c:minorUnit val="1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seats won</a:t>
            </a:r>
          </a:p>
        </c:rich>
      </c:tx>
      <c:layout>
        <c:manualLayout>
          <c:xMode val="edge"/>
          <c:yMode val="edge"/>
          <c:x val="0.13792164589419756"/>
          <c:y val="1.5792704589529995E-3"/>
        </c:manualLayout>
      </c:layout>
      <c:overlay val="0"/>
      <c:spPr>
        <a:noFill/>
        <a:ln w="25400">
          <a:noFill/>
        </a:ln>
      </c:spPr>
    </c:title>
    <c:autoTitleDeleted val="0"/>
    <c:plotArea>
      <c:layout>
        <c:manualLayout>
          <c:layoutTarget val="inner"/>
          <c:xMode val="edge"/>
          <c:yMode val="edge"/>
          <c:x val="0.22356505281685674"/>
          <c:y val="5.0181715797694926E-2"/>
          <c:w val="0.49593018601051481"/>
          <c:h val="0.89975714125228512"/>
        </c:manualLayout>
      </c:layout>
      <c:barChart>
        <c:barDir val="bar"/>
        <c:grouping val="stacked"/>
        <c:varyColors val="0"/>
        <c:ser>
          <c:idx val="7"/>
          <c:order val="0"/>
          <c:tx>
            <c:strRef>
              <c:f>'1 GE-Wales'!$L$35</c:f>
              <c:strCache>
                <c:ptCount val="1"/>
                <c:pt idx="0">
                  <c:v>CON2</c:v>
                </c:pt>
              </c:strCache>
            </c:strRef>
          </c:tx>
          <c:spPr>
            <a:solidFill>
              <a:srgbClr val="00539F"/>
            </a:solidFill>
            <a:ln w="25400">
              <a:noFill/>
            </a:ln>
          </c:spPr>
          <c:invertIfNegative val="0"/>
          <c:cat>
            <c:numRef>
              <c:extLst>
                <c:ext xmlns:c15="http://schemas.microsoft.com/office/drawing/2012/chart" uri="{02D57815-91ED-43cb-92C2-25804820EDAC}">
                  <c15:fullRef>
                    <c15:sqref>'1 GE-Wales'!$J$36:$J$64</c15:sqref>
                  </c15:fullRef>
                </c:ext>
              </c:extLst>
              <c:f>'1 GE-Wales'!$J$37:$J$64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GE-Wales'!$L$36:$L$64</c15:sqref>
                  </c15:fullRef>
                </c:ext>
              </c:extLst>
              <c:f>'1 GE-Wales'!$L$37:$L$64</c:f>
              <c:numCache>
                <c:formatCode>General</c:formatCode>
                <c:ptCount val="28"/>
                <c:pt idx="0">
                  <c:v>4</c:v>
                </c:pt>
                <c:pt idx="1">
                  <c:v>6</c:v>
                </c:pt>
                <c:pt idx="2">
                  <c:v>4</c:v>
                </c:pt>
                <c:pt idx="3">
                  <c:v>9</c:v>
                </c:pt>
                <c:pt idx="4">
                  <c:v>1</c:v>
                </c:pt>
                <c:pt idx="5">
                  <c:v>11</c:v>
                </c:pt>
                <c:pt idx="6">
                  <c:v>11</c:v>
                </c:pt>
                <c:pt idx="7" formatCode="#,##0;\-#,##0;&quot;&quot;">
                  <c:v>4</c:v>
                </c:pt>
                <c:pt idx="8" formatCode="#,##0;\-#,##0;&quot;&quot;">
                  <c:v>4</c:v>
                </c:pt>
                <c:pt idx="9" formatCode="#,##0;\-#,##0;&quot;&quot;">
                  <c:v>6</c:v>
                </c:pt>
                <c:pt idx="10" formatCode="#,##0;\-#,##0;&quot;&quot;">
                  <c:v>6</c:v>
                </c:pt>
                <c:pt idx="11" formatCode="#,##0;\-#,##0;&quot;&quot;">
                  <c:v>7</c:v>
                </c:pt>
                <c:pt idx="12" formatCode="#,##0;\-#,##0;&quot;&quot;">
                  <c:v>6</c:v>
                </c:pt>
                <c:pt idx="13" formatCode="#,##0;\-#,##0;&quot;&quot;">
                  <c:v>3</c:v>
                </c:pt>
                <c:pt idx="14" formatCode="#,##0;\-#,##0;&quot;&quot;">
                  <c:v>7</c:v>
                </c:pt>
                <c:pt idx="15" formatCode="#,##0;\-#,##0;&quot;&quot;">
                  <c:v>8</c:v>
                </c:pt>
                <c:pt idx="16" formatCode="#,##0;\-#,##0;&quot;&quot;">
                  <c:v>8</c:v>
                </c:pt>
                <c:pt idx="17" formatCode="#,##0;\-#,##0;&quot;&quot;">
                  <c:v>11</c:v>
                </c:pt>
                <c:pt idx="18" formatCode="#,##0;\-#,##0;&quot;&quot;">
                  <c:v>14</c:v>
                </c:pt>
                <c:pt idx="19" formatCode="#,##0;\-#,##0;&quot;&quot;">
                  <c:v>8</c:v>
                </c:pt>
                <c:pt idx="20" formatCode="#,##0;\-#,##0;&quot;&quot;">
                  <c:v>6</c:v>
                </c:pt>
                <c:pt idx="21" formatCode="0">
                  <c:v>0</c:v>
                </c:pt>
                <c:pt idx="22" formatCode="0">
                  <c:v>0</c:v>
                </c:pt>
                <c:pt idx="23" formatCode="0">
                  <c:v>3</c:v>
                </c:pt>
                <c:pt idx="24" formatCode="0">
                  <c:v>8</c:v>
                </c:pt>
                <c:pt idx="25" formatCode="0">
                  <c:v>11</c:v>
                </c:pt>
                <c:pt idx="26" formatCode="0">
                  <c:v>8</c:v>
                </c:pt>
                <c:pt idx="27" formatCode="0">
                  <c:v>14</c:v>
                </c:pt>
              </c:numCache>
            </c:numRef>
          </c:val>
          <c:extLst>
            <c:ext xmlns:c16="http://schemas.microsoft.com/office/drawing/2014/chart" uri="{C3380CC4-5D6E-409C-BE32-E72D297353CC}">
              <c16:uniqueId val="{00000000-8E5C-48CF-A1B9-664B0082F40A}"/>
            </c:ext>
          </c:extLst>
        </c:ser>
        <c:ser>
          <c:idx val="8"/>
          <c:order val="1"/>
          <c:tx>
            <c:strRef>
              <c:f>'1 GE-Wales'!$M$35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GE-Wales'!$J$36:$J$64</c15:sqref>
                  </c15:fullRef>
                </c:ext>
              </c:extLst>
              <c:f>'1 GE-Wales'!$J$37:$J$64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GE-Wales'!$M$36:$M$64</c15:sqref>
                  </c15:fullRef>
                </c:ext>
              </c:extLst>
              <c:f>'1 GE-Wales'!$M$37:$M$64</c:f>
              <c:numCache>
                <c:formatCode>General</c:formatCode>
                <c:ptCount val="28"/>
                <c:pt idx="0">
                  <c:v>9</c:v>
                </c:pt>
                <c:pt idx="1">
                  <c:v>18</c:v>
                </c:pt>
                <c:pt idx="2">
                  <c:v>19</c:v>
                </c:pt>
                <c:pt idx="3">
                  <c:v>16</c:v>
                </c:pt>
                <c:pt idx="4">
                  <c:v>25</c:v>
                </c:pt>
                <c:pt idx="5">
                  <c:v>16</c:v>
                </c:pt>
                <c:pt idx="6">
                  <c:v>18</c:v>
                </c:pt>
                <c:pt idx="7" formatCode="#,##0;\-#,##0;&quot;&quot;">
                  <c:v>25</c:v>
                </c:pt>
                <c:pt idx="8" formatCode="#,##0;\-#,##0;&quot;&quot;">
                  <c:v>27</c:v>
                </c:pt>
                <c:pt idx="9" formatCode="#,##0;\-#,##0;&quot;&quot;">
                  <c:v>27</c:v>
                </c:pt>
                <c:pt idx="10" formatCode="#,##0;\-#,##0;&quot;&quot;">
                  <c:v>27</c:v>
                </c:pt>
                <c:pt idx="11" formatCode="#,##0;\-#,##0;&quot;&quot;">
                  <c:v>27</c:v>
                </c:pt>
                <c:pt idx="12" formatCode="#,##0;\-#,##0;&quot;&quot;">
                  <c:v>28</c:v>
                </c:pt>
                <c:pt idx="13" formatCode="#,##0;\-#,##0;&quot;&quot;">
                  <c:v>32</c:v>
                </c:pt>
                <c:pt idx="14" formatCode="#,##0;\-#,##0;&quot;&quot;">
                  <c:v>27</c:v>
                </c:pt>
                <c:pt idx="15" formatCode="#,##0;\-#,##0;&quot;&quot;">
                  <c:v>24</c:v>
                </c:pt>
                <c:pt idx="16" formatCode="#,##0;\-#,##0;&quot;&quot;">
                  <c:v>23</c:v>
                </c:pt>
                <c:pt idx="17" formatCode="#,##0;\-#,##0;&quot;&quot;">
                  <c:v>22</c:v>
                </c:pt>
                <c:pt idx="18" formatCode="#,##0;\-#,##0;&quot;&quot;">
                  <c:v>20</c:v>
                </c:pt>
                <c:pt idx="19" formatCode="#,##0;\-#,##0;&quot;&quot;">
                  <c:v>24</c:v>
                </c:pt>
                <c:pt idx="20" formatCode="#,##0;\-#,##0;&quot;&quot;">
                  <c:v>27</c:v>
                </c:pt>
                <c:pt idx="21" formatCode="#,##0;\-#,##0;&quot;&quot;">
                  <c:v>34</c:v>
                </c:pt>
                <c:pt idx="22" formatCode="#,##0;\-#,##0;&quot;&quot;">
                  <c:v>34</c:v>
                </c:pt>
                <c:pt idx="23" formatCode="#,##0;\-#,##0;&quot;&quot;">
                  <c:v>29</c:v>
                </c:pt>
                <c:pt idx="24" formatCode="#,##0;\-#,##0;&quot;&quot;">
                  <c:v>26</c:v>
                </c:pt>
                <c:pt idx="25" formatCode="#,##0;\-#,##0;&quot;&quot;">
                  <c:v>25</c:v>
                </c:pt>
                <c:pt idx="26" formatCode="#,##0;\-#,##0;&quot;&quot;">
                  <c:v>28</c:v>
                </c:pt>
                <c:pt idx="27" formatCode="#,##0;\-#,##0;&quot;&quot;">
                  <c:v>22</c:v>
                </c:pt>
              </c:numCache>
            </c:numRef>
          </c:val>
          <c:extLst>
            <c:ext xmlns:c16="http://schemas.microsoft.com/office/drawing/2014/chart" uri="{C3380CC4-5D6E-409C-BE32-E72D297353CC}">
              <c16:uniqueId val="{00000001-8E5C-48CF-A1B9-664B0082F40A}"/>
            </c:ext>
          </c:extLst>
        </c:ser>
        <c:ser>
          <c:idx val="9"/>
          <c:order val="2"/>
          <c:tx>
            <c:strRef>
              <c:f>'1 GE-Wales'!$N$35</c:f>
              <c:strCache>
                <c:ptCount val="1"/>
                <c:pt idx="0">
                  <c:v>LD3</c:v>
                </c:pt>
              </c:strCache>
            </c:strRef>
          </c:tx>
          <c:spPr>
            <a:solidFill>
              <a:srgbClr val="FAA01A"/>
            </a:solidFill>
            <a:ln w="25400">
              <a:noFill/>
            </a:ln>
          </c:spPr>
          <c:invertIfNegative val="0"/>
          <c:cat>
            <c:numRef>
              <c:extLst>
                <c:ext xmlns:c15="http://schemas.microsoft.com/office/drawing/2012/chart" uri="{02D57815-91ED-43cb-92C2-25804820EDAC}">
                  <c15:fullRef>
                    <c15:sqref>'1 GE-Wales'!$J$36:$J$64</c15:sqref>
                  </c15:fullRef>
                </c:ext>
              </c:extLst>
              <c:f>'1 GE-Wales'!$J$37:$J$64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GE-Wales'!$N$36:$N$64</c15:sqref>
                  </c15:fullRef>
                </c:ext>
              </c:extLst>
              <c:f>'1 GE-Wales'!$N$37:$N$64</c:f>
              <c:numCache>
                <c:formatCode>General</c:formatCode>
                <c:ptCount val="28"/>
                <c:pt idx="0">
                  <c:v>20</c:v>
                </c:pt>
                <c:pt idx="1">
                  <c:v>10</c:v>
                </c:pt>
                <c:pt idx="2">
                  <c:v>11</c:v>
                </c:pt>
                <c:pt idx="3">
                  <c:v>10</c:v>
                </c:pt>
                <c:pt idx="4">
                  <c:v>9</c:v>
                </c:pt>
                <c:pt idx="5">
                  <c:v>8</c:v>
                </c:pt>
                <c:pt idx="6">
                  <c:v>6</c:v>
                </c:pt>
                <c:pt idx="7" formatCode="#,##0;\-#,##0;&quot;&quot;">
                  <c:v>6</c:v>
                </c:pt>
                <c:pt idx="8" formatCode="#,##0;\-#,##0;&quot;&quot;">
                  <c:v>5</c:v>
                </c:pt>
                <c:pt idx="9" formatCode="#,##0;\-#,##0;&quot;&quot;">
                  <c:v>3</c:v>
                </c:pt>
                <c:pt idx="10" formatCode="#,##0;\-#,##0;&quot;&quot;">
                  <c:v>3</c:v>
                </c:pt>
                <c:pt idx="11" formatCode="#,##0;\-#,##0;&quot;&quot;">
                  <c:v>2</c:v>
                </c:pt>
                <c:pt idx="12" formatCode="#,##0;\-#,##0;&quot;&quot;">
                  <c:v>2</c:v>
                </c:pt>
                <c:pt idx="13" formatCode="#,##0;\-#,##0;&quot;&quot;">
                  <c:v>1</c:v>
                </c:pt>
                <c:pt idx="14" formatCode="#,##0;\-#,##0;&quot;&quot;">
                  <c:v>1</c:v>
                </c:pt>
                <c:pt idx="15" formatCode="#,##0;\-#,##0;&quot;&quot;">
                  <c:v>2</c:v>
                </c:pt>
                <c:pt idx="16" formatCode="#,##0;\-#,##0;&quot;&quot;">
                  <c:v>2</c:v>
                </c:pt>
                <c:pt idx="17" formatCode="#,##0;\-#,##0;&quot;&quot;">
                  <c:v>1</c:v>
                </c:pt>
                <c:pt idx="18" formatCode="#,##0;\-#,##0;&quot;&quot;">
                  <c:v>2</c:v>
                </c:pt>
                <c:pt idx="19" formatCode="#,##0;\-#,##0;&quot;&quot;">
                  <c:v>3</c:v>
                </c:pt>
                <c:pt idx="20" formatCode="#,##0;\-#,##0;&quot;&quot;">
                  <c:v>1</c:v>
                </c:pt>
                <c:pt idx="21" formatCode="#,##0;\-#,##0;&quot;&quot;">
                  <c:v>2</c:v>
                </c:pt>
                <c:pt idx="22" formatCode="#,##0;\-#,##0;&quot;&quot;">
                  <c:v>2</c:v>
                </c:pt>
                <c:pt idx="23" formatCode="#,##0;\-#,##0;&quot;&quot;">
                  <c:v>4</c:v>
                </c:pt>
                <c:pt idx="24" formatCode="#,##0;\-#,##0;&quot;&quot;">
                  <c:v>3</c:v>
                </c:pt>
                <c:pt idx="25" formatCode="#,##0;\-#,##0;&quot;&quot;">
                  <c:v>1</c:v>
                </c:pt>
                <c:pt idx="26" formatCode="0">
                  <c:v>0</c:v>
                </c:pt>
                <c:pt idx="27" formatCode="0">
                  <c:v>0</c:v>
                </c:pt>
              </c:numCache>
            </c:numRef>
          </c:val>
          <c:extLst>
            <c:ext xmlns:c16="http://schemas.microsoft.com/office/drawing/2014/chart" uri="{C3380CC4-5D6E-409C-BE32-E72D297353CC}">
              <c16:uniqueId val="{00000002-8E5C-48CF-A1B9-664B0082F40A}"/>
            </c:ext>
          </c:extLst>
        </c:ser>
        <c:dLbls>
          <c:showLegendKey val="0"/>
          <c:showVal val="0"/>
          <c:showCatName val="0"/>
          <c:showSerName val="0"/>
          <c:showPercent val="0"/>
          <c:showBubbleSize val="0"/>
        </c:dLbls>
        <c:gapWidth val="65"/>
        <c:overlap val="100"/>
        <c:axId val="464807592"/>
        <c:axId val="464807984"/>
      </c:barChart>
      <c:catAx>
        <c:axId val="464807592"/>
        <c:scaling>
          <c:orientation val="maxMin"/>
        </c:scaling>
        <c:delete val="0"/>
        <c:axPos val="l"/>
        <c:numFmt formatCode="0" sourceLinked="0"/>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4807984"/>
        <c:crosses val="autoZero"/>
        <c:auto val="1"/>
        <c:lblAlgn val="ctr"/>
        <c:lblOffset val="100"/>
        <c:tickLblSkip val="1"/>
        <c:noMultiLvlLbl val="0"/>
      </c:catAx>
      <c:valAx>
        <c:axId val="464807984"/>
        <c:scaling>
          <c:orientation val="minMax"/>
          <c:max val="40"/>
          <c:min val="0"/>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4807592"/>
        <c:crosses val="max"/>
        <c:crossBetween val="between"/>
        <c:majorUnit val="10"/>
        <c:minorUnit val="10"/>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Frutiger LT Std 45 Light"/>
                <a:ea typeface="Frutiger LT Std 45 Light"/>
                <a:cs typeface="Frutiger LT Std 45 Light"/>
              </a:defRPr>
            </a:pPr>
            <a:r>
              <a:rPr lang="en-GB"/>
              <a:t>Scottish Parliament</a:t>
            </a:r>
          </a:p>
        </c:rich>
      </c:tx>
      <c:layout>
        <c:manualLayout>
          <c:xMode val="edge"/>
          <c:yMode val="edge"/>
          <c:x val="0.17766127060204431"/>
          <c:y val="7.4688711633388555E-2"/>
        </c:manualLayout>
      </c:layout>
      <c:overlay val="0"/>
    </c:title>
    <c:autoTitleDeleted val="0"/>
    <c:plotArea>
      <c:layout>
        <c:manualLayout>
          <c:layoutTarget val="inner"/>
          <c:xMode val="edge"/>
          <c:yMode val="edge"/>
          <c:x val="0.2419825527357235"/>
          <c:y val="0.14110033534602948"/>
          <c:w val="0.47293699512409304"/>
          <c:h val="0.68605755137389124"/>
        </c:manualLayout>
      </c:layout>
      <c:barChart>
        <c:barDir val="bar"/>
        <c:grouping val="clustered"/>
        <c:varyColors val="0"/>
        <c:ser>
          <c:idx val="0"/>
          <c:order val="0"/>
          <c:tx>
            <c:strRef>
              <c:f>'17 Scottish Parliament Visual'!$A$69</c:f>
              <c:strCache>
                <c:ptCount val="1"/>
                <c:pt idx="0">
                  <c:v>SNP</c:v>
                </c:pt>
              </c:strCache>
            </c:strRef>
          </c:tx>
          <c:spPr>
            <a:solidFill>
              <a:srgbClr val="FFFF00"/>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Visual'!$C$69:$G$69</c:f>
              <c:numCache>
                <c:formatCode>#,##0_);\(#,##0\)</c:formatCode>
                <c:ptCount val="5"/>
                <c:pt idx="0">
                  <c:v>63</c:v>
                </c:pt>
                <c:pt idx="1">
                  <c:v>69</c:v>
                </c:pt>
                <c:pt idx="2">
                  <c:v>47</c:v>
                </c:pt>
                <c:pt idx="3">
                  <c:v>27</c:v>
                </c:pt>
                <c:pt idx="4">
                  <c:v>35</c:v>
                </c:pt>
              </c:numCache>
            </c:numRef>
          </c:val>
          <c:extLst>
            <c:ext xmlns:c16="http://schemas.microsoft.com/office/drawing/2014/chart" uri="{C3380CC4-5D6E-409C-BE32-E72D297353CC}">
              <c16:uniqueId val="{00000000-2651-4010-BAD1-35DAC8D12963}"/>
            </c:ext>
          </c:extLst>
        </c:ser>
        <c:ser>
          <c:idx val="1"/>
          <c:order val="1"/>
          <c:tx>
            <c:strRef>
              <c:f>'17 Scottish Parliament Visual'!$A$70</c:f>
              <c:strCache>
                <c:ptCount val="1"/>
                <c:pt idx="0">
                  <c:v>LAB</c:v>
                </c:pt>
              </c:strCache>
            </c:strRef>
          </c:tx>
          <c:spPr>
            <a:solidFill>
              <a:srgbClr val="FF0000"/>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Visual'!$C$70:$G$70</c:f>
              <c:numCache>
                <c:formatCode>#,##0_);\(#,##0\)</c:formatCode>
                <c:ptCount val="5"/>
                <c:pt idx="0">
                  <c:v>24</c:v>
                </c:pt>
                <c:pt idx="1">
                  <c:v>37</c:v>
                </c:pt>
                <c:pt idx="2">
                  <c:v>46</c:v>
                </c:pt>
                <c:pt idx="3">
                  <c:v>50</c:v>
                </c:pt>
                <c:pt idx="4">
                  <c:v>56</c:v>
                </c:pt>
              </c:numCache>
            </c:numRef>
          </c:val>
          <c:extLst>
            <c:ext xmlns:c16="http://schemas.microsoft.com/office/drawing/2014/chart" uri="{C3380CC4-5D6E-409C-BE32-E72D297353CC}">
              <c16:uniqueId val="{00000001-2651-4010-BAD1-35DAC8D12963}"/>
            </c:ext>
          </c:extLst>
        </c:ser>
        <c:ser>
          <c:idx val="2"/>
          <c:order val="2"/>
          <c:tx>
            <c:strRef>
              <c:f>'17 Scottish Parliament Visual'!$A$71</c:f>
              <c:strCache>
                <c:ptCount val="1"/>
                <c:pt idx="0">
                  <c:v>CON</c:v>
                </c:pt>
              </c:strCache>
            </c:strRef>
          </c:tx>
          <c:spPr>
            <a:solidFill>
              <a:srgbClr val="0000FF"/>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Visual'!$C$71:$G$71</c:f>
              <c:numCache>
                <c:formatCode>#,##0_);\(#,##0\)</c:formatCode>
                <c:ptCount val="5"/>
                <c:pt idx="0">
                  <c:v>31</c:v>
                </c:pt>
                <c:pt idx="1">
                  <c:v>15</c:v>
                </c:pt>
                <c:pt idx="2">
                  <c:v>17</c:v>
                </c:pt>
                <c:pt idx="3">
                  <c:v>18</c:v>
                </c:pt>
                <c:pt idx="4">
                  <c:v>18</c:v>
                </c:pt>
              </c:numCache>
            </c:numRef>
          </c:val>
          <c:extLst>
            <c:ext xmlns:c16="http://schemas.microsoft.com/office/drawing/2014/chart" uri="{C3380CC4-5D6E-409C-BE32-E72D297353CC}">
              <c16:uniqueId val="{00000002-2651-4010-BAD1-35DAC8D12963}"/>
            </c:ext>
          </c:extLst>
        </c:ser>
        <c:ser>
          <c:idx val="3"/>
          <c:order val="3"/>
          <c:tx>
            <c:strRef>
              <c:f>'17 Scottish Parliament Visual'!$A$72</c:f>
              <c:strCache>
                <c:ptCount val="1"/>
                <c:pt idx="0">
                  <c:v>LD</c:v>
                </c:pt>
              </c:strCache>
            </c:strRef>
          </c:tx>
          <c:spPr>
            <a:solidFill>
              <a:srgbClr val="FFC000"/>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Visual'!$C$72:$G$72</c:f>
              <c:numCache>
                <c:formatCode>#,##0_);\(#,##0\)</c:formatCode>
                <c:ptCount val="5"/>
                <c:pt idx="0">
                  <c:v>5</c:v>
                </c:pt>
                <c:pt idx="1">
                  <c:v>5</c:v>
                </c:pt>
                <c:pt idx="2">
                  <c:v>16</c:v>
                </c:pt>
                <c:pt idx="3">
                  <c:v>17</c:v>
                </c:pt>
                <c:pt idx="4">
                  <c:v>17</c:v>
                </c:pt>
              </c:numCache>
            </c:numRef>
          </c:val>
          <c:extLst>
            <c:ext xmlns:c16="http://schemas.microsoft.com/office/drawing/2014/chart" uri="{C3380CC4-5D6E-409C-BE32-E72D297353CC}">
              <c16:uniqueId val="{00000003-2651-4010-BAD1-35DAC8D12963}"/>
            </c:ext>
          </c:extLst>
        </c:ser>
        <c:ser>
          <c:idx val="4"/>
          <c:order val="4"/>
          <c:tx>
            <c:strRef>
              <c:f>'17 Scottish Parliament Visual'!$A$73</c:f>
              <c:strCache>
                <c:ptCount val="1"/>
                <c:pt idx="0">
                  <c:v>GRN</c:v>
                </c:pt>
              </c:strCache>
            </c:strRef>
          </c:tx>
          <c:spPr>
            <a:solidFill>
              <a:srgbClr val="008000"/>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Visual'!$C$73:$G$73</c:f>
              <c:numCache>
                <c:formatCode>#,##0_);\(#,##0\)</c:formatCode>
                <c:ptCount val="5"/>
                <c:pt idx="0">
                  <c:v>6</c:v>
                </c:pt>
                <c:pt idx="1">
                  <c:v>2</c:v>
                </c:pt>
                <c:pt idx="2">
                  <c:v>2</c:v>
                </c:pt>
                <c:pt idx="3">
                  <c:v>7</c:v>
                </c:pt>
                <c:pt idx="4">
                  <c:v>1</c:v>
                </c:pt>
              </c:numCache>
            </c:numRef>
          </c:val>
          <c:extLst>
            <c:ext xmlns:c16="http://schemas.microsoft.com/office/drawing/2014/chart" uri="{C3380CC4-5D6E-409C-BE32-E72D297353CC}">
              <c16:uniqueId val="{00000004-2651-4010-BAD1-35DAC8D12963}"/>
            </c:ext>
          </c:extLst>
        </c:ser>
        <c:ser>
          <c:idx val="5"/>
          <c:order val="5"/>
          <c:tx>
            <c:strRef>
              <c:f>'17 Scottish Parliament Visual'!$A$74</c:f>
              <c:strCache>
                <c:ptCount val="1"/>
                <c:pt idx="0">
                  <c:v>SSP</c:v>
                </c:pt>
              </c:strCache>
            </c:strRef>
          </c:tx>
          <c:spPr>
            <a:solidFill>
              <a:srgbClr val="FF9900"/>
            </a:solidFill>
            <a:ln w="25400">
              <a:noFill/>
            </a:ln>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Visual'!$C$74:$G$74</c:f>
              <c:numCache>
                <c:formatCode>#,##0_);\(#,##0\)</c:formatCode>
                <c:ptCount val="5"/>
                <c:pt idx="0">
                  <c:v>0</c:v>
                </c:pt>
                <c:pt idx="1">
                  <c:v>0</c:v>
                </c:pt>
                <c:pt idx="2">
                  <c:v>0</c:v>
                </c:pt>
                <c:pt idx="3">
                  <c:v>6</c:v>
                </c:pt>
                <c:pt idx="4">
                  <c:v>1</c:v>
                </c:pt>
              </c:numCache>
            </c:numRef>
          </c:val>
          <c:extLst>
            <c:ext xmlns:c16="http://schemas.microsoft.com/office/drawing/2014/chart" uri="{C3380CC4-5D6E-409C-BE32-E72D297353CC}">
              <c16:uniqueId val="{00000005-2651-4010-BAD1-35DAC8D12963}"/>
            </c:ext>
          </c:extLst>
        </c:ser>
        <c:ser>
          <c:idx val="6"/>
          <c:order val="6"/>
          <c:tx>
            <c:strRef>
              <c:f>'17 Scottish Parliament Visual'!$A$75</c:f>
              <c:strCache>
                <c:ptCount val="1"/>
                <c:pt idx="0">
                  <c:v>Other</c:v>
                </c:pt>
              </c:strCache>
            </c:strRef>
          </c:tx>
          <c:spPr>
            <a:solidFill>
              <a:schemeClr val="bg1">
                <a:lumMod val="65000"/>
              </a:schemeClr>
            </a:solidFill>
            <a:ln>
              <a:noFill/>
            </a:ln>
            <a:effectLst/>
          </c:spPr>
          <c:invertIfNegative val="0"/>
          <c:cat>
            <c:numRef>
              <c:f>'17 Scottish Parliament Visual'!$C$68:$G$68</c:f>
              <c:numCache>
                <c:formatCode>0</c:formatCode>
                <c:ptCount val="5"/>
                <c:pt idx="0">
                  <c:v>2016</c:v>
                </c:pt>
                <c:pt idx="1">
                  <c:v>2011</c:v>
                </c:pt>
                <c:pt idx="2">
                  <c:v>2007</c:v>
                </c:pt>
                <c:pt idx="3">
                  <c:v>2003</c:v>
                </c:pt>
                <c:pt idx="4">
                  <c:v>1999</c:v>
                </c:pt>
              </c:numCache>
            </c:numRef>
          </c:cat>
          <c:val>
            <c:numRef>
              <c:f>'17 Scottish Parliament Visual'!$C$75:$G$75</c:f>
              <c:numCache>
                <c:formatCode>#,##0_);\(#,##0\)</c:formatCode>
                <c:ptCount val="5"/>
                <c:pt idx="0">
                  <c:v>0</c:v>
                </c:pt>
                <c:pt idx="1">
                  <c:v>1</c:v>
                </c:pt>
                <c:pt idx="2">
                  <c:v>1</c:v>
                </c:pt>
                <c:pt idx="3">
                  <c:v>4</c:v>
                </c:pt>
                <c:pt idx="4">
                  <c:v>1</c:v>
                </c:pt>
              </c:numCache>
            </c:numRef>
          </c:val>
          <c:extLst>
            <c:ext xmlns:c16="http://schemas.microsoft.com/office/drawing/2014/chart" uri="{C3380CC4-5D6E-409C-BE32-E72D297353CC}">
              <c16:uniqueId val="{00000006-2651-4010-BAD1-35DAC8D12963}"/>
            </c:ext>
          </c:extLst>
        </c:ser>
        <c:dLbls>
          <c:showLegendKey val="0"/>
          <c:showVal val="0"/>
          <c:showCatName val="0"/>
          <c:showSerName val="0"/>
          <c:showPercent val="0"/>
          <c:showBubbleSize val="0"/>
        </c:dLbls>
        <c:gapWidth val="90"/>
        <c:axId val="460856880"/>
        <c:axId val="460857272"/>
      </c:barChart>
      <c:catAx>
        <c:axId val="460856880"/>
        <c:scaling>
          <c:orientation val="minMax"/>
        </c:scaling>
        <c:delete val="0"/>
        <c:axPos val="l"/>
        <c:numFmt formatCode="0" sourceLinked="1"/>
        <c:majorTickMark val="none"/>
        <c:minorTickMark val="none"/>
        <c:tickLblPos val="nextTo"/>
        <c:spPr>
          <a:noFill/>
          <a:ln w="9525" cap="flat" cmpd="sng" algn="ctr">
            <a:solidFill>
              <a:schemeClr val="tx1"/>
            </a:solidFill>
            <a:round/>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60857272"/>
        <c:crosses val="autoZero"/>
        <c:auto val="1"/>
        <c:lblAlgn val="ctr"/>
        <c:lblOffset val="100"/>
        <c:noMultiLvlLbl val="0"/>
      </c:catAx>
      <c:valAx>
        <c:axId val="460857272"/>
        <c:scaling>
          <c:orientation val="minMax"/>
        </c:scaling>
        <c:delete val="0"/>
        <c:axPos val="b"/>
        <c:numFmt formatCode="#,##0_);\(#,##0\)" sourceLinked="1"/>
        <c:majorTickMark val="none"/>
        <c:minorTickMark val="none"/>
        <c:tickLblPos val="nextTo"/>
        <c:spPr>
          <a:noFill/>
          <a:ln>
            <a:solidFill>
              <a:schemeClr val="tx1"/>
            </a:solidFill>
          </a:ln>
          <a:effectLst/>
        </c:spPr>
        <c:txPr>
          <a:bodyPr rot="0" vert="horz"/>
          <a:lstStyle/>
          <a:p>
            <a:pPr>
              <a:defRPr sz="800" b="0" i="0" u="none" strike="noStrike" baseline="0">
                <a:solidFill>
                  <a:srgbClr val="000000"/>
                </a:solidFill>
                <a:latin typeface="Frutiger LT Std 45 Light"/>
                <a:ea typeface="Frutiger LT Std 45 Light"/>
                <a:cs typeface="Frutiger LT Std 45 Light"/>
              </a:defRPr>
            </a:pPr>
            <a:endParaRPr lang="en-US"/>
          </a:p>
        </c:txPr>
        <c:crossAx val="460856880"/>
        <c:crosses val="autoZero"/>
        <c:crossBetween val="between"/>
        <c:majorUnit val="25"/>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votes (%)</a:t>
            </a:r>
          </a:p>
        </c:rich>
      </c:tx>
      <c:layout>
        <c:manualLayout>
          <c:xMode val="edge"/>
          <c:yMode val="edge"/>
          <c:x val="0.182653617429371"/>
          <c:y val="2.293483897789541E-2"/>
        </c:manualLayout>
      </c:layout>
      <c:overlay val="0"/>
      <c:spPr>
        <a:noFill/>
        <a:ln w="25400">
          <a:noFill/>
        </a:ln>
      </c:spPr>
    </c:title>
    <c:autoTitleDeleted val="0"/>
    <c:plotArea>
      <c:layout>
        <c:manualLayout>
          <c:layoutTarget val="inner"/>
          <c:xMode val="edge"/>
          <c:yMode val="edge"/>
          <c:x val="0.22356517935258094"/>
          <c:y val="7.4741472425290764E-2"/>
          <c:w val="0.49593018601051481"/>
          <c:h val="0.87701924933339592"/>
        </c:manualLayout>
      </c:layout>
      <c:barChart>
        <c:barDir val="bar"/>
        <c:grouping val="stacked"/>
        <c:varyColors val="0"/>
        <c:ser>
          <c:idx val="7"/>
          <c:order val="0"/>
          <c:tx>
            <c:strRef>
              <c:f>'1 GE-Scot'!$C$35</c:f>
              <c:strCache>
                <c:ptCount val="1"/>
                <c:pt idx="0">
                  <c:v>CON2 </c:v>
                </c:pt>
              </c:strCache>
            </c:strRef>
          </c:tx>
          <c:spPr>
            <a:solidFill>
              <a:srgbClr val="00539F"/>
            </a:solidFill>
            <a:ln w="25400">
              <a:noFill/>
            </a:ln>
          </c:spPr>
          <c:invertIfNegative val="0"/>
          <c:cat>
            <c:numRef>
              <c:extLst>
                <c:ext xmlns:c15="http://schemas.microsoft.com/office/drawing/2012/chart" uri="{02D57815-91ED-43cb-92C2-25804820EDAC}">
                  <c15:fullRef>
                    <c15:sqref>'1 GE-Scot'!$A$36:$A$64</c15:sqref>
                  </c15:fullRef>
                </c:ext>
              </c:extLst>
              <c:f>'1 GE-Scot'!$A$37:$A$64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GE-Scot'!$C$36:$C$64</c15:sqref>
                  </c15:fullRef>
                </c:ext>
              </c:extLst>
              <c:f>'1 GE-Scot'!$C$37:$C$64</c:f>
              <c:numCache>
                <c:formatCode>0.0%</c:formatCode>
                <c:ptCount val="28"/>
                <c:pt idx="0">
                  <c:v>0.32800000000000001</c:v>
                </c:pt>
                <c:pt idx="1">
                  <c:v>0.251</c:v>
                </c:pt>
                <c:pt idx="2">
                  <c:v>0.316</c:v>
                </c:pt>
                <c:pt idx="3">
                  <c:v>0.40700000000000003</c:v>
                </c:pt>
                <c:pt idx="4">
                  <c:v>0.35899999999999999</c:v>
                </c:pt>
                <c:pt idx="5">
                  <c:v>0.55400000000000005</c:v>
                </c:pt>
                <c:pt idx="6">
                  <c:v>0.498</c:v>
                </c:pt>
                <c:pt idx="7">
                  <c:v>0.40342534306989608</c:v>
                </c:pt>
                <c:pt idx="8">
                  <c:v>0.44816707766649888</c:v>
                </c:pt>
                <c:pt idx="9">
                  <c:v>0.48573692408877844</c:v>
                </c:pt>
                <c:pt idx="10">
                  <c:v>0.50091025119787491</c:v>
                </c:pt>
                <c:pt idx="11">
                  <c:v>0.47245767874420858</c:v>
                </c:pt>
                <c:pt idx="12">
                  <c:v>0.40602739226862833</c:v>
                </c:pt>
                <c:pt idx="13">
                  <c:v>0.37638400238209041</c:v>
                </c:pt>
                <c:pt idx="14">
                  <c:v>0.37968183585140436</c:v>
                </c:pt>
                <c:pt idx="15">
                  <c:v>0.32928413705913429</c:v>
                </c:pt>
                <c:pt idx="16">
                  <c:v>0.24702757440717363</c:v>
                </c:pt>
                <c:pt idx="17">
                  <c:v>0.31411348069711792</c:v>
                </c:pt>
                <c:pt idx="18">
                  <c:v>0.28375439888408188</c:v>
                </c:pt>
                <c:pt idx="19">
                  <c:v>0.24027194481583716</c:v>
                </c:pt>
                <c:pt idx="20">
                  <c:v>0.25648958385208848</c:v>
                </c:pt>
                <c:pt idx="21">
                  <c:v>0.17504547797673062</c:v>
                </c:pt>
                <c:pt idx="22">
                  <c:v>0.15587926011182948</c:v>
                </c:pt>
                <c:pt idx="23">
                  <c:v>0.15827158727050622</c:v>
                </c:pt>
                <c:pt idx="24">
                  <c:v>0.16745411188346079</c:v>
                </c:pt>
                <c:pt idx="25">
                  <c:v>0.14914963064765505</c:v>
                </c:pt>
                <c:pt idx="26">
                  <c:v>0.28605141346456853</c:v>
                </c:pt>
                <c:pt idx="27">
                  <c:v>0.25115030077261791</c:v>
                </c:pt>
              </c:numCache>
            </c:numRef>
          </c:val>
          <c:extLst>
            <c:ext xmlns:c16="http://schemas.microsoft.com/office/drawing/2014/chart" uri="{C3380CC4-5D6E-409C-BE32-E72D297353CC}">
              <c16:uniqueId val="{00000000-294C-4BD5-AA0F-DE2A516D4C3C}"/>
            </c:ext>
          </c:extLst>
        </c:ser>
        <c:ser>
          <c:idx val="9"/>
          <c:order val="1"/>
          <c:tx>
            <c:strRef>
              <c:f>'1 GE-Scot'!$D$35</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GE-Scot'!$A$36:$A$64</c15:sqref>
                  </c15:fullRef>
                </c:ext>
              </c:extLst>
              <c:f>'1 GE-Scot'!$A$37:$A$64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GE-Scot'!$D$36:$D$64</c15:sqref>
                  </c15:fullRef>
                </c:ext>
              </c:extLst>
              <c:f>'1 GE-Scot'!$D$37:$D$64</c:f>
              <c:numCache>
                <c:formatCode>0.0%</c:formatCode>
                <c:ptCount val="28"/>
                <c:pt idx="0">
                  <c:v>0.22899999999999998</c:v>
                </c:pt>
                <c:pt idx="1">
                  <c:v>0.32200000000000001</c:v>
                </c:pt>
                <c:pt idx="2">
                  <c:v>0.35899999999999999</c:v>
                </c:pt>
                <c:pt idx="3">
                  <c:v>0.41100000000000003</c:v>
                </c:pt>
                <c:pt idx="4">
                  <c:v>0.42299999999999999</c:v>
                </c:pt>
                <c:pt idx="5">
                  <c:v>0.32600000000000001</c:v>
                </c:pt>
                <c:pt idx="6">
                  <c:v>0.36799999999999999</c:v>
                </c:pt>
                <c:pt idx="7">
                  <c:v>0.47881243169147392</c:v>
                </c:pt>
                <c:pt idx="8">
                  <c:v>0.46188337189054546</c:v>
                </c:pt>
                <c:pt idx="9">
                  <c:v>0.47887763032892133</c:v>
                </c:pt>
                <c:pt idx="10">
                  <c:v>0.46714091474937225</c:v>
                </c:pt>
                <c:pt idx="11">
                  <c:v>0.4668224672194663</c:v>
                </c:pt>
                <c:pt idx="12">
                  <c:v>0.48724539663295924</c:v>
                </c:pt>
                <c:pt idx="13">
                  <c:v>0.49910906683174133</c:v>
                </c:pt>
                <c:pt idx="14">
                  <c:v>0.44529886710053246</c:v>
                </c:pt>
                <c:pt idx="15">
                  <c:v>0.3663226622100223</c:v>
                </c:pt>
                <c:pt idx="16">
                  <c:v>0.36277895552048312</c:v>
                </c:pt>
                <c:pt idx="17">
                  <c:v>0.4153567962005556</c:v>
                </c:pt>
                <c:pt idx="18">
                  <c:v>0.35072612565407957</c:v>
                </c:pt>
                <c:pt idx="19">
                  <c:v>0.42392634563961012</c:v>
                </c:pt>
                <c:pt idx="20">
                  <c:v>0.38984608919472608</c:v>
                </c:pt>
                <c:pt idx="21">
                  <c:v>0.4556140627418569</c:v>
                </c:pt>
                <c:pt idx="22">
                  <c:v>0.43271494458445581</c:v>
                </c:pt>
                <c:pt idx="23">
                  <c:v>0.38872876021846814</c:v>
                </c:pt>
                <c:pt idx="24">
                  <c:v>0.4199596071020123</c:v>
                </c:pt>
                <c:pt idx="25">
                  <c:v>0.2429479470881292</c:v>
                </c:pt>
                <c:pt idx="26">
                  <c:v>0.27059982375329988</c:v>
                </c:pt>
                <c:pt idx="27">
                  <c:v>0.18551166501936708</c:v>
                </c:pt>
              </c:numCache>
            </c:numRef>
          </c:val>
          <c:extLst>
            <c:ext xmlns:c16="http://schemas.microsoft.com/office/drawing/2014/chart" uri="{C3380CC4-5D6E-409C-BE32-E72D297353CC}">
              <c16:uniqueId val="{00000001-294C-4BD5-AA0F-DE2A516D4C3C}"/>
            </c:ext>
          </c:extLst>
        </c:ser>
        <c:ser>
          <c:idx val="8"/>
          <c:order val="2"/>
          <c:tx>
            <c:strRef>
              <c:f>'1 GE-Scot'!$E$35</c:f>
              <c:strCache>
                <c:ptCount val="1"/>
                <c:pt idx="0">
                  <c:v>LD3 </c:v>
                </c:pt>
              </c:strCache>
            </c:strRef>
          </c:tx>
          <c:spPr>
            <a:solidFill>
              <a:srgbClr val="FAA01A"/>
            </a:solidFill>
            <a:ln w="25400">
              <a:noFill/>
            </a:ln>
          </c:spPr>
          <c:invertIfNegative val="0"/>
          <c:cat>
            <c:numRef>
              <c:extLst>
                <c:ext xmlns:c15="http://schemas.microsoft.com/office/drawing/2012/chart" uri="{02D57815-91ED-43cb-92C2-25804820EDAC}">
                  <c15:fullRef>
                    <c15:sqref>'1 GE-Scot'!$A$36:$A$64</c15:sqref>
                  </c15:fullRef>
                </c:ext>
              </c:extLst>
              <c:f>'1 GE-Scot'!$A$37:$A$64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GE-Scot'!$E$36:$E$64</c15:sqref>
                  </c15:fullRef>
                </c:ext>
              </c:extLst>
              <c:f>'1 GE-Scot'!$E$37:$E$64</c:f>
              <c:numCache>
                <c:formatCode>0.0%</c:formatCode>
                <c:ptCount val="28"/>
                <c:pt idx="0">
                  <c:v>0.34099999999999997</c:v>
                </c:pt>
                <c:pt idx="1">
                  <c:v>0.39200000000000002</c:v>
                </c:pt>
                <c:pt idx="2">
                  <c:v>0.28399999999999997</c:v>
                </c:pt>
                <c:pt idx="3">
                  <c:v>0.16600000000000001</c:v>
                </c:pt>
                <c:pt idx="4">
                  <c:v>0.18100000000000002</c:v>
                </c:pt>
                <c:pt idx="5">
                  <c:v>8.5999999999999993E-2</c:v>
                </c:pt>
                <c:pt idx="6">
                  <c:v>6.7000000000000004E-2</c:v>
                </c:pt>
                <c:pt idx="7">
                  <c:v>5.5587867568911063E-2</c:v>
                </c:pt>
                <c:pt idx="8">
                  <c:v>6.6113271651573852E-2</c:v>
                </c:pt>
                <c:pt idx="9">
                  <c:v>2.746417446380043E-2</c:v>
                </c:pt>
                <c:pt idx="10">
                  <c:v>1.8587604698547609E-2</c:v>
                </c:pt>
                <c:pt idx="11">
                  <c:v>4.084816081496135E-2</c:v>
                </c:pt>
                <c:pt idx="12">
                  <c:v>7.5938522830749505E-2</c:v>
                </c:pt>
                <c:pt idx="13">
                  <c:v>6.7563215508662497E-2</c:v>
                </c:pt>
                <c:pt idx="14">
                  <c:v>5.4930837519785287E-2</c:v>
                </c:pt>
                <c:pt idx="15">
                  <c:v>7.937514612540375E-2</c:v>
                </c:pt>
                <c:pt idx="16">
                  <c:v>8.2975569060016283E-2</c:v>
                </c:pt>
                <c:pt idx="17">
                  <c:v>8.9906285903936609E-2</c:v>
                </c:pt>
                <c:pt idx="18">
                  <c:v>0.2452166339774409</c:v>
                </c:pt>
                <c:pt idx="19">
                  <c:v>0.19207880024583801</c:v>
                </c:pt>
                <c:pt idx="20">
                  <c:v>0.13093299514479323</c:v>
                </c:pt>
                <c:pt idx="21">
                  <c:v>0.1297105740378621</c:v>
                </c:pt>
                <c:pt idx="22">
                  <c:v>0.16338930570544768</c:v>
                </c:pt>
                <c:pt idx="23">
                  <c:v>0.22626459635792134</c:v>
                </c:pt>
                <c:pt idx="24">
                  <c:v>0.18877231545393341</c:v>
                </c:pt>
                <c:pt idx="25">
                  <c:v>7.5485311802095861E-2</c:v>
                </c:pt>
                <c:pt idx="26">
                  <c:v>6.757834392260241E-2</c:v>
                </c:pt>
                <c:pt idx="27">
                  <c:v>9.5334970846965697E-2</c:v>
                </c:pt>
              </c:numCache>
            </c:numRef>
          </c:val>
          <c:extLst>
            <c:ext xmlns:c16="http://schemas.microsoft.com/office/drawing/2014/chart" uri="{C3380CC4-5D6E-409C-BE32-E72D297353CC}">
              <c16:uniqueId val="{00000002-294C-4BD5-AA0F-DE2A516D4C3C}"/>
            </c:ext>
          </c:extLst>
        </c:ser>
        <c:ser>
          <c:idx val="0"/>
          <c:order val="3"/>
          <c:tx>
            <c:strRef>
              <c:f>'1 GE-Scot'!$F$35</c:f>
              <c:strCache>
                <c:ptCount val="1"/>
                <c:pt idx="0">
                  <c:v>SNP </c:v>
                </c:pt>
              </c:strCache>
            </c:strRef>
          </c:tx>
          <c:spPr>
            <a:solidFill>
              <a:srgbClr val="FFF685"/>
            </a:solidFill>
          </c:spPr>
          <c:invertIfNegative val="0"/>
          <c:cat>
            <c:numRef>
              <c:extLst>
                <c:ext xmlns:c15="http://schemas.microsoft.com/office/drawing/2012/chart" uri="{02D57815-91ED-43cb-92C2-25804820EDAC}">
                  <c15:fullRef>
                    <c15:sqref>'1 GE-Scot'!$A$36:$A$64</c15:sqref>
                  </c15:fullRef>
                </c:ext>
              </c:extLst>
              <c:f>'1 GE-Scot'!$A$37:$A$64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GE-Scot'!$F$36:$F$64</c15:sqref>
                  </c15:fullRef>
                </c:ext>
              </c:extLst>
              <c:f>'1 GE-Scot'!$F$37:$F$64</c:f>
              <c:numCache>
                <c:formatCode>0.0%</c:formatCode>
                <c:ptCount val="28"/>
                <c:pt idx="4">
                  <c:v>2E-3</c:v>
                </c:pt>
                <c:pt idx="5">
                  <c:v>0.01</c:v>
                </c:pt>
                <c:pt idx="6">
                  <c:v>1.1000000000000001E-2</c:v>
                </c:pt>
                <c:pt idx="7">
                  <c:v>1.2801833723030162E-2</c:v>
                </c:pt>
                <c:pt idx="8">
                  <c:v>3.5603685648942082E-3</c:v>
                </c:pt>
                <c:pt idx="9">
                  <c:v>2.6275839799095486E-3</c:v>
                </c:pt>
                <c:pt idx="10">
                  <c:v>4.7624028115162706E-3</c:v>
                </c:pt>
                <c:pt idx="11">
                  <c:v>8.1491636591836669E-3</c:v>
                </c:pt>
                <c:pt idx="12">
                  <c:v>2.4309376327319502E-2</c:v>
                </c:pt>
                <c:pt idx="13">
                  <c:v>5.0334981468276661E-2</c:v>
                </c:pt>
                <c:pt idx="14">
                  <c:v>0.11412767112994214</c:v>
                </c:pt>
                <c:pt idx="15">
                  <c:v>0.21931539707143041</c:v>
                </c:pt>
                <c:pt idx="16">
                  <c:v>0.30441851114226781</c:v>
                </c:pt>
                <c:pt idx="17">
                  <c:v>0.1728905585439669</c:v>
                </c:pt>
                <c:pt idx="18">
                  <c:v>0.11753074793420616</c:v>
                </c:pt>
                <c:pt idx="19">
                  <c:v>0.1403301696066592</c:v>
                </c:pt>
                <c:pt idx="20">
                  <c:v>0.21474381058349121</c:v>
                </c:pt>
                <c:pt idx="21">
                  <c:v>0.22066226726707536</c:v>
                </c:pt>
                <c:pt idx="22">
                  <c:v>0.20068020889475346</c:v>
                </c:pt>
                <c:pt idx="23">
                  <c:v>0.17664394205889145</c:v>
                </c:pt>
                <c:pt idx="24">
                  <c:v>0.19928217440323143</c:v>
                </c:pt>
                <c:pt idx="25">
                  <c:v>0.49970795395980078</c:v>
                </c:pt>
                <c:pt idx="26">
                  <c:v>0.36893604735639379</c:v>
                </c:pt>
                <c:pt idx="27">
                  <c:v>0.45029087794724365</c:v>
                </c:pt>
              </c:numCache>
            </c:numRef>
          </c:val>
          <c:extLst>
            <c:ext xmlns:c16="http://schemas.microsoft.com/office/drawing/2014/chart" uri="{C3380CC4-5D6E-409C-BE32-E72D297353CC}">
              <c16:uniqueId val="{00000003-294C-4BD5-AA0F-DE2A516D4C3C}"/>
            </c:ext>
          </c:extLst>
        </c:ser>
        <c:dLbls>
          <c:showLegendKey val="0"/>
          <c:showVal val="0"/>
          <c:showCatName val="0"/>
          <c:showSerName val="0"/>
          <c:showPercent val="0"/>
          <c:showBubbleSize val="0"/>
        </c:dLbls>
        <c:gapWidth val="62"/>
        <c:overlap val="100"/>
        <c:axId val="464808768"/>
        <c:axId val="464809160"/>
      </c:barChart>
      <c:catAx>
        <c:axId val="464808768"/>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809160"/>
        <c:crosses val="autoZero"/>
        <c:auto val="1"/>
        <c:lblAlgn val="ctr"/>
        <c:lblOffset val="100"/>
        <c:tickLblSkip val="1"/>
        <c:noMultiLvlLbl val="0"/>
      </c:catAx>
      <c:valAx>
        <c:axId val="464809160"/>
        <c:scaling>
          <c:orientation val="minMax"/>
          <c:max val="1"/>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808768"/>
        <c:crosses val="max"/>
        <c:crossBetween val="between"/>
        <c:majorUnit val="0.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votes (thousands)</a:t>
            </a:r>
          </a:p>
        </c:rich>
      </c:tx>
      <c:layout>
        <c:manualLayout>
          <c:xMode val="edge"/>
          <c:yMode val="edge"/>
          <c:x val="0.20826530909910262"/>
          <c:y val="1.3242888465020504E-3"/>
        </c:manualLayout>
      </c:layout>
      <c:overlay val="0"/>
      <c:spPr>
        <a:noFill/>
        <a:ln w="25400">
          <a:noFill/>
        </a:ln>
      </c:spPr>
    </c:title>
    <c:autoTitleDeleted val="0"/>
    <c:plotArea>
      <c:layout>
        <c:manualLayout>
          <c:layoutTarget val="inner"/>
          <c:xMode val="edge"/>
          <c:yMode val="edge"/>
          <c:x val="0.22356509159536206"/>
          <c:y val="8.0785491644100538E-2"/>
          <c:w val="0.49593018601051481"/>
          <c:h val="0.86785557813560532"/>
        </c:manualLayout>
      </c:layout>
      <c:barChart>
        <c:barDir val="bar"/>
        <c:grouping val="stacked"/>
        <c:varyColors val="0"/>
        <c:ser>
          <c:idx val="0"/>
          <c:order val="0"/>
          <c:tx>
            <c:v>CON</c:v>
          </c:tx>
          <c:spPr>
            <a:solidFill>
              <a:srgbClr val="00539F"/>
            </a:solidFill>
            <a:ln w="25400">
              <a:noFill/>
            </a:ln>
          </c:spPr>
          <c:invertIfNegative val="0"/>
          <c:cat>
            <c:numRef>
              <c:extLst>
                <c:ext xmlns:c15="http://schemas.microsoft.com/office/drawing/2012/chart" uri="{02D57815-91ED-43cb-92C2-25804820EDAC}">
                  <c15:fullRef>
                    <c15:sqref>'1 GE-Scot'!$A$4:$A$32</c15:sqref>
                  </c15:fullRef>
                </c:ext>
              </c:extLst>
              <c:f>'1 GE-Scot'!$A$5:$A$32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GE-Scot'!$C$4:$C$32</c15:sqref>
                  </c15:fullRef>
                </c:ext>
              </c:extLst>
              <c:f>'1 GE-Scot'!$C$5:$C$32</c:f>
              <c:numCache>
                <c:formatCode>0.0</c:formatCode>
                <c:ptCount val="28"/>
                <c:pt idx="0">
                  <c:v>358.46899999999999</c:v>
                </c:pt>
                <c:pt idx="1">
                  <c:v>379.39600000000002</c:v>
                </c:pt>
                <c:pt idx="2">
                  <c:v>468.52600000000001</c:v>
                </c:pt>
                <c:pt idx="3">
                  <c:v>688.29899999999998</c:v>
                </c:pt>
                <c:pt idx="4">
                  <c:v>792.06299999999999</c:v>
                </c:pt>
                <c:pt idx="5">
                  <c:v>1180.001</c:v>
                </c:pt>
                <c:pt idx="6">
                  <c:v>1135.403</c:v>
                </c:pt>
                <c:pt idx="7" formatCode="#,##0.0;\-#,##0.0">
                  <c:v>964.14300000000003</c:v>
                </c:pt>
                <c:pt idx="8" formatCode="#,##0.0;\-#,##0.0">
                  <c:v>1222.01</c:v>
                </c:pt>
                <c:pt idx="9" formatCode="#,##0.0;\-#,##0.0">
                  <c:v>1349.298</c:v>
                </c:pt>
                <c:pt idx="10" formatCode="#,##0.0;\-#,##0.0">
                  <c:v>1273.942</c:v>
                </c:pt>
                <c:pt idx="11" formatCode="#,##0.0;\-#,##0.0">
                  <c:v>1260.287</c:v>
                </c:pt>
                <c:pt idx="12" formatCode="#,##0.0;\-#,##0.0">
                  <c:v>1069.6949999999999</c:v>
                </c:pt>
                <c:pt idx="13" formatCode="#,##0.0;\-#,##0.0">
                  <c:v>960.67499999999995</c:v>
                </c:pt>
                <c:pt idx="14" formatCode="#,##0.0;\-#,##0.0">
                  <c:v>1020.674</c:v>
                </c:pt>
                <c:pt idx="15" formatCode="#,##0.0;\-#,##0.0">
                  <c:v>950.66800000000001</c:v>
                </c:pt>
                <c:pt idx="16" formatCode="#,##0.0;\-#,##0.0">
                  <c:v>681.327</c:v>
                </c:pt>
                <c:pt idx="17" formatCode="#,##0.0;\-#,##0.0">
                  <c:v>916.15499999999997</c:v>
                </c:pt>
                <c:pt idx="18" formatCode="#,##0.0;\-#,##0.0">
                  <c:v>801.48699999999997</c:v>
                </c:pt>
                <c:pt idx="19" formatCode="#,##0.0;\-#,##0.0">
                  <c:v>713.08100000000002</c:v>
                </c:pt>
                <c:pt idx="20" formatCode="#,##0.0;\-#,##0.0">
                  <c:v>751.95</c:v>
                </c:pt>
                <c:pt idx="21" formatCode="#,##0.0;\-#,##0.0">
                  <c:v>493.05900000000003</c:v>
                </c:pt>
                <c:pt idx="22" formatCode="#,##0.0">
                  <c:v>360.65800000000002</c:v>
                </c:pt>
                <c:pt idx="23" formatCode="#,##0.0">
                  <c:v>369.38799999999998</c:v>
                </c:pt>
                <c:pt idx="24" formatCode="#,##0.0">
                  <c:v>412.90499999999997</c:v>
                </c:pt>
                <c:pt idx="25" formatCode="#,##0.0">
                  <c:v>434.1</c:v>
                </c:pt>
                <c:pt idx="26" formatCode="#,##0.0">
                  <c:v>757.94899999999996</c:v>
                </c:pt>
                <c:pt idx="27" formatCode="#,##0.0">
                  <c:v>692.93899999999996</c:v>
                </c:pt>
              </c:numCache>
            </c:numRef>
          </c:val>
          <c:extLst>
            <c:ext xmlns:c16="http://schemas.microsoft.com/office/drawing/2014/chart" uri="{C3380CC4-5D6E-409C-BE32-E72D297353CC}">
              <c16:uniqueId val="{00000000-9CFA-4481-AE10-146DECEDD73E}"/>
            </c:ext>
          </c:extLst>
        </c:ser>
        <c:ser>
          <c:idx val="2"/>
          <c:order val="1"/>
          <c:tx>
            <c:strRef>
              <c:f>'1 GE-Scot'!$D$3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GE-Scot'!$A$4:$A$32</c15:sqref>
                  </c15:fullRef>
                </c:ext>
              </c:extLst>
              <c:f>'1 GE-Scot'!$A$5:$A$32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GE-Scot'!$D$4:$D$32</c15:sqref>
                  </c15:fullRef>
                </c:ext>
              </c:extLst>
              <c:f>'1 GE-Scot'!$D$5:$D$32</c:f>
              <c:numCache>
                <c:formatCode>0.0</c:formatCode>
                <c:ptCount val="28"/>
                <c:pt idx="0">
                  <c:v>265.74400000000003</c:v>
                </c:pt>
                <c:pt idx="1">
                  <c:v>501.25400000000002</c:v>
                </c:pt>
                <c:pt idx="2">
                  <c:v>532.45000000000005</c:v>
                </c:pt>
                <c:pt idx="3">
                  <c:v>697.14599999999996</c:v>
                </c:pt>
                <c:pt idx="4">
                  <c:v>937.3</c:v>
                </c:pt>
                <c:pt idx="5">
                  <c:v>696.24800000000005</c:v>
                </c:pt>
                <c:pt idx="6">
                  <c:v>863.78899999999999</c:v>
                </c:pt>
                <c:pt idx="7" formatCode="#,##0.0;\-#,##0.0">
                  <c:v>1144.31</c:v>
                </c:pt>
                <c:pt idx="8" formatCode="#,##0.0;\-#,##0.0">
                  <c:v>1259.4100000000001</c:v>
                </c:pt>
                <c:pt idx="9" formatCode="#,##0.0;\-#,##0.0">
                  <c:v>1330.2439999999999</c:v>
                </c:pt>
                <c:pt idx="10" formatCode="#,##0.0;\-#,##0.0">
                  <c:v>1188.058</c:v>
                </c:pt>
                <c:pt idx="11" formatCode="#,##0.0;\-#,##0.0">
                  <c:v>1245.2550000000001</c:v>
                </c:pt>
                <c:pt idx="12" formatCode="#,##0.0;\-#,##0.0">
                  <c:v>1283.6669999999999</c:v>
                </c:pt>
                <c:pt idx="13" formatCode="#,##0.0;\-#,##0.0">
                  <c:v>1273.9159999999999</c:v>
                </c:pt>
                <c:pt idx="14" formatCode="#,##0.0;\-#,##0.0">
                  <c:v>1197.068</c:v>
                </c:pt>
                <c:pt idx="15" formatCode="#,##0.0;\-#,##0.0">
                  <c:v>1057.6010000000001</c:v>
                </c:pt>
                <c:pt idx="16" formatCode="#,##0.0;\-#,##0.0">
                  <c:v>1000.581</c:v>
                </c:pt>
                <c:pt idx="17" formatCode="#,##0.0;\-#,##0.0">
                  <c:v>1211.4449999999999</c:v>
                </c:pt>
                <c:pt idx="18" formatCode="#,##0.0;\-#,##0.0">
                  <c:v>990.654</c:v>
                </c:pt>
                <c:pt idx="19" formatCode="#,##0.0;\-#,##0.0">
                  <c:v>1258.1320000000001</c:v>
                </c:pt>
                <c:pt idx="20" formatCode="#,##0.0;\-#,##0.0">
                  <c:v>1142.9110000000001</c:v>
                </c:pt>
                <c:pt idx="21" formatCode="#,##0.0;\-#,##0.0">
                  <c:v>1283.3499999999999</c:v>
                </c:pt>
                <c:pt idx="22" formatCode="#,##0.0">
                  <c:v>1001.173</c:v>
                </c:pt>
                <c:pt idx="23" formatCode="#,##0.0">
                  <c:v>907.24900000000002</c:v>
                </c:pt>
                <c:pt idx="24" formatCode="#,##0.0">
                  <c:v>1035.528</c:v>
                </c:pt>
                <c:pt idx="25" formatCode="#,##0.0">
                  <c:v>707.1</c:v>
                </c:pt>
                <c:pt idx="26" formatCode="#,##0.0">
                  <c:v>717.00699999999995</c:v>
                </c:pt>
                <c:pt idx="27" formatCode="#,##0.0">
                  <c:v>511.83800000000002</c:v>
                </c:pt>
              </c:numCache>
            </c:numRef>
          </c:val>
          <c:extLst>
            <c:ext xmlns:c16="http://schemas.microsoft.com/office/drawing/2014/chart" uri="{C3380CC4-5D6E-409C-BE32-E72D297353CC}">
              <c16:uniqueId val="{00000001-9CFA-4481-AE10-146DECEDD73E}"/>
            </c:ext>
          </c:extLst>
        </c:ser>
        <c:ser>
          <c:idx val="1"/>
          <c:order val="2"/>
          <c:tx>
            <c:v>LD</c:v>
          </c:tx>
          <c:spPr>
            <a:solidFill>
              <a:srgbClr val="FAA01A"/>
            </a:solidFill>
            <a:ln w="25400">
              <a:noFill/>
            </a:ln>
          </c:spPr>
          <c:invertIfNegative val="0"/>
          <c:cat>
            <c:numRef>
              <c:extLst>
                <c:ext xmlns:c15="http://schemas.microsoft.com/office/drawing/2012/chart" uri="{02D57815-91ED-43cb-92C2-25804820EDAC}">
                  <c15:fullRef>
                    <c15:sqref>'1 GE-Scot'!$A$4:$A$32</c15:sqref>
                  </c15:fullRef>
                </c:ext>
              </c:extLst>
              <c:f>'1 GE-Scot'!$A$5:$A$32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GE-Scot'!$E$4:$E$32</c15:sqref>
                  </c15:fullRef>
                </c:ext>
              </c:extLst>
              <c:f>'1 GE-Scot'!$E$5:$E$32</c:f>
              <c:numCache>
                <c:formatCode>0.0</c:formatCode>
                <c:ptCount val="28"/>
                <c:pt idx="0">
                  <c:v>385.10500000000002</c:v>
                </c:pt>
                <c:pt idx="1">
                  <c:v>617.178</c:v>
                </c:pt>
                <c:pt idx="2">
                  <c:v>422.995</c:v>
                </c:pt>
                <c:pt idx="3">
                  <c:v>286.54000000000002</c:v>
                </c:pt>
                <c:pt idx="4">
                  <c:v>407.08100000000002</c:v>
                </c:pt>
                <c:pt idx="5">
                  <c:v>205.38399999999999</c:v>
                </c:pt>
                <c:pt idx="6">
                  <c:v>174.23500000000001</c:v>
                </c:pt>
                <c:pt idx="7" formatCode="#,##0.0;\-#,##0.0">
                  <c:v>132.84899999999999</c:v>
                </c:pt>
                <c:pt idx="8" formatCode="#,##0.0;\-#,##0.0">
                  <c:v>180.27</c:v>
                </c:pt>
                <c:pt idx="9" formatCode="#,##0.0;\-#,##0.0">
                  <c:v>76.290999999999997</c:v>
                </c:pt>
                <c:pt idx="10" formatCode="#,##0.0;\-#,##0.0">
                  <c:v>47.273000000000003</c:v>
                </c:pt>
                <c:pt idx="11" formatCode="#,##0.0;\-#,##0.0">
                  <c:v>108.96299999999999</c:v>
                </c:pt>
                <c:pt idx="12" formatCode="#,##0.0;\-#,##0.0">
                  <c:v>200.06299999999999</c:v>
                </c:pt>
                <c:pt idx="13" formatCode="#,##0.0;\-#,##0.0">
                  <c:v>172.447</c:v>
                </c:pt>
                <c:pt idx="14" formatCode="#,##0.0;\-#,##0.0">
                  <c:v>147.667</c:v>
                </c:pt>
                <c:pt idx="15" formatCode="#,##0.0;\-#,##0.0">
                  <c:v>229.16200000000001</c:v>
                </c:pt>
                <c:pt idx="16" formatCode="#,##0.0;\-#,##0.0">
                  <c:v>228.85499999999999</c:v>
                </c:pt>
                <c:pt idx="17" formatCode="#,##0.0;\-#,##0.0">
                  <c:v>262.22399999999999</c:v>
                </c:pt>
                <c:pt idx="18" formatCode="#,##0.0;\-#,##0.0">
                  <c:v>692.63400000000001</c:v>
                </c:pt>
                <c:pt idx="19" formatCode="#,##0.0;\-#,##0.0">
                  <c:v>570.053</c:v>
                </c:pt>
                <c:pt idx="20" formatCode="#,##0.0;\-#,##0.0">
                  <c:v>383.85599999999999</c:v>
                </c:pt>
                <c:pt idx="21" formatCode="#,##0.0;\-#,##0.0">
                  <c:v>365.36200000000002</c:v>
                </c:pt>
                <c:pt idx="22" formatCode="#,##0.0">
                  <c:v>378.03399999999999</c:v>
                </c:pt>
                <c:pt idx="23" formatCode="#,##0.0">
                  <c:v>528.07600000000002</c:v>
                </c:pt>
                <c:pt idx="24" formatCode="#,##0.0">
                  <c:v>465.471</c:v>
                </c:pt>
                <c:pt idx="25" formatCode="#,##0.0">
                  <c:v>219.7</c:v>
                </c:pt>
                <c:pt idx="26" formatCode="#,##0.0">
                  <c:v>179.06200000000001</c:v>
                </c:pt>
                <c:pt idx="27" formatCode="#,##0.0">
                  <c:v>263.03500000000003</c:v>
                </c:pt>
              </c:numCache>
            </c:numRef>
          </c:val>
          <c:extLst>
            <c:ext xmlns:c16="http://schemas.microsoft.com/office/drawing/2014/chart" uri="{C3380CC4-5D6E-409C-BE32-E72D297353CC}">
              <c16:uniqueId val="{00000002-9CFA-4481-AE10-146DECEDD73E}"/>
            </c:ext>
          </c:extLst>
        </c:ser>
        <c:ser>
          <c:idx val="3"/>
          <c:order val="3"/>
          <c:tx>
            <c:strRef>
              <c:f>'1 GE-Scot'!$F$3</c:f>
              <c:strCache>
                <c:ptCount val="1"/>
                <c:pt idx="0">
                  <c:v>SNP </c:v>
                </c:pt>
              </c:strCache>
            </c:strRef>
          </c:tx>
          <c:spPr>
            <a:solidFill>
              <a:srgbClr val="FFF685"/>
            </a:solidFill>
            <a:ln>
              <a:noFill/>
            </a:ln>
          </c:spPr>
          <c:invertIfNegative val="0"/>
          <c:cat>
            <c:numRef>
              <c:extLst>
                <c:ext xmlns:c15="http://schemas.microsoft.com/office/drawing/2012/chart" uri="{02D57815-91ED-43cb-92C2-25804820EDAC}">
                  <c15:fullRef>
                    <c15:sqref>'1 GE-Scot'!$A$4:$A$32</c15:sqref>
                  </c15:fullRef>
                </c:ext>
              </c:extLst>
              <c:f>'1 GE-Scot'!$A$5:$A$32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GE-Scot'!$F$4:$F$32</c15:sqref>
                  </c15:fullRef>
                </c:ext>
              </c:extLst>
              <c:f>'1 GE-Scot'!$F$5:$F$32</c:f>
              <c:numCache>
                <c:formatCode>0.0</c:formatCode>
                <c:ptCount val="28"/>
                <c:pt idx="4">
                  <c:v>3.3130000000000002</c:v>
                </c:pt>
                <c:pt idx="5">
                  <c:v>20.954000000000001</c:v>
                </c:pt>
                <c:pt idx="6">
                  <c:v>25.652000000000001</c:v>
                </c:pt>
                <c:pt idx="7" formatCode="#,##0.0;\-#,##0.0">
                  <c:v>30.594999999999999</c:v>
                </c:pt>
                <c:pt idx="8" formatCode="#,##0.0;\-#,##0.0">
                  <c:v>9.7080000000000002</c:v>
                </c:pt>
                <c:pt idx="9" formatCode="#,##0.0;\-#,##0.0">
                  <c:v>7.2990000000000004</c:v>
                </c:pt>
                <c:pt idx="10" formatCode="#,##0.0;\-#,##0.0">
                  <c:v>12.112</c:v>
                </c:pt>
                <c:pt idx="11" formatCode="#,##0.0;\-#,##0.0">
                  <c:v>21.738</c:v>
                </c:pt>
                <c:pt idx="12" formatCode="#,##0.0;\-#,##0.0">
                  <c:v>64.043999999999997</c:v>
                </c:pt>
                <c:pt idx="13" formatCode="#,##0.0;\-#,##0.0">
                  <c:v>128.47399999999999</c:v>
                </c:pt>
                <c:pt idx="14" formatCode="#,##0.0;\-#,##0.0">
                  <c:v>306.80200000000002</c:v>
                </c:pt>
                <c:pt idx="15" formatCode="#,##0.0;\-#,##0.0">
                  <c:v>633.17999999999995</c:v>
                </c:pt>
                <c:pt idx="16" formatCode="#,##0.0;\-#,##0.0">
                  <c:v>839.61699999999996</c:v>
                </c:pt>
                <c:pt idx="17" formatCode="#,##0.0;\-#,##0.0">
                  <c:v>504.25900000000001</c:v>
                </c:pt>
                <c:pt idx="18" formatCode="#,##0.0;\-#,##0.0">
                  <c:v>331.97500000000002</c:v>
                </c:pt>
                <c:pt idx="19" formatCode="#,##0.0;\-#,##0.0">
                  <c:v>416.47300000000001</c:v>
                </c:pt>
                <c:pt idx="20" formatCode="#,##0.0;\-#,##0.0">
                  <c:v>629.56399999999996</c:v>
                </c:pt>
                <c:pt idx="21" formatCode="#,##0.0;\-#,##0.0">
                  <c:v>621.54999999999995</c:v>
                </c:pt>
                <c:pt idx="22" formatCode="#,##0.0">
                  <c:v>464.31400000000002</c:v>
                </c:pt>
                <c:pt idx="23" formatCode="#,##0.0">
                  <c:v>412.267</c:v>
                </c:pt>
                <c:pt idx="24" formatCode="#,##0.0">
                  <c:v>491.38600000000002</c:v>
                </c:pt>
                <c:pt idx="25" formatCode="#,##0.0">
                  <c:v>1454.4</c:v>
                </c:pt>
                <c:pt idx="26" formatCode="#,##0.0">
                  <c:v>977.56799999999998</c:v>
                </c:pt>
                <c:pt idx="27" formatCode="#,##0.0">
                  <c:v>1242.3800000000001</c:v>
                </c:pt>
              </c:numCache>
            </c:numRef>
          </c:val>
          <c:extLst>
            <c:ext xmlns:c16="http://schemas.microsoft.com/office/drawing/2014/chart" uri="{C3380CC4-5D6E-409C-BE32-E72D297353CC}">
              <c16:uniqueId val="{00000003-9CFA-4481-AE10-146DECEDD73E}"/>
            </c:ext>
          </c:extLst>
        </c:ser>
        <c:dLbls>
          <c:showLegendKey val="0"/>
          <c:showVal val="0"/>
          <c:showCatName val="0"/>
          <c:showSerName val="0"/>
          <c:showPercent val="0"/>
          <c:showBubbleSize val="0"/>
        </c:dLbls>
        <c:gapWidth val="62"/>
        <c:overlap val="100"/>
        <c:axId val="464809944"/>
        <c:axId val="464810336"/>
      </c:barChart>
      <c:catAx>
        <c:axId val="464809944"/>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810336"/>
        <c:crosses val="autoZero"/>
        <c:auto val="1"/>
        <c:lblAlgn val="ctr"/>
        <c:lblOffset val="100"/>
        <c:tickLblSkip val="1"/>
        <c:noMultiLvlLbl val="0"/>
      </c:catAx>
      <c:valAx>
        <c:axId val="464810336"/>
        <c:scaling>
          <c:orientation val="minMax"/>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809944"/>
        <c:crosses val="max"/>
        <c:crossBetween val="between"/>
      </c:valAx>
      <c:spPr>
        <a:noFill/>
        <a:ln w="25400">
          <a:noFill/>
        </a:ln>
      </c:spPr>
    </c:plotArea>
    <c:legend>
      <c:legendPos val="r"/>
      <c:layout>
        <c:manualLayout>
          <c:xMode val="edge"/>
          <c:yMode val="edge"/>
          <c:x val="0.64903997577225925"/>
          <c:y val="0.12475252732136806"/>
          <c:w val="0.30288512012921454"/>
          <c:h val="0.17425758196410418"/>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candidates </a:t>
            </a:r>
          </a:p>
        </c:rich>
      </c:tx>
      <c:layout>
        <c:manualLayout>
          <c:xMode val="edge"/>
          <c:yMode val="edge"/>
          <c:x val="0.12511980635975131"/>
          <c:y val="2.2474464737177518E-3"/>
        </c:manualLayout>
      </c:layout>
      <c:overlay val="0"/>
      <c:spPr>
        <a:noFill/>
        <a:ln w="25400">
          <a:noFill/>
        </a:ln>
      </c:spPr>
    </c:title>
    <c:autoTitleDeleted val="0"/>
    <c:plotArea>
      <c:layout>
        <c:manualLayout>
          <c:layoutTarget val="inner"/>
          <c:xMode val="edge"/>
          <c:yMode val="edge"/>
          <c:x val="0.22356517935258094"/>
          <c:y val="5.7824254158863622E-2"/>
          <c:w val="0.48953530352780994"/>
          <c:h val="0.88675726898814211"/>
        </c:manualLayout>
      </c:layout>
      <c:barChart>
        <c:barDir val="bar"/>
        <c:grouping val="clustered"/>
        <c:varyColors val="0"/>
        <c:ser>
          <c:idx val="7"/>
          <c:order val="0"/>
          <c:tx>
            <c:strRef>
              <c:f>'1 GE-Scot'!$L$3</c:f>
              <c:strCache>
                <c:ptCount val="1"/>
                <c:pt idx="0">
                  <c:v>CON2 </c:v>
                </c:pt>
              </c:strCache>
            </c:strRef>
          </c:tx>
          <c:spPr>
            <a:solidFill>
              <a:srgbClr val="00539F"/>
            </a:solidFill>
            <a:ln w="25400">
              <a:noFill/>
            </a:ln>
          </c:spPr>
          <c:invertIfNegative val="0"/>
          <c:cat>
            <c:numRef>
              <c:extLst>
                <c:ext xmlns:c15="http://schemas.microsoft.com/office/drawing/2012/chart" uri="{02D57815-91ED-43cb-92C2-25804820EDAC}">
                  <c15:fullRef>
                    <c15:sqref>'1 GE-Scot'!$J$4:$J$32</c15:sqref>
                  </c15:fullRef>
                </c:ext>
              </c:extLst>
              <c:f>'1 GE-Scot'!$J$5:$J$32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GE-Scot'!$L$4:$L$32</c15:sqref>
                  </c15:fullRef>
                </c:ext>
              </c:extLst>
              <c:f>'1 GE-Scot'!$L$5:$L$32</c:f>
              <c:numCache>
                <c:formatCode>0</c:formatCode>
                <c:ptCount val="28"/>
                <c:pt idx="0">
                  <c:v>37</c:v>
                </c:pt>
                <c:pt idx="1">
                  <c:v>36</c:v>
                </c:pt>
                <c:pt idx="2">
                  <c:v>52</c:v>
                </c:pt>
                <c:pt idx="3">
                  <c:v>56</c:v>
                </c:pt>
                <c:pt idx="4">
                  <c:v>65</c:v>
                </c:pt>
                <c:pt idx="5">
                  <c:v>65</c:v>
                </c:pt>
                <c:pt idx="6">
                  <c:v>69</c:v>
                </c:pt>
                <c:pt idx="7" formatCode="#,##0;\-#,##0;&quot;&quot;">
                  <c:v>68</c:v>
                </c:pt>
                <c:pt idx="8" formatCode="#,##0;\-#,##0;&quot;&quot;">
                  <c:v>68</c:v>
                </c:pt>
                <c:pt idx="9" formatCode="#,##0;\-#,##0;&quot;&quot;">
                  <c:v>70</c:v>
                </c:pt>
                <c:pt idx="10" formatCode="#,##0;\-#,##0;&quot;&quot;">
                  <c:v>71</c:v>
                </c:pt>
                <c:pt idx="11" formatCode="#,##0;\-#,##0;&quot;&quot;">
                  <c:v>70</c:v>
                </c:pt>
                <c:pt idx="12" formatCode="#,##0;\-#,##0;&quot;&quot;">
                  <c:v>71</c:v>
                </c:pt>
                <c:pt idx="13" formatCode="#,##0;\-#,##0;&quot;&quot;">
                  <c:v>71</c:v>
                </c:pt>
                <c:pt idx="14" formatCode="#,##0;\-#,##0;&quot;&quot;">
                  <c:v>70</c:v>
                </c:pt>
                <c:pt idx="15" formatCode="#,##0;\-#,##0;&quot;&quot;">
                  <c:v>71</c:v>
                </c:pt>
                <c:pt idx="16" formatCode="#,##0;\-#,##0;&quot;&quot;">
                  <c:v>71</c:v>
                </c:pt>
                <c:pt idx="17" formatCode="#,##0;\-#,##0;&quot;&quot;">
                  <c:v>71</c:v>
                </c:pt>
                <c:pt idx="18" formatCode="#,##0;\-#,##0;&quot;&quot;">
                  <c:v>72</c:v>
                </c:pt>
                <c:pt idx="19" formatCode="#,##0;\-#,##0;&quot;&quot;">
                  <c:v>72</c:v>
                </c:pt>
                <c:pt idx="20" formatCode="#,##0;\-#,##0;&quot;&quot;">
                  <c:v>72</c:v>
                </c:pt>
                <c:pt idx="21" formatCode="#,##0;\-#,##0;&quot;&quot;">
                  <c:v>72</c:v>
                </c:pt>
                <c:pt idx="22" formatCode="#,##0;\-#,##0;&quot;&quot;">
                  <c:v>71</c:v>
                </c:pt>
                <c:pt idx="23" formatCode="#,##0;\-#,##0;&quot;&quot;">
                  <c:v>58</c:v>
                </c:pt>
                <c:pt idx="24" formatCode="#,##0;\-#,##0;&quot;&quot;">
                  <c:v>59</c:v>
                </c:pt>
                <c:pt idx="25" formatCode="#,##0;\-#,##0;&quot;&quot;">
                  <c:v>59</c:v>
                </c:pt>
                <c:pt idx="26" formatCode="#,##0;\-#,##0;&quot;&quot;">
                  <c:v>59</c:v>
                </c:pt>
                <c:pt idx="27" formatCode="#,##0;\-#,##0;&quot;&quot;">
                  <c:v>59</c:v>
                </c:pt>
              </c:numCache>
            </c:numRef>
          </c:val>
          <c:extLst>
            <c:ext xmlns:c16="http://schemas.microsoft.com/office/drawing/2014/chart" uri="{C3380CC4-5D6E-409C-BE32-E72D297353CC}">
              <c16:uniqueId val="{00000000-540F-45FE-8133-C0D6EA297467}"/>
            </c:ext>
          </c:extLst>
        </c:ser>
        <c:ser>
          <c:idx val="9"/>
          <c:order val="1"/>
          <c:tx>
            <c:strRef>
              <c:f>'1 GE-Scot'!$M$3</c:f>
              <c:strCache>
                <c:ptCount val="1"/>
                <c:pt idx="0">
                  <c:v>LAB </c:v>
                </c:pt>
              </c:strCache>
            </c:strRef>
          </c:tx>
          <c:spPr>
            <a:solidFill>
              <a:srgbClr val="D50000"/>
            </a:solidFill>
            <a:ln w="25400">
              <a:noFill/>
            </a:ln>
          </c:spPr>
          <c:invertIfNegative val="0"/>
          <c:cat>
            <c:numRef>
              <c:extLst>
                <c:ext xmlns:c15="http://schemas.microsoft.com/office/drawing/2012/chart" uri="{02D57815-91ED-43cb-92C2-25804820EDAC}">
                  <c15:fullRef>
                    <c15:sqref>'1 GE-Scot'!$J$4:$J$32</c15:sqref>
                  </c15:fullRef>
                </c:ext>
              </c:extLst>
              <c:f>'1 GE-Scot'!$J$5:$J$32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GE-Scot'!$M$4:$M$32</c15:sqref>
                  </c15:fullRef>
                </c:ext>
              </c:extLst>
              <c:f>'1 GE-Scot'!$M$5:$M$32</c:f>
              <c:numCache>
                <c:formatCode>0</c:formatCode>
                <c:ptCount val="28"/>
                <c:pt idx="0">
                  <c:v>39</c:v>
                </c:pt>
                <c:pt idx="1">
                  <c:v>43</c:v>
                </c:pt>
                <c:pt idx="2">
                  <c:v>48</c:v>
                </c:pt>
                <c:pt idx="3">
                  <c:v>63</c:v>
                </c:pt>
                <c:pt idx="4">
                  <c:v>66</c:v>
                </c:pt>
                <c:pt idx="5">
                  <c:v>57</c:v>
                </c:pt>
                <c:pt idx="6">
                  <c:v>63</c:v>
                </c:pt>
                <c:pt idx="7" formatCode="#,##0;\-#,##0;&quot;&quot;">
                  <c:v>68</c:v>
                </c:pt>
                <c:pt idx="8" formatCode="#,##0;\-#,##0;&quot;&quot;">
                  <c:v>71</c:v>
                </c:pt>
                <c:pt idx="9" formatCode="#,##0;\-#,##0;&quot;&quot;">
                  <c:v>71</c:v>
                </c:pt>
                <c:pt idx="10" formatCode="#,##0;\-#,##0;&quot;&quot;">
                  <c:v>71</c:v>
                </c:pt>
                <c:pt idx="11" formatCode="#,##0;\-#,##0;&quot;&quot;">
                  <c:v>71</c:v>
                </c:pt>
                <c:pt idx="12" formatCode="#,##0;\-#,##0;&quot;&quot;">
                  <c:v>71</c:v>
                </c:pt>
                <c:pt idx="13" formatCode="#,##0;\-#,##0;&quot;&quot;">
                  <c:v>71</c:v>
                </c:pt>
                <c:pt idx="14" formatCode="#,##0;\-#,##0;&quot;&quot;">
                  <c:v>71</c:v>
                </c:pt>
                <c:pt idx="15" formatCode="#,##0;\-#,##0;&quot;&quot;">
                  <c:v>71</c:v>
                </c:pt>
                <c:pt idx="16" formatCode="#,##0;\-#,##0;&quot;&quot;">
                  <c:v>71</c:v>
                </c:pt>
                <c:pt idx="17" formatCode="#,##0;\-#,##0;&quot;&quot;">
                  <c:v>71</c:v>
                </c:pt>
                <c:pt idx="18" formatCode="#,##0;\-#,##0;&quot;&quot;">
                  <c:v>72</c:v>
                </c:pt>
                <c:pt idx="19" formatCode="#,##0;\-#,##0;&quot;&quot;">
                  <c:v>72</c:v>
                </c:pt>
                <c:pt idx="20" formatCode="#,##0;\-#,##0;&quot;&quot;">
                  <c:v>72</c:v>
                </c:pt>
                <c:pt idx="21" formatCode="#,##0;\-#,##0;&quot;&quot;">
                  <c:v>72</c:v>
                </c:pt>
                <c:pt idx="22" formatCode="#,##0;\-#,##0;&quot;&quot;">
                  <c:v>71</c:v>
                </c:pt>
                <c:pt idx="23" formatCode="#,##0;\-#,##0;&quot;&quot;">
                  <c:v>58</c:v>
                </c:pt>
                <c:pt idx="24" formatCode="#,##0;\-#,##0;&quot;&quot;">
                  <c:v>59</c:v>
                </c:pt>
                <c:pt idx="25" formatCode="#,##0;\-#,##0;&quot;&quot;">
                  <c:v>59</c:v>
                </c:pt>
                <c:pt idx="26" formatCode="#,##0;\-#,##0;&quot;&quot;">
                  <c:v>59</c:v>
                </c:pt>
                <c:pt idx="27" formatCode="#,##0;\-#,##0;&quot;&quot;">
                  <c:v>59</c:v>
                </c:pt>
              </c:numCache>
            </c:numRef>
          </c:val>
          <c:extLst>
            <c:ext xmlns:c16="http://schemas.microsoft.com/office/drawing/2014/chart" uri="{C3380CC4-5D6E-409C-BE32-E72D297353CC}">
              <c16:uniqueId val="{00000001-540F-45FE-8133-C0D6EA297467}"/>
            </c:ext>
          </c:extLst>
        </c:ser>
        <c:ser>
          <c:idx val="8"/>
          <c:order val="2"/>
          <c:tx>
            <c:strRef>
              <c:f>'1 GE-Scot'!$N$3</c:f>
              <c:strCache>
                <c:ptCount val="1"/>
                <c:pt idx="0">
                  <c:v>LD3 </c:v>
                </c:pt>
              </c:strCache>
            </c:strRef>
          </c:tx>
          <c:spPr>
            <a:solidFill>
              <a:srgbClr val="FAA01A"/>
            </a:solidFill>
            <a:ln w="25400">
              <a:noFill/>
            </a:ln>
          </c:spPr>
          <c:invertIfNegative val="0"/>
          <c:cat>
            <c:numRef>
              <c:extLst>
                <c:ext xmlns:c15="http://schemas.microsoft.com/office/drawing/2012/chart" uri="{02D57815-91ED-43cb-92C2-25804820EDAC}">
                  <c15:fullRef>
                    <c15:sqref>'1 GE-Scot'!$J$4:$J$32</c15:sqref>
                  </c15:fullRef>
                </c:ext>
              </c:extLst>
              <c:f>'1 GE-Scot'!$J$5:$J$32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GE-Scot'!$N$4:$N$32</c15:sqref>
                  </c15:fullRef>
                </c:ext>
              </c:extLst>
              <c:f>'1 GE-Scot'!$N$5:$N$32</c:f>
              <c:numCache>
                <c:formatCode>0</c:formatCode>
                <c:ptCount val="28"/>
                <c:pt idx="0">
                  <c:v>61</c:v>
                </c:pt>
                <c:pt idx="1">
                  <c:v>81</c:v>
                </c:pt>
                <c:pt idx="2">
                  <c:v>59</c:v>
                </c:pt>
                <c:pt idx="3">
                  <c:v>34</c:v>
                </c:pt>
                <c:pt idx="4">
                  <c:v>45</c:v>
                </c:pt>
                <c:pt idx="5">
                  <c:v>14</c:v>
                </c:pt>
                <c:pt idx="6">
                  <c:v>16</c:v>
                </c:pt>
                <c:pt idx="7" formatCode="#,##0;\-#,##0;&quot;&quot;">
                  <c:v>22</c:v>
                </c:pt>
                <c:pt idx="8" formatCode="#,##0;\-#,##0;&quot;&quot;">
                  <c:v>41</c:v>
                </c:pt>
                <c:pt idx="9" formatCode="#,##0;\-#,##0;&quot;&quot;">
                  <c:v>9</c:v>
                </c:pt>
                <c:pt idx="10" formatCode="#,##0;\-#,##0;&quot;&quot;">
                  <c:v>5</c:v>
                </c:pt>
                <c:pt idx="11" formatCode="#,##0;\-#,##0;&quot;&quot;">
                  <c:v>16</c:v>
                </c:pt>
                <c:pt idx="12" formatCode="#,##0;\-#,##0;&quot;&quot;">
                  <c:v>26</c:v>
                </c:pt>
                <c:pt idx="13" formatCode="#,##0;\-#,##0;&quot;&quot;">
                  <c:v>24</c:v>
                </c:pt>
                <c:pt idx="14" formatCode="#,##0;\-#,##0;&quot;&quot;">
                  <c:v>27</c:v>
                </c:pt>
                <c:pt idx="15" formatCode="#,##0;\-#,##0;&quot;&quot;">
                  <c:v>34</c:v>
                </c:pt>
                <c:pt idx="16" formatCode="#,##0;\-#,##0;&quot;&quot;">
                  <c:v>68</c:v>
                </c:pt>
                <c:pt idx="17" formatCode="#,##0;\-#,##0;&quot;&quot;">
                  <c:v>43</c:v>
                </c:pt>
                <c:pt idx="18" formatCode="#,##0;\-#,##0;&quot;&quot;">
                  <c:v>72</c:v>
                </c:pt>
                <c:pt idx="19" formatCode="#,##0;\-#,##0;&quot;&quot;">
                  <c:v>72</c:v>
                </c:pt>
                <c:pt idx="20" formatCode="#,##0;\-#,##0;&quot;&quot;">
                  <c:v>72</c:v>
                </c:pt>
                <c:pt idx="21" formatCode="#,##0;\-#,##0;&quot;&quot;">
                  <c:v>72</c:v>
                </c:pt>
                <c:pt idx="22" formatCode="#,##0;\-#,##0;&quot;&quot;">
                  <c:v>71</c:v>
                </c:pt>
                <c:pt idx="23" formatCode="#,##0;\-#,##0;&quot;&quot;">
                  <c:v>58</c:v>
                </c:pt>
                <c:pt idx="24" formatCode="#,##0;\-#,##0;&quot;&quot;">
                  <c:v>59</c:v>
                </c:pt>
                <c:pt idx="25" formatCode="#,##0;\-#,##0;&quot;&quot;">
                  <c:v>59</c:v>
                </c:pt>
                <c:pt idx="26" formatCode="#,##0;\-#,##0;&quot;&quot;">
                  <c:v>59</c:v>
                </c:pt>
                <c:pt idx="27" formatCode="#,##0;\-#,##0;&quot;&quot;">
                  <c:v>59</c:v>
                </c:pt>
              </c:numCache>
            </c:numRef>
          </c:val>
          <c:extLst>
            <c:ext xmlns:c16="http://schemas.microsoft.com/office/drawing/2014/chart" uri="{C3380CC4-5D6E-409C-BE32-E72D297353CC}">
              <c16:uniqueId val="{00000002-540F-45FE-8133-C0D6EA297467}"/>
            </c:ext>
          </c:extLst>
        </c:ser>
        <c:ser>
          <c:idx val="0"/>
          <c:order val="3"/>
          <c:tx>
            <c:strRef>
              <c:f>'1 GE-Scot'!$O$3</c:f>
              <c:strCache>
                <c:ptCount val="1"/>
                <c:pt idx="0">
                  <c:v>SNP </c:v>
                </c:pt>
              </c:strCache>
            </c:strRef>
          </c:tx>
          <c:spPr>
            <a:solidFill>
              <a:srgbClr val="FFF685"/>
            </a:solidFill>
            <a:ln>
              <a:solidFill>
                <a:schemeClr val="bg1">
                  <a:lumMod val="85000"/>
                </a:schemeClr>
              </a:solidFill>
            </a:ln>
          </c:spPr>
          <c:invertIfNegative val="0"/>
          <c:cat>
            <c:numRef>
              <c:extLst>
                <c:ext xmlns:c15="http://schemas.microsoft.com/office/drawing/2012/chart" uri="{02D57815-91ED-43cb-92C2-25804820EDAC}">
                  <c15:fullRef>
                    <c15:sqref>'1 GE-Scot'!$J$4:$J$32</c15:sqref>
                  </c15:fullRef>
                </c:ext>
              </c:extLst>
              <c:f>'1 GE-Scot'!$J$5:$J$32</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GE-Scot'!$O$4:$O$32</c15:sqref>
                  </c15:fullRef>
                </c:ext>
              </c:extLst>
              <c:f>'1 GE-Scot'!$O$5:$O$32</c:f>
              <c:numCache>
                <c:formatCode>0</c:formatCode>
                <c:ptCount val="28"/>
                <c:pt idx="4">
                  <c:v>2</c:v>
                </c:pt>
                <c:pt idx="5">
                  <c:v>5</c:v>
                </c:pt>
                <c:pt idx="6">
                  <c:v>7</c:v>
                </c:pt>
                <c:pt idx="7" formatCode="#,##0;\-#,##0;&quot;&quot;">
                  <c:v>8</c:v>
                </c:pt>
                <c:pt idx="8" formatCode="#,##0;\-#,##0;&quot;&quot;">
                  <c:v>3</c:v>
                </c:pt>
                <c:pt idx="9" formatCode="#,##0;\-#,##0;&quot;&quot;">
                  <c:v>2</c:v>
                </c:pt>
                <c:pt idx="10" formatCode="#,##0;\-#,##0;&quot;&quot;">
                  <c:v>2</c:v>
                </c:pt>
                <c:pt idx="11" formatCode="#,##0;\-#,##0;&quot;&quot;">
                  <c:v>5</c:v>
                </c:pt>
                <c:pt idx="12" formatCode="#,##0;\-#,##0;&quot;&quot;">
                  <c:v>15</c:v>
                </c:pt>
                <c:pt idx="13" formatCode="#,##0;\-#,##0;&quot;&quot;">
                  <c:v>23</c:v>
                </c:pt>
                <c:pt idx="14" formatCode="#,##0;\-#,##0;&quot;&quot;">
                  <c:v>65</c:v>
                </c:pt>
                <c:pt idx="15" formatCode="#,##0;\-#,##0;&quot;&quot;">
                  <c:v>70</c:v>
                </c:pt>
                <c:pt idx="16" formatCode="#,##0;\-#,##0;&quot;&quot;">
                  <c:v>71</c:v>
                </c:pt>
                <c:pt idx="17" formatCode="#,##0;\-#,##0;&quot;&quot;">
                  <c:v>71</c:v>
                </c:pt>
                <c:pt idx="18" formatCode="#,##0;\-#,##0;&quot;&quot;">
                  <c:v>72</c:v>
                </c:pt>
                <c:pt idx="19" formatCode="#,##0;\-#,##0;&quot;&quot;">
                  <c:v>71</c:v>
                </c:pt>
                <c:pt idx="20" formatCode="#,##0;\-#,##0;&quot;&quot;">
                  <c:v>72</c:v>
                </c:pt>
                <c:pt idx="21" formatCode="#,##0;\-#,##0;&quot;&quot;">
                  <c:v>72</c:v>
                </c:pt>
                <c:pt idx="22" formatCode="#,##0;\-#,##0;&quot;&quot;">
                  <c:v>72</c:v>
                </c:pt>
                <c:pt idx="23" formatCode="#,##0;\-#,##0;&quot;&quot;">
                  <c:v>59</c:v>
                </c:pt>
                <c:pt idx="24" formatCode="#,##0;\-#,##0;&quot;&quot;">
                  <c:v>59</c:v>
                </c:pt>
                <c:pt idx="25" formatCode="#,##0;\-#,##0;&quot;&quot;">
                  <c:v>59</c:v>
                </c:pt>
                <c:pt idx="26" formatCode="#,##0;\-#,##0;&quot;&quot;">
                  <c:v>59</c:v>
                </c:pt>
                <c:pt idx="27" formatCode="#,##0;\-#,##0;&quot;&quot;">
                  <c:v>59</c:v>
                </c:pt>
              </c:numCache>
            </c:numRef>
          </c:val>
          <c:extLst>
            <c:ext xmlns:c16="http://schemas.microsoft.com/office/drawing/2014/chart" uri="{C3380CC4-5D6E-409C-BE32-E72D297353CC}">
              <c16:uniqueId val="{00000003-540F-45FE-8133-C0D6EA297467}"/>
            </c:ext>
          </c:extLst>
        </c:ser>
        <c:dLbls>
          <c:showLegendKey val="0"/>
          <c:showVal val="0"/>
          <c:showCatName val="0"/>
          <c:showSerName val="0"/>
          <c:showPercent val="0"/>
          <c:showBubbleSize val="0"/>
        </c:dLbls>
        <c:gapWidth val="122"/>
        <c:axId val="464811120"/>
        <c:axId val="464811512"/>
      </c:barChart>
      <c:catAx>
        <c:axId val="464811120"/>
        <c:scaling>
          <c:orientation val="maxMin"/>
        </c:scaling>
        <c:delete val="0"/>
        <c:axPos val="l"/>
        <c:numFmt formatCode="0" sourceLinked="0"/>
        <c:majorTickMark val="out"/>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811512"/>
        <c:crosses val="autoZero"/>
        <c:auto val="0"/>
        <c:lblAlgn val="ctr"/>
        <c:lblOffset val="100"/>
        <c:noMultiLvlLbl val="0"/>
      </c:catAx>
      <c:valAx>
        <c:axId val="464811512"/>
        <c:scaling>
          <c:orientation val="minMax"/>
          <c:max val="100"/>
          <c:min val="0"/>
        </c:scaling>
        <c:delete val="0"/>
        <c:axPos val="b"/>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811120"/>
        <c:crosses val="max"/>
        <c:crossBetween val="between"/>
        <c:majorUnit val="2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solidFill>
                  <a:schemeClr val="tx1">
                    <a:lumMod val="75000"/>
                    <a:lumOff val="25000"/>
                  </a:schemeClr>
                </a:solidFill>
              </a:defRPr>
            </a:pPr>
            <a:r>
              <a:rPr lang="en-GB" sz="1000">
                <a:solidFill>
                  <a:schemeClr val="tx1">
                    <a:lumMod val="75000"/>
                    <a:lumOff val="25000"/>
                  </a:schemeClr>
                </a:solidFill>
              </a:rPr>
              <a:t>Number of seats won</a:t>
            </a:r>
          </a:p>
        </c:rich>
      </c:tx>
      <c:layout>
        <c:manualLayout>
          <c:xMode val="edge"/>
          <c:yMode val="edge"/>
          <c:x val="0.13792143316300345"/>
          <c:y val="1.5303573680287073E-3"/>
        </c:manualLayout>
      </c:layout>
      <c:overlay val="0"/>
      <c:spPr>
        <a:noFill/>
        <a:ln w="25400">
          <a:noFill/>
        </a:ln>
      </c:spPr>
    </c:title>
    <c:autoTitleDeleted val="0"/>
    <c:plotArea>
      <c:layout>
        <c:manualLayout>
          <c:layoutTarget val="inner"/>
          <c:xMode val="edge"/>
          <c:yMode val="edge"/>
          <c:x val="0.22356505281685674"/>
          <c:y val="5.0181715797694926E-2"/>
          <c:w val="0.49593018601051481"/>
          <c:h val="0.89975714125228512"/>
        </c:manualLayout>
      </c:layout>
      <c:barChart>
        <c:barDir val="bar"/>
        <c:grouping val="stacked"/>
        <c:varyColors val="0"/>
        <c:ser>
          <c:idx val="7"/>
          <c:order val="0"/>
          <c:tx>
            <c:strRef>
              <c:f>'1 GE-Scot'!$L$35</c:f>
              <c:strCache>
                <c:ptCount val="1"/>
                <c:pt idx="0">
                  <c:v>CON2 </c:v>
                </c:pt>
              </c:strCache>
            </c:strRef>
          </c:tx>
          <c:spPr>
            <a:solidFill>
              <a:srgbClr val="00539F"/>
            </a:solidFill>
            <a:ln w="25400">
              <a:noFill/>
            </a:ln>
          </c:spPr>
          <c:invertIfNegative val="0"/>
          <c:cat>
            <c:numRef>
              <c:extLst>
                <c:ext xmlns:c15="http://schemas.microsoft.com/office/drawing/2012/chart" uri="{02D57815-91ED-43cb-92C2-25804820EDAC}">
                  <c15:fullRef>
                    <c15:sqref>'1 GE-Scot'!$J$36:$J$64</c15:sqref>
                  </c15:fullRef>
                </c:ext>
              </c:extLst>
              <c:f>'1 GE-Scot'!$J$37:$J$64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GE-Scot'!$L$36:$L$64</c15:sqref>
                  </c15:fullRef>
                </c:ext>
              </c:extLst>
              <c:f>'1 GE-Scot'!$L$37:$L$64</c:f>
              <c:numCache>
                <c:formatCode>0</c:formatCode>
                <c:ptCount val="28"/>
                <c:pt idx="0">
                  <c:v>30</c:v>
                </c:pt>
                <c:pt idx="1">
                  <c:v>13</c:v>
                </c:pt>
                <c:pt idx="2">
                  <c:v>14</c:v>
                </c:pt>
                <c:pt idx="3">
                  <c:v>36</c:v>
                </c:pt>
                <c:pt idx="4">
                  <c:v>20</c:v>
                </c:pt>
                <c:pt idx="5">
                  <c:v>57</c:v>
                </c:pt>
                <c:pt idx="6">
                  <c:v>43</c:v>
                </c:pt>
                <c:pt idx="7">
                  <c:v>27</c:v>
                </c:pt>
                <c:pt idx="8">
                  <c:v>31</c:v>
                </c:pt>
                <c:pt idx="9">
                  <c:v>35</c:v>
                </c:pt>
                <c:pt idx="10">
                  <c:v>36</c:v>
                </c:pt>
                <c:pt idx="11">
                  <c:v>31</c:v>
                </c:pt>
                <c:pt idx="12">
                  <c:v>24</c:v>
                </c:pt>
                <c:pt idx="13">
                  <c:v>20</c:v>
                </c:pt>
                <c:pt idx="14">
                  <c:v>23</c:v>
                </c:pt>
                <c:pt idx="15">
                  <c:v>21</c:v>
                </c:pt>
                <c:pt idx="16">
                  <c:v>16</c:v>
                </c:pt>
                <c:pt idx="17">
                  <c:v>22</c:v>
                </c:pt>
                <c:pt idx="18">
                  <c:v>21</c:v>
                </c:pt>
                <c:pt idx="19">
                  <c:v>10</c:v>
                </c:pt>
                <c:pt idx="20">
                  <c:v>11</c:v>
                </c:pt>
                <c:pt idx="21">
                  <c:v>0</c:v>
                </c:pt>
                <c:pt idx="22">
                  <c:v>1</c:v>
                </c:pt>
                <c:pt idx="23">
                  <c:v>1</c:v>
                </c:pt>
                <c:pt idx="24">
                  <c:v>1</c:v>
                </c:pt>
                <c:pt idx="25" formatCode="#,##0;\-#,##0;&quot;&quot;">
                  <c:v>1</c:v>
                </c:pt>
                <c:pt idx="26" formatCode="#,##0;\-#,##0;&quot;&quot;">
                  <c:v>13</c:v>
                </c:pt>
                <c:pt idx="27" formatCode="#,##0;\-#,##0;&quot;&quot;">
                  <c:v>6</c:v>
                </c:pt>
              </c:numCache>
            </c:numRef>
          </c:val>
          <c:extLst>
            <c:ext xmlns:c16="http://schemas.microsoft.com/office/drawing/2014/chart" uri="{C3380CC4-5D6E-409C-BE32-E72D297353CC}">
              <c16:uniqueId val="{00000000-D909-46F4-B71E-E26741A01051}"/>
            </c:ext>
          </c:extLst>
        </c:ser>
        <c:ser>
          <c:idx val="9"/>
          <c:order val="1"/>
          <c:tx>
            <c:strRef>
              <c:f>'1 GE-Scot'!$M$35</c:f>
              <c:strCache>
                <c:ptCount val="1"/>
                <c:pt idx="0">
                  <c:v>LAB </c:v>
                </c:pt>
              </c:strCache>
            </c:strRef>
          </c:tx>
          <c:spPr>
            <a:solidFill>
              <a:srgbClr val="CC3300"/>
            </a:solidFill>
            <a:ln w="25400">
              <a:noFill/>
            </a:ln>
          </c:spPr>
          <c:invertIfNegative val="0"/>
          <c:cat>
            <c:numRef>
              <c:extLst>
                <c:ext xmlns:c15="http://schemas.microsoft.com/office/drawing/2012/chart" uri="{02D57815-91ED-43cb-92C2-25804820EDAC}">
                  <c15:fullRef>
                    <c15:sqref>'1 GE-Scot'!$J$36:$J$64</c15:sqref>
                  </c15:fullRef>
                </c:ext>
              </c:extLst>
              <c:f>'1 GE-Scot'!$J$37:$J$64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GE-Scot'!$M$36:$M$64</c15:sqref>
                  </c15:fullRef>
                </c:ext>
              </c:extLst>
              <c:f>'1 GE-Scot'!$M$37:$M$64</c:f>
              <c:numCache>
                <c:formatCode>0</c:formatCode>
                <c:ptCount val="28"/>
                <c:pt idx="0">
                  <c:v>6</c:v>
                </c:pt>
                <c:pt idx="1">
                  <c:v>29</c:v>
                </c:pt>
                <c:pt idx="2">
                  <c:v>34</c:v>
                </c:pt>
                <c:pt idx="3">
                  <c:v>26</c:v>
                </c:pt>
                <c:pt idx="4">
                  <c:v>36</c:v>
                </c:pt>
                <c:pt idx="5">
                  <c:v>7</c:v>
                </c:pt>
                <c:pt idx="6">
                  <c:v>20</c:v>
                </c:pt>
                <c:pt idx="7">
                  <c:v>37</c:v>
                </c:pt>
                <c:pt idx="8">
                  <c:v>37</c:v>
                </c:pt>
                <c:pt idx="9">
                  <c:v>35</c:v>
                </c:pt>
                <c:pt idx="10">
                  <c:v>34</c:v>
                </c:pt>
                <c:pt idx="11">
                  <c:v>38</c:v>
                </c:pt>
                <c:pt idx="12">
                  <c:v>43</c:v>
                </c:pt>
                <c:pt idx="13">
                  <c:v>46</c:v>
                </c:pt>
                <c:pt idx="14">
                  <c:v>44</c:v>
                </c:pt>
                <c:pt idx="15">
                  <c:v>40</c:v>
                </c:pt>
                <c:pt idx="16">
                  <c:v>41</c:v>
                </c:pt>
                <c:pt idx="17">
                  <c:v>44</c:v>
                </c:pt>
                <c:pt idx="18">
                  <c:v>41</c:v>
                </c:pt>
                <c:pt idx="19">
                  <c:v>50</c:v>
                </c:pt>
                <c:pt idx="20">
                  <c:v>49</c:v>
                </c:pt>
                <c:pt idx="21">
                  <c:v>56</c:v>
                </c:pt>
                <c:pt idx="22">
                  <c:v>55</c:v>
                </c:pt>
                <c:pt idx="23">
                  <c:v>40</c:v>
                </c:pt>
                <c:pt idx="24">
                  <c:v>41</c:v>
                </c:pt>
                <c:pt idx="25" formatCode="#,##0;\-#,##0;&quot;&quot;">
                  <c:v>1</c:v>
                </c:pt>
                <c:pt idx="26" formatCode="#,##0;\-#,##0;&quot;&quot;">
                  <c:v>7</c:v>
                </c:pt>
                <c:pt idx="27" formatCode="#,##0;\-#,##0;&quot;&quot;">
                  <c:v>1</c:v>
                </c:pt>
              </c:numCache>
            </c:numRef>
          </c:val>
          <c:extLst>
            <c:ext xmlns:c16="http://schemas.microsoft.com/office/drawing/2014/chart" uri="{C3380CC4-5D6E-409C-BE32-E72D297353CC}">
              <c16:uniqueId val="{00000001-D909-46F4-B71E-E26741A01051}"/>
            </c:ext>
          </c:extLst>
        </c:ser>
        <c:ser>
          <c:idx val="8"/>
          <c:order val="2"/>
          <c:tx>
            <c:strRef>
              <c:f>'1 GE-Scot'!$N$35</c:f>
              <c:strCache>
                <c:ptCount val="1"/>
                <c:pt idx="0">
                  <c:v>LD3 </c:v>
                </c:pt>
              </c:strCache>
            </c:strRef>
          </c:tx>
          <c:spPr>
            <a:solidFill>
              <a:srgbClr val="FAA01A"/>
            </a:solidFill>
            <a:ln w="25400">
              <a:noFill/>
            </a:ln>
          </c:spPr>
          <c:invertIfNegative val="0"/>
          <c:cat>
            <c:numRef>
              <c:extLst>
                <c:ext xmlns:c15="http://schemas.microsoft.com/office/drawing/2012/chart" uri="{02D57815-91ED-43cb-92C2-25804820EDAC}">
                  <c15:fullRef>
                    <c15:sqref>'1 GE-Scot'!$J$36:$J$64</c15:sqref>
                  </c15:fullRef>
                </c:ext>
              </c:extLst>
              <c:f>'1 GE-Scot'!$J$37:$J$64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GE-Scot'!$N$36:$N$64</c15:sqref>
                  </c15:fullRef>
                </c:ext>
              </c:extLst>
              <c:f>'1 GE-Scot'!$N$37:$N$64</c:f>
              <c:numCache>
                <c:formatCode>0</c:formatCode>
                <c:ptCount val="28"/>
                <c:pt idx="0">
                  <c:v>33</c:v>
                </c:pt>
                <c:pt idx="1">
                  <c:v>27</c:v>
                </c:pt>
                <c:pt idx="2">
                  <c:v>22</c:v>
                </c:pt>
                <c:pt idx="3">
                  <c:v>8</c:v>
                </c:pt>
                <c:pt idx="4">
                  <c:v>13</c:v>
                </c:pt>
                <c:pt idx="5">
                  <c:v>7</c:v>
                </c:pt>
                <c:pt idx="6">
                  <c:v>3</c:v>
                </c:pt>
                <c:pt idx="7">
                  <c:v>0</c:v>
                </c:pt>
                <c:pt idx="8">
                  <c:v>2</c:v>
                </c:pt>
                <c:pt idx="9">
                  <c:v>1</c:v>
                </c:pt>
                <c:pt idx="10">
                  <c:v>1</c:v>
                </c:pt>
                <c:pt idx="11">
                  <c:v>1</c:v>
                </c:pt>
                <c:pt idx="12">
                  <c:v>4</c:v>
                </c:pt>
                <c:pt idx="13">
                  <c:v>5</c:v>
                </c:pt>
                <c:pt idx="14">
                  <c:v>3</c:v>
                </c:pt>
                <c:pt idx="15">
                  <c:v>3</c:v>
                </c:pt>
                <c:pt idx="16">
                  <c:v>3</c:v>
                </c:pt>
                <c:pt idx="17">
                  <c:v>3</c:v>
                </c:pt>
                <c:pt idx="18">
                  <c:v>8</c:v>
                </c:pt>
                <c:pt idx="19">
                  <c:v>9</c:v>
                </c:pt>
                <c:pt idx="20">
                  <c:v>9</c:v>
                </c:pt>
                <c:pt idx="21">
                  <c:v>10</c:v>
                </c:pt>
                <c:pt idx="22">
                  <c:v>10</c:v>
                </c:pt>
                <c:pt idx="23">
                  <c:v>11</c:v>
                </c:pt>
                <c:pt idx="24">
                  <c:v>11</c:v>
                </c:pt>
                <c:pt idx="25" formatCode="#,##0;\-#,##0;&quot;&quot;">
                  <c:v>1</c:v>
                </c:pt>
                <c:pt idx="26" formatCode="#,##0;\-#,##0;&quot;&quot;">
                  <c:v>4</c:v>
                </c:pt>
                <c:pt idx="27" formatCode="#,##0;\-#,##0;&quot;&quot;">
                  <c:v>4</c:v>
                </c:pt>
              </c:numCache>
            </c:numRef>
          </c:val>
          <c:extLst>
            <c:ext xmlns:c16="http://schemas.microsoft.com/office/drawing/2014/chart" uri="{C3380CC4-5D6E-409C-BE32-E72D297353CC}">
              <c16:uniqueId val="{00000002-D909-46F4-B71E-E26741A01051}"/>
            </c:ext>
          </c:extLst>
        </c:ser>
        <c:ser>
          <c:idx val="0"/>
          <c:order val="3"/>
          <c:tx>
            <c:strRef>
              <c:f>'1 GE-Scot'!$O$35</c:f>
              <c:strCache>
                <c:ptCount val="1"/>
                <c:pt idx="0">
                  <c:v>SNP </c:v>
                </c:pt>
              </c:strCache>
            </c:strRef>
          </c:tx>
          <c:spPr>
            <a:solidFill>
              <a:srgbClr val="FFF685"/>
            </a:solidFill>
          </c:spPr>
          <c:invertIfNegative val="0"/>
          <c:cat>
            <c:numRef>
              <c:extLst>
                <c:ext xmlns:c15="http://schemas.microsoft.com/office/drawing/2012/chart" uri="{02D57815-91ED-43cb-92C2-25804820EDAC}">
                  <c15:fullRef>
                    <c15:sqref>'1 GE-Scot'!$J$36:$J$64</c15:sqref>
                  </c15:fullRef>
                </c:ext>
              </c:extLst>
              <c:f>'1 GE-Scot'!$J$37:$J$64</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'1 GE-Scot'!$O$36:$O$64</c15:sqref>
                  </c15:fullRef>
                </c:ext>
              </c:extLst>
              <c:f>'1 GE-Scot'!$O$37:$O$64</c:f>
              <c:numCache>
                <c:formatCode>0</c:formatCode>
                <c:ptCount val="28"/>
                <c:pt idx="4">
                  <c:v>0</c:v>
                </c:pt>
                <c:pt idx="5">
                  <c:v>0</c:v>
                </c:pt>
                <c:pt idx="6">
                  <c:v>0</c:v>
                </c:pt>
                <c:pt idx="7">
                  <c:v>0</c:v>
                </c:pt>
                <c:pt idx="8">
                  <c:v>0</c:v>
                </c:pt>
                <c:pt idx="9">
                  <c:v>0</c:v>
                </c:pt>
                <c:pt idx="10">
                  <c:v>0</c:v>
                </c:pt>
                <c:pt idx="11">
                  <c:v>0</c:v>
                </c:pt>
                <c:pt idx="12">
                  <c:v>0</c:v>
                </c:pt>
                <c:pt idx="13">
                  <c:v>0</c:v>
                </c:pt>
                <c:pt idx="14">
                  <c:v>1</c:v>
                </c:pt>
                <c:pt idx="15">
                  <c:v>7</c:v>
                </c:pt>
                <c:pt idx="16">
                  <c:v>11</c:v>
                </c:pt>
                <c:pt idx="17">
                  <c:v>2</c:v>
                </c:pt>
                <c:pt idx="18">
                  <c:v>2</c:v>
                </c:pt>
                <c:pt idx="19">
                  <c:v>3</c:v>
                </c:pt>
                <c:pt idx="20">
                  <c:v>3</c:v>
                </c:pt>
                <c:pt idx="21">
                  <c:v>6</c:v>
                </c:pt>
                <c:pt idx="22">
                  <c:v>5</c:v>
                </c:pt>
                <c:pt idx="23">
                  <c:v>6</c:v>
                </c:pt>
                <c:pt idx="24">
                  <c:v>6</c:v>
                </c:pt>
                <c:pt idx="25" formatCode="#,##0;\-#,##0;&quot;&quot;">
                  <c:v>56</c:v>
                </c:pt>
                <c:pt idx="26" formatCode="#,##0;\-#,##0;&quot;&quot;">
                  <c:v>35</c:v>
                </c:pt>
                <c:pt idx="27" formatCode="#,##0;\-#,##0;&quot;&quot;">
                  <c:v>48</c:v>
                </c:pt>
              </c:numCache>
            </c:numRef>
          </c:val>
          <c:extLst>
            <c:ext xmlns:c16="http://schemas.microsoft.com/office/drawing/2014/chart" uri="{C3380CC4-5D6E-409C-BE32-E72D297353CC}">
              <c16:uniqueId val="{00000003-D909-46F4-B71E-E26741A01051}"/>
            </c:ext>
          </c:extLst>
        </c:ser>
        <c:dLbls>
          <c:showLegendKey val="0"/>
          <c:showVal val="0"/>
          <c:showCatName val="0"/>
          <c:showSerName val="0"/>
          <c:showPercent val="0"/>
          <c:showBubbleSize val="0"/>
        </c:dLbls>
        <c:gapWidth val="65"/>
        <c:overlap val="100"/>
        <c:axId val="464812296"/>
        <c:axId val="464812688"/>
      </c:barChart>
      <c:catAx>
        <c:axId val="464812296"/>
        <c:scaling>
          <c:orientation val="maxMin"/>
        </c:scaling>
        <c:delete val="0"/>
        <c:axPos val="l"/>
        <c:numFmt formatCode="0" sourceLinked="0"/>
        <c:majorTickMark val="none"/>
        <c:minorTickMark val="none"/>
        <c:tickLblPos val="low"/>
        <c:spPr>
          <a:noFill/>
          <a:ln w="9525" cap="flat" cmpd="sng" algn="ctr">
            <a:solidFill>
              <a:schemeClr val="tx1">
                <a:lumMod val="75000"/>
                <a:lumOff val="25000"/>
              </a:schemeClr>
            </a:solidFill>
            <a:round/>
          </a:ln>
          <a:effectLst/>
        </c:spPr>
        <c:txPr>
          <a:bodyPr rot="0" vert="horz"/>
          <a:lstStyle/>
          <a:p>
            <a:pPr>
              <a:defRPr/>
            </a:pPr>
            <a:endParaRPr lang="en-US"/>
          </a:p>
        </c:txPr>
        <c:crossAx val="464812688"/>
        <c:crosses val="autoZero"/>
        <c:auto val="1"/>
        <c:lblAlgn val="ctr"/>
        <c:lblOffset val="100"/>
        <c:noMultiLvlLbl val="0"/>
      </c:catAx>
      <c:valAx>
        <c:axId val="464812688"/>
        <c:scaling>
          <c:orientation val="minMax"/>
          <c:max val="75"/>
          <c:min val="0"/>
        </c:scaling>
        <c:delete val="0"/>
        <c:axPos val="b"/>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4812296"/>
        <c:crosses val="max"/>
        <c:crossBetween val="between"/>
        <c:majorUnit val="1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votes (thousands)</a:t>
            </a:r>
          </a:p>
        </c:rich>
      </c:tx>
      <c:layout>
        <c:manualLayout>
          <c:xMode val="edge"/>
          <c:yMode val="edge"/>
          <c:x val="0.1694227730939698"/>
          <c:y val="4.4561970150040028E-2"/>
        </c:manualLayout>
      </c:layout>
      <c:overlay val="0"/>
      <c:spPr>
        <a:noFill/>
        <a:ln w="25400">
          <a:noFill/>
        </a:ln>
      </c:spPr>
    </c:title>
    <c:autoTitleDeleted val="0"/>
    <c:plotArea>
      <c:layout>
        <c:manualLayout>
          <c:layoutTarget val="inner"/>
          <c:xMode val="edge"/>
          <c:yMode val="edge"/>
          <c:x val="0.21718021835514426"/>
          <c:y val="0.16259849556338971"/>
          <c:w val="0.49593018601051481"/>
          <c:h val="0.74671761204112219"/>
        </c:manualLayout>
      </c:layout>
      <c:barChart>
        <c:barDir val="bar"/>
        <c:grouping val="stacked"/>
        <c:varyColors val="0"/>
        <c:ser>
          <c:idx val="0"/>
          <c:order val="0"/>
          <c:tx>
            <c:strRef>
              <c:f>'GE-NI Visual'!$B$21</c:f>
              <c:strCache>
                <c:ptCount val="1"/>
                <c:pt idx="0">
                  <c:v>CON</c:v>
                </c:pt>
              </c:strCache>
            </c:strRef>
          </c:tx>
          <c:spPr>
            <a:solidFill>
              <a:srgbClr val="00539F"/>
            </a:solidFill>
            <a:ln w="3175">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Visual'!$B$9:$B$36</c15:sqref>
                  </c15:fullRef>
                </c:ext>
              </c:extLst>
              <c:f>'GE-NI Visual'!$B$21:$B$36</c:f>
              <c:numCache>
                <c:formatCode>0.0</c:formatCode>
                <c:ptCount val="16"/>
                <c:pt idx="0" formatCode="#,##0_);\(#,##0\)">
                  <c:v>0</c:v>
                </c:pt>
                <c:pt idx="1">
                  <c:v>422.041</c:v>
                </c:pt>
                <c:pt idx="2">
                  <c:v>368.62900000000002</c:v>
                </c:pt>
                <c:pt idx="3">
                  <c:v>401.89699999999999</c:v>
                </c:pt>
                <c:pt idx="4">
                  <c:v>445.01299999999998</c:v>
                </c:pt>
                <c:pt idx="5">
                  <c:v>442.64699999999999</c:v>
                </c:pt>
                <c:pt idx="6">
                  <c:v>274.928</c:v>
                </c:pt>
                <c:pt idx="7">
                  <c:v>352.334</c:v>
                </c:pt>
                <c:pt idx="8">
                  <c:v>392.45</c:v>
                </c:pt>
                <c:pt idx="9">
                  <c:v>292.83999999999997</c:v>
                </c:pt>
                <c:pt idx="10">
                  <c:v>149.566</c:v>
                </c:pt>
                <c:pt idx="11">
                  <c:v>354.65699999999998</c:v>
                </c:pt>
                <c:pt idx="12">
                  <c:v>451.27800000000002</c:v>
                </c:pt>
                <c:pt idx="13">
                  <c:v>117.161</c:v>
                </c:pt>
                <c:pt idx="14">
                  <c:v>107.97199999999999</c:v>
                </c:pt>
                <c:pt idx="15">
                  <c:v>289.21300000000002</c:v>
                </c:pt>
              </c:numCache>
            </c:numRef>
          </c:val>
          <c:extLst>
            <c:ext xmlns:c16="http://schemas.microsoft.com/office/drawing/2014/chart" uri="{C3380CC4-5D6E-409C-BE32-E72D297353CC}">
              <c16:uniqueId val="{00000000-0B93-4DA9-9098-31F61ADCF452}"/>
            </c:ext>
          </c:extLst>
        </c:ser>
        <c:ser>
          <c:idx val="1"/>
          <c:order val="1"/>
          <c:tx>
            <c:strRef>
              <c:f>'GE-NI Visual'!$C$21</c:f>
              <c:strCache>
                <c:ptCount val="1"/>
                <c:pt idx="0">
                  <c:v>NAT</c:v>
                </c:pt>
              </c:strCache>
            </c:strRef>
          </c:tx>
          <c:spPr>
            <a:solidFill>
              <a:schemeClr val="accent1"/>
            </a:solidFill>
            <a:ln w="3175">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Visual'!$C$9:$C$36</c15:sqref>
                  </c15:fullRef>
                </c:ext>
              </c:extLst>
              <c:f>'GE-NI Visual'!$C$21:$C$36</c:f>
              <c:numCache>
                <c:formatCode>0.0</c:formatCode>
                <c:ptCount val="16"/>
                <c:pt idx="0" formatCode="#,##0_);\(#,##0\)">
                  <c:v>0</c:v>
                </c:pt>
                <c:pt idx="1">
                  <c:v>0</c:v>
                </c:pt>
                <c:pt idx="2">
                  <c:v>22.167000000000002</c:v>
                </c:pt>
                <c:pt idx="3">
                  <c:v>0</c:v>
                </c:pt>
                <c:pt idx="4">
                  <c:v>0</c:v>
                </c:pt>
                <c:pt idx="5">
                  <c:v>0</c:v>
                </c:pt>
                <c:pt idx="6">
                  <c:v>92.787000000000006</c:v>
                </c:pt>
                <c:pt idx="7">
                  <c:v>65.210999999999999</c:v>
                </c:pt>
                <c:pt idx="8">
                  <c:v>148.078</c:v>
                </c:pt>
                <c:pt idx="9">
                  <c:v>101.494</c:v>
                </c:pt>
                <c:pt idx="10">
                  <c:v>123.053</c:v>
                </c:pt>
                <c:pt idx="11">
                  <c:v>24.177</c:v>
                </c:pt>
                <c:pt idx="12">
                  <c:v>0</c:v>
                </c:pt>
                <c:pt idx="13">
                  <c:v>87.671000000000006</c:v>
                </c:pt>
                <c:pt idx="14">
                  <c:v>90.052999999999997</c:v>
                </c:pt>
                <c:pt idx="15">
                  <c:v>228.90199999999999</c:v>
                </c:pt>
              </c:numCache>
            </c:numRef>
          </c:val>
          <c:extLst>
            <c:ext xmlns:c15="http://schemas.microsoft.com/office/drawing/2012/chart" uri="{02D57815-91ED-43cb-92C2-25804820EDAC}">
              <c15:categoryFilterExceptions>
                <c15:categoryFilterException>
                  <c15:sqref>'GE-NI Visual'!$C$9</c15:sqref>
                  <c15:invertIfNegative val="0"/>
                  <c15:bubble3D val="0"/>
                </c15:categoryFilterException>
                <c15:categoryFilterException>
                  <c15:sqref>'GE-NI Visual'!$C$10</c15:sqref>
                  <c15:invertIfNegative val="0"/>
                  <c15:bubble3D val="0"/>
                </c15:categoryFilterException>
                <c15:categoryFilterException>
                  <c15:sqref>'GE-NI Visual'!$C$11</c15:sqref>
                  <c15:invertIfNegative val="0"/>
                  <c15:bubble3D val="0"/>
                </c15:categoryFilterException>
                <c15:categoryFilterException>
                  <c15:sqref>'GE-NI Visual'!$C$12</c15:sqref>
                  <c15:invertIfNegative val="0"/>
                  <c15:bubble3D val="0"/>
                </c15:categoryFilterException>
                <c15:categoryFilterException>
                  <c15:sqref>'GE-NI Visual'!$C$13</c15:sqref>
                  <c15:invertIfNegative val="0"/>
                  <c15:bubble3D val="0"/>
                </c15:categoryFilterException>
                <c15:categoryFilterException>
                  <c15:sqref>'GE-NI Visual'!$C$14</c15:sqref>
                  <c15:invertIfNegative val="0"/>
                  <c15:bubble3D val="0"/>
                </c15:categoryFilterException>
                <c15:categoryFilterException>
                  <c15:sqref>'GE-NI Visual'!$C$15</c15:sqref>
                  <c15:invertIfNegative val="0"/>
                  <c15:bubble3D val="0"/>
                </c15:categoryFilterException>
                <c15:categoryFilterException>
                  <c15:sqref>'GE-NI Visual'!$C$16</c15:sqref>
                  <c15:invertIfNegative val="0"/>
                  <c15:bubble3D val="0"/>
                </c15:categoryFilterException>
                <c15:categoryFilterException>
                  <c15:sqref>'GE-NI Visual'!$C$17</c15:sqref>
                  <c15:invertIfNegative val="0"/>
                  <c15:bubble3D val="0"/>
                </c15:categoryFilterException>
                <c15:categoryFilterException>
                  <c15:sqref>'GE-NI Visual'!$C$18</c15:sqref>
                  <c15:invertIfNegative val="0"/>
                  <c15:bubble3D val="0"/>
                </c15:categoryFilterException>
                <c15:categoryFilterException>
                  <c15:sqref>'GE-NI Visual'!$C$19</c15:sqref>
                  <c15:invertIfNegative val="0"/>
                  <c15:bubble3D val="0"/>
                </c15:categoryFilterException>
              </c15:categoryFilterExceptions>
            </c:ext>
            <c:ext xmlns:c16="http://schemas.microsoft.com/office/drawing/2014/chart" uri="{C3380CC4-5D6E-409C-BE32-E72D297353CC}">
              <c16:uniqueId val="{00000001-0B93-4DA9-9098-31F61ADCF452}"/>
            </c:ext>
          </c:extLst>
        </c:ser>
        <c:ser>
          <c:idx val="2"/>
          <c:order val="2"/>
          <c:tx>
            <c:strRef>
              <c:f>'GE-NI Visual'!$D$21</c:f>
              <c:strCache>
                <c:ptCount val="1"/>
                <c:pt idx="0">
                  <c:v>LAB</c:v>
                </c:pt>
              </c:strCache>
            </c:strRef>
          </c:tx>
          <c:spPr>
            <a:solidFill>
              <a:srgbClr val="D40000"/>
            </a:solidFill>
            <a:ln w="25400">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Visual'!$D$9:$D$36</c15:sqref>
                  </c15:fullRef>
                </c:ext>
              </c:extLst>
              <c:f>'GE-NI Visual'!$D$21:$D$36</c:f>
              <c:numCache>
                <c:formatCode>0.0</c:formatCode>
                <c:ptCount val="16"/>
                <c:pt idx="0" formatCode="#,##0_);\(#,##0\)">
                  <c:v>0</c:v>
                </c:pt>
                <c:pt idx="1">
                  <c:v>98.194000000000003</c:v>
                </c:pt>
                <c:pt idx="2">
                  <c:v>72.613</c:v>
                </c:pt>
                <c:pt idx="3">
                  <c:v>102.759</c:v>
                </c:pt>
                <c:pt idx="4">
                  <c:v>44.37</c:v>
                </c:pt>
                <c:pt idx="5">
                  <c:v>35.613999999999997</c:v>
                </c:pt>
                <c:pt idx="6">
                  <c:v>62.323999999999998</c:v>
                </c:pt>
                <c:pt idx="7">
                  <c:v>67.816000000000003</c:v>
                </c:pt>
                <c:pt idx="8">
                  <c:v>65.459000000000003</c:v>
                </c:pt>
                <c:pt idx="9">
                  <c:v>0</c:v>
                </c:pt>
                <c:pt idx="10">
                  <c:v>9.41</c:v>
                </c:pt>
                <c:pt idx="11">
                  <c:v>0</c:v>
                </c:pt>
                <c:pt idx="12">
                  <c:v>0</c:v>
                </c:pt>
                <c:pt idx="13">
                  <c:v>0</c:v>
                </c:pt>
                <c:pt idx="14">
                  <c:v>0</c:v>
                </c:pt>
                <c:pt idx="15">
                  <c:v>0</c:v>
                </c:pt>
              </c:numCache>
            </c:numRef>
          </c:val>
          <c:extLst>
            <c:ext xmlns:c16="http://schemas.microsoft.com/office/drawing/2014/chart" uri="{C3380CC4-5D6E-409C-BE32-E72D297353CC}">
              <c16:uniqueId val="{00000002-0B93-4DA9-9098-31F61ADCF452}"/>
            </c:ext>
          </c:extLst>
        </c:ser>
        <c:ser>
          <c:idx val="3"/>
          <c:order val="3"/>
          <c:tx>
            <c:strRef>
              <c:f>'GE-NI Visual'!$E$21</c:f>
              <c:strCache>
                <c:ptCount val="1"/>
                <c:pt idx="0">
                  <c:v>LD</c:v>
                </c:pt>
              </c:strCache>
            </c:strRef>
          </c:tx>
          <c:spPr>
            <a:solidFill>
              <a:srgbClr val="FAA01A"/>
            </a:solidFill>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Visual'!$E$9:$E$36</c15:sqref>
                  </c15:fullRef>
                </c:ext>
              </c:extLst>
              <c:f>'GE-NI Visual'!$E$21:$E$36</c:f>
              <c:numCache>
                <c:formatCode>0.0</c:formatCode>
                <c:ptCount val="16"/>
                <c:pt idx="0" formatCode="#,##0_);\(#,##0\)">
                  <c:v>0</c:v>
                </c:pt>
                <c:pt idx="1">
                  <c:v>12.005000000000001</c:v>
                </c:pt>
                <c:pt idx="2">
                  <c:v>29.109000000000002</c:v>
                </c:pt>
                <c:pt idx="3">
                  <c:v>17.353999999999999</c:v>
                </c:pt>
                <c:pt idx="4">
                  <c:v>3.2530000000000001</c:v>
                </c:pt>
                <c:pt idx="5">
                  <c:v>0</c:v>
                </c:pt>
                <c:pt idx="6">
                  <c:v>0</c:v>
                </c:pt>
                <c:pt idx="7">
                  <c:v>0</c:v>
                </c:pt>
                <c:pt idx="8">
                  <c:v>0</c:v>
                </c:pt>
                <c:pt idx="9">
                  <c:v>0</c:v>
                </c:pt>
                <c:pt idx="10">
                  <c:v>0</c:v>
                </c:pt>
                <c:pt idx="11">
                  <c:v>100.10299999999999</c:v>
                </c:pt>
                <c:pt idx="12">
                  <c:v>0</c:v>
                </c:pt>
                <c:pt idx="13">
                  <c:v>0</c:v>
                </c:pt>
                <c:pt idx="14">
                  <c:v>0</c:v>
                </c:pt>
                <c:pt idx="15">
                  <c:v>0</c:v>
                </c:pt>
              </c:numCache>
            </c:numRef>
          </c:val>
          <c:extLst>
            <c:ext xmlns:c16="http://schemas.microsoft.com/office/drawing/2014/chart" uri="{C3380CC4-5D6E-409C-BE32-E72D297353CC}">
              <c16:uniqueId val="{00000003-0B93-4DA9-9098-31F61ADCF452}"/>
            </c:ext>
          </c:extLst>
        </c:ser>
        <c:dLbls>
          <c:showLegendKey val="0"/>
          <c:showVal val="0"/>
          <c:showCatName val="0"/>
          <c:showSerName val="0"/>
          <c:showPercent val="0"/>
          <c:showBubbleSize val="0"/>
        </c:dLbls>
        <c:gapWidth val="65"/>
        <c:overlap val="100"/>
        <c:axId val="465779240"/>
        <c:axId val="465779632"/>
      </c:barChart>
      <c:catAx>
        <c:axId val="465779240"/>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79632"/>
        <c:crosses val="autoZero"/>
        <c:auto val="1"/>
        <c:lblAlgn val="ctr"/>
        <c:lblOffset val="100"/>
        <c:noMultiLvlLbl val="0"/>
      </c:catAx>
      <c:valAx>
        <c:axId val="465779632"/>
        <c:scaling>
          <c:orientation val="minMax"/>
        </c:scaling>
        <c:delete val="1"/>
        <c:axPos val="b"/>
        <c:numFmt formatCode="0" sourceLinked="0"/>
        <c:majorTickMark val="none"/>
        <c:minorTickMark val="none"/>
        <c:tickLblPos val="nextTo"/>
        <c:crossAx val="465779240"/>
        <c:crosses val="autoZero"/>
        <c:crossBetween val="between"/>
        <c:majorUnit val="250"/>
      </c:valAx>
      <c:spPr>
        <a:noFill/>
        <a:ln w="25400">
          <a:noFill/>
        </a:ln>
      </c:spPr>
    </c:plotArea>
    <c:legend>
      <c:legendPos val="r"/>
      <c:layout>
        <c:manualLayout>
          <c:xMode val="edge"/>
          <c:yMode val="edge"/>
          <c:x val="0.69728332229819689"/>
          <c:y val="0.38420709420793436"/>
          <c:w val="0.24967357059554468"/>
          <c:h val="0.23397376301469772"/>
        </c:manualLayout>
      </c:layout>
      <c:overlay val="0"/>
      <c:spPr>
        <a:noFill/>
        <a:ln w="25400">
          <a:noFill/>
        </a:ln>
      </c:spPr>
    </c:legend>
    <c:plotVisOnly val="1"/>
    <c:dispBlanksAs val="gap"/>
    <c:showDLblsOverMax val="0"/>
  </c:chart>
  <c:spPr>
    <a:solidFill>
      <a:sysClr val="window" lastClr="FFFFFF"/>
    </a:solid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tx>
            <c:strRef>
              <c:f>'GE-NI Visual'!$B$6:$B$7</c:f>
              <c:strCache>
                <c:ptCount val="2"/>
                <c:pt idx="0">
                  <c:v>UUP</c:v>
                </c:pt>
              </c:strCache>
            </c:strRef>
          </c:tx>
          <c:spPr>
            <a:solidFill>
              <a:srgbClr val="A1CDF0"/>
            </a:solidFill>
            <a:ln w="3175">
              <a:noFill/>
            </a:ln>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Visual'!$B$8:$B$36</c15:sqref>
                  </c15:fullRef>
                </c:ext>
              </c:extLst>
              <c:f>'GE-NI Visual'!$B$8:$B$20</c:f>
              <c:numCache>
                <c:formatCode>0.0</c:formatCode>
                <c:ptCount val="13"/>
                <c:pt idx="0">
                  <c:v>93.123000000000005</c:v>
                </c:pt>
                <c:pt idx="1">
                  <c:v>83.28</c:v>
                </c:pt>
                <c:pt idx="2">
                  <c:v>114.9</c:v>
                </c:pt>
                <c:pt idx="3">
                  <c:v>102.4</c:v>
                </c:pt>
                <c:pt idx="4">
                  <c:v>127.414</c:v>
                </c:pt>
                <c:pt idx="5">
                  <c:v>216.839</c:v>
                </c:pt>
                <c:pt idx="6">
                  <c:v>258.34899999999999</c:v>
                </c:pt>
                <c:pt idx="7">
                  <c:v>271.04899999999998</c:v>
                </c:pt>
                <c:pt idx="8">
                  <c:v>276.23</c:v>
                </c:pt>
                <c:pt idx="9">
                  <c:v>259.952</c:v>
                </c:pt>
                <c:pt idx="10">
                  <c:v>254.578</c:v>
                </c:pt>
                <c:pt idx="11">
                  <c:v>256.065</c:v>
                </c:pt>
                <c:pt idx="12">
                  <c:v>326.404</c:v>
                </c:pt>
              </c:numCache>
            </c:numRef>
          </c:val>
          <c:extLst>
            <c:ext xmlns:c16="http://schemas.microsoft.com/office/drawing/2014/chart" uri="{C3380CC4-5D6E-409C-BE32-E72D297353CC}">
              <c16:uniqueId val="{00000000-3C4A-44B3-B482-3A3CDE1F1CD8}"/>
            </c:ext>
          </c:extLst>
        </c:ser>
        <c:ser>
          <c:idx val="1"/>
          <c:order val="1"/>
          <c:tx>
            <c:strRef>
              <c:f>'GE-NI Visual'!$C$6:$C$7</c:f>
              <c:strCache>
                <c:ptCount val="2"/>
                <c:pt idx="0">
                  <c:v>SDLP</c:v>
                </c:pt>
              </c:strCache>
            </c:strRef>
          </c:tx>
          <c:spPr>
            <a:solidFill>
              <a:srgbClr val="4EA268"/>
            </a:solidFill>
            <a:ln w="3175">
              <a:noFill/>
            </a:ln>
          </c:spPr>
          <c:invertIfNegative val="0"/>
          <c:dPt>
            <c:idx val="0"/>
            <c:invertIfNegative val="0"/>
            <c:bubble3D val="0"/>
            <c:extLst>
              <c:ext xmlns:c16="http://schemas.microsoft.com/office/drawing/2014/chart" uri="{C3380CC4-5D6E-409C-BE32-E72D297353CC}">
                <c16:uniqueId val="{00000001-3C4A-44B3-B482-3A3CDE1F1CD8}"/>
              </c:ext>
            </c:extLst>
          </c:dPt>
          <c:dPt>
            <c:idx val="1"/>
            <c:invertIfNegative val="0"/>
            <c:bubble3D val="0"/>
            <c:extLst>
              <c:ext xmlns:c16="http://schemas.microsoft.com/office/drawing/2014/chart" uri="{C3380CC4-5D6E-409C-BE32-E72D297353CC}">
                <c16:uniqueId val="{00000002-3C4A-44B3-B482-3A3CDE1F1CD8}"/>
              </c:ext>
            </c:extLst>
          </c:dPt>
          <c:dPt>
            <c:idx val="2"/>
            <c:invertIfNegative val="0"/>
            <c:bubble3D val="0"/>
            <c:extLst>
              <c:ext xmlns:c16="http://schemas.microsoft.com/office/drawing/2014/chart" uri="{C3380CC4-5D6E-409C-BE32-E72D297353CC}">
                <c16:uniqueId val="{00000003-3C4A-44B3-B482-3A3CDE1F1CD8}"/>
              </c:ext>
            </c:extLst>
          </c:dPt>
          <c:dPt>
            <c:idx val="3"/>
            <c:invertIfNegative val="0"/>
            <c:bubble3D val="0"/>
            <c:extLst>
              <c:ext xmlns:c16="http://schemas.microsoft.com/office/drawing/2014/chart" uri="{C3380CC4-5D6E-409C-BE32-E72D297353CC}">
                <c16:uniqueId val="{00000004-3C4A-44B3-B482-3A3CDE1F1CD8}"/>
              </c:ext>
            </c:extLst>
          </c:dPt>
          <c:dPt>
            <c:idx val="4"/>
            <c:invertIfNegative val="0"/>
            <c:bubble3D val="0"/>
            <c:extLst>
              <c:ext xmlns:c16="http://schemas.microsoft.com/office/drawing/2014/chart" uri="{C3380CC4-5D6E-409C-BE32-E72D297353CC}">
                <c16:uniqueId val="{00000005-3C4A-44B3-B482-3A3CDE1F1CD8}"/>
              </c:ext>
            </c:extLst>
          </c:dPt>
          <c:dPt>
            <c:idx val="5"/>
            <c:invertIfNegative val="0"/>
            <c:bubble3D val="0"/>
            <c:extLst>
              <c:ext xmlns:c16="http://schemas.microsoft.com/office/drawing/2014/chart" uri="{C3380CC4-5D6E-409C-BE32-E72D297353CC}">
                <c16:uniqueId val="{00000006-3C4A-44B3-B482-3A3CDE1F1CD8}"/>
              </c:ext>
            </c:extLst>
          </c:dPt>
          <c:dPt>
            <c:idx val="6"/>
            <c:invertIfNegative val="0"/>
            <c:bubble3D val="0"/>
            <c:extLst>
              <c:ext xmlns:c16="http://schemas.microsoft.com/office/drawing/2014/chart" uri="{C3380CC4-5D6E-409C-BE32-E72D297353CC}">
                <c16:uniqueId val="{00000007-3C4A-44B3-B482-3A3CDE1F1CD8}"/>
              </c:ext>
            </c:extLst>
          </c:dPt>
          <c:dPt>
            <c:idx val="7"/>
            <c:invertIfNegative val="0"/>
            <c:bubble3D val="0"/>
            <c:extLst>
              <c:ext xmlns:c16="http://schemas.microsoft.com/office/drawing/2014/chart" uri="{C3380CC4-5D6E-409C-BE32-E72D297353CC}">
                <c16:uniqueId val="{00000008-3C4A-44B3-B482-3A3CDE1F1CD8}"/>
              </c:ext>
            </c:extLst>
          </c:dPt>
          <c:dPt>
            <c:idx val="8"/>
            <c:invertIfNegative val="0"/>
            <c:bubble3D val="0"/>
            <c:extLst>
              <c:ext xmlns:c16="http://schemas.microsoft.com/office/drawing/2014/chart" uri="{C3380CC4-5D6E-409C-BE32-E72D297353CC}">
                <c16:uniqueId val="{00000009-3C4A-44B3-B482-3A3CDE1F1CD8}"/>
              </c:ext>
            </c:extLst>
          </c:dPt>
          <c:dPt>
            <c:idx val="9"/>
            <c:invertIfNegative val="0"/>
            <c:bubble3D val="0"/>
            <c:extLst>
              <c:ext xmlns:c16="http://schemas.microsoft.com/office/drawing/2014/chart" uri="{C3380CC4-5D6E-409C-BE32-E72D297353CC}">
                <c16:uniqueId val="{0000000A-3C4A-44B3-B482-3A3CDE1F1CD8}"/>
              </c:ext>
            </c:extLst>
          </c:dPt>
          <c:dPt>
            <c:idx val="10"/>
            <c:invertIfNegative val="0"/>
            <c:bubble3D val="0"/>
            <c:extLst>
              <c:ext xmlns:c16="http://schemas.microsoft.com/office/drawing/2014/chart" uri="{C3380CC4-5D6E-409C-BE32-E72D297353CC}">
                <c16:uniqueId val="{0000000B-3C4A-44B3-B482-3A3CDE1F1CD8}"/>
              </c:ext>
            </c:extLst>
          </c:dPt>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Visual'!$C$8:$C$36</c15:sqref>
                  </c15:fullRef>
                </c:ext>
              </c:extLst>
              <c:f>'GE-NI Visual'!$C$8:$C$20</c:f>
              <c:numCache>
                <c:formatCode>0.0</c:formatCode>
                <c:ptCount val="13"/>
                <c:pt idx="0">
                  <c:v>118.73699999999999</c:v>
                </c:pt>
                <c:pt idx="1">
                  <c:v>95.418999999999997</c:v>
                </c:pt>
                <c:pt idx="2">
                  <c:v>99.8</c:v>
                </c:pt>
                <c:pt idx="3">
                  <c:v>111</c:v>
                </c:pt>
                <c:pt idx="4">
                  <c:v>125.626</c:v>
                </c:pt>
                <c:pt idx="5">
                  <c:v>169.86500000000001</c:v>
                </c:pt>
                <c:pt idx="6">
                  <c:v>190.81399999999999</c:v>
                </c:pt>
                <c:pt idx="7">
                  <c:v>154.44499999999999</c:v>
                </c:pt>
                <c:pt idx="8">
                  <c:v>154.08699999999999</c:v>
                </c:pt>
                <c:pt idx="9">
                  <c:v>137.012</c:v>
                </c:pt>
                <c:pt idx="10">
                  <c:v>126.325</c:v>
                </c:pt>
                <c:pt idx="11">
                  <c:v>154.19300000000001</c:v>
                </c:pt>
                <c:pt idx="12">
                  <c:v>160.43700000000001</c:v>
                </c:pt>
              </c:numCache>
            </c:numRef>
          </c:val>
          <c:extLst>
            <c:ext xmlns:c16="http://schemas.microsoft.com/office/drawing/2014/chart" uri="{C3380CC4-5D6E-409C-BE32-E72D297353CC}">
              <c16:uniqueId val="{0000000C-3C4A-44B3-B482-3A3CDE1F1CD8}"/>
            </c:ext>
          </c:extLst>
        </c:ser>
        <c:ser>
          <c:idx val="2"/>
          <c:order val="2"/>
          <c:tx>
            <c:strRef>
              <c:f>'GE-NI Visual'!$D$6:$D$7</c:f>
              <c:strCache>
                <c:ptCount val="2"/>
                <c:pt idx="0">
                  <c:v>DUP</c:v>
                </c:pt>
              </c:strCache>
            </c:strRef>
          </c:tx>
          <c:spPr>
            <a:solidFill>
              <a:srgbClr val="CC3300"/>
            </a:solidFill>
            <a:ln w="25400">
              <a:noFill/>
            </a:ln>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Visual'!$D$8:$D$36</c15:sqref>
                  </c15:fullRef>
                </c:ext>
              </c:extLst>
              <c:f>'GE-NI Visual'!$D$8:$D$20</c:f>
              <c:numCache>
                <c:formatCode>0.0</c:formatCode>
                <c:ptCount val="13"/>
                <c:pt idx="0">
                  <c:v>244.12799999999999</c:v>
                </c:pt>
                <c:pt idx="1">
                  <c:v>292.31599999999997</c:v>
                </c:pt>
                <c:pt idx="2">
                  <c:v>184.3</c:v>
                </c:pt>
                <c:pt idx="3">
                  <c:v>168.2</c:v>
                </c:pt>
                <c:pt idx="4">
                  <c:v>241.85599999999999</c:v>
                </c:pt>
                <c:pt idx="5">
                  <c:v>181.999</c:v>
                </c:pt>
                <c:pt idx="6">
                  <c:v>107.348</c:v>
                </c:pt>
                <c:pt idx="7">
                  <c:v>103.039</c:v>
                </c:pt>
                <c:pt idx="8">
                  <c:v>85.641999999999996</c:v>
                </c:pt>
                <c:pt idx="9">
                  <c:v>152.749</c:v>
                </c:pt>
                <c:pt idx="10">
                  <c:v>70.974999999999994</c:v>
                </c:pt>
                <c:pt idx="11">
                  <c:v>59.451000000000001</c:v>
                </c:pt>
                <c:pt idx="12">
                  <c:v>58.655999999999999</c:v>
                </c:pt>
              </c:numCache>
            </c:numRef>
          </c:val>
          <c:extLst>
            <c:ext xmlns:c16="http://schemas.microsoft.com/office/drawing/2014/chart" uri="{C3380CC4-5D6E-409C-BE32-E72D297353CC}">
              <c16:uniqueId val="{0000000D-3C4A-44B3-B482-3A3CDE1F1CD8}"/>
            </c:ext>
          </c:extLst>
        </c:ser>
        <c:ser>
          <c:idx val="3"/>
          <c:order val="3"/>
          <c:tx>
            <c:strRef>
              <c:f>'GE-NI Visual'!$E$6:$E$7</c:f>
              <c:strCache>
                <c:ptCount val="2"/>
                <c:pt idx="0">
                  <c:v>SF</c:v>
                </c:pt>
              </c:strCache>
            </c:strRef>
          </c:tx>
          <c:spPr>
            <a:solidFill>
              <a:srgbClr val="02665F"/>
            </a:solidFill>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Visual'!$E$8:$E$36</c15:sqref>
                  </c15:fullRef>
                </c:ext>
              </c:extLst>
              <c:f>'GE-NI Visual'!$E$8:$E$20</c:f>
              <c:numCache>
                <c:formatCode>0.0</c:formatCode>
                <c:ptCount val="13"/>
                <c:pt idx="0">
                  <c:v>181.85300000000001</c:v>
                </c:pt>
                <c:pt idx="1">
                  <c:v>238.91499999999999</c:v>
                </c:pt>
                <c:pt idx="2">
                  <c:v>176.2</c:v>
                </c:pt>
                <c:pt idx="3">
                  <c:v>171.9</c:v>
                </c:pt>
                <c:pt idx="4">
                  <c:v>174.53</c:v>
                </c:pt>
                <c:pt idx="5">
                  <c:v>175.93299999999999</c:v>
                </c:pt>
                <c:pt idx="6">
                  <c:v>126.92100000000001</c:v>
                </c:pt>
                <c:pt idx="7">
                  <c:v>78.290999999999997</c:v>
                </c:pt>
                <c:pt idx="8">
                  <c:v>83.388999999999996</c:v>
                </c:pt>
                <c:pt idx="9">
                  <c:v>102.70099999999999</c:v>
                </c:pt>
                <c:pt idx="10">
                  <c:v>0</c:v>
                </c:pt>
                <c:pt idx="11">
                  <c:v>0</c:v>
                </c:pt>
                <c:pt idx="12">
                  <c:v>0</c:v>
                </c:pt>
              </c:numCache>
            </c:numRef>
          </c:val>
          <c:extLst>
            <c:ext xmlns:c16="http://schemas.microsoft.com/office/drawing/2014/chart" uri="{C3380CC4-5D6E-409C-BE32-E72D297353CC}">
              <c16:uniqueId val="{0000000E-3C4A-44B3-B482-3A3CDE1F1CD8}"/>
            </c:ext>
          </c:extLst>
        </c:ser>
        <c:dLbls>
          <c:showLegendKey val="0"/>
          <c:showVal val="0"/>
          <c:showCatName val="0"/>
          <c:showSerName val="0"/>
          <c:showPercent val="0"/>
          <c:showBubbleSize val="0"/>
        </c:dLbls>
        <c:gapWidth val="65"/>
        <c:overlap val="100"/>
        <c:axId val="465780416"/>
        <c:axId val="465780808"/>
      </c:barChart>
      <c:catAx>
        <c:axId val="46578041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0808"/>
        <c:crosses val="autoZero"/>
        <c:auto val="1"/>
        <c:lblAlgn val="ctr"/>
        <c:lblOffset val="100"/>
        <c:noMultiLvlLbl val="0"/>
      </c:catAx>
      <c:valAx>
        <c:axId val="465780808"/>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0416"/>
        <c:crosses val="autoZero"/>
        <c:crossBetween val="between"/>
        <c:majorUnit val="250"/>
      </c:valAx>
      <c:spPr>
        <a:noFill/>
        <a:ln w="25400">
          <a:noFill/>
        </a:ln>
      </c:spPr>
    </c:plotArea>
    <c:legend>
      <c:legendPos val="r"/>
      <c:layout>
        <c:manualLayout>
          <c:xMode val="edge"/>
          <c:yMode val="edge"/>
          <c:x val="0.71822532977358899"/>
          <c:y val="0.2669747488691146"/>
          <c:w val="0.24910964790206025"/>
          <c:h val="0.39435039906910274"/>
        </c:manualLayout>
      </c:layout>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Share</a:t>
            </a:r>
            <a:r>
              <a:rPr lang="en-GB" sz="1000" baseline="0"/>
              <a:t> of votes (%)</a:t>
            </a:r>
            <a:endParaRPr lang="en-GB" sz="1000"/>
          </a:p>
        </c:rich>
      </c:tx>
      <c:layout>
        <c:manualLayout>
          <c:xMode val="edge"/>
          <c:yMode val="edge"/>
          <c:x val="0.12255210205960278"/>
          <c:y val="0.10181166484451772"/>
        </c:manualLayout>
      </c:layout>
      <c:overlay val="0"/>
      <c:spPr>
        <a:noFill/>
        <a:ln w="25400">
          <a:noFill/>
        </a:ln>
      </c:spPr>
    </c:title>
    <c:autoTitleDeleted val="0"/>
    <c:plotArea>
      <c:layout>
        <c:manualLayout>
          <c:layoutTarget val="inner"/>
          <c:xMode val="edge"/>
          <c:yMode val="edge"/>
          <c:x val="0.21718021835514426"/>
          <c:y val="0.16259849556338971"/>
          <c:w val="0.49593018601051481"/>
          <c:h val="0.74671761204112219"/>
        </c:manualLayout>
      </c:layout>
      <c:barChart>
        <c:barDir val="bar"/>
        <c:grouping val="stacked"/>
        <c:varyColors val="0"/>
        <c:ser>
          <c:idx val="0"/>
          <c:order val="0"/>
          <c:tx>
            <c:strRef>
              <c:f>'GE-NI Visual'!$B$6:$B$7</c:f>
              <c:strCache>
                <c:ptCount val="2"/>
                <c:pt idx="0">
                  <c:v>UUP</c:v>
                </c:pt>
              </c:strCache>
            </c:strRef>
          </c:tx>
          <c:spPr>
            <a:solidFill>
              <a:srgbClr val="00539F"/>
            </a:solidFill>
            <a:ln w="3175">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Visual'!$B$42:$B$69</c15:sqref>
                  </c15:fullRef>
                </c:ext>
              </c:extLst>
              <c:f>'GE-NI Visual'!$B$54:$B$69</c:f>
              <c:numCache>
                <c:formatCode>0.0%</c:formatCode>
                <c:ptCount val="16"/>
                <c:pt idx="0" formatCode="#,##0_);\(#,##0\)">
                  <c:v>0</c:v>
                </c:pt>
                <c:pt idx="1">
                  <c:v>0.54169420867062934</c:v>
                </c:pt>
                <c:pt idx="2">
                  <c:v>0.61825918217084819</c:v>
                </c:pt>
                <c:pt idx="3">
                  <c:v>0.62962075210397361</c:v>
                </c:pt>
                <c:pt idx="4">
                  <c:v>0.77244047608715649</c:v>
                </c:pt>
                <c:pt idx="5">
                  <c:v>0.6845540123194267</c:v>
                </c:pt>
                <c:pt idx="6">
                  <c:v>0.59352392959610378</c:v>
                </c:pt>
                <c:pt idx="7">
                  <c:v>0.62755638200478059</c:v>
                </c:pt>
                <c:pt idx="8">
                  <c:v>0.53700000000000003</c:v>
                </c:pt>
                <c:pt idx="9">
                  <c:v>0.64900000000000002</c:v>
                </c:pt>
                <c:pt idx="10">
                  <c:v>0.56100000000000005</c:v>
                </c:pt>
                <c:pt idx="11">
                  <c:v>0.68</c:v>
                </c:pt>
                <c:pt idx="12">
                  <c:v>0.83799999999999997</c:v>
                </c:pt>
                <c:pt idx="13">
                  <c:v>0.49399999999999999</c:v>
                </c:pt>
                <c:pt idx="14">
                  <c:v>0.55799999999999994</c:v>
                </c:pt>
                <c:pt idx="15">
                  <c:v>0.28399999999999997</c:v>
                </c:pt>
              </c:numCache>
            </c:numRef>
          </c:val>
          <c:extLst>
            <c:ext xmlns:c16="http://schemas.microsoft.com/office/drawing/2014/chart" uri="{C3380CC4-5D6E-409C-BE32-E72D297353CC}">
              <c16:uniqueId val="{00000000-CA64-4743-846C-7CB746A7BFCD}"/>
            </c:ext>
          </c:extLst>
        </c:ser>
        <c:ser>
          <c:idx val="1"/>
          <c:order val="1"/>
          <c:tx>
            <c:strRef>
              <c:f>'GE-NI Visual'!$C$6:$C$7</c:f>
              <c:strCache>
                <c:ptCount val="2"/>
                <c:pt idx="0">
                  <c:v>SDLP</c:v>
                </c:pt>
              </c:strCache>
            </c:strRef>
          </c:tx>
          <c:spPr>
            <a:solidFill>
              <a:schemeClr val="accent1"/>
            </a:solidFill>
            <a:ln w="3175">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Visual'!$C$42:$C$69</c15:sqref>
                  </c15:fullRef>
                </c:ext>
              </c:extLst>
              <c:f>'GE-NI Visual'!$C$54:$C$69</c:f>
              <c:numCache>
                <c:formatCode>0.0%</c:formatCode>
                <c:ptCount val="16"/>
                <c:pt idx="0" formatCode="#,##0_);\(#,##0\)">
                  <c:v>0</c:v>
                </c:pt>
                <c:pt idx="1">
                  <c:v>0</c:v>
                </c:pt>
                <c:pt idx="2">
                  <c:v>3.7178169083770377E-2</c:v>
                </c:pt>
                <c:pt idx="3">
                  <c:v>0</c:v>
                </c:pt>
                <c:pt idx="4">
                  <c:v>0</c:v>
                </c:pt>
                <c:pt idx="5">
                  <c:v>0</c:v>
                </c:pt>
                <c:pt idx="6">
                  <c:v>0.20031173563781673</c:v>
                </c:pt>
                <c:pt idx="7">
                  <c:v>0.11614995778696846</c:v>
                </c:pt>
                <c:pt idx="8">
                  <c:v>0.188</c:v>
                </c:pt>
                <c:pt idx="9">
                  <c:v>0.183</c:v>
                </c:pt>
                <c:pt idx="10">
                  <c:v>0.38900000000000001</c:v>
                </c:pt>
                <c:pt idx="11">
                  <c:v>6.6000000000000003E-2</c:v>
                </c:pt>
                <c:pt idx="12">
                  <c:v>0</c:v>
                </c:pt>
                <c:pt idx="13">
                  <c:v>0.27300000000000002</c:v>
                </c:pt>
                <c:pt idx="14">
                  <c:v>0.36299999999999999</c:v>
                </c:pt>
                <c:pt idx="15">
                  <c:v>0.22</c:v>
                </c:pt>
              </c:numCache>
            </c:numRef>
          </c:val>
          <c:extLst>
            <c:ext xmlns:c16="http://schemas.microsoft.com/office/drawing/2014/chart" uri="{C3380CC4-5D6E-409C-BE32-E72D297353CC}">
              <c16:uniqueId val="{00000001-CA64-4743-846C-7CB746A7BFCD}"/>
            </c:ext>
          </c:extLst>
        </c:ser>
        <c:ser>
          <c:idx val="2"/>
          <c:order val="2"/>
          <c:tx>
            <c:strRef>
              <c:f>'GE-NI Visual'!$D$6:$D$7</c:f>
              <c:strCache>
                <c:ptCount val="2"/>
                <c:pt idx="0">
                  <c:v>DUP</c:v>
                </c:pt>
              </c:strCache>
            </c:strRef>
          </c:tx>
          <c:spPr>
            <a:solidFill>
              <a:srgbClr val="D50000"/>
            </a:solidFill>
            <a:ln w="25400">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Visual'!$D$42:$D$69</c15:sqref>
                  </c15:fullRef>
                </c:ext>
              </c:extLst>
              <c:f>'GE-NI Visual'!$D$54:$D$69</c:f>
              <c:numCache>
                <c:formatCode>0.0%</c:formatCode>
                <c:ptCount val="16"/>
                <c:pt idx="0" formatCode="#,##0_);\(#,##0\)">
                  <c:v>0</c:v>
                </c:pt>
                <c:pt idx="1">
                  <c:v>0.12603306580688553</c:v>
                </c:pt>
                <c:pt idx="2">
                  <c:v>0.12178546450488648</c:v>
                </c:pt>
                <c:pt idx="3">
                  <c:v>0.16098452803940369</c:v>
                </c:pt>
                <c:pt idx="4">
                  <c:v>7.701614093068547E-2</c:v>
                </c:pt>
                <c:pt idx="5">
                  <c:v>5.5077085340562708E-2</c:v>
                </c:pt>
                <c:pt idx="6">
                  <c:v>0.13454717376239442</c:v>
                </c:pt>
                <c:pt idx="7">
                  <c:v>0.12078982897488236</c:v>
                </c:pt>
                <c:pt idx="8">
                  <c:v>0.114</c:v>
                </c:pt>
                <c:pt idx="9">
                  <c:v>0</c:v>
                </c:pt>
                <c:pt idx="10">
                  <c:v>0.05</c:v>
                </c:pt>
                <c:pt idx="11">
                  <c:v>0</c:v>
                </c:pt>
                <c:pt idx="12">
                  <c:v>0</c:v>
                </c:pt>
                <c:pt idx="13">
                  <c:v>0</c:v>
                </c:pt>
                <c:pt idx="14">
                  <c:v>0</c:v>
                </c:pt>
                <c:pt idx="15">
                  <c:v>0</c:v>
                </c:pt>
              </c:numCache>
            </c:numRef>
          </c:val>
          <c:extLst>
            <c:ext xmlns:c16="http://schemas.microsoft.com/office/drawing/2014/chart" uri="{C3380CC4-5D6E-409C-BE32-E72D297353CC}">
              <c16:uniqueId val="{00000002-CA64-4743-846C-7CB746A7BFCD}"/>
            </c:ext>
          </c:extLst>
        </c:ser>
        <c:ser>
          <c:idx val="3"/>
          <c:order val="3"/>
          <c:tx>
            <c:strRef>
              <c:f>'GE-NI Visual'!$E$6:$E$7</c:f>
              <c:strCache>
                <c:ptCount val="2"/>
                <c:pt idx="0">
                  <c:v>SF</c:v>
                </c:pt>
              </c:strCache>
            </c:strRef>
          </c:tx>
          <c:spPr>
            <a:solidFill>
              <a:srgbClr val="FAA01A"/>
            </a:solidFill>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Visual'!$E$42:$E$69</c15:sqref>
                  </c15:fullRef>
                </c:ext>
              </c:extLst>
              <c:f>'GE-NI Visual'!$E$54:$E$69</c:f>
              <c:numCache>
                <c:formatCode>0.0%</c:formatCode>
                <c:ptCount val="16"/>
                <c:pt idx="0" formatCode="#,##0_);\(#,##0\)">
                  <c:v>0</c:v>
                </c:pt>
                <c:pt idx="1">
                  <c:v>1.5408547925653916E-2</c:v>
                </c:pt>
                <c:pt idx="2">
                  <c:v>4.8821190231401274E-2</c:v>
                </c:pt>
                <c:pt idx="3">
                  <c:v>2.7187161217954742E-2</c:v>
                </c:pt>
                <c:pt idx="4">
                  <c:v>5.6464617184475959E-3</c:v>
                </c:pt>
                <c:pt idx="5">
                  <c:v>0</c:v>
                </c:pt>
                <c:pt idx="6">
                  <c:v>0</c:v>
                </c:pt>
                <c:pt idx="7">
                  <c:v>0</c:v>
                </c:pt>
                <c:pt idx="8">
                  <c:v>0</c:v>
                </c:pt>
                <c:pt idx="9">
                  <c:v>0</c:v>
                </c:pt>
                <c:pt idx="10">
                  <c:v>0</c:v>
                </c:pt>
                <c:pt idx="11">
                  <c:v>0.16800000000000001</c:v>
                </c:pt>
                <c:pt idx="12" formatCode="#,##0.0;\-#,##0.0">
                  <c:v>0</c:v>
                </c:pt>
                <c:pt idx="13" formatCode="#,##0.0;\-#,##0.0">
                  <c:v>0</c:v>
                </c:pt>
                <c:pt idx="14" formatCode="#,##0.0;\-#,##0.0">
                  <c:v>0</c:v>
                </c:pt>
                <c:pt idx="15">
                  <c:v>0</c:v>
                </c:pt>
              </c:numCache>
            </c:numRef>
          </c:val>
          <c:extLst>
            <c:ext xmlns:c16="http://schemas.microsoft.com/office/drawing/2014/chart" uri="{C3380CC4-5D6E-409C-BE32-E72D297353CC}">
              <c16:uniqueId val="{00000003-CA64-4743-846C-7CB746A7BFCD}"/>
            </c:ext>
          </c:extLst>
        </c:ser>
        <c:dLbls>
          <c:showLegendKey val="0"/>
          <c:showVal val="0"/>
          <c:showCatName val="0"/>
          <c:showSerName val="0"/>
          <c:showPercent val="0"/>
          <c:showBubbleSize val="0"/>
        </c:dLbls>
        <c:gapWidth val="65"/>
        <c:overlap val="100"/>
        <c:axId val="465781592"/>
        <c:axId val="465781984"/>
      </c:barChart>
      <c:catAx>
        <c:axId val="46578159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1984"/>
        <c:crosses val="autoZero"/>
        <c:auto val="1"/>
        <c:lblAlgn val="ctr"/>
        <c:lblOffset val="100"/>
        <c:noMultiLvlLbl val="0"/>
      </c:catAx>
      <c:valAx>
        <c:axId val="465781984"/>
        <c:scaling>
          <c:orientation val="minMax"/>
          <c:max val="1"/>
        </c:scaling>
        <c:delete val="1"/>
        <c:axPos val="b"/>
        <c:numFmt formatCode="0" sourceLinked="0"/>
        <c:majorTickMark val="out"/>
        <c:minorTickMark val="none"/>
        <c:tickLblPos val="nextTo"/>
        <c:crossAx val="465781592"/>
        <c:crosses val="autoZero"/>
        <c:crossBetween val="between"/>
        <c:majorUnit val="0.5"/>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spPr>
            <a:solidFill>
              <a:srgbClr val="A1CDF0"/>
            </a:solidFill>
            <a:ln w="3175">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Visual'!$B$41:$B$69</c15:sqref>
                  </c15:fullRef>
                </c:ext>
              </c:extLst>
              <c:f>'GE-NI Visual'!$B$41:$B$53</c:f>
              <c:numCache>
                <c:formatCode>0.0%</c:formatCode>
                <c:ptCount val="13"/>
                <c:pt idx="0">
                  <c:v>0.1165443315999925</c:v>
                </c:pt>
                <c:pt idx="1">
                  <c:v>0.10253846731586355</c:v>
                </c:pt>
                <c:pt idx="2">
                  <c:v>0.16000557025483916</c:v>
                </c:pt>
                <c:pt idx="3">
                  <c:v>0.1519513280902211</c:v>
                </c:pt>
                <c:pt idx="4">
                  <c:v>0.17755524650154264</c:v>
                </c:pt>
                <c:pt idx="5">
                  <c:v>0.26757892035035674</c:v>
                </c:pt>
                <c:pt idx="6">
                  <c:v>0.32670892126834622</c:v>
                </c:pt>
                <c:pt idx="7">
                  <c:v>0.34524444874683635</c:v>
                </c:pt>
                <c:pt idx="8">
                  <c:v>0.37834543213258459</c:v>
                </c:pt>
                <c:pt idx="9">
                  <c:v>0.33983985358041641</c:v>
                </c:pt>
                <c:pt idx="10">
                  <c:v>0.36583238370597526</c:v>
                </c:pt>
                <c:pt idx="11">
                  <c:v>0.45483859280460853</c:v>
                </c:pt>
                <c:pt idx="12">
                  <c:v>0.36471612063341941</c:v>
                </c:pt>
              </c:numCache>
            </c:numRef>
          </c:val>
          <c:extLst>
            <c:ext xmlns:c16="http://schemas.microsoft.com/office/drawing/2014/chart" uri="{C3380CC4-5D6E-409C-BE32-E72D297353CC}">
              <c16:uniqueId val="{00000000-0E92-4E9E-9EBA-974013F9481F}"/>
            </c:ext>
          </c:extLst>
        </c:ser>
        <c:ser>
          <c:idx val="1"/>
          <c:order val="1"/>
          <c:spPr>
            <a:solidFill>
              <a:srgbClr val="4EA268"/>
            </a:solidFill>
            <a:ln w="3175">
              <a:noFill/>
            </a:ln>
          </c:spPr>
          <c:invertIfNegative val="0"/>
          <c:dPt>
            <c:idx val="0"/>
            <c:invertIfNegative val="0"/>
            <c:bubble3D val="0"/>
            <c:extLst>
              <c:ext xmlns:c16="http://schemas.microsoft.com/office/drawing/2014/chart" uri="{C3380CC4-5D6E-409C-BE32-E72D297353CC}">
                <c16:uniqueId val="{00000001-0E92-4E9E-9EBA-974013F9481F}"/>
              </c:ext>
            </c:extLst>
          </c:dPt>
          <c:dPt>
            <c:idx val="1"/>
            <c:invertIfNegative val="0"/>
            <c:bubble3D val="0"/>
            <c:extLst>
              <c:ext xmlns:c16="http://schemas.microsoft.com/office/drawing/2014/chart" uri="{C3380CC4-5D6E-409C-BE32-E72D297353CC}">
                <c16:uniqueId val="{00000002-0E92-4E9E-9EBA-974013F9481F}"/>
              </c:ext>
            </c:extLst>
          </c:dPt>
          <c:dPt>
            <c:idx val="2"/>
            <c:invertIfNegative val="0"/>
            <c:bubble3D val="0"/>
            <c:extLst>
              <c:ext xmlns:c16="http://schemas.microsoft.com/office/drawing/2014/chart" uri="{C3380CC4-5D6E-409C-BE32-E72D297353CC}">
                <c16:uniqueId val="{00000003-0E92-4E9E-9EBA-974013F9481F}"/>
              </c:ext>
            </c:extLst>
          </c:dPt>
          <c:dPt>
            <c:idx val="3"/>
            <c:invertIfNegative val="0"/>
            <c:bubble3D val="0"/>
            <c:extLst>
              <c:ext xmlns:c16="http://schemas.microsoft.com/office/drawing/2014/chart" uri="{C3380CC4-5D6E-409C-BE32-E72D297353CC}">
                <c16:uniqueId val="{00000004-0E92-4E9E-9EBA-974013F9481F}"/>
              </c:ext>
            </c:extLst>
          </c:dPt>
          <c:dPt>
            <c:idx val="4"/>
            <c:invertIfNegative val="0"/>
            <c:bubble3D val="0"/>
            <c:extLst>
              <c:ext xmlns:c16="http://schemas.microsoft.com/office/drawing/2014/chart" uri="{C3380CC4-5D6E-409C-BE32-E72D297353CC}">
                <c16:uniqueId val="{00000005-0E92-4E9E-9EBA-974013F9481F}"/>
              </c:ext>
            </c:extLst>
          </c:dPt>
          <c:dPt>
            <c:idx val="5"/>
            <c:invertIfNegative val="0"/>
            <c:bubble3D val="0"/>
            <c:extLst>
              <c:ext xmlns:c16="http://schemas.microsoft.com/office/drawing/2014/chart" uri="{C3380CC4-5D6E-409C-BE32-E72D297353CC}">
                <c16:uniqueId val="{00000006-0E92-4E9E-9EBA-974013F9481F}"/>
              </c:ext>
            </c:extLst>
          </c:dPt>
          <c:dPt>
            <c:idx val="6"/>
            <c:invertIfNegative val="0"/>
            <c:bubble3D val="0"/>
            <c:extLst>
              <c:ext xmlns:c16="http://schemas.microsoft.com/office/drawing/2014/chart" uri="{C3380CC4-5D6E-409C-BE32-E72D297353CC}">
                <c16:uniqueId val="{00000007-0E92-4E9E-9EBA-974013F9481F}"/>
              </c:ext>
            </c:extLst>
          </c:dPt>
          <c:dPt>
            <c:idx val="7"/>
            <c:invertIfNegative val="0"/>
            <c:bubble3D val="0"/>
            <c:extLst>
              <c:ext xmlns:c16="http://schemas.microsoft.com/office/drawing/2014/chart" uri="{C3380CC4-5D6E-409C-BE32-E72D297353CC}">
                <c16:uniqueId val="{00000008-0E92-4E9E-9EBA-974013F9481F}"/>
              </c:ext>
            </c:extLst>
          </c:dPt>
          <c:dPt>
            <c:idx val="8"/>
            <c:invertIfNegative val="0"/>
            <c:bubble3D val="0"/>
            <c:extLst>
              <c:ext xmlns:c16="http://schemas.microsoft.com/office/drawing/2014/chart" uri="{C3380CC4-5D6E-409C-BE32-E72D297353CC}">
                <c16:uniqueId val="{00000009-0E92-4E9E-9EBA-974013F9481F}"/>
              </c:ext>
            </c:extLst>
          </c:dPt>
          <c:dPt>
            <c:idx val="9"/>
            <c:invertIfNegative val="0"/>
            <c:bubble3D val="0"/>
            <c:extLst>
              <c:ext xmlns:c16="http://schemas.microsoft.com/office/drawing/2014/chart" uri="{C3380CC4-5D6E-409C-BE32-E72D297353CC}">
                <c16:uniqueId val="{0000000A-0E92-4E9E-9EBA-974013F9481F}"/>
              </c:ext>
            </c:extLst>
          </c:dPt>
          <c:dPt>
            <c:idx val="10"/>
            <c:invertIfNegative val="0"/>
            <c:bubble3D val="0"/>
            <c:extLst>
              <c:ext xmlns:c16="http://schemas.microsoft.com/office/drawing/2014/chart" uri="{C3380CC4-5D6E-409C-BE32-E72D297353CC}">
                <c16:uniqueId val="{0000000B-0E92-4E9E-9EBA-974013F9481F}"/>
              </c:ext>
            </c:extLst>
          </c:dPt>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Visual'!$C$41:$C$69</c15:sqref>
                  </c15:fullRef>
                </c:ext>
              </c:extLst>
              <c:f>'GE-NI Visual'!$C$41:$C$53</c:f>
              <c:numCache>
                <c:formatCode>0.0%</c:formatCode>
                <c:ptCount val="13"/>
                <c:pt idx="0">
                  <c:v>0.14860049935234376</c:v>
                </c:pt>
                <c:pt idx="1">
                  <c:v>0.11748460630178174</c:v>
                </c:pt>
                <c:pt idx="2">
                  <c:v>0.13897785823701433</c:v>
                </c:pt>
                <c:pt idx="3">
                  <c:v>0.16471286541029828</c:v>
                </c:pt>
                <c:pt idx="4">
                  <c:v>0.17506361464990344</c:v>
                </c:pt>
                <c:pt idx="5">
                  <c:v>0.20961309222655219</c:v>
                </c:pt>
                <c:pt idx="6">
                  <c:v>0.24130395744863817</c:v>
                </c:pt>
                <c:pt idx="7">
                  <c:v>0.19672191702129557</c:v>
                </c:pt>
                <c:pt idx="8">
                  <c:v>0.2110491713463909</c:v>
                </c:pt>
                <c:pt idx="9">
                  <c:v>0.17911821420400695</c:v>
                </c:pt>
                <c:pt idx="10">
                  <c:v>0.18153090947237124</c:v>
                </c:pt>
                <c:pt idx="11">
                  <c:v>0.22356631448693332</c:v>
                </c:pt>
                <c:pt idx="12">
                  <c:v>0.21961874051052993</c:v>
                </c:pt>
              </c:numCache>
            </c:numRef>
          </c:val>
          <c:extLst>
            <c:ext xmlns:c16="http://schemas.microsoft.com/office/drawing/2014/chart" uri="{C3380CC4-5D6E-409C-BE32-E72D297353CC}">
              <c16:uniqueId val="{0000000C-0E92-4E9E-9EBA-974013F9481F}"/>
            </c:ext>
          </c:extLst>
        </c:ser>
        <c:ser>
          <c:idx val="2"/>
          <c:order val="2"/>
          <c:spPr>
            <a:solidFill>
              <a:srgbClr val="CC3300"/>
            </a:solidFill>
            <a:ln w="25400">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Visual'!$D$41:$D$69</c15:sqref>
                  </c15:fullRef>
                </c:ext>
              </c:extLst>
              <c:f>'GE-NI Visual'!$D$41:$D$53</c:f>
              <c:numCache>
                <c:formatCode>0.0%</c:formatCode>
                <c:ptCount val="13"/>
                <c:pt idx="0">
                  <c:v>0.30552854380596595</c:v>
                </c:pt>
                <c:pt idx="1">
                  <c:v>0.35991396027742512</c:v>
                </c:pt>
                <c:pt idx="2">
                  <c:v>0.25664949171424595</c:v>
                </c:pt>
                <c:pt idx="3">
                  <c:v>0.24959192758569521</c:v>
                </c:pt>
                <c:pt idx="4">
                  <c:v>0.33703362030763573</c:v>
                </c:pt>
                <c:pt idx="5">
                  <c:v>0.22458642552697888</c:v>
                </c:pt>
                <c:pt idx="6">
                  <c:v>0.13575260318528204</c:v>
                </c:pt>
                <c:pt idx="7">
                  <c:v>0.13124432392086033</c:v>
                </c:pt>
                <c:pt idx="8">
                  <c:v>0.11730173948774139</c:v>
                </c:pt>
                <c:pt idx="9">
                  <c:v>0.19969147302023074</c:v>
                </c:pt>
                <c:pt idx="10">
                  <c:v>0.10199213378034078</c:v>
                </c:pt>
                <c:pt idx="11">
                  <c:v>8.1736168979384807E-2</c:v>
                </c:pt>
                <c:pt idx="12">
                  <c:v>8.4676695713109637E-2</c:v>
                </c:pt>
              </c:numCache>
            </c:numRef>
          </c:val>
          <c:extLst>
            <c:ext xmlns:c16="http://schemas.microsoft.com/office/drawing/2014/chart" uri="{C3380CC4-5D6E-409C-BE32-E72D297353CC}">
              <c16:uniqueId val="{0000000D-0E92-4E9E-9EBA-974013F9481F}"/>
            </c:ext>
          </c:extLst>
        </c:ser>
        <c:ser>
          <c:idx val="3"/>
          <c:order val="3"/>
          <c:spPr>
            <a:solidFill>
              <a:srgbClr val="02665F"/>
            </a:solidFill>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Visual'!$E$41:$E$69</c15:sqref>
                  </c15:fullRef>
                </c:ext>
              </c:extLst>
              <c:f>'GE-NI Visual'!$E$41:$E$53</c:f>
              <c:numCache>
                <c:formatCode>0.0%</c:formatCode>
                <c:ptCount val="13"/>
                <c:pt idx="0">
                  <c:v>0.22759078138003969</c:v>
                </c:pt>
                <c:pt idx="1">
                  <c:v>0.29416399998522502</c:v>
                </c:pt>
                <c:pt idx="2">
                  <c:v>0.24536972566494913</c:v>
                </c:pt>
                <c:pt idx="3">
                  <c:v>0.25508235643270516</c:v>
                </c:pt>
                <c:pt idx="4">
                  <c:v>0.24321281155849622</c:v>
                </c:pt>
                <c:pt idx="5">
                  <c:v>0.21710099287489479</c:v>
                </c:pt>
                <c:pt idx="6">
                  <c:v>0.16050467776650879</c:v>
                </c:pt>
                <c:pt idx="7">
                  <c:v>9.9721943769719004E-2</c:v>
                </c:pt>
                <c:pt idx="8">
                  <c:v>0.11421586084098068</c:v>
                </c:pt>
                <c:pt idx="9">
                  <c:v>0.13426283622577376</c:v>
                </c:pt>
                <c:pt idx="10">
                  <c:v>0</c:v>
                </c:pt>
                <c:pt idx="11">
                  <c:v>0</c:v>
                </c:pt>
                <c:pt idx="12">
                  <c:v>0</c:v>
                </c:pt>
              </c:numCache>
            </c:numRef>
          </c:val>
          <c:extLst>
            <c:ext xmlns:c16="http://schemas.microsoft.com/office/drawing/2014/chart" uri="{C3380CC4-5D6E-409C-BE32-E72D297353CC}">
              <c16:uniqueId val="{0000000E-0E92-4E9E-9EBA-974013F9481F}"/>
            </c:ext>
          </c:extLst>
        </c:ser>
        <c:dLbls>
          <c:showLegendKey val="0"/>
          <c:showVal val="0"/>
          <c:showCatName val="0"/>
          <c:showSerName val="0"/>
          <c:showPercent val="0"/>
          <c:showBubbleSize val="0"/>
        </c:dLbls>
        <c:gapWidth val="65"/>
        <c:overlap val="100"/>
        <c:axId val="465782768"/>
        <c:axId val="465783160"/>
      </c:barChart>
      <c:catAx>
        <c:axId val="465782768"/>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3160"/>
        <c:crosses val="autoZero"/>
        <c:auto val="1"/>
        <c:lblAlgn val="ctr"/>
        <c:lblOffset val="100"/>
        <c:noMultiLvlLbl val="0"/>
      </c:catAx>
      <c:valAx>
        <c:axId val="465783160"/>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2768"/>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candidates</a:t>
            </a:r>
          </a:p>
        </c:rich>
      </c:tx>
      <c:layout>
        <c:manualLayout>
          <c:xMode val="edge"/>
          <c:yMode val="edge"/>
          <c:x val="5.3926091353574228E-2"/>
          <c:y val="0.11889271775116662"/>
        </c:manualLayout>
      </c:layout>
      <c:overlay val="0"/>
      <c:spPr>
        <a:noFill/>
        <a:ln w="25400">
          <a:noFill/>
        </a:ln>
      </c:spPr>
    </c:title>
    <c:autoTitleDeleted val="0"/>
    <c:plotArea>
      <c:layout>
        <c:manualLayout>
          <c:layoutTarget val="inner"/>
          <c:xMode val="edge"/>
          <c:yMode val="edge"/>
          <c:x val="0.21718021835514426"/>
          <c:y val="0.21291233046655511"/>
          <c:w val="0.49593018601051481"/>
          <c:h val="0.69640383087291469"/>
        </c:manualLayout>
      </c:layout>
      <c:barChart>
        <c:barDir val="bar"/>
        <c:grouping val="clustered"/>
        <c:varyColors val="0"/>
        <c:ser>
          <c:idx val="3"/>
          <c:order val="0"/>
          <c:tx>
            <c:strRef>
              <c:f>'GE-NI Visual'!$M$21</c:f>
              <c:strCache>
                <c:ptCount val="1"/>
                <c:pt idx="0">
                  <c:v>LD</c:v>
                </c:pt>
              </c:strCache>
            </c:strRef>
          </c:tx>
          <c:spPr>
            <a:solidFill>
              <a:srgbClr val="FAA01A"/>
            </a:solidFill>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Visual'!$M$9:$M$36</c15:sqref>
                  </c15:fullRef>
                </c:ext>
              </c:extLst>
              <c:f>'GE-NI Visual'!$M$21:$M$35</c:f>
              <c:numCache>
                <c:formatCode>0</c:formatCode>
                <c:ptCount val="15"/>
                <c:pt idx="0" formatCode="#,##0_);\(#,##0\)">
                  <c:v>0</c:v>
                </c:pt>
                <c:pt idx="1" formatCode="General">
                  <c:v>4</c:v>
                </c:pt>
                <c:pt idx="2" formatCode="General">
                  <c:v>3</c:v>
                </c:pt>
                <c:pt idx="3" formatCode="General">
                  <c:v>4</c:v>
                </c:pt>
                <c:pt idx="4" formatCode="General">
                  <c:v>1</c:v>
                </c:pt>
                <c:pt idx="5" formatCode="General">
                  <c:v>0</c:v>
                </c:pt>
                <c:pt idx="6" formatCode="General">
                  <c:v>0</c:v>
                </c:pt>
                <c:pt idx="7" formatCode="General">
                  <c:v>0</c:v>
                </c:pt>
                <c:pt idx="8" formatCode="General">
                  <c:v>0</c:v>
                </c:pt>
                <c:pt idx="9">
                  <c:v>0</c:v>
                </c:pt>
                <c:pt idx="10">
                  <c:v>0</c:v>
                </c:pt>
                <c:pt idx="11">
                  <c:v>6</c:v>
                </c:pt>
                <c:pt idx="12">
                  <c:v>0</c:v>
                </c:pt>
                <c:pt idx="13">
                  <c:v>0</c:v>
                </c:pt>
                <c:pt idx="14">
                  <c:v>0</c:v>
                </c:pt>
              </c:numCache>
            </c:numRef>
          </c:val>
          <c:extLst>
            <c:ext xmlns:c16="http://schemas.microsoft.com/office/drawing/2014/chart" uri="{C3380CC4-5D6E-409C-BE32-E72D297353CC}">
              <c16:uniqueId val="{00000000-8A36-40CD-83D1-7A355572E1FC}"/>
            </c:ext>
          </c:extLst>
        </c:ser>
        <c:ser>
          <c:idx val="2"/>
          <c:order val="1"/>
          <c:tx>
            <c:strRef>
              <c:f>'GE-NI Visual'!$L$21</c:f>
              <c:strCache>
                <c:ptCount val="1"/>
                <c:pt idx="0">
                  <c:v>LAB</c:v>
                </c:pt>
              </c:strCache>
            </c:strRef>
          </c:tx>
          <c:spPr>
            <a:solidFill>
              <a:srgbClr val="D40000"/>
            </a:solidFill>
            <a:ln w="25400">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Visual'!$L$9:$L$36</c15:sqref>
                  </c15:fullRef>
                </c:ext>
              </c:extLst>
              <c:f>'GE-NI Visual'!$L$21:$L$35</c:f>
              <c:numCache>
                <c:formatCode>0</c:formatCode>
                <c:ptCount val="15"/>
                <c:pt idx="0" formatCode="#,##0_);\(#,##0\)">
                  <c:v>0</c:v>
                </c:pt>
                <c:pt idx="1" formatCode="General">
                  <c:v>7</c:v>
                </c:pt>
                <c:pt idx="2" formatCode="General">
                  <c:v>4</c:v>
                </c:pt>
                <c:pt idx="3" formatCode="General">
                  <c:v>10</c:v>
                </c:pt>
                <c:pt idx="4" formatCode="General">
                  <c:v>3</c:v>
                </c:pt>
                <c:pt idx="5" formatCode="General">
                  <c:v>3</c:v>
                </c:pt>
                <c:pt idx="6" formatCode="General">
                  <c:v>4</c:v>
                </c:pt>
                <c:pt idx="7" formatCode="General">
                  <c:v>5</c:v>
                </c:pt>
                <c:pt idx="8" formatCode="General">
                  <c:v>5</c:v>
                </c:pt>
                <c:pt idx="9">
                  <c:v>0</c:v>
                </c:pt>
                <c:pt idx="10">
                  <c:v>1</c:v>
                </c:pt>
                <c:pt idx="11">
                  <c:v>0</c:v>
                </c:pt>
                <c:pt idx="12">
                  <c:v>0</c:v>
                </c:pt>
                <c:pt idx="13">
                  <c:v>0</c:v>
                </c:pt>
                <c:pt idx="14">
                  <c:v>0</c:v>
                </c:pt>
              </c:numCache>
            </c:numRef>
          </c:val>
          <c:extLst>
            <c:ext xmlns:c16="http://schemas.microsoft.com/office/drawing/2014/chart" uri="{C3380CC4-5D6E-409C-BE32-E72D297353CC}">
              <c16:uniqueId val="{00000001-8A36-40CD-83D1-7A355572E1FC}"/>
            </c:ext>
          </c:extLst>
        </c:ser>
        <c:ser>
          <c:idx val="1"/>
          <c:order val="2"/>
          <c:tx>
            <c:strRef>
              <c:f>'GE-NI Visual'!$K$21</c:f>
              <c:strCache>
                <c:ptCount val="1"/>
                <c:pt idx="0">
                  <c:v>NAT</c:v>
                </c:pt>
              </c:strCache>
            </c:strRef>
          </c:tx>
          <c:spPr>
            <a:solidFill>
              <a:schemeClr val="accent1"/>
            </a:solidFill>
            <a:ln w="3175">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Visual'!$K$9:$K$36</c15:sqref>
                  </c15:fullRef>
                </c:ext>
              </c:extLst>
              <c:f>'GE-NI Visual'!$K$21:$K$35</c:f>
              <c:numCache>
                <c:formatCode>0</c:formatCode>
                <c:ptCount val="15"/>
                <c:pt idx="0" formatCode="#,##0_);\(#,##0\)">
                  <c:v>0</c:v>
                </c:pt>
                <c:pt idx="1" formatCode="General">
                  <c:v>0</c:v>
                </c:pt>
                <c:pt idx="2" formatCode="General">
                  <c:v>1</c:v>
                </c:pt>
                <c:pt idx="3" formatCode="General">
                  <c:v>0</c:v>
                </c:pt>
                <c:pt idx="4" formatCode="General">
                  <c:v>0</c:v>
                </c:pt>
                <c:pt idx="5" formatCode="General">
                  <c:v>0</c:v>
                </c:pt>
                <c:pt idx="6" formatCode="General">
                  <c:v>3</c:v>
                </c:pt>
                <c:pt idx="7" formatCode="General">
                  <c:v>2</c:v>
                </c:pt>
                <c:pt idx="8" formatCode="General">
                  <c:v>3</c:v>
                </c:pt>
                <c:pt idx="9">
                  <c:v>2</c:v>
                </c:pt>
                <c:pt idx="10">
                  <c:v>3</c:v>
                </c:pt>
                <c:pt idx="11">
                  <c:v>3</c:v>
                </c:pt>
                <c:pt idx="12">
                  <c:v>0</c:v>
                </c:pt>
                <c:pt idx="13">
                  <c:v>2</c:v>
                </c:pt>
                <c:pt idx="14">
                  <c:v>2</c:v>
                </c:pt>
              </c:numCache>
            </c:numRef>
          </c:val>
          <c:extLst>
            <c:ext xmlns:c16="http://schemas.microsoft.com/office/drawing/2014/chart" uri="{C3380CC4-5D6E-409C-BE32-E72D297353CC}">
              <c16:uniqueId val="{00000002-8A36-40CD-83D1-7A355572E1FC}"/>
            </c:ext>
          </c:extLst>
        </c:ser>
        <c:ser>
          <c:idx val="0"/>
          <c:order val="3"/>
          <c:tx>
            <c:strRef>
              <c:f>'GE-NI Visual'!$J$21</c:f>
              <c:strCache>
                <c:ptCount val="1"/>
                <c:pt idx="0">
                  <c:v>CON</c:v>
                </c:pt>
              </c:strCache>
            </c:strRef>
          </c:tx>
          <c:spPr>
            <a:solidFill>
              <a:srgbClr val="00539F"/>
            </a:solidFill>
            <a:ln w="3175">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Visual'!$J$9:$J$36</c15:sqref>
                  </c15:fullRef>
                </c:ext>
              </c:extLst>
              <c:f>'GE-NI Visual'!$J$21:$J$35</c:f>
              <c:numCache>
                <c:formatCode>0</c:formatCode>
                <c:ptCount val="15"/>
                <c:pt idx="0" formatCode="#,##0_);\(#,##0\)">
                  <c:v>0</c:v>
                </c:pt>
                <c:pt idx="1" formatCode="General">
                  <c:v>12</c:v>
                </c:pt>
                <c:pt idx="2" formatCode="General">
                  <c:v>12</c:v>
                </c:pt>
                <c:pt idx="3" formatCode="General">
                  <c:v>12</c:v>
                </c:pt>
                <c:pt idx="4" formatCode="General">
                  <c:v>12</c:v>
                </c:pt>
                <c:pt idx="5" formatCode="General">
                  <c:v>12</c:v>
                </c:pt>
                <c:pt idx="6" formatCode="General">
                  <c:v>12</c:v>
                </c:pt>
                <c:pt idx="7" formatCode="General">
                  <c:v>12</c:v>
                </c:pt>
                <c:pt idx="8" formatCode="General">
                  <c:v>12</c:v>
                </c:pt>
                <c:pt idx="9">
                  <c:v>12</c:v>
                </c:pt>
                <c:pt idx="10">
                  <c:v>12</c:v>
                </c:pt>
                <c:pt idx="11">
                  <c:v>10</c:v>
                </c:pt>
                <c:pt idx="12">
                  <c:v>12</c:v>
                </c:pt>
                <c:pt idx="13">
                  <c:v>12</c:v>
                </c:pt>
                <c:pt idx="14">
                  <c:v>12</c:v>
                </c:pt>
              </c:numCache>
            </c:numRef>
          </c:val>
          <c:extLst>
            <c:ext xmlns:c16="http://schemas.microsoft.com/office/drawing/2014/chart" uri="{C3380CC4-5D6E-409C-BE32-E72D297353CC}">
              <c16:uniqueId val="{00000003-8A36-40CD-83D1-7A355572E1FC}"/>
            </c:ext>
          </c:extLst>
        </c:ser>
        <c:dLbls>
          <c:showLegendKey val="0"/>
          <c:showVal val="0"/>
          <c:showCatName val="0"/>
          <c:showSerName val="0"/>
          <c:showPercent val="0"/>
          <c:showBubbleSize val="0"/>
        </c:dLbls>
        <c:gapWidth val="65"/>
        <c:axId val="465783944"/>
        <c:axId val="465784336"/>
      </c:barChart>
      <c:catAx>
        <c:axId val="465783944"/>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4336"/>
        <c:crosses val="autoZero"/>
        <c:auto val="1"/>
        <c:lblAlgn val="ctr"/>
        <c:lblOffset val="100"/>
        <c:noMultiLvlLbl val="0"/>
      </c:catAx>
      <c:valAx>
        <c:axId val="465784336"/>
        <c:scaling>
          <c:orientation val="minMax"/>
          <c:max val="20"/>
          <c:min val="0"/>
        </c:scaling>
        <c:delete val="1"/>
        <c:axPos val="b"/>
        <c:numFmt formatCode="0" sourceLinked="0"/>
        <c:majorTickMark val="out"/>
        <c:minorTickMark val="none"/>
        <c:tickLblPos val="nextTo"/>
        <c:crossAx val="465783944"/>
        <c:crosses val="autoZero"/>
        <c:crossBetween val="between"/>
        <c:majorUnit val="25"/>
      </c:valAx>
      <c:spPr>
        <a:noFill/>
        <a:ln w="25400">
          <a:noFill/>
        </a:ln>
      </c:spPr>
    </c:plotArea>
    <c:legend>
      <c:legendPos val="r"/>
      <c:layout>
        <c:manualLayout>
          <c:xMode val="edge"/>
          <c:yMode val="edge"/>
          <c:x val="0.65457977487286634"/>
          <c:y val="0.38420717550883127"/>
          <c:w val="0.23513122439074116"/>
          <c:h val="0.25949160797928639"/>
        </c:manualLayout>
      </c:layout>
      <c:overlay val="0"/>
      <c:spPr>
        <a:noFill/>
        <a:ln w="25400">
          <a:noFill/>
        </a:ln>
      </c:spPr>
    </c:legend>
    <c:plotVisOnly val="1"/>
    <c:dispBlanksAs val="gap"/>
    <c:showDLblsOverMax val="0"/>
  </c:chart>
  <c:spPr>
    <a:solidFill>
      <a:sysClr val="window" lastClr="FFFFFF"/>
    </a:solid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clustered"/>
        <c:varyColors val="0"/>
        <c:ser>
          <c:idx val="3"/>
          <c:order val="0"/>
          <c:tx>
            <c:strRef>
              <c:f>'GE-NI Visual'!$M$6:$M$7</c:f>
              <c:strCache>
                <c:ptCount val="2"/>
                <c:pt idx="0">
                  <c:v>SF</c:v>
                </c:pt>
              </c:strCache>
            </c:strRef>
          </c:tx>
          <c:spPr>
            <a:solidFill>
              <a:srgbClr val="02665F"/>
            </a:solidFill>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Visual'!$M$8:$M$36</c15:sqref>
                  </c15:fullRef>
                </c:ext>
              </c:extLst>
              <c:f>'GE-NI Visual'!$M$8:$M$20</c:f>
              <c:numCache>
                <c:formatCode>0</c:formatCode>
                <c:ptCount val="13"/>
                <c:pt idx="0">
                  <c:v>15</c:v>
                </c:pt>
                <c:pt idx="1">
                  <c:v>18</c:v>
                </c:pt>
                <c:pt idx="2">
                  <c:v>18</c:v>
                </c:pt>
                <c:pt idx="3">
                  <c:v>17</c:v>
                </c:pt>
                <c:pt idx="4">
                  <c:v>18</c:v>
                </c:pt>
                <c:pt idx="5">
                  <c:v>18</c:v>
                </c:pt>
                <c:pt idx="6">
                  <c:v>17</c:v>
                </c:pt>
                <c:pt idx="7">
                  <c:v>14</c:v>
                </c:pt>
                <c:pt idx="8">
                  <c:v>14</c:v>
                </c:pt>
                <c:pt idx="9">
                  <c:v>14</c:v>
                </c:pt>
                <c:pt idx="10">
                  <c:v>0</c:v>
                </c:pt>
                <c:pt idx="11">
                  <c:v>0</c:v>
                </c:pt>
                <c:pt idx="12">
                  <c:v>0</c:v>
                </c:pt>
              </c:numCache>
            </c:numRef>
          </c:val>
          <c:extLst>
            <c:ext xmlns:c16="http://schemas.microsoft.com/office/drawing/2014/chart" uri="{C3380CC4-5D6E-409C-BE32-E72D297353CC}">
              <c16:uniqueId val="{00000000-7941-4B85-A87E-F9F65EC7F466}"/>
            </c:ext>
          </c:extLst>
        </c:ser>
        <c:ser>
          <c:idx val="2"/>
          <c:order val="1"/>
          <c:tx>
            <c:strRef>
              <c:f>'GE-NI Visual'!$L$6:$L$7</c:f>
              <c:strCache>
                <c:ptCount val="2"/>
                <c:pt idx="0">
                  <c:v>DUP</c:v>
                </c:pt>
              </c:strCache>
            </c:strRef>
          </c:tx>
          <c:spPr>
            <a:solidFill>
              <a:srgbClr val="D50000"/>
            </a:solidFill>
            <a:ln w="25400">
              <a:noFill/>
            </a:ln>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Visual'!$L$8:$L$36</c15:sqref>
                  </c15:fullRef>
                </c:ext>
              </c:extLst>
              <c:f>'GE-NI Visual'!$L$8:$L$20</c:f>
              <c:numCache>
                <c:formatCode>0</c:formatCode>
                <c:ptCount val="13"/>
                <c:pt idx="0">
                  <c:v>17</c:v>
                </c:pt>
                <c:pt idx="1">
                  <c:v>17</c:v>
                </c:pt>
                <c:pt idx="2">
                  <c:v>16</c:v>
                </c:pt>
                <c:pt idx="3">
                  <c:v>16</c:v>
                </c:pt>
                <c:pt idx="4">
                  <c:v>18</c:v>
                </c:pt>
                <c:pt idx="5">
                  <c:v>14</c:v>
                </c:pt>
                <c:pt idx="6">
                  <c:v>9</c:v>
                </c:pt>
                <c:pt idx="7">
                  <c:v>7</c:v>
                </c:pt>
                <c:pt idx="8">
                  <c:v>4</c:v>
                </c:pt>
                <c:pt idx="9">
                  <c:v>14</c:v>
                </c:pt>
                <c:pt idx="10">
                  <c:v>5</c:v>
                </c:pt>
                <c:pt idx="11">
                  <c:v>2</c:v>
                </c:pt>
                <c:pt idx="12">
                  <c:v>2</c:v>
                </c:pt>
              </c:numCache>
            </c:numRef>
          </c:val>
          <c:extLst>
            <c:ext xmlns:c16="http://schemas.microsoft.com/office/drawing/2014/chart" uri="{C3380CC4-5D6E-409C-BE32-E72D297353CC}">
              <c16:uniqueId val="{00000001-7941-4B85-A87E-F9F65EC7F466}"/>
            </c:ext>
          </c:extLst>
        </c:ser>
        <c:ser>
          <c:idx val="1"/>
          <c:order val="2"/>
          <c:tx>
            <c:strRef>
              <c:f>'GE-NI Visual'!$K$6:$K$7</c:f>
              <c:strCache>
                <c:ptCount val="2"/>
                <c:pt idx="0">
                  <c:v>SDLP</c:v>
                </c:pt>
              </c:strCache>
            </c:strRef>
          </c:tx>
          <c:spPr>
            <a:solidFill>
              <a:srgbClr val="4EA268"/>
            </a:solidFill>
            <a:ln w="3175">
              <a:noFill/>
            </a:ln>
          </c:spPr>
          <c:invertIfNegative val="0"/>
          <c:dPt>
            <c:idx val="0"/>
            <c:invertIfNegative val="0"/>
            <c:bubble3D val="0"/>
            <c:extLst>
              <c:ext xmlns:c16="http://schemas.microsoft.com/office/drawing/2014/chart" uri="{C3380CC4-5D6E-409C-BE32-E72D297353CC}">
                <c16:uniqueId val="{00000002-7941-4B85-A87E-F9F65EC7F466}"/>
              </c:ext>
            </c:extLst>
          </c:dPt>
          <c:dPt>
            <c:idx val="1"/>
            <c:invertIfNegative val="0"/>
            <c:bubble3D val="0"/>
            <c:extLst>
              <c:ext xmlns:c16="http://schemas.microsoft.com/office/drawing/2014/chart" uri="{C3380CC4-5D6E-409C-BE32-E72D297353CC}">
                <c16:uniqueId val="{00000003-7941-4B85-A87E-F9F65EC7F466}"/>
              </c:ext>
            </c:extLst>
          </c:dPt>
          <c:dPt>
            <c:idx val="2"/>
            <c:invertIfNegative val="0"/>
            <c:bubble3D val="0"/>
            <c:extLst>
              <c:ext xmlns:c16="http://schemas.microsoft.com/office/drawing/2014/chart" uri="{C3380CC4-5D6E-409C-BE32-E72D297353CC}">
                <c16:uniqueId val="{00000004-7941-4B85-A87E-F9F65EC7F466}"/>
              </c:ext>
            </c:extLst>
          </c:dPt>
          <c:dPt>
            <c:idx val="3"/>
            <c:invertIfNegative val="0"/>
            <c:bubble3D val="0"/>
            <c:extLst>
              <c:ext xmlns:c16="http://schemas.microsoft.com/office/drawing/2014/chart" uri="{C3380CC4-5D6E-409C-BE32-E72D297353CC}">
                <c16:uniqueId val="{00000005-7941-4B85-A87E-F9F65EC7F466}"/>
              </c:ext>
            </c:extLst>
          </c:dPt>
          <c:dPt>
            <c:idx val="4"/>
            <c:invertIfNegative val="0"/>
            <c:bubble3D val="0"/>
            <c:extLst>
              <c:ext xmlns:c16="http://schemas.microsoft.com/office/drawing/2014/chart" uri="{C3380CC4-5D6E-409C-BE32-E72D297353CC}">
                <c16:uniqueId val="{00000006-7941-4B85-A87E-F9F65EC7F466}"/>
              </c:ext>
            </c:extLst>
          </c:dPt>
          <c:dPt>
            <c:idx val="5"/>
            <c:invertIfNegative val="0"/>
            <c:bubble3D val="0"/>
            <c:extLst>
              <c:ext xmlns:c16="http://schemas.microsoft.com/office/drawing/2014/chart" uri="{C3380CC4-5D6E-409C-BE32-E72D297353CC}">
                <c16:uniqueId val="{00000007-7941-4B85-A87E-F9F65EC7F466}"/>
              </c:ext>
            </c:extLst>
          </c:dPt>
          <c:dPt>
            <c:idx val="6"/>
            <c:invertIfNegative val="0"/>
            <c:bubble3D val="0"/>
            <c:extLst>
              <c:ext xmlns:c16="http://schemas.microsoft.com/office/drawing/2014/chart" uri="{C3380CC4-5D6E-409C-BE32-E72D297353CC}">
                <c16:uniqueId val="{00000008-7941-4B85-A87E-F9F65EC7F466}"/>
              </c:ext>
            </c:extLst>
          </c:dPt>
          <c:dPt>
            <c:idx val="7"/>
            <c:invertIfNegative val="0"/>
            <c:bubble3D val="0"/>
            <c:extLst>
              <c:ext xmlns:c16="http://schemas.microsoft.com/office/drawing/2014/chart" uri="{C3380CC4-5D6E-409C-BE32-E72D297353CC}">
                <c16:uniqueId val="{00000009-7941-4B85-A87E-F9F65EC7F466}"/>
              </c:ext>
            </c:extLst>
          </c:dPt>
          <c:dPt>
            <c:idx val="8"/>
            <c:invertIfNegative val="0"/>
            <c:bubble3D val="0"/>
            <c:extLst>
              <c:ext xmlns:c16="http://schemas.microsoft.com/office/drawing/2014/chart" uri="{C3380CC4-5D6E-409C-BE32-E72D297353CC}">
                <c16:uniqueId val="{0000000A-7941-4B85-A87E-F9F65EC7F466}"/>
              </c:ext>
            </c:extLst>
          </c:dPt>
          <c:dPt>
            <c:idx val="9"/>
            <c:invertIfNegative val="0"/>
            <c:bubble3D val="0"/>
            <c:extLst>
              <c:ext xmlns:c16="http://schemas.microsoft.com/office/drawing/2014/chart" uri="{C3380CC4-5D6E-409C-BE32-E72D297353CC}">
                <c16:uniqueId val="{0000000B-7941-4B85-A87E-F9F65EC7F466}"/>
              </c:ext>
            </c:extLst>
          </c:dPt>
          <c:dPt>
            <c:idx val="10"/>
            <c:invertIfNegative val="0"/>
            <c:bubble3D val="0"/>
            <c:extLst>
              <c:ext xmlns:c16="http://schemas.microsoft.com/office/drawing/2014/chart" uri="{C3380CC4-5D6E-409C-BE32-E72D297353CC}">
                <c16:uniqueId val="{0000000C-7941-4B85-A87E-F9F65EC7F466}"/>
              </c:ext>
            </c:extLst>
          </c:dPt>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Visual'!$K$8:$K$36</c15:sqref>
                  </c15:fullRef>
                </c:ext>
              </c:extLst>
              <c:f>'GE-NI Visual'!$K$8:$K$20</c:f>
              <c:numCache>
                <c:formatCode>0</c:formatCode>
                <c:ptCount val="13"/>
                <c:pt idx="0">
                  <c:v>15</c:v>
                </c:pt>
                <c:pt idx="1">
                  <c:v>18</c:v>
                </c:pt>
                <c:pt idx="2">
                  <c:v>18</c:v>
                </c:pt>
                <c:pt idx="3">
                  <c:v>18</c:v>
                </c:pt>
                <c:pt idx="4">
                  <c:v>18</c:v>
                </c:pt>
                <c:pt idx="5">
                  <c:v>18</c:v>
                </c:pt>
                <c:pt idx="6">
                  <c:v>18</c:v>
                </c:pt>
                <c:pt idx="7">
                  <c:v>13</c:v>
                </c:pt>
                <c:pt idx="8">
                  <c:v>13</c:v>
                </c:pt>
                <c:pt idx="9">
                  <c:v>17</c:v>
                </c:pt>
                <c:pt idx="10">
                  <c:v>9</c:v>
                </c:pt>
                <c:pt idx="11">
                  <c:v>9</c:v>
                </c:pt>
                <c:pt idx="12">
                  <c:v>12</c:v>
                </c:pt>
              </c:numCache>
            </c:numRef>
          </c:val>
          <c:extLst>
            <c:ext xmlns:c16="http://schemas.microsoft.com/office/drawing/2014/chart" uri="{C3380CC4-5D6E-409C-BE32-E72D297353CC}">
              <c16:uniqueId val="{0000000D-7941-4B85-A87E-F9F65EC7F466}"/>
            </c:ext>
          </c:extLst>
        </c:ser>
        <c:ser>
          <c:idx val="0"/>
          <c:order val="3"/>
          <c:tx>
            <c:strRef>
              <c:f>'GE-NI Visual'!$J$6:$J$7</c:f>
              <c:strCache>
                <c:ptCount val="2"/>
                <c:pt idx="0">
                  <c:v>UUP</c:v>
                </c:pt>
              </c:strCache>
            </c:strRef>
          </c:tx>
          <c:spPr>
            <a:solidFill>
              <a:srgbClr val="A1CDF0"/>
            </a:solidFill>
            <a:ln w="3175">
              <a:noFill/>
            </a:ln>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Visual'!$J$8:$J$36</c15:sqref>
                  </c15:fullRef>
                </c:ext>
              </c:extLst>
              <c:f>'GE-NI Visual'!$J$8:$J$20</c:f>
              <c:numCache>
                <c:formatCode>0</c:formatCode>
                <c:ptCount val="13"/>
                <c:pt idx="0">
                  <c:v>16</c:v>
                </c:pt>
                <c:pt idx="1">
                  <c:v>14</c:v>
                </c:pt>
                <c:pt idx="2">
                  <c:v>15</c:v>
                </c:pt>
                <c:pt idx="3">
                  <c:v>17</c:v>
                </c:pt>
                <c:pt idx="4">
                  <c:v>18</c:v>
                </c:pt>
                <c:pt idx="5">
                  <c:v>17</c:v>
                </c:pt>
                <c:pt idx="6">
                  <c:v>16</c:v>
                </c:pt>
                <c:pt idx="7">
                  <c:v>13</c:v>
                </c:pt>
                <c:pt idx="8">
                  <c:v>12</c:v>
                </c:pt>
                <c:pt idx="9">
                  <c:v>16</c:v>
                </c:pt>
                <c:pt idx="10">
                  <c:v>11</c:v>
                </c:pt>
                <c:pt idx="11">
                  <c:v>7</c:v>
                </c:pt>
                <c:pt idx="12">
                  <c:v>14</c:v>
                </c:pt>
              </c:numCache>
            </c:numRef>
          </c:val>
          <c:extLst>
            <c:ext xmlns:c16="http://schemas.microsoft.com/office/drawing/2014/chart" uri="{C3380CC4-5D6E-409C-BE32-E72D297353CC}">
              <c16:uniqueId val="{0000000E-7941-4B85-A87E-F9F65EC7F466}"/>
            </c:ext>
          </c:extLst>
        </c:ser>
        <c:dLbls>
          <c:showLegendKey val="0"/>
          <c:showVal val="0"/>
          <c:showCatName val="0"/>
          <c:showSerName val="0"/>
          <c:showPercent val="0"/>
          <c:showBubbleSize val="0"/>
        </c:dLbls>
        <c:gapWidth val="100"/>
        <c:axId val="465785120"/>
        <c:axId val="465785512"/>
      </c:barChart>
      <c:catAx>
        <c:axId val="465785120"/>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5512"/>
        <c:crosses val="autoZero"/>
        <c:auto val="1"/>
        <c:lblAlgn val="ctr"/>
        <c:lblOffset val="100"/>
        <c:tickLblSkip val="1"/>
        <c:noMultiLvlLbl val="0"/>
      </c:catAx>
      <c:valAx>
        <c:axId val="465785512"/>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5120"/>
        <c:crosses val="autoZero"/>
        <c:crossBetween val="between"/>
        <c:majorUnit val="10"/>
      </c:valAx>
      <c:spPr>
        <a:noFill/>
        <a:ln w="25400">
          <a:noFill/>
        </a:ln>
      </c:spPr>
    </c:plotArea>
    <c:legend>
      <c:legendPos val="r"/>
      <c:layout>
        <c:manualLayout>
          <c:xMode val="edge"/>
          <c:yMode val="edge"/>
          <c:x val="0.68085973833940894"/>
          <c:y val="0.26697472236385789"/>
          <c:w val="0.2487539933833714"/>
          <c:h val="0.39431967475929935"/>
        </c:manualLayout>
      </c:layout>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170039682539683E-2"/>
          <c:y val="0.1955047619047619"/>
          <c:w val="0.94113373015873014"/>
          <c:h val="0.687154365079365"/>
        </c:manualLayout>
      </c:layout>
      <c:barChart>
        <c:barDir val="col"/>
        <c:grouping val="clustered"/>
        <c:varyColors val="0"/>
        <c:ser>
          <c:idx val="0"/>
          <c:order val="0"/>
          <c:tx>
            <c:strRef>
              <c:f>'18 NI Assembly Visual'!$S$33</c:f>
              <c:strCache>
                <c:ptCount val="1"/>
                <c:pt idx="0">
                  <c:v>DUP</c:v>
                </c:pt>
              </c:strCache>
            </c:strRef>
          </c:tx>
          <c:spPr>
            <a:solidFill>
              <a:srgbClr val="CC330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Visual'!$T$33:$Y$33</c:f>
              <c:numCache>
                <c:formatCode>#,##0_);\(#,##0\)</c:formatCode>
                <c:ptCount val="6"/>
                <c:pt idx="0">
                  <c:v>28</c:v>
                </c:pt>
                <c:pt idx="1">
                  <c:v>38</c:v>
                </c:pt>
                <c:pt idx="2">
                  <c:v>38</c:v>
                </c:pt>
                <c:pt idx="3">
                  <c:v>36</c:v>
                </c:pt>
                <c:pt idx="4">
                  <c:v>30</c:v>
                </c:pt>
                <c:pt idx="5">
                  <c:v>20</c:v>
                </c:pt>
              </c:numCache>
            </c:numRef>
          </c:val>
          <c:extLst>
            <c:ext xmlns:c16="http://schemas.microsoft.com/office/drawing/2014/chart" uri="{C3380CC4-5D6E-409C-BE32-E72D297353CC}">
              <c16:uniqueId val="{00000000-37B3-46BE-9B44-85592DA54C6B}"/>
            </c:ext>
          </c:extLst>
        </c:ser>
        <c:ser>
          <c:idx val="1"/>
          <c:order val="1"/>
          <c:tx>
            <c:strRef>
              <c:f>'18 NI Assembly Visual'!$S$34</c:f>
              <c:strCache>
                <c:ptCount val="1"/>
                <c:pt idx="0">
                  <c:v>Sinn Féin</c:v>
                </c:pt>
              </c:strCache>
            </c:strRef>
          </c:tx>
          <c:spPr>
            <a:solidFill>
              <a:srgbClr val="02665F"/>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Visual'!$T$34:$Y$34</c:f>
              <c:numCache>
                <c:formatCode>#,##0_);\(#,##0\)</c:formatCode>
                <c:ptCount val="6"/>
                <c:pt idx="0">
                  <c:v>27</c:v>
                </c:pt>
                <c:pt idx="1">
                  <c:v>28</c:v>
                </c:pt>
                <c:pt idx="2">
                  <c:v>29</c:v>
                </c:pt>
                <c:pt idx="3">
                  <c:v>28</c:v>
                </c:pt>
                <c:pt idx="4">
                  <c:v>24</c:v>
                </c:pt>
                <c:pt idx="5">
                  <c:v>18</c:v>
                </c:pt>
              </c:numCache>
            </c:numRef>
          </c:val>
          <c:extLst>
            <c:ext xmlns:c16="http://schemas.microsoft.com/office/drawing/2014/chart" uri="{C3380CC4-5D6E-409C-BE32-E72D297353CC}">
              <c16:uniqueId val="{00000001-37B3-46BE-9B44-85592DA54C6B}"/>
            </c:ext>
          </c:extLst>
        </c:ser>
        <c:ser>
          <c:idx val="2"/>
          <c:order val="2"/>
          <c:tx>
            <c:strRef>
              <c:f>'18 NI Assembly Visual'!$S$35</c:f>
              <c:strCache>
                <c:ptCount val="1"/>
                <c:pt idx="0">
                  <c:v>UUP</c:v>
                </c:pt>
              </c:strCache>
            </c:strRef>
          </c:tx>
          <c:spPr>
            <a:solidFill>
              <a:srgbClr val="A1CDF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Visual'!$T$35:$Y$35</c:f>
              <c:numCache>
                <c:formatCode>#,##0_);\(#,##0\)</c:formatCode>
                <c:ptCount val="6"/>
                <c:pt idx="0">
                  <c:v>10</c:v>
                </c:pt>
                <c:pt idx="1">
                  <c:v>16</c:v>
                </c:pt>
                <c:pt idx="2">
                  <c:v>16</c:v>
                </c:pt>
                <c:pt idx="3">
                  <c:v>18</c:v>
                </c:pt>
                <c:pt idx="4">
                  <c:v>27</c:v>
                </c:pt>
                <c:pt idx="5">
                  <c:v>28</c:v>
                </c:pt>
              </c:numCache>
            </c:numRef>
          </c:val>
          <c:extLst>
            <c:ext xmlns:c16="http://schemas.microsoft.com/office/drawing/2014/chart" uri="{C3380CC4-5D6E-409C-BE32-E72D297353CC}">
              <c16:uniqueId val="{00000002-37B3-46BE-9B44-85592DA54C6B}"/>
            </c:ext>
          </c:extLst>
        </c:ser>
        <c:ser>
          <c:idx val="3"/>
          <c:order val="3"/>
          <c:tx>
            <c:strRef>
              <c:f>'18 NI Assembly Visual'!$S$36</c:f>
              <c:strCache>
                <c:ptCount val="1"/>
                <c:pt idx="0">
                  <c:v>SDLP</c:v>
                </c:pt>
              </c:strCache>
            </c:strRef>
          </c:tx>
          <c:spPr>
            <a:solidFill>
              <a:srgbClr val="4EA268"/>
            </a:solidFill>
            <a:ln>
              <a:solidFill>
                <a:schemeClr val="bg1">
                  <a:lumMod val="75000"/>
                </a:schemeClr>
              </a:solidFill>
            </a:ln>
            <a:effectLst/>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Visual'!$T$36:$Y$36</c:f>
              <c:numCache>
                <c:formatCode>#,##0_);\(#,##0\)</c:formatCode>
                <c:ptCount val="6"/>
                <c:pt idx="0">
                  <c:v>12</c:v>
                </c:pt>
                <c:pt idx="1">
                  <c:v>12</c:v>
                </c:pt>
                <c:pt idx="2">
                  <c:v>14</c:v>
                </c:pt>
                <c:pt idx="3">
                  <c:v>16</c:v>
                </c:pt>
                <c:pt idx="4">
                  <c:v>18</c:v>
                </c:pt>
                <c:pt idx="5">
                  <c:v>24</c:v>
                </c:pt>
              </c:numCache>
            </c:numRef>
          </c:val>
          <c:extLst>
            <c:ext xmlns:c16="http://schemas.microsoft.com/office/drawing/2014/chart" uri="{C3380CC4-5D6E-409C-BE32-E72D297353CC}">
              <c16:uniqueId val="{00000003-37B3-46BE-9B44-85592DA54C6B}"/>
            </c:ext>
          </c:extLst>
        </c:ser>
        <c:ser>
          <c:idx val="4"/>
          <c:order val="4"/>
          <c:tx>
            <c:strRef>
              <c:f>'18 NI Assembly Visual'!$S$37</c:f>
              <c:strCache>
                <c:ptCount val="1"/>
                <c:pt idx="0">
                  <c:v>Alliance</c:v>
                </c:pt>
              </c:strCache>
            </c:strRef>
          </c:tx>
          <c:spPr>
            <a:solidFill>
              <a:srgbClr val="CDAF2D"/>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Visual'!$T$37:$Y$37</c:f>
              <c:numCache>
                <c:formatCode>#,##0_);\(#,##0\)</c:formatCode>
                <c:ptCount val="6"/>
                <c:pt idx="0">
                  <c:v>8</c:v>
                </c:pt>
                <c:pt idx="1">
                  <c:v>8</c:v>
                </c:pt>
                <c:pt idx="2">
                  <c:v>8</c:v>
                </c:pt>
                <c:pt idx="3">
                  <c:v>7</c:v>
                </c:pt>
                <c:pt idx="4">
                  <c:v>6</c:v>
                </c:pt>
                <c:pt idx="5">
                  <c:v>6</c:v>
                </c:pt>
              </c:numCache>
            </c:numRef>
          </c:val>
          <c:extLst>
            <c:ext xmlns:c16="http://schemas.microsoft.com/office/drawing/2014/chart" uri="{C3380CC4-5D6E-409C-BE32-E72D297353CC}">
              <c16:uniqueId val="{00000004-37B3-46BE-9B44-85592DA54C6B}"/>
            </c:ext>
          </c:extLst>
        </c:ser>
        <c:ser>
          <c:idx val="5"/>
          <c:order val="5"/>
          <c:tx>
            <c:strRef>
              <c:f>'18 NI Assembly Visual'!$S$38</c:f>
              <c:strCache>
                <c:ptCount val="1"/>
                <c:pt idx="0">
                  <c:v>Other</c:v>
                </c:pt>
              </c:strCache>
            </c:strRef>
          </c:tx>
          <c:spPr>
            <a:solidFill>
              <a:srgbClr val="909090"/>
            </a:solidFill>
            <a:ln w="25400">
              <a:noFill/>
            </a:ln>
          </c:spPr>
          <c:invertIfNegative val="0"/>
          <c:cat>
            <c:numRef>
              <c:f>'18 NI Assembly Visual'!$T$32:$Y$32</c:f>
              <c:numCache>
                <c:formatCode>General</c:formatCode>
                <c:ptCount val="6"/>
                <c:pt idx="0">
                  <c:v>2017</c:v>
                </c:pt>
                <c:pt idx="1">
                  <c:v>2016</c:v>
                </c:pt>
                <c:pt idx="2" formatCode="0">
                  <c:v>2011</c:v>
                </c:pt>
                <c:pt idx="3" formatCode="0">
                  <c:v>2007</c:v>
                </c:pt>
                <c:pt idx="4" formatCode="0">
                  <c:v>2003</c:v>
                </c:pt>
                <c:pt idx="5" formatCode="0">
                  <c:v>1998</c:v>
                </c:pt>
              </c:numCache>
            </c:numRef>
          </c:cat>
          <c:val>
            <c:numRef>
              <c:f>'18 NI Assembly Visual'!$T$38:$Y$38</c:f>
              <c:numCache>
                <c:formatCode>#,##0_);\(#,##0\)</c:formatCode>
                <c:ptCount val="6"/>
                <c:pt idx="0">
                  <c:v>5</c:v>
                </c:pt>
                <c:pt idx="1">
                  <c:v>6</c:v>
                </c:pt>
                <c:pt idx="2">
                  <c:v>3</c:v>
                </c:pt>
                <c:pt idx="3">
                  <c:v>3</c:v>
                </c:pt>
                <c:pt idx="4">
                  <c:v>3</c:v>
                </c:pt>
                <c:pt idx="5">
                  <c:v>12</c:v>
                </c:pt>
              </c:numCache>
            </c:numRef>
          </c:val>
          <c:extLst>
            <c:ext xmlns:c16="http://schemas.microsoft.com/office/drawing/2014/chart" uri="{C3380CC4-5D6E-409C-BE32-E72D297353CC}">
              <c16:uniqueId val="{00000005-37B3-46BE-9B44-85592DA54C6B}"/>
            </c:ext>
          </c:extLst>
        </c:ser>
        <c:dLbls>
          <c:showLegendKey val="0"/>
          <c:showVal val="0"/>
          <c:showCatName val="0"/>
          <c:showSerName val="0"/>
          <c:showPercent val="0"/>
          <c:showBubbleSize val="0"/>
        </c:dLbls>
        <c:gapWidth val="202"/>
        <c:axId val="460675624"/>
        <c:axId val="461095640"/>
      </c:barChart>
      <c:catAx>
        <c:axId val="460675624"/>
        <c:scaling>
          <c:orientation val="maxMin"/>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1095640"/>
        <c:crosses val="autoZero"/>
        <c:auto val="1"/>
        <c:lblAlgn val="ctr"/>
        <c:lblOffset val="100"/>
        <c:noMultiLvlLbl val="0"/>
      </c:catAx>
      <c:valAx>
        <c:axId val="461095640"/>
        <c:scaling>
          <c:orientation val="minMax"/>
        </c:scaling>
        <c:delete val="0"/>
        <c:axPos val="l"/>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60675624"/>
        <c:crosses val="max"/>
        <c:crossBetween val="between"/>
        <c:majorUnit val="10"/>
      </c:valAx>
      <c:spPr>
        <a:noFill/>
        <a:ln w="25400">
          <a:noFill/>
        </a:ln>
      </c:spPr>
    </c:plotArea>
    <c:legend>
      <c:legendPos val="r"/>
      <c:layout>
        <c:manualLayout>
          <c:xMode val="edge"/>
          <c:yMode val="edge"/>
          <c:x val="8.0789682539682536E-2"/>
          <c:y val="0.13181825396825397"/>
          <c:w val="0.89905164500940216"/>
          <c:h val="0.12076660228792158"/>
        </c:manualLayout>
      </c:layout>
      <c:overlay val="0"/>
    </c:legend>
    <c:plotVisOnly val="1"/>
    <c:dispBlanksAs val="gap"/>
    <c:showDLblsOverMax val="0"/>
  </c:chart>
  <c:spPr>
    <a:noFill/>
    <a:ln w="9525">
      <a:noFill/>
    </a:ln>
  </c:spPr>
  <c:txPr>
    <a:bodyPr/>
    <a:lstStyle/>
    <a:p>
      <a:pPr>
        <a:defRPr sz="105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seats won</a:t>
            </a:r>
          </a:p>
        </c:rich>
      </c:tx>
      <c:layout>
        <c:manualLayout>
          <c:xMode val="edge"/>
          <c:yMode val="edge"/>
          <c:x val="0.12902932952747859"/>
          <c:y val="6.085978797261863E-2"/>
        </c:manualLayout>
      </c:layout>
      <c:overlay val="0"/>
      <c:spPr>
        <a:noFill/>
        <a:ln w="25400">
          <a:noFill/>
        </a:ln>
      </c:spPr>
    </c:title>
    <c:autoTitleDeleted val="0"/>
    <c:plotArea>
      <c:layout>
        <c:manualLayout>
          <c:layoutTarget val="inner"/>
          <c:xMode val="edge"/>
          <c:yMode val="edge"/>
          <c:x val="0.21718021835514426"/>
          <c:y val="0.13279355789751601"/>
          <c:w val="0.49593018601051481"/>
          <c:h val="0.77652270210409746"/>
        </c:manualLayout>
      </c:layout>
      <c:barChart>
        <c:barDir val="bar"/>
        <c:grouping val="stacked"/>
        <c:varyColors val="0"/>
        <c:ser>
          <c:idx val="0"/>
          <c:order val="0"/>
          <c:tx>
            <c:strRef>
              <c:f>'GE-NI Visual'!$J$6:$J$7</c:f>
              <c:strCache>
                <c:ptCount val="2"/>
                <c:pt idx="0">
                  <c:v>UUP</c:v>
                </c:pt>
              </c:strCache>
            </c:strRef>
          </c:tx>
          <c:spPr>
            <a:solidFill>
              <a:srgbClr val="00539F"/>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Visual'!$J$42:$J$69</c15:sqref>
                  </c15:fullRef>
                </c:ext>
              </c:extLst>
              <c:f>'GE-NI Visual'!$J$54:$J$68</c:f>
              <c:numCache>
                <c:formatCode>0</c:formatCode>
                <c:ptCount val="15"/>
                <c:pt idx="0" formatCode="#,##0_);\(#,##0\)">
                  <c:v>0</c:v>
                </c:pt>
                <c:pt idx="1" formatCode="General">
                  <c:v>8</c:v>
                </c:pt>
                <c:pt idx="2" formatCode="General">
                  <c:v>11</c:v>
                </c:pt>
                <c:pt idx="3" formatCode="General">
                  <c:v>12</c:v>
                </c:pt>
                <c:pt idx="4" formatCode="General">
                  <c:v>12</c:v>
                </c:pt>
                <c:pt idx="5" formatCode="General">
                  <c:v>10</c:v>
                </c:pt>
                <c:pt idx="6" formatCode="General">
                  <c:v>9</c:v>
                </c:pt>
                <c:pt idx="7" formatCode="General">
                  <c:v>10</c:v>
                </c:pt>
                <c:pt idx="8" formatCode="General">
                  <c:v>8</c:v>
                </c:pt>
                <c:pt idx="9">
                  <c:v>10</c:v>
                </c:pt>
                <c:pt idx="10">
                  <c:v>10</c:v>
                </c:pt>
                <c:pt idx="11">
                  <c:v>10</c:v>
                </c:pt>
                <c:pt idx="12">
                  <c:v>12</c:v>
                </c:pt>
                <c:pt idx="13">
                  <c:v>10</c:v>
                </c:pt>
                <c:pt idx="14">
                  <c:v>10</c:v>
                </c:pt>
              </c:numCache>
            </c:numRef>
          </c:val>
          <c:extLst>
            <c:ext xmlns:c16="http://schemas.microsoft.com/office/drawing/2014/chart" uri="{C3380CC4-5D6E-409C-BE32-E72D297353CC}">
              <c16:uniqueId val="{00000000-3523-43E8-9869-94D3C4F7CC9B}"/>
            </c:ext>
          </c:extLst>
        </c:ser>
        <c:ser>
          <c:idx val="1"/>
          <c:order val="1"/>
          <c:tx>
            <c:strRef>
              <c:f>'GE-NI Visual'!$K$6:$K$7</c:f>
              <c:strCache>
                <c:ptCount val="2"/>
                <c:pt idx="0">
                  <c:v>SDLP</c:v>
                </c:pt>
              </c:strCache>
            </c:strRef>
          </c:tx>
          <c:spPr>
            <a:solidFill>
              <a:srgbClr val="4EA268"/>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Visual'!$K$42:$K$69</c15:sqref>
                  </c15:fullRef>
                </c:ext>
              </c:extLst>
              <c:f>'GE-NI Visual'!$K$54:$K$68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2</c:v>
                </c:pt>
                <c:pt idx="7" formatCode="General">
                  <c:v>2</c:v>
                </c:pt>
                <c:pt idx="8" formatCode="General">
                  <c:v>2</c:v>
                </c:pt>
                <c:pt idx="9">
                  <c:v>2</c:v>
                </c:pt>
                <c:pt idx="10">
                  <c:v>2</c:v>
                </c:pt>
                <c:pt idx="11">
                  <c:v>2</c:v>
                </c:pt>
                <c:pt idx="12">
                  <c:v>0</c:v>
                </c:pt>
                <c:pt idx="13">
                  <c:v>2</c:v>
                </c:pt>
                <c:pt idx="14">
                  <c:v>2</c:v>
                </c:pt>
              </c:numCache>
            </c:numRef>
          </c:val>
          <c:extLst>
            <c:ext xmlns:c16="http://schemas.microsoft.com/office/drawing/2014/chart" uri="{C3380CC4-5D6E-409C-BE32-E72D297353CC}">
              <c16:uniqueId val="{00000001-3523-43E8-9869-94D3C4F7CC9B}"/>
            </c:ext>
          </c:extLst>
        </c:ser>
        <c:ser>
          <c:idx val="2"/>
          <c:order val="2"/>
          <c:tx>
            <c:strRef>
              <c:f>'GE-NI Visual'!$L$6:$L$7</c:f>
              <c:strCache>
                <c:ptCount val="2"/>
                <c:pt idx="0">
                  <c:v>DUP</c:v>
                </c:pt>
              </c:strCache>
            </c:strRef>
          </c:tx>
          <c:spPr>
            <a:solidFill>
              <a:srgbClr val="CC3300"/>
            </a:solidFill>
            <a:ln w="25400">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Visual'!$L$42:$L$69</c15:sqref>
                  </c15:fullRef>
                </c:ext>
              </c:extLst>
              <c:f>'GE-NI Visual'!$L$54:$L$68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2-3523-43E8-9869-94D3C4F7CC9B}"/>
            </c:ext>
          </c:extLst>
        </c:ser>
        <c:ser>
          <c:idx val="3"/>
          <c:order val="3"/>
          <c:tx>
            <c:strRef>
              <c:f>'GE-NI Visual'!$M$6:$M$7</c:f>
              <c:strCache>
                <c:ptCount val="2"/>
                <c:pt idx="0">
                  <c:v>SF</c:v>
                </c:pt>
              </c:strCache>
            </c:strRef>
          </c:tx>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Visual'!$M$42:$M$69</c15:sqref>
                  </c15:fullRef>
                </c:ext>
              </c:extLst>
              <c:f>'GE-NI Visual'!$M$54:$M$68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3-3523-43E8-9869-94D3C4F7CC9B}"/>
            </c:ext>
          </c:extLst>
        </c:ser>
        <c:dLbls>
          <c:showLegendKey val="0"/>
          <c:showVal val="0"/>
          <c:showCatName val="0"/>
          <c:showSerName val="0"/>
          <c:showPercent val="0"/>
          <c:showBubbleSize val="0"/>
        </c:dLbls>
        <c:gapWidth val="65"/>
        <c:overlap val="100"/>
        <c:axId val="465786296"/>
        <c:axId val="465786688"/>
      </c:barChart>
      <c:catAx>
        <c:axId val="46578629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6688"/>
        <c:crosses val="autoZero"/>
        <c:auto val="1"/>
        <c:lblAlgn val="ctr"/>
        <c:lblOffset val="100"/>
        <c:noMultiLvlLbl val="0"/>
      </c:catAx>
      <c:valAx>
        <c:axId val="465786688"/>
        <c:scaling>
          <c:orientation val="minMax"/>
          <c:max val="20"/>
        </c:scaling>
        <c:delete val="1"/>
        <c:axPos val="b"/>
        <c:numFmt formatCode="0" sourceLinked="0"/>
        <c:majorTickMark val="out"/>
        <c:minorTickMark val="none"/>
        <c:tickLblPos val="nextTo"/>
        <c:crossAx val="465786296"/>
        <c:crosses val="autoZero"/>
        <c:crossBetween val="between"/>
        <c:majorUnit val="10"/>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spPr>
            <a:solidFill>
              <a:srgbClr val="A1CDF0"/>
            </a:solidFill>
            <a:ln w="3175">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Visual'!$J$41:$J$69</c15:sqref>
                  </c15:fullRef>
                </c:ext>
              </c:extLst>
              <c:f>'GE-NI Visual'!$J$41:$J$53</c:f>
              <c:numCache>
                <c:formatCode>General</c:formatCode>
                <c:ptCount val="13"/>
                <c:pt idx="0">
                  <c:v>0</c:v>
                </c:pt>
                <c:pt idx="1">
                  <c:v>0</c:v>
                </c:pt>
                <c:pt idx="2" formatCode="0">
                  <c:v>2</c:v>
                </c:pt>
                <c:pt idx="3" formatCode="0">
                  <c:v>0</c:v>
                </c:pt>
                <c:pt idx="4" formatCode="0">
                  <c:v>1</c:v>
                </c:pt>
                <c:pt idx="5" formatCode="0">
                  <c:v>6</c:v>
                </c:pt>
                <c:pt idx="6" formatCode="0">
                  <c:v>10</c:v>
                </c:pt>
                <c:pt idx="7" formatCode="0">
                  <c:v>9</c:v>
                </c:pt>
                <c:pt idx="8" formatCode="0">
                  <c:v>9</c:v>
                </c:pt>
                <c:pt idx="9" formatCode="0">
                  <c:v>11</c:v>
                </c:pt>
                <c:pt idx="10" formatCode="0">
                  <c:v>5</c:v>
                </c:pt>
                <c:pt idx="11" formatCode="0">
                  <c:v>7</c:v>
                </c:pt>
                <c:pt idx="12" formatCode="0">
                  <c:v>6</c:v>
                </c:pt>
              </c:numCache>
            </c:numRef>
          </c:val>
          <c:extLst>
            <c:ext xmlns:c16="http://schemas.microsoft.com/office/drawing/2014/chart" uri="{C3380CC4-5D6E-409C-BE32-E72D297353CC}">
              <c16:uniqueId val="{00000000-0DAD-4814-BE0D-A7A55EA04AF4}"/>
            </c:ext>
          </c:extLst>
        </c:ser>
        <c:ser>
          <c:idx val="1"/>
          <c:order val="1"/>
          <c:spPr>
            <a:solidFill>
              <a:srgbClr val="4EA268"/>
            </a:solidFill>
            <a:ln w="3175">
              <a:noFill/>
            </a:ln>
          </c:spPr>
          <c:invertIfNegative val="0"/>
          <c:dPt>
            <c:idx val="0"/>
            <c:invertIfNegative val="0"/>
            <c:bubble3D val="0"/>
            <c:extLst>
              <c:ext xmlns:c16="http://schemas.microsoft.com/office/drawing/2014/chart" uri="{C3380CC4-5D6E-409C-BE32-E72D297353CC}">
                <c16:uniqueId val="{00000001-0DAD-4814-BE0D-A7A55EA04AF4}"/>
              </c:ext>
            </c:extLst>
          </c:dPt>
          <c:dPt>
            <c:idx val="1"/>
            <c:invertIfNegative val="0"/>
            <c:bubble3D val="0"/>
            <c:extLst>
              <c:ext xmlns:c16="http://schemas.microsoft.com/office/drawing/2014/chart" uri="{C3380CC4-5D6E-409C-BE32-E72D297353CC}">
                <c16:uniqueId val="{00000002-0DAD-4814-BE0D-A7A55EA04AF4}"/>
              </c:ext>
            </c:extLst>
          </c:dPt>
          <c:dPt>
            <c:idx val="2"/>
            <c:invertIfNegative val="0"/>
            <c:bubble3D val="0"/>
            <c:extLst>
              <c:ext xmlns:c16="http://schemas.microsoft.com/office/drawing/2014/chart" uri="{C3380CC4-5D6E-409C-BE32-E72D297353CC}">
                <c16:uniqueId val="{00000003-0DAD-4814-BE0D-A7A55EA04AF4}"/>
              </c:ext>
            </c:extLst>
          </c:dPt>
          <c:dPt>
            <c:idx val="3"/>
            <c:invertIfNegative val="0"/>
            <c:bubble3D val="0"/>
            <c:extLst>
              <c:ext xmlns:c16="http://schemas.microsoft.com/office/drawing/2014/chart" uri="{C3380CC4-5D6E-409C-BE32-E72D297353CC}">
                <c16:uniqueId val="{00000004-0DAD-4814-BE0D-A7A55EA04AF4}"/>
              </c:ext>
            </c:extLst>
          </c:dPt>
          <c:dPt>
            <c:idx val="4"/>
            <c:invertIfNegative val="0"/>
            <c:bubble3D val="0"/>
            <c:extLst>
              <c:ext xmlns:c16="http://schemas.microsoft.com/office/drawing/2014/chart" uri="{C3380CC4-5D6E-409C-BE32-E72D297353CC}">
                <c16:uniqueId val="{00000005-0DAD-4814-BE0D-A7A55EA04AF4}"/>
              </c:ext>
            </c:extLst>
          </c:dPt>
          <c:dPt>
            <c:idx val="5"/>
            <c:invertIfNegative val="0"/>
            <c:bubble3D val="0"/>
            <c:extLst>
              <c:ext xmlns:c16="http://schemas.microsoft.com/office/drawing/2014/chart" uri="{C3380CC4-5D6E-409C-BE32-E72D297353CC}">
                <c16:uniqueId val="{00000006-0DAD-4814-BE0D-A7A55EA04AF4}"/>
              </c:ext>
            </c:extLst>
          </c:dPt>
          <c:dPt>
            <c:idx val="6"/>
            <c:invertIfNegative val="0"/>
            <c:bubble3D val="0"/>
            <c:extLst>
              <c:ext xmlns:c16="http://schemas.microsoft.com/office/drawing/2014/chart" uri="{C3380CC4-5D6E-409C-BE32-E72D297353CC}">
                <c16:uniqueId val="{00000007-0DAD-4814-BE0D-A7A55EA04AF4}"/>
              </c:ext>
            </c:extLst>
          </c:dPt>
          <c:dPt>
            <c:idx val="7"/>
            <c:invertIfNegative val="0"/>
            <c:bubble3D val="0"/>
            <c:extLst>
              <c:ext xmlns:c16="http://schemas.microsoft.com/office/drawing/2014/chart" uri="{C3380CC4-5D6E-409C-BE32-E72D297353CC}">
                <c16:uniqueId val="{00000008-0DAD-4814-BE0D-A7A55EA04AF4}"/>
              </c:ext>
            </c:extLst>
          </c:dPt>
          <c:dPt>
            <c:idx val="8"/>
            <c:invertIfNegative val="0"/>
            <c:bubble3D val="0"/>
            <c:extLst>
              <c:ext xmlns:c16="http://schemas.microsoft.com/office/drawing/2014/chart" uri="{C3380CC4-5D6E-409C-BE32-E72D297353CC}">
                <c16:uniqueId val="{00000009-0DAD-4814-BE0D-A7A55EA04AF4}"/>
              </c:ext>
            </c:extLst>
          </c:dPt>
          <c:dPt>
            <c:idx val="9"/>
            <c:invertIfNegative val="0"/>
            <c:bubble3D val="0"/>
            <c:extLst>
              <c:ext xmlns:c16="http://schemas.microsoft.com/office/drawing/2014/chart" uri="{C3380CC4-5D6E-409C-BE32-E72D297353CC}">
                <c16:uniqueId val="{0000000A-0DAD-4814-BE0D-A7A55EA04AF4}"/>
              </c:ext>
            </c:extLst>
          </c:dPt>
          <c:dPt>
            <c:idx val="10"/>
            <c:invertIfNegative val="0"/>
            <c:bubble3D val="0"/>
            <c:extLst>
              <c:ext xmlns:c16="http://schemas.microsoft.com/office/drawing/2014/chart" uri="{C3380CC4-5D6E-409C-BE32-E72D297353CC}">
                <c16:uniqueId val="{0000000B-0DAD-4814-BE0D-A7A55EA04AF4}"/>
              </c:ext>
            </c:extLst>
          </c:dPt>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Visual'!$K$41:$K$69</c15:sqref>
                  </c15:fullRef>
                </c:ext>
              </c:extLst>
              <c:f>'GE-NI Visual'!$K$41:$K$53</c:f>
              <c:numCache>
                <c:formatCode>General</c:formatCode>
                <c:ptCount val="13"/>
                <c:pt idx="0">
                  <c:v>2</c:v>
                </c:pt>
                <c:pt idx="1">
                  <c:v>0</c:v>
                </c:pt>
                <c:pt idx="2" formatCode="0">
                  <c:v>3</c:v>
                </c:pt>
                <c:pt idx="3" formatCode="0">
                  <c:v>3</c:v>
                </c:pt>
                <c:pt idx="4" formatCode="0">
                  <c:v>3</c:v>
                </c:pt>
                <c:pt idx="5" formatCode="0">
                  <c:v>3</c:v>
                </c:pt>
                <c:pt idx="6" formatCode="0">
                  <c:v>3</c:v>
                </c:pt>
                <c:pt idx="7" formatCode="0">
                  <c:v>4</c:v>
                </c:pt>
                <c:pt idx="8" formatCode="0">
                  <c:v>3</c:v>
                </c:pt>
                <c:pt idx="9" formatCode="0">
                  <c:v>1</c:v>
                </c:pt>
                <c:pt idx="10" formatCode="0">
                  <c:v>1</c:v>
                </c:pt>
                <c:pt idx="11" formatCode="0">
                  <c:v>1</c:v>
                </c:pt>
                <c:pt idx="12" formatCode="0">
                  <c:v>1</c:v>
                </c:pt>
              </c:numCache>
            </c:numRef>
          </c:val>
          <c:extLst>
            <c:ext xmlns:c16="http://schemas.microsoft.com/office/drawing/2014/chart" uri="{C3380CC4-5D6E-409C-BE32-E72D297353CC}">
              <c16:uniqueId val="{0000000C-0DAD-4814-BE0D-A7A55EA04AF4}"/>
            </c:ext>
          </c:extLst>
        </c:ser>
        <c:ser>
          <c:idx val="2"/>
          <c:order val="2"/>
          <c:spPr>
            <a:solidFill>
              <a:srgbClr val="CC3300"/>
            </a:solidFill>
            <a:ln w="25400">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Visual'!$L$41:$L$69</c15:sqref>
                  </c15:fullRef>
                </c:ext>
              </c:extLst>
              <c:f>'GE-NI Visual'!$L$41:$L$53</c:f>
              <c:numCache>
                <c:formatCode>General</c:formatCode>
                <c:ptCount val="13"/>
                <c:pt idx="0">
                  <c:v>8</c:v>
                </c:pt>
                <c:pt idx="1">
                  <c:v>10</c:v>
                </c:pt>
                <c:pt idx="2" formatCode="0">
                  <c:v>8</c:v>
                </c:pt>
                <c:pt idx="3" formatCode="0">
                  <c:v>8</c:v>
                </c:pt>
                <c:pt idx="4" formatCode="0">
                  <c:v>9</c:v>
                </c:pt>
                <c:pt idx="5" formatCode="0">
                  <c:v>5</c:v>
                </c:pt>
                <c:pt idx="6" formatCode="0">
                  <c:v>2</c:v>
                </c:pt>
                <c:pt idx="7" formatCode="0">
                  <c:v>3</c:v>
                </c:pt>
                <c:pt idx="8" formatCode="0">
                  <c:v>3</c:v>
                </c:pt>
                <c:pt idx="9" formatCode="0">
                  <c:v>3</c:v>
                </c:pt>
                <c:pt idx="10" formatCode="0">
                  <c:v>3</c:v>
                </c:pt>
                <c:pt idx="11" formatCode="0">
                  <c:v>1</c:v>
                </c:pt>
                <c:pt idx="12" formatCode="0">
                  <c:v>1</c:v>
                </c:pt>
              </c:numCache>
            </c:numRef>
          </c:val>
          <c:extLst>
            <c:ext xmlns:c16="http://schemas.microsoft.com/office/drawing/2014/chart" uri="{C3380CC4-5D6E-409C-BE32-E72D297353CC}">
              <c16:uniqueId val="{0000000D-0DAD-4814-BE0D-A7A55EA04AF4}"/>
            </c:ext>
          </c:extLst>
        </c:ser>
        <c:ser>
          <c:idx val="3"/>
          <c:order val="3"/>
          <c:spPr>
            <a:solidFill>
              <a:srgbClr val="02665F"/>
            </a:solidFill>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Visual'!$M$41:$M$69</c15:sqref>
                  </c15:fullRef>
                </c:ext>
              </c:extLst>
              <c:f>'GE-NI Visual'!$M$41:$M$53</c:f>
              <c:numCache>
                <c:formatCode>General</c:formatCode>
                <c:ptCount val="13"/>
                <c:pt idx="0">
                  <c:v>7</c:v>
                </c:pt>
                <c:pt idx="1">
                  <c:v>7</c:v>
                </c:pt>
                <c:pt idx="2" formatCode="0">
                  <c:v>4</c:v>
                </c:pt>
                <c:pt idx="3" formatCode="0">
                  <c:v>5</c:v>
                </c:pt>
                <c:pt idx="4" formatCode="0">
                  <c:v>5</c:v>
                </c:pt>
                <c:pt idx="5" formatCode="0">
                  <c:v>4</c:v>
                </c:pt>
                <c:pt idx="6" formatCode="0">
                  <c:v>2</c:v>
                </c:pt>
                <c:pt idx="7" formatCode="0">
                  <c:v>0</c:v>
                </c:pt>
                <c:pt idx="8" formatCode="0">
                  <c:v>1</c:v>
                </c:pt>
                <c:pt idx="9" formatCode="0">
                  <c:v>1</c:v>
                </c:pt>
                <c:pt idx="10" formatCode="#,##0.0;\-#,##0.0">
                  <c:v>0</c:v>
                </c:pt>
                <c:pt idx="11" formatCode="#,##0.0;\-#,##0.0">
                  <c:v>0</c:v>
                </c:pt>
                <c:pt idx="12" formatCode="#,##0.0;\-#,##0.0">
                  <c:v>0</c:v>
                </c:pt>
              </c:numCache>
            </c:numRef>
          </c:val>
          <c:extLst>
            <c:ext xmlns:c16="http://schemas.microsoft.com/office/drawing/2014/chart" uri="{C3380CC4-5D6E-409C-BE32-E72D297353CC}">
              <c16:uniqueId val="{0000000E-0DAD-4814-BE0D-A7A55EA04AF4}"/>
            </c:ext>
          </c:extLst>
        </c:ser>
        <c:dLbls>
          <c:showLegendKey val="0"/>
          <c:showVal val="0"/>
          <c:showCatName val="0"/>
          <c:showSerName val="0"/>
          <c:showPercent val="0"/>
          <c:showBubbleSize val="0"/>
        </c:dLbls>
        <c:gapWidth val="65"/>
        <c:overlap val="100"/>
        <c:axId val="466673832"/>
        <c:axId val="466674224"/>
      </c:barChart>
      <c:catAx>
        <c:axId val="46667383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6674224"/>
        <c:crosses val="autoZero"/>
        <c:auto val="1"/>
        <c:lblAlgn val="ctr"/>
        <c:lblOffset val="100"/>
        <c:noMultiLvlLbl val="0"/>
      </c:catAx>
      <c:valAx>
        <c:axId val="466674224"/>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6673832"/>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votes (thousands)</a:t>
            </a:r>
          </a:p>
        </c:rich>
      </c:tx>
      <c:layout>
        <c:manualLayout>
          <c:xMode val="edge"/>
          <c:yMode val="edge"/>
          <c:x val="0.1694227730939698"/>
          <c:y val="4.4561970150040028E-2"/>
        </c:manualLayout>
      </c:layout>
      <c:overlay val="0"/>
      <c:spPr>
        <a:noFill/>
        <a:ln w="25400">
          <a:noFill/>
        </a:ln>
      </c:spPr>
    </c:title>
    <c:autoTitleDeleted val="0"/>
    <c:plotArea>
      <c:layout>
        <c:manualLayout>
          <c:layoutTarget val="inner"/>
          <c:xMode val="edge"/>
          <c:yMode val="edge"/>
          <c:x val="0.21718021835514426"/>
          <c:y val="0.16259849556338971"/>
          <c:w val="0.49593018601051481"/>
          <c:h val="0.74671761204112219"/>
        </c:manualLayout>
      </c:layout>
      <c:barChart>
        <c:barDir val="bar"/>
        <c:grouping val="stacked"/>
        <c:varyColors val="0"/>
        <c:ser>
          <c:idx val="0"/>
          <c:order val="0"/>
          <c:tx>
            <c:strRef>
              <c:f>'GE-NI Visual'!$B$21</c:f>
              <c:strCache>
                <c:ptCount val="1"/>
                <c:pt idx="0">
                  <c:v>CON</c:v>
                </c:pt>
              </c:strCache>
            </c:strRef>
          </c:tx>
          <c:spPr>
            <a:solidFill>
              <a:srgbClr val="00539F"/>
            </a:solidFill>
            <a:ln w="3175">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Visual'!$B$9:$B$36</c15:sqref>
                  </c15:fullRef>
                </c:ext>
              </c:extLst>
              <c:f>'GE-NI Visual'!$B$21:$B$36</c:f>
              <c:numCache>
                <c:formatCode>0.0</c:formatCode>
                <c:ptCount val="16"/>
                <c:pt idx="0" formatCode="#,##0_);\(#,##0\)">
                  <c:v>0</c:v>
                </c:pt>
                <c:pt idx="1">
                  <c:v>422.041</c:v>
                </c:pt>
                <c:pt idx="2">
                  <c:v>368.62900000000002</c:v>
                </c:pt>
                <c:pt idx="3">
                  <c:v>401.89699999999999</c:v>
                </c:pt>
                <c:pt idx="4">
                  <c:v>445.01299999999998</c:v>
                </c:pt>
                <c:pt idx="5">
                  <c:v>442.64699999999999</c:v>
                </c:pt>
                <c:pt idx="6">
                  <c:v>274.928</c:v>
                </c:pt>
                <c:pt idx="7">
                  <c:v>352.334</c:v>
                </c:pt>
                <c:pt idx="8">
                  <c:v>392.45</c:v>
                </c:pt>
                <c:pt idx="9">
                  <c:v>292.83999999999997</c:v>
                </c:pt>
                <c:pt idx="10">
                  <c:v>149.566</c:v>
                </c:pt>
                <c:pt idx="11">
                  <c:v>354.65699999999998</c:v>
                </c:pt>
                <c:pt idx="12">
                  <c:v>451.27800000000002</c:v>
                </c:pt>
                <c:pt idx="13">
                  <c:v>117.161</c:v>
                </c:pt>
                <c:pt idx="14">
                  <c:v>107.97199999999999</c:v>
                </c:pt>
                <c:pt idx="15">
                  <c:v>289.21300000000002</c:v>
                </c:pt>
              </c:numCache>
            </c:numRef>
          </c:val>
          <c:extLst>
            <c:ext xmlns:c16="http://schemas.microsoft.com/office/drawing/2014/chart" uri="{C3380CC4-5D6E-409C-BE32-E72D297353CC}">
              <c16:uniqueId val="{00000000-908B-4462-9282-443EB5D417DB}"/>
            </c:ext>
          </c:extLst>
        </c:ser>
        <c:ser>
          <c:idx val="1"/>
          <c:order val="1"/>
          <c:tx>
            <c:strRef>
              <c:f>'GE-NI Visual'!$C$21</c:f>
              <c:strCache>
                <c:ptCount val="1"/>
                <c:pt idx="0">
                  <c:v>NAT</c:v>
                </c:pt>
              </c:strCache>
            </c:strRef>
          </c:tx>
          <c:spPr>
            <a:solidFill>
              <a:schemeClr val="accent1"/>
            </a:solidFill>
            <a:ln w="3175">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Visual'!$C$9:$C$36</c15:sqref>
                  </c15:fullRef>
                </c:ext>
              </c:extLst>
              <c:f>'GE-NI Visual'!$C$21:$C$36</c:f>
              <c:numCache>
                <c:formatCode>0.0</c:formatCode>
                <c:ptCount val="16"/>
                <c:pt idx="0" formatCode="#,##0_);\(#,##0\)">
                  <c:v>0</c:v>
                </c:pt>
                <c:pt idx="1">
                  <c:v>0</c:v>
                </c:pt>
                <c:pt idx="2">
                  <c:v>22.167000000000002</c:v>
                </c:pt>
                <c:pt idx="3">
                  <c:v>0</c:v>
                </c:pt>
                <c:pt idx="4">
                  <c:v>0</c:v>
                </c:pt>
                <c:pt idx="5">
                  <c:v>0</c:v>
                </c:pt>
                <c:pt idx="6">
                  <c:v>92.787000000000006</c:v>
                </c:pt>
                <c:pt idx="7">
                  <c:v>65.210999999999999</c:v>
                </c:pt>
                <c:pt idx="8">
                  <c:v>148.078</c:v>
                </c:pt>
                <c:pt idx="9">
                  <c:v>101.494</c:v>
                </c:pt>
                <c:pt idx="10">
                  <c:v>123.053</c:v>
                </c:pt>
                <c:pt idx="11">
                  <c:v>24.177</c:v>
                </c:pt>
                <c:pt idx="12">
                  <c:v>0</c:v>
                </c:pt>
                <c:pt idx="13">
                  <c:v>87.671000000000006</c:v>
                </c:pt>
                <c:pt idx="14">
                  <c:v>90.052999999999997</c:v>
                </c:pt>
                <c:pt idx="15">
                  <c:v>228.90199999999999</c:v>
                </c:pt>
              </c:numCache>
            </c:numRef>
          </c:val>
          <c:extLst>
            <c:ext xmlns:c15="http://schemas.microsoft.com/office/drawing/2012/chart" uri="{02D57815-91ED-43cb-92C2-25804820EDAC}">
              <c15:categoryFilterExceptions>
                <c15:categoryFilterException>
                  <c15:sqref>'GE-NI Visual'!$C$9</c15:sqref>
                  <c15:invertIfNegative val="0"/>
                  <c15:bubble3D val="0"/>
                </c15:categoryFilterException>
                <c15:categoryFilterException>
                  <c15:sqref>'GE-NI Visual'!$C$10</c15:sqref>
                  <c15:invertIfNegative val="0"/>
                  <c15:bubble3D val="0"/>
                </c15:categoryFilterException>
                <c15:categoryFilterException>
                  <c15:sqref>'GE-NI Visual'!$C$11</c15:sqref>
                  <c15:invertIfNegative val="0"/>
                  <c15:bubble3D val="0"/>
                </c15:categoryFilterException>
                <c15:categoryFilterException>
                  <c15:sqref>'GE-NI Visual'!$C$12</c15:sqref>
                  <c15:invertIfNegative val="0"/>
                  <c15:bubble3D val="0"/>
                </c15:categoryFilterException>
                <c15:categoryFilterException>
                  <c15:sqref>'GE-NI Visual'!$C$13</c15:sqref>
                  <c15:invertIfNegative val="0"/>
                  <c15:bubble3D val="0"/>
                </c15:categoryFilterException>
                <c15:categoryFilterException>
                  <c15:sqref>'GE-NI Visual'!$C$14</c15:sqref>
                  <c15:invertIfNegative val="0"/>
                  <c15:bubble3D val="0"/>
                </c15:categoryFilterException>
                <c15:categoryFilterException>
                  <c15:sqref>'GE-NI Visual'!$C$15</c15:sqref>
                  <c15:invertIfNegative val="0"/>
                  <c15:bubble3D val="0"/>
                </c15:categoryFilterException>
                <c15:categoryFilterException>
                  <c15:sqref>'GE-NI Visual'!$C$16</c15:sqref>
                  <c15:invertIfNegative val="0"/>
                  <c15:bubble3D val="0"/>
                </c15:categoryFilterException>
                <c15:categoryFilterException>
                  <c15:sqref>'GE-NI Visual'!$C$17</c15:sqref>
                  <c15:invertIfNegative val="0"/>
                  <c15:bubble3D val="0"/>
                </c15:categoryFilterException>
                <c15:categoryFilterException>
                  <c15:sqref>'GE-NI Visual'!$C$18</c15:sqref>
                  <c15:invertIfNegative val="0"/>
                  <c15:bubble3D val="0"/>
                </c15:categoryFilterException>
                <c15:categoryFilterException>
                  <c15:sqref>'GE-NI Visual'!$C$19</c15:sqref>
                  <c15:invertIfNegative val="0"/>
                  <c15:bubble3D val="0"/>
                </c15:categoryFilterException>
              </c15:categoryFilterExceptions>
            </c:ext>
            <c:ext xmlns:c16="http://schemas.microsoft.com/office/drawing/2014/chart" uri="{C3380CC4-5D6E-409C-BE32-E72D297353CC}">
              <c16:uniqueId val="{00000001-908B-4462-9282-443EB5D417DB}"/>
            </c:ext>
          </c:extLst>
        </c:ser>
        <c:ser>
          <c:idx val="2"/>
          <c:order val="2"/>
          <c:tx>
            <c:strRef>
              <c:f>'GE-NI Visual'!$D$21</c:f>
              <c:strCache>
                <c:ptCount val="1"/>
                <c:pt idx="0">
                  <c:v>LAB</c:v>
                </c:pt>
              </c:strCache>
            </c:strRef>
          </c:tx>
          <c:spPr>
            <a:solidFill>
              <a:srgbClr val="D40000"/>
            </a:solidFill>
            <a:ln w="25400">
              <a:noFill/>
            </a:ln>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Visual'!$D$9:$D$36</c15:sqref>
                  </c15:fullRef>
                </c:ext>
              </c:extLst>
              <c:f>'GE-NI Visual'!$D$21:$D$36</c:f>
              <c:numCache>
                <c:formatCode>0.0</c:formatCode>
                <c:ptCount val="16"/>
                <c:pt idx="0" formatCode="#,##0_);\(#,##0\)">
                  <c:v>0</c:v>
                </c:pt>
                <c:pt idx="1">
                  <c:v>98.194000000000003</c:v>
                </c:pt>
                <c:pt idx="2">
                  <c:v>72.613</c:v>
                </c:pt>
                <c:pt idx="3">
                  <c:v>102.759</c:v>
                </c:pt>
                <c:pt idx="4">
                  <c:v>44.37</c:v>
                </c:pt>
                <c:pt idx="5">
                  <c:v>35.613999999999997</c:v>
                </c:pt>
                <c:pt idx="6">
                  <c:v>62.323999999999998</c:v>
                </c:pt>
                <c:pt idx="7">
                  <c:v>67.816000000000003</c:v>
                </c:pt>
                <c:pt idx="8">
                  <c:v>65.459000000000003</c:v>
                </c:pt>
                <c:pt idx="9">
                  <c:v>0</c:v>
                </c:pt>
                <c:pt idx="10">
                  <c:v>9.41</c:v>
                </c:pt>
                <c:pt idx="11">
                  <c:v>0</c:v>
                </c:pt>
                <c:pt idx="12">
                  <c:v>0</c:v>
                </c:pt>
                <c:pt idx="13">
                  <c:v>0</c:v>
                </c:pt>
                <c:pt idx="14">
                  <c:v>0</c:v>
                </c:pt>
                <c:pt idx="15">
                  <c:v>0</c:v>
                </c:pt>
              </c:numCache>
            </c:numRef>
          </c:val>
          <c:extLst>
            <c:ext xmlns:c16="http://schemas.microsoft.com/office/drawing/2014/chart" uri="{C3380CC4-5D6E-409C-BE32-E72D297353CC}">
              <c16:uniqueId val="{00000002-908B-4462-9282-443EB5D417DB}"/>
            </c:ext>
          </c:extLst>
        </c:ser>
        <c:ser>
          <c:idx val="3"/>
          <c:order val="3"/>
          <c:tx>
            <c:strRef>
              <c:f>'GE-NI Visual'!$E$21</c:f>
              <c:strCache>
                <c:ptCount val="1"/>
                <c:pt idx="0">
                  <c:v>LD</c:v>
                </c:pt>
              </c:strCache>
            </c:strRef>
          </c:tx>
          <c:spPr>
            <a:solidFill>
              <a:srgbClr val="FAA01A"/>
            </a:solidFill>
          </c:spPr>
          <c:invertIfNegative val="0"/>
          <c:cat>
            <c:numRef>
              <c:extLst>
                <c:ext xmlns:c15="http://schemas.microsoft.com/office/drawing/2012/chart" uri="{02D57815-91ED-43cb-92C2-25804820EDAC}">
                  <c15:fullRef>
                    <c15:sqref>'GE-NI Visual'!$A$9:$A$36</c15:sqref>
                  </c15:fullRef>
                </c:ext>
              </c:extLst>
              <c:f>'GE-NI Visual'!$A$21:$A$36</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Visual'!$E$9:$E$36</c15:sqref>
                  </c15:fullRef>
                </c:ext>
              </c:extLst>
              <c:f>'GE-NI Visual'!$E$21:$E$36</c:f>
              <c:numCache>
                <c:formatCode>0.0</c:formatCode>
                <c:ptCount val="16"/>
                <c:pt idx="0" formatCode="#,##0_);\(#,##0\)">
                  <c:v>0</c:v>
                </c:pt>
                <c:pt idx="1">
                  <c:v>12.005000000000001</c:v>
                </c:pt>
                <c:pt idx="2">
                  <c:v>29.109000000000002</c:v>
                </c:pt>
                <c:pt idx="3">
                  <c:v>17.353999999999999</c:v>
                </c:pt>
                <c:pt idx="4">
                  <c:v>3.2530000000000001</c:v>
                </c:pt>
                <c:pt idx="5">
                  <c:v>0</c:v>
                </c:pt>
                <c:pt idx="6">
                  <c:v>0</c:v>
                </c:pt>
                <c:pt idx="7">
                  <c:v>0</c:v>
                </c:pt>
                <c:pt idx="8">
                  <c:v>0</c:v>
                </c:pt>
                <c:pt idx="9">
                  <c:v>0</c:v>
                </c:pt>
                <c:pt idx="10">
                  <c:v>0</c:v>
                </c:pt>
                <c:pt idx="11">
                  <c:v>100.10299999999999</c:v>
                </c:pt>
                <c:pt idx="12">
                  <c:v>0</c:v>
                </c:pt>
                <c:pt idx="13">
                  <c:v>0</c:v>
                </c:pt>
                <c:pt idx="14">
                  <c:v>0</c:v>
                </c:pt>
                <c:pt idx="15">
                  <c:v>0</c:v>
                </c:pt>
              </c:numCache>
            </c:numRef>
          </c:val>
          <c:extLst>
            <c:ext xmlns:c16="http://schemas.microsoft.com/office/drawing/2014/chart" uri="{C3380CC4-5D6E-409C-BE32-E72D297353CC}">
              <c16:uniqueId val="{00000003-908B-4462-9282-443EB5D417DB}"/>
            </c:ext>
          </c:extLst>
        </c:ser>
        <c:dLbls>
          <c:showLegendKey val="0"/>
          <c:showVal val="0"/>
          <c:showCatName val="0"/>
          <c:showSerName val="0"/>
          <c:showPercent val="0"/>
          <c:showBubbleSize val="0"/>
        </c:dLbls>
        <c:gapWidth val="65"/>
        <c:overlap val="100"/>
        <c:axId val="465779240"/>
        <c:axId val="465779632"/>
      </c:barChart>
      <c:catAx>
        <c:axId val="465779240"/>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79632"/>
        <c:crosses val="autoZero"/>
        <c:auto val="1"/>
        <c:lblAlgn val="ctr"/>
        <c:lblOffset val="100"/>
        <c:noMultiLvlLbl val="0"/>
      </c:catAx>
      <c:valAx>
        <c:axId val="465779632"/>
        <c:scaling>
          <c:orientation val="minMax"/>
        </c:scaling>
        <c:delete val="1"/>
        <c:axPos val="b"/>
        <c:numFmt formatCode="0" sourceLinked="0"/>
        <c:majorTickMark val="none"/>
        <c:minorTickMark val="none"/>
        <c:tickLblPos val="nextTo"/>
        <c:crossAx val="465779240"/>
        <c:crosses val="autoZero"/>
        <c:crossBetween val="between"/>
        <c:majorUnit val="250"/>
      </c:valAx>
      <c:spPr>
        <a:noFill/>
        <a:ln w="25400">
          <a:noFill/>
        </a:ln>
      </c:spPr>
    </c:plotArea>
    <c:legend>
      <c:legendPos val="r"/>
      <c:layout>
        <c:manualLayout>
          <c:xMode val="edge"/>
          <c:yMode val="edge"/>
          <c:x val="0.69728332229819689"/>
          <c:y val="0.38420709420793436"/>
          <c:w val="0.24967357059554468"/>
          <c:h val="0.23397376301469772"/>
        </c:manualLayout>
      </c:layout>
      <c:overlay val="0"/>
      <c:spPr>
        <a:noFill/>
        <a:ln w="25400">
          <a:noFill/>
        </a:ln>
      </c:spPr>
    </c:legend>
    <c:plotVisOnly val="1"/>
    <c:dispBlanksAs val="gap"/>
    <c:showDLblsOverMax val="0"/>
  </c:chart>
  <c:spPr>
    <a:solidFill>
      <a:sysClr val="window" lastClr="FFFFFF"/>
    </a:solid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tx>
            <c:strRef>
              <c:f>'GE-NI Visual'!$B$6:$B$7</c:f>
              <c:strCache>
                <c:ptCount val="2"/>
                <c:pt idx="0">
                  <c:v>UUP</c:v>
                </c:pt>
              </c:strCache>
            </c:strRef>
          </c:tx>
          <c:spPr>
            <a:solidFill>
              <a:srgbClr val="A1CDF0"/>
            </a:solidFill>
            <a:ln w="3175">
              <a:noFill/>
            </a:ln>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Visual'!$B$8:$B$36</c15:sqref>
                  </c15:fullRef>
                </c:ext>
              </c:extLst>
              <c:f>'GE-NI Visual'!$B$8:$B$20</c:f>
              <c:numCache>
                <c:formatCode>0.0</c:formatCode>
                <c:ptCount val="13"/>
                <c:pt idx="0">
                  <c:v>93.123000000000005</c:v>
                </c:pt>
                <c:pt idx="1">
                  <c:v>83.28</c:v>
                </c:pt>
                <c:pt idx="2">
                  <c:v>114.9</c:v>
                </c:pt>
                <c:pt idx="3">
                  <c:v>102.4</c:v>
                </c:pt>
                <c:pt idx="4">
                  <c:v>127.414</c:v>
                </c:pt>
                <c:pt idx="5">
                  <c:v>216.839</c:v>
                </c:pt>
                <c:pt idx="6">
                  <c:v>258.34899999999999</c:v>
                </c:pt>
                <c:pt idx="7">
                  <c:v>271.04899999999998</c:v>
                </c:pt>
                <c:pt idx="8">
                  <c:v>276.23</c:v>
                </c:pt>
                <c:pt idx="9">
                  <c:v>259.952</c:v>
                </c:pt>
                <c:pt idx="10">
                  <c:v>254.578</c:v>
                </c:pt>
                <c:pt idx="11">
                  <c:v>256.065</c:v>
                </c:pt>
                <c:pt idx="12">
                  <c:v>326.404</c:v>
                </c:pt>
              </c:numCache>
            </c:numRef>
          </c:val>
          <c:extLst>
            <c:ext xmlns:c16="http://schemas.microsoft.com/office/drawing/2014/chart" uri="{C3380CC4-5D6E-409C-BE32-E72D297353CC}">
              <c16:uniqueId val="{00000000-B5A8-45DB-85CA-8669EF698B51}"/>
            </c:ext>
          </c:extLst>
        </c:ser>
        <c:ser>
          <c:idx val="1"/>
          <c:order val="1"/>
          <c:tx>
            <c:strRef>
              <c:f>'GE-NI Visual'!$C$6:$C$7</c:f>
              <c:strCache>
                <c:ptCount val="2"/>
                <c:pt idx="0">
                  <c:v>SDLP</c:v>
                </c:pt>
              </c:strCache>
            </c:strRef>
          </c:tx>
          <c:spPr>
            <a:solidFill>
              <a:srgbClr val="4EA268"/>
            </a:solidFill>
            <a:ln w="3175">
              <a:noFill/>
            </a:ln>
          </c:spPr>
          <c:invertIfNegative val="0"/>
          <c:dPt>
            <c:idx val="0"/>
            <c:invertIfNegative val="0"/>
            <c:bubble3D val="0"/>
            <c:extLst>
              <c:ext xmlns:c16="http://schemas.microsoft.com/office/drawing/2014/chart" uri="{C3380CC4-5D6E-409C-BE32-E72D297353CC}">
                <c16:uniqueId val="{00000001-B5A8-45DB-85CA-8669EF698B51}"/>
              </c:ext>
            </c:extLst>
          </c:dPt>
          <c:dPt>
            <c:idx val="1"/>
            <c:invertIfNegative val="0"/>
            <c:bubble3D val="0"/>
            <c:extLst>
              <c:ext xmlns:c16="http://schemas.microsoft.com/office/drawing/2014/chart" uri="{C3380CC4-5D6E-409C-BE32-E72D297353CC}">
                <c16:uniqueId val="{00000002-B5A8-45DB-85CA-8669EF698B51}"/>
              </c:ext>
            </c:extLst>
          </c:dPt>
          <c:dPt>
            <c:idx val="2"/>
            <c:invertIfNegative val="0"/>
            <c:bubble3D val="0"/>
            <c:extLst>
              <c:ext xmlns:c16="http://schemas.microsoft.com/office/drawing/2014/chart" uri="{C3380CC4-5D6E-409C-BE32-E72D297353CC}">
                <c16:uniqueId val="{00000003-B5A8-45DB-85CA-8669EF698B51}"/>
              </c:ext>
            </c:extLst>
          </c:dPt>
          <c:dPt>
            <c:idx val="3"/>
            <c:invertIfNegative val="0"/>
            <c:bubble3D val="0"/>
            <c:extLst>
              <c:ext xmlns:c16="http://schemas.microsoft.com/office/drawing/2014/chart" uri="{C3380CC4-5D6E-409C-BE32-E72D297353CC}">
                <c16:uniqueId val="{00000004-B5A8-45DB-85CA-8669EF698B51}"/>
              </c:ext>
            </c:extLst>
          </c:dPt>
          <c:dPt>
            <c:idx val="4"/>
            <c:invertIfNegative val="0"/>
            <c:bubble3D val="0"/>
            <c:extLst>
              <c:ext xmlns:c16="http://schemas.microsoft.com/office/drawing/2014/chart" uri="{C3380CC4-5D6E-409C-BE32-E72D297353CC}">
                <c16:uniqueId val="{00000005-B5A8-45DB-85CA-8669EF698B51}"/>
              </c:ext>
            </c:extLst>
          </c:dPt>
          <c:dPt>
            <c:idx val="5"/>
            <c:invertIfNegative val="0"/>
            <c:bubble3D val="0"/>
            <c:extLst>
              <c:ext xmlns:c16="http://schemas.microsoft.com/office/drawing/2014/chart" uri="{C3380CC4-5D6E-409C-BE32-E72D297353CC}">
                <c16:uniqueId val="{00000006-B5A8-45DB-85CA-8669EF698B51}"/>
              </c:ext>
            </c:extLst>
          </c:dPt>
          <c:dPt>
            <c:idx val="6"/>
            <c:invertIfNegative val="0"/>
            <c:bubble3D val="0"/>
            <c:extLst>
              <c:ext xmlns:c16="http://schemas.microsoft.com/office/drawing/2014/chart" uri="{C3380CC4-5D6E-409C-BE32-E72D297353CC}">
                <c16:uniqueId val="{00000007-B5A8-45DB-85CA-8669EF698B51}"/>
              </c:ext>
            </c:extLst>
          </c:dPt>
          <c:dPt>
            <c:idx val="7"/>
            <c:invertIfNegative val="0"/>
            <c:bubble3D val="0"/>
            <c:extLst>
              <c:ext xmlns:c16="http://schemas.microsoft.com/office/drawing/2014/chart" uri="{C3380CC4-5D6E-409C-BE32-E72D297353CC}">
                <c16:uniqueId val="{00000008-B5A8-45DB-85CA-8669EF698B51}"/>
              </c:ext>
            </c:extLst>
          </c:dPt>
          <c:dPt>
            <c:idx val="8"/>
            <c:invertIfNegative val="0"/>
            <c:bubble3D val="0"/>
            <c:extLst>
              <c:ext xmlns:c16="http://schemas.microsoft.com/office/drawing/2014/chart" uri="{C3380CC4-5D6E-409C-BE32-E72D297353CC}">
                <c16:uniqueId val="{00000009-B5A8-45DB-85CA-8669EF698B51}"/>
              </c:ext>
            </c:extLst>
          </c:dPt>
          <c:dPt>
            <c:idx val="9"/>
            <c:invertIfNegative val="0"/>
            <c:bubble3D val="0"/>
            <c:extLst>
              <c:ext xmlns:c16="http://schemas.microsoft.com/office/drawing/2014/chart" uri="{C3380CC4-5D6E-409C-BE32-E72D297353CC}">
                <c16:uniqueId val="{0000000A-B5A8-45DB-85CA-8669EF698B51}"/>
              </c:ext>
            </c:extLst>
          </c:dPt>
          <c:dPt>
            <c:idx val="10"/>
            <c:invertIfNegative val="0"/>
            <c:bubble3D val="0"/>
            <c:extLst>
              <c:ext xmlns:c16="http://schemas.microsoft.com/office/drawing/2014/chart" uri="{C3380CC4-5D6E-409C-BE32-E72D297353CC}">
                <c16:uniqueId val="{0000000B-B5A8-45DB-85CA-8669EF698B51}"/>
              </c:ext>
            </c:extLst>
          </c:dPt>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Visual'!$C$8:$C$36</c15:sqref>
                  </c15:fullRef>
                </c:ext>
              </c:extLst>
              <c:f>'GE-NI Visual'!$C$8:$C$20</c:f>
              <c:numCache>
                <c:formatCode>0.0</c:formatCode>
                <c:ptCount val="13"/>
                <c:pt idx="0">
                  <c:v>118.73699999999999</c:v>
                </c:pt>
                <c:pt idx="1">
                  <c:v>95.418999999999997</c:v>
                </c:pt>
                <c:pt idx="2">
                  <c:v>99.8</c:v>
                </c:pt>
                <c:pt idx="3">
                  <c:v>111</c:v>
                </c:pt>
                <c:pt idx="4">
                  <c:v>125.626</c:v>
                </c:pt>
                <c:pt idx="5">
                  <c:v>169.86500000000001</c:v>
                </c:pt>
                <c:pt idx="6">
                  <c:v>190.81399999999999</c:v>
                </c:pt>
                <c:pt idx="7">
                  <c:v>154.44499999999999</c:v>
                </c:pt>
                <c:pt idx="8">
                  <c:v>154.08699999999999</c:v>
                </c:pt>
                <c:pt idx="9">
                  <c:v>137.012</c:v>
                </c:pt>
                <c:pt idx="10">
                  <c:v>126.325</c:v>
                </c:pt>
                <c:pt idx="11">
                  <c:v>154.19300000000001</c:v>
                </c:pt>
                <c:pt idx="12">
                  <c:v>160.43700000000001</c:v>
                </c:pt>
              </c:numCache>
            </c:numRef>
          </c:val>
          <c:extLst>
            <c:ext xmlns:c16="http://schemas.microsoft.com/office/drawing/2014/chart" uri="{C3380CC4-5D6E-409C-BE32-E72D297353CC}">
              <c16:uniqueId val="{0000000C-B5A8-45DB-85CA-8669EF698B51}"/>
            </c:ext>
          </c:extLst>
        </c:ser>
        <c:ser>
          <c:idx val="2"/>
          <c:order val="2"/>
          <c:tx>
            <c:strRef>
              <c:f>'GE-NI Visual'!$D$6:$D$7</c:f>
              <c:strCache>
                <c:ptCount val="2"/>
                <c:pt idx="0">
                  <c:v>DUP</c:v>
                </c:pt>
              </c:strCache>
            </c:strRef>
          </c:tx>
          <c:spPr>
            <a:solidFill>
              <a:srgbClr val="CC3300"/>
            </a:solidFill>
            <a:ln w="25400">
              <a:noFill/>
            </a:ln>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Visual'!$D$8:$D$36</c15:sqref>
                  </c15:fullRef>
                </c:ext>
              </c:extLst>
              <c:f>'GE-NI Visual'!$D$8:$D$20</c:f>
              <c:numCache>
                <c:formatCode>0.0</c:formatCode>
                <c:ptCount val="13"/>
                <c:pt idx="0">
                  <c:v>244.12799999999999</c:v>
                </c:pt>
                <c:pt idx="1">
                  <c:v>292.31599999999997</c:v>
                </c:pt>
                <c:pt idx="2">
                  <c:v>184.3</c:v>
                </c:pt>
                <c:pt idx="3">
                  <c:v>168.2</c:v>
                </c:pt>
                <c:pt idx="4">
                  <c:v>241.85599999999999</c:v>
                </c:pt>
                <c:pt idx="5">
                  <c:v>181.999</c:v>
                </c:pt>
                <c:pt idx="6">
                  <c:v>107.348</c:v>
                </c:pt>
                <c:pt idx="7">
                  <c:v>103.039</c:v>
                </c:pt>
                <c:pt idx="8">
                  <c:v>85.641999999999996</c:v>
                </c:pt>
                <c:pt idx="9">
                  <c:v>152.749</c:v>
                </c:pt>
                <c:pt idx="10">
                  <c:v>70.974999999999994</c:v>
                </c:pt>
                <c:pt idx="11">
                  <c:v>59.451000000000001</c:v>
                </c:pt>
                <c:pt idx="12">
                  <c:v>58.655999999999999</c:v>
                </c:pt>
              </c:numCache>
            </c:numRef>
          </c:val>
          <c:extLst>
            <c:ext xmlns:c16="http://schemas.microsoft.com/office/drawing/2014/chart" uri="{C3380CC4-5D6E-409C-BE32-E72D297353CC}">
              <c16:uniqueId val="{0000000D-B5A8-45DB-85CA-8669EF698B51}"/>
            </c:ext>
          </c:extLst>
        </c:ser>
        <c:ser>
          <c:idx val="3"/>
          <c:order val="3"/>
          <c:tx>
            <c:strRef>
              <c:f>'GE-NI Visual'!$E$6:$E$7</c:f>
              <c:strCache>
                <c:ptCount val="2"/>
                <c:pt idx="0">
                  <c:v>SF</c:v>
                </c:pt>
              </c:strCache>
            </c:strRef>
          </c:tx>
          <c:spPr>
            <a:solidFill>
              <a:srgbClr val="02665F"/>
            </a:solidFill>
          </c:spPr>
          <c:invertIfNegative val="0"/>
          <c:cat>
            <c:numRef>
              <c:extLst>
                <c:ext xmlns:c15="http://schemas.microsoft.com/office/drawing/2012/chart" uri="{02D57815-91ED-43cb-92C2-25804820EDAC}">
                  <c15:fullRef>
                    <c15:sqref>'GE-NI Visual'!$A$8:$A$36</c15:sqref>
                  </c15:fullRef>
                </c:ext>
              </c:extLst>
              <c:f>'GE-NI Visual'!$A$8:$A$20</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Visual'!$E$8:$E$36</c15:sqref>
                  </c15:fullRef>
                </c:ext>
              </c:extLst>
              <c:f>'GE-NI Visual'!$E$8:$E$20</c:f>
              <c:numCache>
                <c:formatCode>0.0</c:formatCode>
                <c:ptCount val="13"/>
                <c:pt idx="0">
                  <c:v>181.85300000000001</c:v>
                </c:pt>
                <c:pt idx="1">
                  <c:v>238.91499999999999</c:v>
                </c:pt>
                <c:pt idx="2">
                  <c:v>176.2</c:v>
                </c:pt>
                <c:pt idx="3">
                  <c:v>171.9</c:v>
                </c:pt>
                <c:pt idx="4">
                  <c:v>174.53</c:v>
                </c:pt>
                <c:pt idx="5">
                  <c:v>175.93299999999999</c:v>
                </c:pt>
                <c:pt idx="6">
                  <c:v>126.92100000000001</c:v>
                </c:pt>
                <c:pt idx="7">
                  <c:v>78.290999999999997</c:v>
                </c:pt>
                <c:pt idx="8">
                  <c:v>83.388999999999996</c:v>
                </c:pt>
                <c:pt idx="9">
                  <c:v>102.70099999999999</c:v>
                </c:pt>
                <c:pt idx="10">
                  <c:v>0</c:v>
                </c:pt>
                <c:pt idx="11">
                  <c:v>0</c:v>
                </c:pt>
                <c:pt idx="12">
                  <c:v>0</c:v>
                </c:pt>
              </c:numCache>
            </c:numRef>
          </c:val>
          <c:extLst>
            <c:ext xmlns:c16="http://schemas.microsoft.com/office/drawing/2014/chart" uri="{C3380CC4-5D6E-409C-BE32-E72D297353CC}">
              <c16:uniqueId val="{0000000E-B5A8-45DB-85CA-8669EF698B51}"/>
            </c:ext>
          </c:extLst>
        </c:ser>
        <c:dLbls>
          <c:showLegendKey val="0"/>
          <c:showVal val="0"/>
          <c:showCatName val="0"/>
          <c:showSerName val="0"/>
          <c:showPercent val="0"/>
          <c:showBubbleSize val="0"/>
        </c:dLbls>
        <c:gapWidth val="65"/>
        <c:overlap val="100"/>
        <c:axId val="465780416"/>
        <c:axId val="465780808"/>
      </c:barChart>
      <c:catAx>
        <c:axId val="46578041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0808"/>
        <c:crosses val="autoZero"/>
        <c:auto val="1"/>
        <c:lblAlgn val="ctr"/>
        <c:lblOffset val="100"/>
        <c:noMultiLvlLbl val="0"/>
      </c:catAx>
      <c:valAx>
        <c:axId val="465780808"/>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0416"/>
        <c:crosses val="autoZero"/>
        <c:crossBetween val="between"/>
        <c:majorUnit val="250"/>
      </c:valAx>
      <c:spPr>
        <a:noFill/>
        <a:ln w="25400">
          <a:noFill/>
        </a:ln>
      </c:spPr>
    </c:plotArea>
    <c:legend>
      <c:legendPos val="r"/>
      <c:layout>
        <c:manualLayout>
          <c:xMode val="edge"/>
          <c:yMode val="edge"/>
          <c:x val="0.71822532977358899"/>
          <c:y val="0.2669747488691146"/>
          <c:w val="0.24910964790206025"/>
          <c:h val="0.39435039906910274"/>
        </c:manualLayout>
      </c:layout>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Share</a:t>
            </a:r>
            <a:r>
              <a:rPr lang="en-GB" sz="1000" baseline="0"/>
              <a:t> of votes (%)</a:t>
            </a:r>
            <a:endParaRPr lang="en-GB" sz="1000"/>
          </a:p>
        </c:rich>
      </c:tx>
      <c:layout>
        <c:manualLayout>
          <c:xMode val="edge"/>
          <c:yMode val="edge"/>
          <c:x val="0.12255210205960278"/>
          <c:y val="0.10181166484451772"/>
        </c:manualLayout>
      </c:layout>
      <c:overlay val="0"/>
      <c:spPr>
        <a:noFill/>
        <a:ln w="25400">
          <a:noFill/>
        </a:ln>
      </c:spPr>
    </c:title>
    <c:autoTitleDeleted val="0"/>
    <c:plotArea>
      <c:layout>
        <c:manualLayout>
          <c:layoutTarget val="inner"/>
          <c:xMode val="edge"/>
          <c:yMode val="edge"/>
          <c:x val="0.21718021835514426"/>
          <c:y val="0.16259849556338971"/>
          <c:w val="0.49593018601051481"/>
          <c:h val="0.74671761204112219"/>
        </c:manualLayout>
      </c:layout>
      <c:barChart>
        <c:barDir val="bar"/>
        <c:grouping val="stacked"/>
        <c:varyColors val="0"/>
        <c:ser>
          <c:idx val="0"/>
          <c:order val="0"/>
          <c:tx>
            <c:strRef>
              <c:f>'GE-NI Visual'!$B$6:$B$7</c:f>
              <c:strCache>
                <c:ptCount val="2"/>
                <c:pt idx="0">
                  <c:v>UUP</c:v>
                </c:pt>
              </c:strCache>
            </c:strRef>
          </c:tx>
          <c:spPr>
            <a:solidFill>
              <a:srgbClr val="00539F"/>
            </a:solidFill>
            <a:ln w="3175">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Visual'!$B$42:$B$69</c15:sqref>
                  </c15:fullRef>
                </c:ext>
              </c:extLst>
              <c:f>'GE-NI Visual'!$B$54:$B$69</c:f>
              <c:numCache>
                <c:formatCode>0.0%</c:formatCode>
                <c:ptCount val="16"/>
                <c:pt idx="0" formatCode="#,##0_);\(#,##0\)">
                  <c:v>0</c:v>
                </c:pt>
                <c:pt idx="1">
                  <c:v>0.54169420867062934</c:v>
                </c:pt>
                <c:pt idx="2">
                  <c:v>0.61825918217084819</c:v>
                </c:pt>
                <c:pt idx="3">
                  <c:v>0.62962075210397361</c:v>
                </c:pt>
                <c:pt idx="4">
                  <c:v>0.77244047608715649</c:v>
                </c:pt>
                <c:pt idx="5">
                  <c:v>0.6845540123194267</c:v>
                </c:pt>
                <c:pt idx="6">
                  <c:v>0.59352392959610378</c:v>
                </c:pt>
                <c:pt idx="7">
                  <c:v>0.62755638200478059</c:v>
                </c:pt>
                <c:pt idx="8">
                  <c:v>0.53700000000000003</c:v>
                </c:pt>
                <c:pt idx="9">
                  <c:v>0.64900000000000002</c:v>
                </c:pt>
                <c:pt idx="10">
                  <c:v>0.56100000000000005</c:v>
                </c:pt>
                <c:pt idx="11">
                  <c:v>0.68</c:v>
                </c:pt>
                <c:pt idx="12">
                  <c:v>0.83799999999999997</c:v>
                </c:pt>
                <c:pt idx="13">
                  <c:v>0.49399999999999999</c:v>
                </c:pt>
                <c:pt idx="14">
                  <c:v>0.55799999999999994</c:v>
                </c:pt>
                <c:pt idx="15">
                  <c:v>0.28399999999999997</c:v>
                </c:pt>
              </c:numCache>
            </c:numRef>
          </c:val>
          <c:extLst>
            <c:ext xmlns:c16="http://schemas.microsoft.com/office/drawing/2014/chart" uri="{C3380CC4-5D6E-409C-BE32-E72D297353CC}">
              <c16:uniqueId val="{00000000-DA58-4428-813F-BAA3CC3C1170}"/>
            </c:ext>
          </c:extLst>
        </c:ser>
        <c:ser>
          <c:idx val="1"/>
          <c:order val="1"/>
          <c:tx>
            <c:strRef>
              <c:f>'GE-NI Visual'!$C$6:$C$7</c:f>
              <c:strCache>
                <c:ptCount val="2"/>
                <c:pt idx="0">
                  <c:v>SDLP</c:v>
                </c:pt>
              </c:strCache>
            </c:strRef>
          </c:tx>
          <c:spPr>
            <a:solidFill>
              <a:schemeClr val="accent1"/>
            </a:solidFill>
            <a:ln w="3175">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Visual'!$C$42:$C$69</c15:sqref>
                  </c15:fullRef>
                </c:ext>
              </c:extLst>
              <c:f>'GE-NI Visual'!$C$54:$C$69</c:f>
              <c:numCache>
                <c:formatCode>0.0%</c:formatCode>
                <c:ptCount val="16"/>
                <c:pt idx="0" formatCode="#,##0_);\(#,##0\)">
                  <c:v>0</c:v>
                </c:pt>
                <c:pt idx="1">
                  <c:v>0</c:v>
                </c:pt>
                <c:pt idx="2">
                  <c:v>3.7178169083770377E-2</c:v>
                </c:pt>
                <c:pt idx="3">
                  <c:v>0</c:v>
                </c:pt>
                <c:pt idx="4">
                  <c:v>0</c:v>
                </c:pt>
                <c:pt idx="5">
                  <c:v>0</c:v>
                </c:pt>
                <c:pt idx="6">
                  <c:v>0.20031173563781673</c:v>
                </c:pt>
                <c:pt idx="7">
                  <c:v>0.11614995778696846</c:v>
                </c:pt>
                <c:pt idx="8">
                  <c:v>0.188</c:v>
                </c:pt>
                <c:pt idx="9">
                  <c:v>0.183</c:v>
                </c:pt>
                <c:pt idx="10">
                  <c:v>0.38900000000000001</c:v>
                </c:pt>
                <c:pt idx="11">
                  <c:v>6.6000000000000003E-2</c:v>
                </c:pt>
                <c:pt idx="12">
                  <c:v>0</c:v>
                </c:pt>
                <c:pt idx="13">
                  <c:v>0.27300000000000002</c:v>
                </c:pt>
                <c:pt idx="14">
                  <c:v>0.36299999999999999</c:v>
                </c:pt>
                <c:pt idx="15">
                  <c:v>0.22</c:v>
                </c:pt>
              </c:numCache>
            </c:numRef>
          </c:val>
          <c:extLst>
            <c:ext xmlns:c16="http://schemas.microsoft.com/office/drawing/2014/chart" uri="{C3380CC4-5D6E-409C-BE32-E72D297353CC}">
              <c16:uniqueId val="{00000001-DA58-4428-813F-BAA3CC3C1170}"/>
            </c:ext>
          </c:extLst>
        </c:ser>
        <c:ser>
          <c:idx val="2"/>
          <c:order val="2"/>
          <c:tx>
            <c:strRef>
              <c:f>'GE-NI Visual'!$D$6:$D$7</c:f>
              <c:strCache>
                <c:ptCount val="2"/>
                <c:pt idx="0">
                  <c:v>DUP</c:v>
                </c:pt>
              </c:strCache>
            </c:strRef>
          </c:tx>
          <c:spPr>
            <a:solidFill>
              <a:srgbClr val="D50000"/>
            </a:solidFill>
            <a:ln w="25400">
              <a:noFill/>
            </a:ln>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Visual'!$D$42:$D$69</c15:sqref>
                  </c15:fullRef>
                </c:ext>
              </c:extLst>
              <c:f>'GE-NI Visual'!$D$54:$D$69</c:f>
              <c:numCache>
                <c:formatCode>0.0%</c:formatCode>
                <c:ptCount val="16"/>
                <c:pt idx="0" formatCode="#,##0_);\(#,##0\)">
                  <c:v>0</c:v>
                </c:pt>
                <c:pt idx="1">
                  <c:v>0.12603306580688553</c:v>
                </c:pt>
                <c:pt idx="2">
                  <c:v>0.12178546450488648</c:v>
                </c:pt>
                <c:pt idx="3">
                  <c:v>0.16098452803940369</c:v>
                </c:pt>
                <c:pt idx="4">
                  <c:v>7.701614093068547E-2</c:v>
                </c:pt>
                <c:pt idx="5">
                  <c:v>5.5077085340562708E-2</c:v>
                </c:pt>
                <c:pt idx="6">
                  <c:v>0.13454717376239442</c:v>
                </c:pt>
                <c:pt idx="7">
                  <c:v>0.12078982897488236</c:v>
                </c:pt>
                <c:pt idx="8">
                  <c:v>0.114</c:v>
                </c:pt>
                <c:pt idx="9">
                  <c:v>0</c:v>
                </c:pt>
                <c:pt idx="10">
                  <c:v>0.05</c:v>
                </c:pt>
                <c:pt idx="11">
                  <c:v>0</c:v>
                </c:pt>
                <c:pt idx="12">
                  <c:v>0</c:v>
                </c:pt>
                <c:pt idx="13">
                  <c:v>0</c:v>
                </c:pt>
                <c:pt idx="14">
                  <c:v>0</c:v>
                </c:pt>
                <c:pt idx="15">
                  <c:v>0</c:v>
                </c:pt>
              </c:numCache>
            </c:numRef>
          </c:val>
          <c:extLst>
            <c:ext xmlns:c16="http://schemas.microsoft.com/office/drawing/2014/chart" uri="{C3380CC4-5D6E-409C-BE32-E72D297353CC}">
              <c16:uniqueId val="{00000002-DA58-4428-813F-BAA3CC3C1170}"/>
            </c:ext>
          </c:extLst>
        </c:ser>
        <c:ser>
          <c:idx val="3"/>
          <c:order val="3"/>
          <c:tx>
            <c:strRef>
              <c:f>'GE-NI Visual'!$E$6:$E$7</c:f>
              <c:strCache>
                <c:ptCount val="2"/>
                <c:pt idx="0">
                  <c:v>SF</c:v>
                </c:pt>
              </c:strCache>
            </c:strRef>
          </c:tx>
          <c:spPr>
            <a:solidFill>
              <a:srgbClr val="FAA01A"/>
            </a:solidFill>
          </c:spPr>
          <c:invertIfNegative val="0"/>
          <c:cat>
            <c:numRef>
              <c:extLst>
                <c:ext xmlns:c15="http://schemas.microsoft.com/office/drawing/2012/chart" uri="{02D57815-91ED-43cb-92C2-25804820EDAC}">
                  <c15:fullRef>
                    <c15:sqref>'GE-NI Visual'!$A$42:$A$69</c15:sqref>
                  </c15:fullRef>
                </c:ext>
              </c:extLst>
              <c:f>'GE-NI Visual'!$A$54:$A$69</c:f>
              <c:numCache>
                <c:formatCode>General</c:formatCode>
                <c:ptCount val="16"/>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pt idx="15" formatCode="0">
                  <c:v>1918</c:v>
                </c:pt>
              </c:numCache>
            </c:numRef>
          </c:cat>
          <c:val>
            <c:numRef>
              <c:extLst>
                <c:ext xmlns:c15="http://schemas.microsoft.com/office/drawing/2012/chart" uri="{02D57815-91ED-43cb-92C2-25804820EDAC}">
                  <c15:fullRef>
                    <c15:sqref>'GE-NI Visual'!$E$42:$E$69</c15:sqref>
                  </c15:fullRef>
                </c:ext>
              </c:extLst>
              <c:f>'GE-NI Visual'!$E$54:$E$69</c:f>
              <c:numCache>
                <c:formatCode>0.0%</c:formatCode>
                <c:ptCount val="16"/>
                <c:pt idx="0" formatCode="#,##0_);\(#,##0\)">
                  <c:v>0</c:v>
                </c:pt>
                <c:pt idx="1">
                  <c:v>1.5408547925653916E-2</c:v>
                </c:pt>
                <c:pt idx="2">
                  <c:v>4.8821190231401274E-2</c:v>
                </c:pt>
                <c:pt idx="3">
                  <c:v>2.7187161217954742E-2</c:v>
                </c:pt>
                <c:pt idx="4">
                  <c:v>5.6464617184475959E-3</c:v>
                </c:pt>
                <c:pt idx="5">
                  <c:v>0</c:v>
                </c:pt>
                <c:pt idx="6">
                  <c:v>0</c:v>
                </c:pt>
                <c:pt idx="7">
                  <c:v>0</c:v>
                </c:pt>
                <c:pt idx="8">
                  <c:v>0</c:v>
                </c:pt>
                <c:pt idx="9">
                  <c:v>0</c:v>
                </c:pt>
                <c:pt idx="10">
                  <c:v>0</c:v>
                </c:pt>
                <c:pt idx="11">
                  <c:v>0.16800000000000001</c:v>
                </c:pt>
                <c:pt idx="12" formatCode="#,##0.0;\-#,##0.0">
                  <c:v>0</c:v>
                </c:pt>
                <c:pt idx="13" formatCode="#,##0.0;\-#,##0.0">
                  <c:v>0</c:v>
                </c:pt>
                <c:pt idx="14" formatCode="#,##0.0;\-#,##0.0">
                  <c:v>0</c:v>
                </c:pt>
                <c:pt idx="15">
                  <c:v>0</c:v>
                </c:pt>
              </c:numCache>
            </c:numRef>
          </c:val>
          <c:extLst>
            <c:ext xmlns:c16="http://schemas.microsoft.com/office/drawing/2014/chart" uri="{C3380CC4-5D6E-409C-BE32-E72D297353CC}">
              <c16:uniqueId val="{00000003-DA58-4428-813F-BAA3CC3C1170}"/>
            </c:ext>
          </c:extLst>
        </c:ser>
        <c:dLbls>
          <c:showLegendKey val="0"/>
          <c:showVal val="0"/>
          <c:showCatName val="0"/>
          <c:showSerName val="0"/>
          <c:showPercent val="0"/>
          <c:showBubbleSize val="0"/>
        </c:dLbls>
        <c:gapWidth val="65"/>
        <c:overlap val="100"/>
        <c:axId val="465781592"/>
        <c:axId val="465781984"/>
      </c:barChart>
      <c:catAx>
        <c:axId val="46578159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1984"/>
        <c:crosses val="autoZero"/>
        <c:auto val="1"/>
        <c:lblAlgn val="ctr"/>
        <c:lblOffset val="100"/>
        <c:noMultiLvlLbl val="0"/>
      </c:catAx>
      <c:valAx>
        <c:axId val="465781984"/>
        <c:scaling>
          <c:orientation val="minMax"/>
          <c:max val="1"/>
        </c:scaling>
        <c:delete val="1"/>
        <c:axPos val="b"/>
        <c:numFmt formatCode="0" sourceLinked="0"/>
        <c:majorTickMark val="out"/>
        <c:minorTickMark val="none"/>
        <c:tickLblPos val="nextTo"/>
        <c:crossAx val="465781592"/>
        <c:crosses val="autoZero"/>
        <c:crossBetween val="between"/>
        <c:majorUnit val="0.5"/>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spPr>
            <a:solidFill>
              <a:srgbClr val="A1CDF0"/>
            </a:solidFill>
            <a:ln w="3175">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Visual'!$B$41:$B$69</c15:sqref>
                  </c15:fullRef>
                </c:ext>
              </c:extLst>
              <c:f>'GE-NI Visual'!$B$41:$B$53</c:f>
              <c:numCache>
                <c:formatCode>0.0%</c:formatCode>
                <c:ptCount val="13"/>
                <c:pt idx="0">
                  <c:v>0.1165443315999925</c:v>
                </c:pt>
                <c:pt idx="1">
                  <c:v>0.10253846731586355</c:v>
                </c:pt>
                <c:pt idx="2">
                  <c:v>0.16000557025483916</c:v>
                </c:pt>
                <c:pt idx="3">
                  <c:v>0.1519513280902211</c:v>
                </c:pt>
                <c:pt idx="4">
                  <c:v>0.17755524650154264</c:v>
                </c:pt>
                <c:pt idx="5">
                  <c:v>0.26757892035035674</c:v>
                </c:pt>
                <c:pt idx="6">
                  <c:v>0.32670892126834622</c:v>
                </c:pt>
                <c:pt idx="7">
                  <c:v>0.34524444874683635</c:v>
                </c:pt>
                <c:pt idx="8">
                  <c:v>0.37834543213258459</c:v>
                </c:pt>
                <c:pt idx="9">
                  <c:v>0.33983985358041641</c:v>
                </c:pt>
                <c:pt idx="10">
                  <c:v>0.36583238370597526</c:v>
                </c:pt>
                <c:pt idx="11">
                  <c:v>0.45483859280460853</c:v>
                </c:pt>
                <c:pt idx="12">
                  <c:v>0.36471612063341941</c:v>
                </c:pt>
              </c:numCache>
            </c:numRef>
          </c:val>
          <c:extLst>
            <c:ext xmlns:c16="http://schemas.microsoft.com/office/drawing/2014/chart" uri="{C3380CC4-5D6E-409C-BE32-E72D297353CC}">
              <c16:uniqueId val="{00000000-FE9D-4EF6-82F2-2DCFC9DCF69A}"/>
            </c:ext>
          </c:extLst>
        </c:ser>
        <c:ser>
          <c:idx val="1"/>
          <c:order val="1"/>
          <c:spPr>
            <a:solidFill>
              <a:srgbClr val="4EA268"/>
            </a:solidFill>
            <a:ln w="3175">
              <a:noFill/>
            </a:ln>
          </c:spPr>
          <c:invertIfNegative val="0"/>
          <c:dPt>
            <c:idx val="0"/>
            <c:invertIfNegative val="0"/>
            <c:bubble3D val="0"/>
            <c:extLst>
              <c:ext xmlns:c16="http://schemas.microsoft.com/office/drawing/2014/chart" uri="{C3380CC4-5D6E-409C-BE32-E72D297353CC}">
                <c16:uniqueId val="{00000001-FE9D-4EF6-82F2-2DCFC9DCF69A}"/>
              </c:ext>
            </c:extLst>
          </c:dPt>
          <c:dPt>
            <c:idx val="1"/>
            <c:invertIfNegative val="0"/>
            <c:bubble3D val="0"/>
            <c:extLst>
              <c:ext xmlns:c16="http://schemas.microsoft.com/office/drawing/2014/chart" uri="{C3380CC4-5D6E-409C-BE32-E72D297353CC}">
                <c16:uniqueId val="{00000002-FE9D-4EF6-82F2-2DCFC9DCF69A}"/>
              </c:ext>
            </c:extLst>
          </c:dPt>
          <c:dPt>
            <c:idx val="2"/>
            <c:invertIfNegative val="0"/>
            <c:bubble3D val="0"/>
            <c:extLst>
              <c:ext xmlns:c16="http://schemas.microsoft.com/office/drawing/2014/chart" uri="{C3380CC4-5D6E-409C-BE32-E72D297353CC}">
                <c16:uniqueId val="{00000003-FE9D-4EF6-82F2-2DCFC9DCF69A}"/>
              </c:ext>
            </c:extLst>
          </c:dPt>
          <c:dPt>
            <c:idx val="3"/>
            <c:invertIfNegative val="0"/>
            <c:bubble3D val="0"/>
            <c:extLst>
              <c:ext xmlns:c16="http://schemas.microsoft.com/office/drawing/2014/chart" uri="{C3380CC4-5D6E-409C-BE32-E72D297353CC}">
                <c16:uniqueId val="{00000004-FE9D-4EF6-82F2-2DCFC9DCF69A}"/>
              </c:ext>
            </c:extLst>
          </c:dPt>
          <c:dPt>
            <c:idx val="4"/>
            <c:invertIfNegative val="0"/>
            <c:bubble3D val="0"/>
            <c:extLst>
              <c:ext xmlns:c16="http://schemas.microsoft.com/office/drawing/2014/chart" uri="{C3380CC4-5D6E-409C-BE32-E72D297353CC}">
                <c16:uniqueId val="{00000005-FE9D-4EF6-82F2-2DCFC9DCF69A}"/>
              </c:ext>
            </c:extLst>
          </c:dPt>
          <c:dPt>
            <c:idx val="5"/>
            <c:invertIfNegative val="0"/>
            <c:bubble3D val="0"/>
            <c:extLst>
              <c:ext xmlns:c16="http://schemas.microsoft.com/office/drawing/2014/chart" uri="{C3380CC4-5D6E-409C-BE32-E72D297353CC}">
                <c16:uniqueId val="{00000006-FE9D-4EF6-82F2-2DCFC9DCF69A}"/>
              </c:ext>
            </c:extLst>
          </c:dPt>
          <c:dPt>
            <c:idx val="6"/>
            <c:invertIfNegative val="0"/>
            <c:bubble3D val="0"/>
            <c:extLst>
              <c:ext xmlns:c16="http://schemas.microsoft.com/office/drawing/2014/chart" uri="{C3380CC4-5D6E-409C-BE32-E72D297353CC}">
                <c16:uniqueId val="{00000007-FE9D-4EF6-82F2-2DCFC9DCF69A}"/>
              </c:ext>
            </c:extLst>
          </c:dPt>
          <c:dPt>
            <c:idx val="7"/>
            <c:invertIfNegative val="0"/>
            <c:bubble3D val="0"/>
            <c:extLst>
              <c:ext xmlns:c16="http://schemas.microsoft.com/office/drawing/2014/chart" uri="{C3380CC4-5D6E-409C-BE32-E72D297353CC}">
                <c16:uniqueId val="{00000008-FE9D-4EF6-82F2-2DCFC9DCF69A}"/>
              </c:ext>
            </c:extLst>
          </c:dPt>
          <c:dPt>
            <c:idx val="8"/>
            <c:invertIfNegative val="0"/>
            <c:bubble3D val="0"/>
            <c:extLst>
              <c:ext xmlns:c16="http://schemas.microsoft.com/office/drawing/2014/chart" uri="{C3380CC4-5D6E-409C-BE32-E72D297353CC}">
                <c16:uniqueId val="{00000009-FE9D-4EF6-82F2-2DCFC9DCF69A}"/>
              </c:ext>
            </c:extLst>
          </c:dPt>
          <c:dPt>
            <c:idx val="9"/>
            <c:invertIfNegative val="0"/>
            <c:bubble3D val="0"/>
            <c:extLst>
              <c:ext xmlns:c16="http://schemas.microsoft.com/office/drawing/2014/chart" uri="{C3380CC4-5D6E-409C-BE32-E72D297353CC}">
                <c16:uniqueId val="{0000000A-FE9D-4EF6-82F2-2DCFC9DCF69A}"/>
              </c:ext>
            </c:extLst>
          </c:dPt>
          <c:dPt>
            <c:idx val="10"/>
            <c:invertIfNegative val="0"/>
            <c:bubble3D val="0"/>
            <c:extLst>
              <c:ext xmlns:c16="http://schemas.microsoft.com/office/drawing/2014/chart" uri="{C3380CC4-5D6E-409C-BE32-E72D297353CC}">
                <c16:uniqueId val="{0000000B-FE9D-4EF6-82F2-2DCFC9DCF69A}"/>
              </c:ext>
            </c:extLst>
          </c:dPt>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Visual'!$C$41:$C$69</c15:sqref>
                  </c15:fullRef>
                </c:ext>
              </c:extLst>
              <c:f>'GE-NI Visual'!$C$41:$C$53</c:f>
              <c:numCache>
                <c:formatCode>0.0%</c:formatCode>
                <c:ptCount val="13"/>
                <c:pt idx="0">
                  <c:v>0.14860049935234376</c:v>
                </c:pt>
                <c:pt idx="1">
                  <c:v>0.11748460630178174</c:v>
                </c:pt>
                <c:pt idx="2">
                  <c:v>0.13897785823701433</c:v>
                </c:pt>
                <c:pt idx="3">
                  <c:v>0.16471286541029828</c:v>
                </c:pt>
                <c:pt idx="4">
                  <c:v>0.17506361464990344</c:v>
                </c:pt>
                <c:pt idx="5">
                  <c:v>0.20961309222655219</c:v>
                </c:pt>
                <c:pt idx="6">
                  <c:v>0.24130395744863817</c:v>
                </c:pt>
                <c:pt idx="7">
                  <c:v>0.19672191702129557</c:v>
                </c:pt>
                <c:pt idx="8">
                  <c:v>0.2110491713463909</c:v>
                </c:pt>
                <c:pt idx="9">
                  <c:v>0.17911821420400695</c:v>
                </c:pt>
                <c:pt idx="10">
                  <c:v>0.18153090947237124</c:v>
                </c:pt>
                <c:pt idx="11">
                  <c:v>0.22356631448693332</c:v>
                </c:pt>
                <c:pt idx="12">
                  <c:v>0.21961874051052993</c:v>
                </c:pt>
              </c:numCache>
            </c:numRef>
          </c:val>
          <c:extLst>
            <c:ext xmlns:c16="http://schemas.microsoft.com/office/drawing/2014/chart" uri="{C3380CC4-5D6E-409C-BE32-E72D297353CC}">
              <c16:uniqueId val="{0000000C-FE9D-4EF6-82F2-2DCFC9DCF69A}"/>
            </c:ext>
          </c:extLst>
        </c:ser>
        <c:ser>
          <c:idx val="2"/>
          <c:order val="2"/>
          <c:spPr>
            <a:solidFill>
              <a:srgbClr val="CC3300"/>
            </a:solidFill>
            <a:ln w="25400">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Visual'!$D$41:$D$69</c15:sqref>
                  </c15:fullRef>
                </c:ext>
              </c:extLst>
              <c:f>'GE-NI Visual'!$D$41:$D$53</c:f>
              <c:numCache>
                <c:formatCode>0.0%</c:formatCode>
                <c:ptCount val="13"/>
                <c:pt idx="0">
                  <c:v>0.30552854380596595</c:v>
                </c:pt>
                <c:pt idx="1">
                  <c:v>0.35991396027742512</c:v>
                </c:pt>
                <c:pt idx="2">
                  <c:v>0.25664949171424595</c:v>
                </c:pt>
                <c:pt idx="3">
                  <c:v>0.24959192758569521</c:v>
                </c:pt>
                <c:pt idx="4">
                  <c:v>0.33703362030763573</c:v>
                </c:pt>
                <c:pt idx="5">
                  <c:v>0.22458642552697888</c:v>
                </c:pt>
                <c:pt idx="6">
                  <c:v>0.13575260318528204</c:v>
                </c:pt>
                <c:pt idx="7">
                  <c:v>0.13124432392086033</c:v>
                </c:pt>
                <c:pt idx="8">
                  <c:v>0.11730173948774139</c:v>
                </c:pt>
                <c:pt idx="9">
                  <c:v>0.19969147302023074</c:v>
                </c:pt>
                <c:pt idx="10">
                  <c:v>0.10199213378034078</c:v>
                </c:pt>
                <c:pt idx="11">
                  <c:v>8.1736168979384807E-2</c:v>
                </c:pt>
                <c:pt idx="12">
                  <c:v>8.4676695713109637E-2</c:v>
                </c:pt>
              </c:numCache>
            </c:numRef>
          </c:val>
          <c:extLst>
            <c:ext xmlns:c16="http://schemas.microsoft.com/office/drawing/2014/chart" uri="{C3380CC4-5D6E-409C-BE32-E72D297353CC}">
              <c16:uniqueId val="{0000000D-FE9D-4EF6-82F2-2DCFC9DCF69A}"/>
            </c:ext>
          </c:extLst>
        </c:ser>
        <c:ser>
          <c:idx val="3"/>
          <c:order val="3"/>
          <c:spPr>
            <a:solidFill>
              <a:srgbClr val="02665F"/>
            </a:solidFill>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Visual'!$E$41:$E$69</c15:sqref>
                  </c15:fullRef>
                </c:ext>
              </c:extLst>
              <c:f>'GE-NI Visual'!$E$41:$E$53</c:f>
              <c:numCache>
                <c:formatCode>0.0%</c:formatCode>
                <c:ptCount val="13"/>
                <c:pt idx="0">
                  <c:v>0.22759078138003969</c:v>
                </c:pt>
                <c:pt idx="1">
                  <c:v>0.29416399998522502</c:v>
                </c:pt>
                <c:pt idx="2">
                  <c:v>0.24536972566494913</c:v>
                </c:pt>
                <c:pt idx="3">
                  <c:v>0.25508235643270516</c:v>
                </c:pt>
                <c:pt idx="4">
                  <c:v>0.24321281155849622</c:v>
                </c:pt>
                <c:pt idx="5">
                  <c:v>0.21710099287489479</c:v>
                </c:pt>
                <c:pt idx="6">
                  <c:v>0.16050467776650879</c:v>
                </c:pt>
                <c:pt idx="7">
                  <c:v>9.9721943769719004E-2</c:v>
                </c:pt>
                <c:pt idx="8">
                  <c:v>0.11421586084098068</c:v>
                </c:pt>
                <c:pt idx="9">
                  <c:v>0.13426283622577376</c:v>
                </c:pt>
                <c:pt idx="10">
                  <c:v>0</c:v>
                </c:pt>
                <c:pt idx="11">
                  <c:v>0</c:v>
                </c:pt>
                <c:pt idx="12">
                  <c:v>0</c:v>
                </c:pt>
              </c:numCache>
            </c:numRef>
          </c:val>
          <c:extLst>
            <c:ext xmlns:c16="http://schemas.microsoft.com/office/drawing/2014/chart" uri="{C3380CC4-5D6E-409C-BE32-E72D297353CC}">
              <c16:uniqueId val="{0000000E-FE9D-4EF6-82F2-2DCFC9DCF69A}"/>
            </c:ext>
          </c:extLst>
        </c:ser>
        <c:dLbls>
          <c:showLegendKey val="0"/>
          <c:showVal val="0"/>
          <c:showCatName val="0"/>
          <c:showSerName val="0"/>
          <c:showPercent val="0"/>
          <c:showBubbleSize val="0"/>
        </c:dLbls>
        <c:gapWidth val="65"/>
        <c:overlap val="100"/>
        <c:axId val="465782768"/>
        <c:axId val="465783160"/>
      </c:barChart>
      <c:catAx>
        <c:axId val="465782768"/>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3160"/>
        <c:crosses val="autoZero"/>
        <c:auto val="1"/>
        <c:lblAlgn val="ctr"/>
        <c:lblOffset val="100"/>
        <c:noMultiLvlLbl val="0"/>
      </c:catAx>
      <c:valAx>
        <c:axId val="465783160"/>
        <c:scaling>
          <c:orientation val="minMax"/>
          <c:max val="1"/>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2768"/>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candidates</a:t>
            </a:r>
          </a:p>
        </c:rich>
      </c:tx>
      <c:layout>
        <c:manualLayout>
          <c:xMode val="edge"/>
          <c:yMode val="edge"/>
          <c:x val="0.14991842061085389"/>
          <c:y val="9.8115327287258428E-2"/>
        </c:manualLayout>
      </c:layout>
      <c:overlay val="0"/>
      <c:spPr>
        <a:noFill/>
        <a:ln w="25400">
          <a:noFill/>
        </a:ln>
      </c:spPr>
    </c:title>
    <c:autoTitleDeleted val="0"/>
    <c:plotArea>
      <c:layout>
        <c:manualLayout>
          <c:layoutTarget val="inner"/>
          <c:xMode val="edge"/>
          <c:yMode val="edge"/>
          <c:x val="0.21718021835514426"/>
          <c:y val="0.21291233046655511"/>
          <c:w val="0.49593018601051481"/>
          <c:h val="0.69640383087291469"/>
        </c:manualLayout>
      </c:layout>
      <c:barChart>
        <c:barDir val="bar"/>
        <c:grouping val="clustered"/>
        <c:varyColors val="0"/>
        <c:ser>
          <c:idx val="3"/>
          <c:order val="0"/>
          <c:tx>
            <c:strRef>
              <c:f>'GE-NI Visual'!$M$21</c:f>
              <c:strCache>
                <c:ptCount val="1"/>
                <c:pt idx="0">
                  <c:v>LD</c:v>
                </c:pt>
              </c:strCache>
            </c:strRef>
          </c:tx>
          <c:spPr>
            <a:solidFill>
              <a:srgbClr val="FAA01A"/>
            </a:solidFill>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Visual'!$M$9:$M$36</c15:sqref>
                  </c15:fullRef>
                </c:ext>
              </c:extLst>
              <c:f>'GE-NI Visual'!$M$21:$M$35</c:f>
              <c:numCache>
                <c:formatCode>0</c:formatCode>
                <c:ptCount val="15"/>
                <c:pt idx="0" formatCode="#,##0_);\(#,##0\)">
                  <c:v>0</c:v>
                </c:pt>
                <c:pt idx="1" formatCode="General">
                  <c:v>4</c:v>
                </c:pt>
                <c:pt idx="2" formatCode="General">
                  <c:v>3</c:v>
                </c:pt>
                <c:pt idx="3" formatCode="General">
                  <c:v>4</c:v>
                </c:pt>
                <c:pt idx="4" formatCode="General">
                  <c:v>1</c:v>
                </c:pt>
                <c:pt idx="5" formatCode="General">
                  <c:v>0</c:v>
                </c:pt>
                <c:pt idx="6" formatCode="General">
                  <c:v>0</c:v>
                </c:pt>
                <c:pt idx="7" formatCode="General">
                  <c:v>0</c:v>
                </c:pt>
                <c:pt idx="8" formatCode="General">
                  <c:v>0</c:v>
                </c:pt>
                <c:pt idx="9">
                  <c:v>0</c:v>
                </c:pt>
                <c:pt idx="10">
                  <c:v>0</c:v>
                </c:pt>
                <c:pt idx="11">
                  <c:v>6</c:v>
                </c:pt>
                <c:pt idx="12">
                  <c:v>0</c:v>
                </c:pt>
                <c:pt idx="13">
                  <c:v>0</c:v>
                </c:pt>
                <c:pt idx="14">
                  <c:v>0</c:v>
                </c:pt>
              </c:numCache>
            </c:numRef>
          </c:val>
          <c:extLst>
            <c:ext xmlns:c16="http://schemas.microsoft.com/office/drawing/2014/chart" uri="{C3380CC4-5D6E-409C-BE32-E72D297353CC}">
              <c16:uniqueId val="{00000000-8613-4F13-9B1B-DB2DD8B637B4}"/>
            </c:ext>
          </c:extLst>
        </c:ser>
        <c:ser>
          <c:idx val="2"/>
          <c:order val="1"/>
          <c:tx>
            <c:strRef>
              <c:f>'GE-NI Visual'!$L$21</c:f>
              <c:strCache>
                <c:ptCount val="1"/>
                <c:pt idx="0">
                  <c:v>LAB</c:v>
                </c:pt>
              </c:strCache>
            </c:strRef>
          </c:tx>
          <c:spPr>
            <a:solidFill>
              <a:srgbClr val="D40000"/>
            </a:solidFill>
            <a:ln w="25400">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Visual'!$L$9:$L$36</c15:sqref>
                  </c15:fullRef>
                </c:ext>
              </c:extLst>
              <c:f>'GE-NI Visual'!$L$21:$L$35</c:f>
              <c:numCache>
                <c:formatCode>0</c:formatCode>
                <c:ptCount val="15"/>
                <c:pt idx="0" formatCode="#,##0_);\(#,##0\)">
                  <c:v>0</c:v>
                </c:pt>
                <c:pt idx="1" formatCode="General">
                  <c:v>7</c:v>
                </c:pt>
                <c:pt idx="2" formatCode="General">
                  <c:v>4</c:v>
                </c:pt>
                <c:pt idx="3" formatCode="General">
                  <c:v>10</c:v>
                </c:pt>
                <c:pt idx="4" formatCode="General">
                  <c:v>3</c:v>
                </c:pt>
                <c:pt idx="5" formatCode="General">
                  <c:v>3</c:v>
                </c:pt>
                <c:pt idx="6" formatCode="General">
                  <c:v>4</c:v>
                </c:pt>
                <c:pt idx="7" formatCode="General">
                  <c:v>5</c:v>
                </c:pt>
                <c:pt idx="8" formatCode="General">
                  <c:v>5</c:v>
                </c:pt>
                <c:pt idx="9">
                  <c:v>0</c:v>
                </c:pt>
                <c:pt idx="10">
                  <c:v>1</c:v>
                </c:pt>
                <c:pt idx="11">
                  <c:v>0</c:v>
                </c:pt>
                <c:pt idx="12">
                  <c:v>0</c:v>
                </c:pt>
                <c:pt idx="13">
                  <c:v>0</c:v>
                </c:pt>
                <c:pt idx="14">
                  <c:v>0</c:v>
                </c:pt>
              </c:numCache>
            </c:numRef>
          </c:val>
          <c:extLst>
            <c:ext xmlns:c16="http://schemas.microsoft.com/office/drawing/2014/chart" uri="{C3380CC4-5D6E-409C-BE32-E72D297353CC}">
              <c16:uniqueId val="{00000001-8613-4F13-9B1B-DB2DD8B637B4}"/>
            </c:ext>
          </c:extLst>
        </c:ser>
        <c:ser>
          <c:idx val="1"/>
          <c:order val="2"/>
          <c:tx>
            <c:strRef>
              <c:f>'GE-NI Visual'!$K$21</c:f>
              <c:strCache>
                <c:ptCount val="1"/>
                <c:pt idx="0">
                  <c:v>NAT</c:v>
                </c:pt>
              </c:strCache>
            </c:strRef>
          </c:tx>
          <c:spPr>
            <a:solidFill>
              <a:schemeClr val="accent1"/>
            </a:solidFill>
            <a:ln w="3175">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Visual'!$K$9:$K$36</c15:sqref>
                  </c15:fullRef>
                </c:ext>
              </c:extLst>
              <c:f>'GE-NI Visual'!$K$21:$K$35</c:f>
              <c:numCache>
                <c:formatCode>0</c:formatCode>
                <c:ptCount val="15"/>
                <c:pt idx="0" formatCode="#,##0_);\(#,##0\)">
                  <c:v>0</c:v>
                </c:pt>
                <c:pt idx="1" formatCode="General">
                  <c:v>0</c:v>
                </c:pt>
                <c:pt idx="2" formatCode="General">
                  <c:v>1</c:v>
                </c:pt>
                <c:pt idx="3" formatCode="General">
                  <c:v>0</c:v>
                </c:pt>
                <c:pt idx="4" formatCode="General">
                  <c:v>0</c:v>
                </c:pt>
                <c:pt idx="5" formatCode="General">
                  <c:v>0</c:v>
                </c:pt>
                <c:pt idx="6" formatCode="General">
                  <c:v>3</c:v>
                </c:pt>
                <c:pt idx="7" formatCode="General">
                  <c:v>2</c:v>
                </c:pt>
                <c:pt idx="8" formatCode="General">
                  <c:v>3</c:v>
                </c:pt>
                <c:pt idx="9">
                  <c:v>2</c:v>
                </c:pt>
                <c:pt idx="10">
                  <c:v>3</c:v>
                </c:pt>
                <c:pt idx="11">
                  <c:v>3</c:v>
                </c:pt>
                <c:pt idx="12">
                  <c:v>0</c:v>
                </c:pt>
                <c:pt idx="13">
                  <c:v>2</c:v>
                </c:pt>
                <c:pt idx="14">
                  <c:v>2</c:v>
                </c:pt>
              </c:numCache>
            </c:numRef>
          </c:val>
          <c:extLst>
            <c:ext xmlns:c16="http://schemas.microsoft.com/office/drawing/2014/chart" uri="{C3380CC4-5D6E-409C-BE32-E72D297353CC}">
              <c16:uniqueId val="{00000002-8613-4F13-9B1B-DB2DD8B637B4}"/>
            </c:ext>
          </c:extLst>
        </c:ser>
        <c:ser>
          <c:idx val="0"/>
          <c:order val="3"/>
          <c:tx>
            <c:strRef>
              <c:f>'GE-NI Visual'!$J$21</c:f>
              <c:strCache>
                <c:ptCount val="1"/>
                <c:pt idx="0">
                  <c:v>CON</c:v>
                </c:pt>
              </c:strCache>
            </c:strRef>
          </c:tx>
          <c:spPr>
            <a:solidFill>
              <a:srgbClr val="00539F"/>
            </a:solidFill>
            <a:ln w="3175">
              <a:noFill/>
            </a:ln>
          </c:spPr>
          <c:invertIfNegative val="0"/>
          <c:cat>
            <c:numRef>
              <c:extLst>
                <c:ext xmlns:c15="http://schemas.microsoft.com/office/drawing/2012/chart" uri="{02D57815-91ED-43cb-92C2-25804820EDAC}">
                  <c15:fullRef>
                    <c15:sqref>'GE-NI Visual'!$A$9:$A$36</c15:sqref>
                  </c15:fullRef>
                </c:ext>
              </c:extLst>
              <c:f>'GE-NI Visual'!$A$21:$A$35</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Visual'!$J$9:$J$36</c15:sqref>
                  </c15:fullRef>
                </c:ext>
              </c:extLst>
              <c:f>'GE-NI Visual'!$J$21:$J$35</c:f>
              <c:numCache>
                <c:formatCode>0</c:formatCode>
                <c:ptCount val="15"/>
                <c:pt idx="0" formatCode="#,##0_);\(#,##0\)">
                  <c:v>0</c:v>
                </c:pt>
                <c:pt idx="1" formatCode="General">
                  <c:v>12</c:v>
                </c:pt>
                <c:pt idx="2" formatCode="General">
                  <c:v>12</c:v>
                </c:pt>
                <c:pt idx="3" formatCode="General">
                  <c:v>12</c:v>
                </c:pt>
                <c:pt idx="4" formatCode="General">
                  <c:v>12</c:v>
                </c:pt>
                <c:pt idx="5" formatCode="General">
                  <c:v>12</c:v>
                </c:pt>
                <c:pt idx="6" formatCode="General">
                  <c:v>12</c:v>
                </c:pt>
                <c:pt idx="7" formatCode="General">
                  <c:v>12</c:v>
                </c:pt>
                <c:pt idx="8" formatCode="General">
                  <c:v>12</c:v>
                </c:pt>
                <c:pt idx="9">
                  <c:v>12</c:v>
                </c:pt>
                <c:pt idx="10">
                  <c:v>12</c:v>
                </c:pt>
                <c:pt idx="11">
                  <c:v>10</c:v>
                </c:pt>
                <c:pt idx="12">
                  <c:v>12</c:v>
                </c:pt>
                <c:pt idx="13">
                  <c:v>12</c:v>
                </c:pt>
                <c:pt idx="14">
                  <c:v>12</c:v>
                </c:pt>
              </c:numCache>
            </c:numRef>
          </c:val>
          <c:extLst>
            <c:ext xmlns:c16="http://schemas.microsoft.com/office/drawing/2014/chart" uri="{C3380CC4-5D6E-409C-BE32-E72D297353CC}">
              <c16:uniqueId val="{00000003-8613-4F13-9B1B-DB2DD8B637B4}"/>
            </c:ext>
          </c:extLst>
        </c:ser>
        <c:dLbls>
          <c:showLegendKey val="0"/>
          <c:showVal val="0"/>
          <c:showCatName val="0"/>
          <c:showSerName val="0"/>
          <c:showPercent val="0"/>
          <c:showBubbleSize val="0"/>
        </c:dLbls>
        <c:gapWidth val="65"/>
        <c:axId val="465783944"/>
        <c:axId val="465784336"/>
      </c:barChart>
      <c:catAx>
        <c:axId val="465783944"/>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4336"/>
        <c:crosses val="autoZero"/>
        <c:auto val="1"/>
        <c:lblAlgn val="ctr"/>
        <c:lblOffset val="100"/>
        <c:noMultiLvlLbl val="0"/>
      </c:catAx>
      <c:valAx>
        <c:axId val="465784336"/>
        <c:scaling>
          <c:orientation val="minMax"/>
          <c:max val="20"/>
          <c:min val="0"/>
        </c:scaling>
        <c:delete val="1"/>
        <c:axPos val="b"/>
        <c:numFmt formatCode="0" sourceLinked="0"/>
        <c:majorTickMark val="out"/>
        <c:minorTickMark val="none"/>
        <c:tickLblPos val="nextTo"/>
        <c:crossAx val="465783944"/>
        <c:crosses val="autoZero"/>
        <c:crossBetween val="between"/>
        <c:majorUnit val="25"/>
      </c:valAx>
      <c:spPr>
        <a:noFill/>
        <a:ln w="25400">
          <a:noFill/>
        </a:ln>
      </c:spPr>
    </c:plotArea>
    <c:legend>
      <c:legendPos val="r"/>
      <c:layout>
        <c:manualLayout>
          <c:xMode val="edge"/>
          <c:yMode val="edge"/>
          <c:x val="0.65457977487286634"/>
          <c:y val="0.38420717550883127"/>
          <c:w val="0.23513122439074116"/>
          <c:h val="0.25949160797928639"/>
        </c:manualLayout>
      </c:layout>
      <c:overlay val="0"/>
      <c:spPr>
        <a:noFill/>
        <a:ln w="25400">
          <a:noFill/>
        </a:ln>
      </c:spPr>
    </c:legend>
    <c:plotVisOnly val="1"/>
    <c:dispBlanksAs val="gap"/>
    <c:showDLblsOverMax val="0"/>
  </c:chart>
  <c:spPr>
    <a:solidFill>
      <a:sysClr val="window" lastClr="FFFFFF"/>
    </a:solid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clustered"/>
        <c:varyColors val="0"/>
        <c:ser>
          <c:idx val="3"/>
          <c:order val="0"/>
          <c:tx>
            <c:strRef>
              <c:f>'GE-NI Visual'!$M$6:$M$7</c:f>
              <c:strCache>
                <c:ptCount val="2"/>
                <c:pt idx="0">
                  <c:v>SF</c:v>
                </c:pt>
              </c:strCache>
            </c:strRef>
          </c:tx>
          <c:spPr>
            <a:solidFill>
              <a:srgbClr val="02665F"/>
            </a:solidFill>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Visual'!$M$8:$M$36</c15:sqref>
                  </c15:fullRef>
                </c:ext>
              </c:extLst>
              <c:f>'GE-NI Visual'!$M$8:$M$20</c:f>
              <c:numCache>
                <c:formatCode>0</c:formatCode>
                <c:ptCount val="13"/>
                <c:pt idx="0">
                  <c:v>15</c:v>
                </c:pt>
                <c:pt idx="1">
                  <c:v>18</c:v>
                </c:pt>
                <c:pt idx="2">
                  <c:v>18</c:v>
                </c:pt>
                <c:pt idx="3">
                  <c:v>17</c:v>
                </c:pt>
                <c:pt idx="4">
                  <c:v>18</c:v>
                </c:pt>
                <c:pt idx="5">
                  <c:v>18</c:v>
                </c:pt>
                <c:pt idx="6">
                  <c:v>17</c:v>
                </c:pt>
                <c:pt idx="7">
                  <c:v>14</c:v>
                </c:pt>
                <c:pt idx="8">
                  <c:v>14</c:v>
                </c:pt>
                <c:pt idx="9">
                  <c:v>14</c:v>
                </c:pt>
                <c:pt idx="10">
                  <c:v>0</c:v>
                </c:pt>
                <c:pt idx="11">
                  <c:v>0</c:v>
                </c:pt>
                <c:pt idx="12">
                  <c:v>0</c:v>
                </c:pt>
              </c:numCache>
            </c:numRef>
          </c:val>
          <c:extLst>
            <c:ext xmlns:c16="http://schemas.microsoft.com/office/drawing/2014/chart" uri="{C3380CC4-5D6E-409C-BE32-E72D297353CC}">
              <c16:uniqueId val="{00000000-E2FA-419E-B451-18DB8EC79DBA}"/>
            </c:ext>
          </c:extLst>
        </c:ser>
        <c:ser>
          <c:idx val="2"/>
          <c:order val="1"/>
          <c:tx>
            <c:strRef>
              <c:f>'GE-NI Visual'!$L$6:$L$7</c:f>
              <c:strCache>
                <c:ptCount val="2"/>
                <c:pt idx="0">
                  <c:v>DUP</c:v>
                </c:pt>
              </c:strCache>
            </c:strRef>
          </c:tx>
          <c:spPr>
            <a:solidFill>
              <a:srgbClr val="D50000"/>
            </a:solidFill>
            <a:ln w="25400">
              <a:noFill/>
            </a:ln>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Visual'!$L$8:$L$36</c15:sqref>
                  </c15:fullRef>
                </c:ext>
              </c:extLst>
              <c:f>'GE-NI Visual'!$L$8:$L$20</c:f>
              <c:numCache>
                <c:formatCode>0</c:formatCode>
                <c:ptCount val="13"/>
                <c:pt idx="0">
                  <c:v>17</c:v>
                </c:pt>
                <c:pt idx="1">
                  <c:v>17</c:v>
                </c:pt>
                <c:pt idx="2">
                  <c:v>16</c:v>
                </c:pt>
                <c:pt idx="3">
                  <c:v>16</c:v>
                </c:pt>
                <c:pt idx="4">
                  <c:v>18</c:v>
                </c:pt>
                <c:pt idx="5">
                  <c:v>14</c:v>
                </c:pt>
                <c:pt idx="6">
                  <c:v>9</c:v>
                </c:pt>
                <c:pt idx="7">
                  <c:v>7</c:v>
                </c:pt>
                <c:pt idx="8">
                  <c:v>4</c:v>
                </c:pt>
                <c:pt idx="9">
                  <c:v>14</c:v>
                </c:pt>
                <c:pt idx="10">
                  <c:v>5</c:v>
                </c:pt>
                <c:pt idx="11">
                  <c:v>2</c:v>
                </c:pt>
                <c:pt idx="12">
                  <c:v>2</c:v>
                </c:pt>
              </c:numCache>
            </c:numRef>
          </c:val>
          <c:extLst>
            <c:ext xmlns:c16="http://schemas.microsoft.com/office/drawing/2014/chart" uri="{C3380CC4-5D6E-409C-BE32-E72D297353CC}">
              <c16:uniqueId val="{00000001-E2FA-419E-B451-18DB8EC79DBA}"/>
            </c:ext>
          </c:extLst>
        </c:ser>
        <c:ser>
          <c:idx val="1"/>
          <c:order val="2"/>
          <c:tx>
            <c:strRef>
              <c:f>'GE-NI Visual'!$K$6:$K$7</c:f>
              <c:strCache>
                <c:ptCount val="2"/>
                <c:pt idx="0">
                  <c:v>SDLP</c:v>
                </c:pt>
              </c:strCache>
            </c:strRef>
          </c:tx>
          <c:spPr>
            <a:solidFill>
              <a:srgbClr val="4EA268"/>
            </a:solidFill>
            <a:ln w="3175">
              <a:noFill/>
            </a:ln>
          </c:spPr>
          <c:invertIfNegative val="0"/>
          <c:dPt>
            <c:idx val="0"/>
            <c:invertIfNegative val="0"/>
            <c:bubble3D val="0"/>
            <c:extLst>
              <c:ext xmlns:c16="http://schemas.microsoft.com/office/drawing/2014/chart" uri="{C3380CC4-5D6E-409C-BE32-E72D297353CC}">
                <c16:uniqueId val="{00000002-E2FA-419E-B451-18DB8EC79DBA}"/>
              </c:ext>
            </c:extLst>
          </c:dPt>
          <c:dPt>
            <c:idx val="1"/>
            <c:invertIfNegative val="0"/>
            <c:bubble3D val="0"/>
            <c:extLst>
              <c:ext xmlns:c16="http://schemas.microsoft.com/office/drawing/2014/chart" uri="{C3380CC4-5D6E-409C-BE32-E72D297353CC}">
                <c16:uniqueId val="{00000003-E2FA-419E-B451-18DB8EC79DBA}"/>
              </c:ext>
            </c:extLst>
          </c:dPt>
          <c:dPt>
            <c:idx val="2"/>
            <c:invertIfNegative val="0"/>
            <c:bubble3D val="0"/>
            <c:extLst>
              <c:ext xmlns:c16="http://schemas.microsoft.com/office/drawing/2014/chart" uri="{C3380CC4-5D6E-409C-BE32-E72D297353CC}">
                <c16:uniqueId val="{00000004-E2FA-419E-B451-18DB8EC79DBA}"/>
              </c:ext>
            </c:extLst>
          </c:dPt>
          <c:dPt>
            <c:idx val="3"/>
            <c:invertIfNegative val="0"/>
            <c:bubble3D val="0"/>
            <c:extLst>
              <c:ext xmlns:c16="http://schemas.microsoft.com/office/drawing/2014/chart" uri="{C3380CC4-5D6E-409C-BE32-E72D297353CC}">
                <c16:uniqueId val="{00000005-E2FA-419E-B451-18DB8EC79DBA}"/>
              </c:ext>
            </c:extLst>
          </c:dPt>
          <c:dPt>
            <c:idx val="4"/>
            <c:invertIfNegative val="0"/>
            <c:bubble3D val="0"/>
            <c:extLst>
              <c:ext xmlns:c16="http://schemas.microsoft.com/office/drawing/2014/chart" uri="{C3380CC4-5D6E-409C-BE32-E72D297353CC}">
                <c16:uniqueId val="{00000006-E2FA-419E-B451-18DB8EC79DBA}"/>
              </c:ext>
            </c:extLst>
          </c:dPt>
          <c:dPt>
            <c:idx val="5"/>
            <c:invertIfNegative val="0"/>
            <c:bubble3D val="0"/>
            <c:extLst>
              <c:ext xmlns:c16="http://schemas.microsoft.com/office/drawing/2014/chart" uri="{C3380CC4-5D6E-409C-BE32-E72D297353CC}">
                <c16:uniqueId val="{00000007-E2FA-419E-B451-18DB8EC79DBA}"/>
              </c:ext>
            </c:extLst>
          </c:dPt>
          <c:dPt>
            <c:idx val="6"/>
            <c:invertIfNegative val="0"/>
            <c:bubble3D val="0"/>
            <c:extLst>
              <c:ext xmlns:c16="http://schemas.microsoft.com/office/drawing/2014/chart" uri="{C3380CC4-5D6E-409C-BE32-E72D297353CC}">
                <c16:uniqueId val="{00000008-E2FA-419E-B451-18DB8EC79DBA}"/>
              </c:ext>
            </c:extLst>
          </c:dPt>
          <c:dPt>
            <c:idx val="7"/>
            <c:invertIfNegative val="0"/>
            <c:bubble3D val="0"/>
            <c:extLst>
              <c:ext xmlns:c16="http://schemas.microsoft.com/office/drawing/2014/chart" uri="{C3380CC4-5D6E-409C-BE32-E72D297353CC}">
                <c16:uniqueId val="{00000009-E2FA-419E-B451-18DB8EC79DBA}"/>
              </c:ext>
            </c:extLst>
          </c:dPt>
          <c:dPt>
            <c:idx val="8"/>
            <c:invertIfNegative val="0"/>
            <c:bubble3D val="0"/>
            <c:extLst>
              <c:ext xmlns:c16="http://schemas.microsoft.com/office/drawing/2014/chart" uri="{C3380CC4-5D6E-409C-BE32-E72D297353CC}">
                <c16:uniqueId val="{0000000A-E2FA-419E-B451-18DB8EC79DBA}"/>
              </c:ext>
            </c:extLst>
          </c:dPt>
          <c:dPt>
            <c:idx val="9"/>
            <c:invertIfNegative val="0"/>
            <c:bubble3D val="0"/>
            <c:extLst>
              <c:ext xmlns:c16="http://schemas.microsoft.com/office/drawing/2014/chart" uri="{C3380CC4-5D6E-409C-BE32-E72D297353CC}">
                <c16:uniqueId val="{0000000B-E2FA-419E-B451-18DB8EC79DBA}"/>
              </c:ext>
            </c:extLst>
          </c:dPt>
          <c:dPt>
            <c:idx val="10"/>
            <c:invertIfNegative val="0"/>
            <c:bubble3D val="0"/>
            <c:extLst>
              <c:ext xmlns:c16="http://schemas.microsoft.com/office/drawing/2014/chart" uri="{C3380CC4-5D6E-409C-BE32-E72D297353CC}">
                <c16:uniqueId val="{0000000C-E2FA-419E-B451-18DB8EC79DBA}"/>
              </c:ext>
            </c:extLst>
          </c:dPt>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Visual'!$K$8:$K$36</c15:sqref>
                  </c15:fullRef>
                </c:ext>
              </c:extLst>
              <c:f>'GE-NI Visual'!$K$8:$K$20</c:f>
              <c:numCache>
                <c:formatCode>0</c:formatCode>
                <c:ptCount val="13"/>
                <c:pt idx="0">
                  <c:v>15</c:v>
                </c:pt>
                <c:pt idx="1">
                  <c:v>18</c:v>
                </c:pt>
                <c:pt idx="2">
                  <c:v>18</c:v>
                </c:pt>
                <c:pt idx="3">
                  <c:v>18</c:v>
                </c:pt>
                <c:pt idx="4">
                  <c:v>18</c:v>
                </c:pt>
                <c:pt idx="5">
                  <c:v>18</c:v>
                </c:pt>
                <c:pt idx="6">
                  <c:v>18</c:v>
                </c:pt>
                <c:pt idx="7">
                  <c:v>13</c:v>
                </c:pt>
                <c:pt idx="8">
                  <c:v>13</c:v>
                </c:pt>
                <c:pt idx="9">
                  <c:v>17</c:v>
                </c:pt>
                <c:pt idx="10">
                  <c:v>9</c:v>
                </c:pt>
                <c:pt idx="11">
                  <c:v>9</c:v>
                </c:pt>
                <c:pt idx="12">
                  <c:v>12</c:v>
                </c:pt>
              </c:numCache>
            </c:numRef>
          </c:val>
          <c:extLst>
            <c:ext xmlns:c16="http://schemas.microsoft.com/office/drawing/2014/chart" uri="{C3380CC4-5D6E-409C-BE32-E72D297353CC}">
              <c16:uniqueId val="{0000000D-E2FA-419E-B451-18DB8EC79DBA}"/>
            </c:ext>
          </c:extLst>
        </c:ser>
        <c:ser>
          <c:idx val="0"/>
          <c:order val="3"/>
          <c:tx>
            <c:strRef>
              <c:f>'GE-NI Visual'!$J$6:$J$7</c:f>
              <c:strCache>
                <c:ptCount val="2"/>
                <c:pt idx="0">
                  <c:v>UUP</c:v>
                </c:pt>
              </c:strCache>
            </c:strRef>
          </c:tx>
          <c:spPr>
            <a:solidFill>
              <a:srgbClr val="A1CDF0"/>
            </a:solidFill>
            <a:ln w="3175">
              <a:noFill/>
            </a:ln>
          </c:spPr>
          <c:invertIfNegative val="0"/>
          <c:cat>
            <c:numRef>
              <c:extLst>
                <c:ext xmlns:c15="http://schemas.microsoft.com/office/drawing/2012/chart" uri="{02D57815-91ED-43cb-92C2-25804820EDAC}">
                  <c15:fullRef>
                    <c15:sqref>'GE-NI Visual'!$I$8:$I$36</c15:sqref>
                  </c15:fullRef>
                </c:ext>
              </c:extLst>
              <c:f>'GE-NI Visual'!$I$8:$I$20</c:f>
              <c:numCache>
                <c:formatCode>0</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Visual'!$J$8:$J$36</c15:sqref>
                  </c15:fullRef>
                </c:ext>
              </c:extLst>
              <c:f>'GE-NI Visual'!$J$8:$J$20</c:f>
              <c:numCache>
                <c:formatCode>0</c:formatCode>
                <c:ptCount val="13"/>
                <c:pt idx="0">
                  <c:v>16</c:v>
                </c:pt>
                <c:pt idx="1">
                  <c:v>14</c:v>
                </c:pt>
                <c:pt idx="2">
                  <c:v>15</c:v>
                </c:pt>
                <c:pt idx="3">
                  <c:v>17</c:v>
                </c:pt>
                <c:pt idx="4">
                  <c:v>18</c:v>
                </c:pt>
                <c:pt idx="5">
                  <c:v>17</c:v>
                </c:pt>
                <c:pt idx="6">
                  <c:v>16</c:v>
                </c:pt>
                <c:pt idx="7">
                  <c:v>13</c:v>
                </c:pt>
                <c:pt idx="8">
                  <c:v>12</c:v>
                </c:pt>
                <c:pt idx="9">
                  <c:v>16</c:v>
                </c:pt>
                <c:pt idx="10">
                  <c:v>11</c:v>
                </c:pt>
                <c:pt idx="11">
                  <c:v>7</c:v>
                </c:pt>
                <c:pt idx="12">
                  <c:v>14</c:v>
                </c:pt>
              </c:numCache>
            </c:numRef>
          </c:val>
          <c:extLst>
            <c:ext xmlns:c16="http://schemas.microsoft.com/office/drawing/2014/chart" uri="{C3380CC4-5D6E-409C-BE32-E72D297353CC}">
              <c16:uniqueId val="{0000000E-E2FA-419E-B451-18DB8EC79DBA}"/>
            </c:ext>
          </c:extLst>
        </c:ser>
        <c:dLbls>
          <c:showLegendKey val="0"/>
          <c:showVal val="0"/>
          <c:showCatName val="0"/>
          <c:showSerName val="0"/>
          <c:showPercent val="0"/>
          <c:showBubbleSize val="0"/>
        </c:dLbls>
        <c:gapWidth val="100"/>
        <c:axId val="465785120"/>
        <c:axId val="465785512"/>
      </c:barChart>
      <c:catAx>
        <c:axId val="465785120"/>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5512"/>
        <c:crosses val="autoZero"/>
        <c:auto val="1"/>
        <c:lblAlgn val="ctr"/>
        <c:lblOffset val="100"/>
        <c:tickLblSkip val="1"/>
        <c:noMultiLvlLbl val="0"/>
      </c:catAx>
      <c:valAx>
        <c:axId val="465785512"/>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785120"/>
        <c:crosses val="autoZero"/>
        <c:crossBetween val="between"/>
        <c:majorUnit val="10"/>
      </c:valAx>
      <c:spPr>
        <a:noFill/>
        <a:ln w="25400">
          <a:noFill/>
        </a:ln>
      </c:spPr>
    </c:plotArea>
    <c:legend>
      <c:legendPos val="r"/>
      <c:layout>
        <c:manualLayout>
          <c:xMode val="edge"/>
          <c:yMode val="edge"/>
          <c:x val="0.68085973833940894"/>
          <c:y val="0.26697472236385789"/>
          <c:w val="0.2487539933833714"/>
          <c:h val="0.39431967475929935"/>
        </c:manualLayout>
      </c:layout>
      <c:overlay val="0"/>
    </c:legend>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GB" sz="1000"/>
              <a:t>Number of seats won</a:t>
            </a:r>
          </a:p>
        </c:rich>
      </c:tx>
      <c:layout>
        <c:manualLayout>
          <c:xMode val="edge"/>
          <c:yMode val="edge"/>
          <c:x val="0.12902932952747859"/>
          <c:y val="6.085978797261863E-2"/>
        </c:manualLayout>
      </c:layout>
      <c:overlay val="0"/>
      <c:spPr>
        <a:noFill/>
        <a:ln w="25400">
          <a:noFill/>
        </a:ln>
      </c:spPr>
    </c:title>
    <c:autoTitleDeleted val="0"/>
    <c:plotArea>
      <c:layout>
        <c:manualLayout>
          <c:layoutTarget val="inner"/>
          <c:xMode val="edge"/>
          <c:yMode val="edge"/>
          <c:x val="0.21718021835514426"/>
          <c:y val="0.13279355789751601"/>
          <c:w val="0.49593018601051481"/>
          <c:h val="0.77652270210409746"/>
        </c:manualLayout>
      </c:layout>
      <c:barChart>
        <c:barDir val="bar"/>
        <c:grouping val="stacked"/>
        <c:varyColors val="0"/>
        <c:ser>
          <c:idx val="0"/>
          <c:order val="0"/>
          <c:tx>
            <c:strRef>
              <c:f>'GE-NI Visual'!$J$6:$J$7</c:f>
              <c:strCache>
                <c:ptCount val="2"/>
                <c:pt idx="0">
                  <c:v>UUP</c:v>
                </c:pt>
              </c:strCache>
            </c:strRef>
          </c:tx>
          <c:spPr>
            <a:solidFill>
              <a:srgbClr val="00539F"/>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Visual'!$J$42:$J$69</c15:sqref>
                  </c15:fullRef>
                </c:ext>
              </c:extLst>
              <c:f>'GE-NI Visual'!$J$54:$J$68</c:f>
              <c:numCache>
                <c:formatCode>0</c:formatCode>
                <c:ptCount val="15"/>
                <c:pt idx="0" formatCode="#,##0_);\(#,##0\)">
                  <c:v>0</c:v>
                </c:pt>
                <c:pt idx="1" formatCode="General">
                  <c:v>8</c:v>
                </c:pt>
                <c:pt idx="2" formatCode="General">
                  <c:v>11</c:v>
                </c:pt>
                <c:pt idx="3" formatCode="General">
                  <c:v>12</c:v>
                </c:pt>
                <c:pt idx="4" formatCode="General">
                  <c:v>12</c:v>
                </c:pt>
                <c:pt idx="5" formatCode="General">
                  <c:v>10</c:v>
                </c:pt>
                <c:pt idx="6" formatCode="General">
                  <c:v>9</c:v>
                </c:pt>
                <c:pt idx="7" formatCode="General">
                  <c:v>10</c:v>
                </c:pt>
                <c:pt idx="8" formatCode="General">
                  <c:v>8</c:v>
                </c:pt>
                <c:pt idx="9">
                  <c:v>10</c:v>
                </c:pt>
                <c:pt idx="10">
                  <c:v>10</c:v>
                </c:pt>
                <c:pt idx="11">
                  <c:v>10</c:v>
                </c:pt>
                <c:pt idx="12">
                  <c:v>12</c:v>
                </c:pt>
                <c:pt idx="13">
                  <c:v>10</c:v>
                </c:pt>
                <c:pt idx="14">
                  <c:v>10</c:v>
                </c:pt>
              </c:numCache>
            </c:numRef>
          </c:val>
          <c:extLst>
            <c:ext xmlns:c16="http://schemas.microsoft.com/office/drawing/2014/chart" uri="{C3380CC4-5D6E-409C-BE32-E72D297353CC}">
              <c16:uniqueId val="{00000000-D40F-4D17-879D-BE60A81F9497}"/>
            </c:ext>
          </c:extLst>
        </c:ser>
        <c:ser>
          <c:idx val="1"/>
          <c:order val="1"/>
          <c:tx>
            <c:strRef>
              <c:f>'GE-NI Visual'!$K$6:$K$7</c:f>
              <c:strCache>
                <c:ptCount val="2"/>
                <c:pt idx="0">
                  <c:v>SDLP</c:v>
                </c:pt>
              </c:strCache>
            </c:strRef>
          </c:tx>
          <c:spPr>
            <a:solidFill>
              <a:srgbClr val="4EA268"/>
            </a:solidFill>
            <a:ln w="3175">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Visual'!$K$42:$K$69</c15:sqref>
                  </c15:fullRef>
                </c:ext>
              </c:extLst>
              <c:f>'GE-NI Visual'!$K$54:$K$68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2</c:v>
                </c:pt>
                <c:pt idx="7" formatCode="General">
                  <c:v>2</c:v>
                </c:pt>
                <c:pt idx="8" formatCode="General">
                  <c:v>2</c:v>
                </c:pt>
                <c:pt idx="9">
                  <c:v>2</c:v>
                </c:pt>
                <c:pt idx="10">
                  <c:v>2</c:v>
                </c:pt>
                <c:pt idx="11">
                  <c:v>2</c:v>
                </c:pt>
                <c:pt idx="12">
                  <c:v>0</c:v>
                </c:pt>
                <c:pt idx="13">
                  <c:v>2</c:v>
                </c:pt>
                <c:pt idx="14">
                  <c:v>2</c:v>
                </c:pt>
              </c:numCache>
            </c:numRef>
          </c:val>
          <c:extLst>
            <c:ext xmlns:c16="http://schemas.microsoft.com/office/drawing/2014/chart" uri="{C3380CC4-5D6E-409C-BE32-E72D297353CC}">
              <c16:uniqueId val="{00000001-D40F-4D17-879D-BE60A81F9497}"/>
            </c:ext>
          </c:extLst>
        </c:ser>
        <c:ser>
          <c:idx val="2"/>
          <c:order val="2"/>
          <c:tx>
            <c:strRef>
              <c:f>'GE-NI Visual'!$L$6:$L$7</c:f>
              <c:strCache>
                <c:ptCount val="2"/>
                <c:pt idx="0">
                  <c:v>DUP</c:v>
                </c:pt>
              </c:strCache>
            </c:strRef>
          </c:tx>
          <c:spPr>
            <a:solidFill>
              <a:srgbClr val="CC3300"/>
            </a:solidFill>
            <a:ln w="25400">
              <a:noFill/>
            </a:ln>
          </c:spPr>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Visual'!$L$42:$L$69</c15:sqref>
                  </c15:fullRef>
                </c:ext>
              </c:extLst>
              <c:f>'GE-NI Visual'!$L$54:$L$68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2-D40F-4D17-879D-BE60A81F9497}"/>
            </c:ext>
          </c:extLst>
        </c:ser>
        <c:ser>
          <c:idx val="3"/>
          <c:order val="3"/>
          <c:tx>
            <c:strRef>
              <c:f>'GE-NI Visual'!$M$6:$M$7</c:f>
              <c:strCache>
                <c:ptCount val="2"/>
                <c:pt idx="0">
                  <c:v>SF</c:v>
                </c:pt>
              </c:strCache>
            </c:strRef>
          </c:tx>
          <c:invertIfNegative val="0"/>
          <c:cat>
            <c:numRef>
              <c:extLst>
                <c:ext xmlns:c15="http://schemas.microsoft.com/office/drawing/2012/chart" uri="{02D57815-91ED-43cb-92C2-25804820EDAC}">
                  <c15:fullRef>
                    <c15:sqref>'GE-NI Visual'!$A$42:$A$69</c15:sqref>
                  </c15:fullRef>
                </c:ext>
              </c:extLst>
              <c:f>'GE-NI Visual'!$A$54:$A$68</c:f>
              <c:numCache>
                <c:formatCode>General</c:formatCode>
                <c:ptCount val="15"/>
                <c:pt idx="1" formatCode="0">
                  <c:v>1970</c:v>
                </c:pt>
                <c:pt idx="2" formatCode="0">
                  <c:v>1966</c:v>
                </c:pt>
                <c:pt idx="3" formatCode="0">
                  <c:v>1964</c:v>
                </c:pt>
                <c:pt idx="4" formatCode="0">
                  <c:v>1959</c:v>
                </c:pt>
                <c:pt idx="5" formatCode="0">
                  <c:v>1955</c:v>
                </c:pt>
                <c:pt idx="6" formatCode="0">
                  <c:v>1951</c:v>
                </c:pt>
                <c:pt idx="7" formatCode="0">
                  <c:v>1950</c:v>
                </c:pt>
                <c:pt idx="8" formatCode="0">
                  <c:v>1945</c:v>
                </c:pt>
                <c:pt idx="9" formatCode="0">
                  <c:v>1935</c:v>
                </c:pt>
                <c:pt idx="10" formatCode="0">
                  <c:v>1931</c:v>
                </c:pt>
                <c:pt idx="11" formatCode="0">
                  <c:v>1929</c:v>
                </c:pt>
                <c:pt idx="12" formatCode="0">
                  <c:v>1924</c:v>
                </c:pt>
                <c:pt idx="13" formatCode="0">
                  <c:v>1923</c:v>
                </c:pt>
                <c:pt idx="14" formatCode="0">
                  <c:v>1922</c:v>
                </c:pt>
              </c:numCache>
            </c:numRef>
          </c:cat>
          <c:val>
            <c:numRef>
              <c:extLst>
                <c:ext xmlns:c15="http://schemas.microsoft.com/office/drawing/2012/chart" uri="{02D57815-91ED-43cb-92C2-25804820EDAC}">
                  <c15:fullRef>
                    <c15:sqref>'GE-NI Visual'!$M$42:$M$69</c15:sqref>
                  </c15:fullRef>
                </c:ext>
              </c:extLst>
              <c:f>'GE-NI Visual'!$M$54:$M$68</c:f>
              <c:numCache>
                <c:formatCode>0</c:formatCode>
                <c:ptCount val="15"/>
                <c:pt idx="0" formatCode="#,##0_);\(#,##0\)">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c:v>0</c:v>
                </c:pt>
                <c:pt idx="10">
                  <c:v>0</c:v>
                </c:pt>
                <c:pt idx="11">
                  <c:v>0</c:v>
                </c:pt>
                <c:pt idx="12">
                  <c:v>0</c:v>
                </c:pt>
                <c:pt idx="13">
                  <c:v>0</c:v>
                </c:pt>
                <c:pt idx="14">
                  <c:v>0</c:v>
                </c:pt>
              </c:numCache>
            </c:numRef>
          </c:val>
          <c:extLst>
            <c:ext xmlns:c16="http://schemas.microsoft.com/office/drawing/2014/chart" uri="{C3380CC4-5D6E-409C-BE32-E72D297353CC}">
              <c16:uniqueId val="{00000003-D40F-4D17-879D-BE60A81F9497}"/>
            </c:ext>
          </c:extLst>
        </c:ser>
        <c:dLbls>
          <c:showLegendKey val="0"/>
          <c:showVal val="0"/>
          <c:showCatName val="0"/>
          <c:showSerName val="0"/>
          <c:showPercent val="0"/>
          <c:showBubbleSize val="0"/>
        </c:dLbls>
        <c:gapWidth val="65"/>
        <c:overlap val="100"/>
        <c:axId val="465786296"/>
        <c:axId val="465786688"/>
      </c:barChart>
      <c:catAx>
        <c:axId val="465786296"/>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5786688"/>
        <c:crosses val="autoZero"/>
        <c:auto val="1"/>
        <c:lblAlgn val="ctr"/>
        <c:lblOffset val="100"/>
        <c:noMultiLvlLbl val="0"/>
      </c:catAx>
      <c:valAx>
        <c:axId val="465786688"/>
        <c:scaling>
          <c:orientation val="minMax"/>
          <c:max val="20"/>
        </c:scaling>
        <c:delete val="1"/>
        <c:axPos val="b"/>
        <c:numFmt formatCode="0" sourceLinked="0"/>
        <c:majorTickMark val="out"/>
        <c:minorTickMark val="none"/>
        <c:tickLblPos val="nextTo"/>
        <c:crossAx val="465786296"/>
        <c:crosses val="autoZero"/>
        <c:crossBetween val="between"/>
        <c:majorUnit val="10"/>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8021835514426"/>
          <c:y val="3.3912168485641707E-2"/>
          <c:w val="0.49593018601051481"/>
          <c:h val="0.87540393911887016"/>
        </c:manualLayout>
      </c:layout>
      <c:barChart>
        <c:barDir val="bar"/>
        <c:grouping val="stacked"/>
        <c:varyColors val="0"/>
        <c:ser>
          <c:idx val="0"/>
          <c:order val="0"/>
          <c:spPr>
            <a:solidFill>
              <a:srgbClr val="A1CDF0"/>
            </a:solidFill>
            <a:ln w="3175">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Visual'!$J$41:$J$69</c15:sqref>
                  </c15:fullRef>
                </c:ext>
              </c:extLst>
              <c:f>'GE-NI Visual'!$J$41:$J$53</c:f>
              <c:numCache>
                <c:formatCode>General</c:formatCode>
                <c:ptCount val="13"/>
                <c:pt idx="0">
                  <c:v>0</c:v>
                </c:pt>
                <c:pt idx="1">
                  <c:v>0</c:v>
                </c:pt>
                <c:pt idx="2" formatCode="0">
                  <c:v>2</c:v>
                </c:pt>
                <c:pt idx="3" formatCode="0">
                  <c:v>0</c:v>
                </c:pt>
                <c:pt idx="4" formatCode="0">
                  <c:v>1</c:v>
                </c:pt>
                <c:pt idx="5" formatCode="0">
                  <c:v>6</c:v>
                </c:pt>
                <c:pt idx="6" formatCode="0">
                  <c:v>10</c:v>
                </c:pt>
                <c:pt idx="7" formatCode="0">
                  <c:v>9</c:v>
                </c:pt>
                <c:pt idx="8" formatCode="0">
                  <c:v>9</c:v>
                </c:pt>
                <c:pt idx="9" formatCode="0">
                  <c:v>11</c:v>
                </c:pt>
                <c:pt idx="10" formatCode="0">
                  <c:v>5</c:v>
                </c:pt>
                <c:pt idx="11" formatCode="0">
                  <c:v>7</c:v>
                </c:pt>
                <c:pt idx="12" formatCode="0">
                  <c:v>6</c:v>
                </c:pt>
              </c:numCache>
            </c:numRef>
          </c:val>
          <c:extLst>
            <c:ext xmlns:c16="http://schemas.microsoft.com/office/drawing/2014/chart" uri="{C3380CC4-5D6E-409C-BE32-E72D297353CC}">
              <c16:uniqueId val="{00000000-B1BA-4037-A3AA-CDA44F1AF8AF}"/>
            </c:ext>
          </c:extLst>
        </c:ser>
        <c:ser>
          <c:idx val="1"/>
          <c:order val="1"/>
          <c:spPr>
            <a:solidFill>
              <a:srgbClr val="4EA268"/>
            </a:solidFill>
            <a:ln w="3175">
              <a:noFill/>
            </a:ln>
          </c:spPr>
          <c:invertIfNegative val="0"/>
          <c:dPt>
            <c:idx val="0"/>
            <c:invertIfNegative val="0"/>
            <c:bubble3D val="0"/>
            <c:extLst>
              <c:ext xmlns:c16="http://schemas.microsoft.com/office/drawing/2014/chart" uri="{C3380CC4-5D6E-409C-BE32-E72D297353CC}">
                <c16:uniqueId val="{00000001-B1BA-4037-A3AA-CDA44F1AF8AF}"/>
              </c:ext>
            </c:extLst>
          </c:dPt>
          <c:dPt>
            <c:idx val="1"/>
            <c:invertIfNegative val="0"/>
            <c:bubble3D val="0"/>
            <c:extLst>
              <c:ext xmlns:c16="http://schemas.microsoft.com/office/drawing/2014/chart" uri="{C3380CC4-5D6E-409C-BE32-E72D297353CC}">
                <c16:uniqueId val="{00000002-B1BA-4037-A3AA-CDA44F1AF8AF}"/>
              </c:ext>
            </c:extLst>
          </c:dPt>
          <c:dPt>
            <c:idx val="2"/>
            <c:invertIfNegative val="0"/>
            <c:bubble3D val="0"/>
            <c:extLst>
              <c:ext xmlns:c16="http://schemas.microsoft.com/office/drawing/2014/chart" uri="{C3380CC4-5D6E-409C-BE32-E72D297353CC}">
                <c16:uniqueId val="{00000003-B1BA-4037-A3AA-CDA44F1AF8AF}"/>
              </c:ext>
            </c:extLst>
          </c:dPt>
          <c:dPt>
            <c:idx val="3"/>
            <c:invertIfNegative val="0"/>
            <c:bubble3D val="0"/>
            <c:extLst>
              <c:ext xmlns:c16="http://schemas.microsoft.com/office/drawing/2014/chart" uri="{C3380CC4-5D6E-409C-BE32-E72D297353CC}">
                <c16:uniqueId val="{00000004-B1BA-4037-A3AA-CDA44F1AF8AF}"/>
              </c:ext>
            </c:extLst>
          </c:dPt>
          <c:dPt>
            <c:idx val="4"/>
            <c:invertIfNegative val="0"/>
            <c:bubble3D val="0"/>
            <c:extLst>
              <c:ext xmlns:c16="http://schemas.microsoft.com/office/drawing/2014/chart" uri="{C3380CC4-5D6E-409C-BE32-E72D297353CC}">
                <c16:uniqueId val="{00000005-B1BA-4037-A3AA-CDA44F1AF8AF}"/>
              </c:ext>
            </c:extLst>
          </c:dPt>
          <c:dPt>
            <c:idx val="5"/>
            <c:invertIfNegative val="0"/>
            <c:bubble3D val="0"/>
            <c:extLst>
              <c:ext xmlns:c16="http://schemas.microsoft.com/office/drawing/2014/chart" uri="{C3380CC4-5D6E-409C-BE32-E72D297353CC}">
                <c16:uniqueId val="{00000006-B1BA-4037-A3AA-CDA44F1AF8AF}"/>
              </c:ext>
            </c:extLst>
          </c:dPt>
          <c:dPt>
            <c:idx val="6"/>
            <c:invertIfNegative val="0"/>
            <c:bubble3D val="0"/>
            <c:extLst>
              <c:ext xmlns:c16="http://schemas.microsoft.com/office/drawing/2014/chart" uri="{C3380CC4-5D6E-409C-BE32-E72D297353CC}">
                <c16:uniqueId val="{00000007-B1BA-4037-A3AA-CDA44F1AF8AF}"/>
              </c:ext>
            </c:extLst>
          </c:dPt>
          <c:dPt>
            <c:idx val="7"/>
            <c:invertIfNegative val="0"/>
            <c:bubble3D val="0"/>
            <c:extLst>
              <c:ext xmlns:c16="http://schemas.microsoft.com/office/drawing/2014/chart" uri="{C3380CC4-5D6E-409C-BE32-E72D297353CC}">
                <c16:uniqueId val="{00000008-B1BA-4037-A3AA-CDA44F1AF8AF}"/>
              </c:ext>
            </c:extLst>
          </c:dPt>
          <c:dPt>
            <c:idx val="8"/>
            <c:invertIfNegative val="0"/>
            <c:bubble3D val="0"/>
            <c:extLst>
              <c:ext xmlns:c16="http://schemas.microsoft.com/office/drawing/2014/chart" uri="{C3380CC4-5D6E-409C-BE32-E72D297353CC}">
                <c16:uniqueId val="{00000009-B1BA-4037-A3AA-CDA44F1AF8AF}"/>
              </c:ext>
            </c:extLst>
          </c:dPt>
          <c:dPt>
            <c:idx val="9"/>
            <c:invertIfNegative val="0"/>
            <c:bubble3D val="0"/>
            <c:extLst>
              <c:ext xmlns:c16="http://schemas.microsoft.com/office/drawing/2014/chart" uri="{C3380CC4-5D6E-409C-BE32-E72D297353CC}">
                <c16:uniqueId val="{0000000A-B1BA-4037-A3AA-CDA44F1AF8AF}"/>
              </c:ext>
            </c:extLst>
          </c:dPt>
          <c:dPt>
            <c:idx val="10"/>
            <c:invertIfNegative val="0"/>
            <c:bubble3D val="0"/>
            <c:extLst>
              <c:ext xmlns:c16="http://schemas.microsoft.com/office/drawing/2014/chart" uri="{C3380CC4-5D6E-409C-BE32-E72D297353CC}">
                <c16:uniqueId val="{0000000B-B1BA-4037-A3AA-CDA44F1AF8AF}"/>
              </c:ext>
            </c:extLst>
          </c:dPt>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Visual'!$K$41:$K$69</c15:sqref>
                  </c15:fullRef>
                </c:ext>
              </c:extLst>
              <c:f>'GE-NI Visual'!$K$41:$K$53</c:f>
              <c:numCache>
                <c:formatCode>General</c:formatCode>
                <c:ptCount val="13"/>
                <c:pt idx="0">
                  <c:v>2</c:v>
                </c:pt>
                <c:pt idx="1">
                  <c:v>0</c:v>
                </c:pt>
                <c:pt idx="2" formatCode="0">
                  <c:v>3</c:v>
                </c:pt>
                <c:pt idx="3" formatCode="0">
                  <c:v>3</c:v>
                </c:pt>
                <c:pt idx="4" formatCode="0">
                  <c:v>3</c:v>
                </c:pt>
                <c:pt idx="5" formatCode="0">
                  <c:v>3</c:v>
                </c:pt>
                <c:pt idx="6" formatCode="0">
                  <c:v>3</c:v>
                </c:pt>
                <c:pt idx="7" formatCode="0">
                  <c:v>4</c:v>
                </c:pt>
                <c:pt idx="8" formatCode="0">
                  <c:v>3</c:v>
                </c:pt>
                <c:pt idx="9" formatCode="0">
                  <c:v>1</c:v>
                </c:pt>
                <c:pt idx="10" formatCode="0">
                  <c:v>1</c:v>
                </c:pt>
                <c:pt idx="11" formatCode="0">
                  <c:v>1</c:v>
                </c:pt>
                <c:pt idx="12" formatCode="0">
                  <c:v>1</c:v>
                </c:pt>
              </c:numCache>
            </c:numRef>
          </c:val>
          <c:extLst>
            <c:ext xmlns:c16="http://schemas.microsoft.com/office/drawing/2014/chart" uri="{C3380CC4-5D6E-409C-BE32-E72D297353CC}">
              <c16:uniqueId val="{0000000C-B1BA-4037-A3AA-CDA44F1AF8AF}"/>
            </c:ext>
          </c:extLst>
        </c:ser>
        <c:ser>
          <c:idx val="2"/>
          <c:order val="2"/>
          <c:spPr>
            <a:solidFill>
              <a:srgbClr val="CC3300"/>
            </a:solidFill>
            <a:ln w="25400">
              <a:noFill/>
            </a:ln>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Visual'!$L$41:$L$69</c15:sqref>
                  </c15:fullRef>
                </c:ext>
              </c:extLst>
              <c:f>'GE-NI Visual'!$L$41:$L$53</c:f>
              <c:numCache>
                <c:formatCode>General</c:formatCode>
                <c:ptCount val="13"/>
                <c:pt idx="0">
                  <c:v>8</c:v>
                </c:pt>
                <c:pt idx="1">
                  <c:v>10</c:v>
                </c:pt>
                <c:pt idx="2" formatCode="0">
                  <c:v>8</c:v>
                </c:pt>
                <c:pt idx="3" formatCode="0">
                  <c:v>8</c:v>
                </c:pt>
                <c:pt idx="4" formatCode="0">
                  <c:v>9</c:v>
                </c:pt>
                <c:pt idx="5" formatCode="0">
                  <c:v>5</c:v>
                </c:pt>
                <c:pt idx="6" formatCode="0">
                  <c:v>2</c:v>
                </c:pt>
                <c:pt idx="7" formatCode="0">
                  <c:v>3</c:v>
                </c:pt>
                <c:pt idx="8" formatCode="0">
                  <c:v>3</c:v>
                </c:pt>
                <c:pt idx="9" formatCode="0">
                  <c:v>3</c:v>
                </c:pt>
                <c:pt idx="10" formatCode="0">
                  <c:v>3</c:v>
                </c:pt>
                <c:pt idx="11" formatCode="0">
                  <c:v>1</c:v>
                </c:pt>
                <c:pt idx="12" formatCode="0">
                  <c:v>1</c:v>
                </c:pt>
              </c:numCache>
            </c:numRef>
          </c:val>
          <c:extLst>
            <c:ext xmlns:c16="http://schemas.microsoft.com/office/drawing/2014/chart" uri="{C3380CC4-5D6E-409C-BE32-E72D297353CC}">
              <c16:uniqueId val="{0000000D-B1BA-4037-A3AA-CDA44F1AF8AF}"/>
            </c:ext>
          </c:extLst>
        </c:ser>
        <c:ser>
          <c:idx val="3"/>
          <c:order val="3"/>
          <c:spPr>
            <a:solidFill>
              <a:srgbClr val="02665F"/>
            </a:solidFill>
          </c:spPr>
          <c:invertIfNegative val="0"/>
          <c:cat>
            <c:numRef>
              <c:extLst>
                <c:ext xmlns:c15="http://schemas.microsoft.com/office/drawing/2012/chart" uri="{02D57815-91ED-43cb-92C2-25804820EDAC}">
                  <c15:fullRef>
                    <c15:sqref>'GE-NI Visual'!$A$41:$A$69</c15:sqref>
                  </c15:fullRef>
                </c:ext>
              </c:extLst>
              <c:f>'GE-NI Visual'!$A$41:$A$53</c:f>
              <c:numCache>
                <c:formatCode>General</c:formatCode>
                <c:ptCount val="13"/>
                <c:pt idx="0">
                  <c:v>2019</c:v>
                </c:pt>
                <c:pt idx="1">
                  <c:v>2017</c:v>
                </c:pt>
                <c:pt idx="2">
                  <c:v>2015</c:v>
                </c:pt>
                <c:pt idx="3">
                  <c:v>2010</c:v>
                </c:pt>
                <c:pt idx="4">
                  <c:v>2005</c:v>
                </c:pt>
                <c:pt idx="5">
                  <c:v>2001</c:v>
                </c:pt>
                <c:pt idx="6">
                  <c:v>1997</c:v>
                </c:pt>
                <c:pt idx="7">
                  <c:v>1992</c:v>
                </c:pt>
                <c:pt idx="8">
                  <c:v>1987</c:v>
                </c:pt>
                <c:pt idx="9">
                  <c:v>1983</c:v>
                </c:pt>
                <c:pt idx="10">
                  <c:v>1979</c:v>
                </c:pt>
                <c:pt idx="11">
                  <c:v>1974</c:v>
                </c:pt>
                <c:pt idx="12">
                  <c:v>1974</c:v>
                </c:pt>
              </c:numCache>
            </c:numRef>
          </c:cat>
          <c:val>
            <c:numRef>
              <c:extLst>
                <c:ext xmlns:c15="http://schemas.microsoft.com/office/drawing/2012/chart" uri="{02D57815-91ED-43cb-92C2-25804820EDAC}">
                  <c15:fullRef>
                    <c15:sqref>'GE-NI Visual'!$M$41:$M$69</c15:sqref>
                  </c15:fullRef>
                </c:ext>
              </c:extLst>
              <c:f>'GE-NI Visual'!$M$41:$M$53</c:f>
              <c:numCache>
                <c:formatCode>General</c:formatCode>
                <c:ptCount val="13"/>
                <c:pt idx="0">
                  <c:v>7</c:v>
                </c:pt>
                <c:pt idx="1">
                  <c:v>7</c:v>
                </c:pt>
                <c:pt idx="2" formatCode="0">
                  <c:v>4</c:v>
                </c:pt>
                <c:pt idx="3" formatCode="0">
                  <c:v>5</c:v>
                </c:pt>
                <c:pt idx="4" formatCode="0">
                  <c:v>5</c:v>
                </c:pt>
                <c:pt idx="5" formatCode="0">
                  <c:v>4</c:v>
                </c:pt>
                <c:pt idx="6" formatCode="0">
                  <c:v>2</c:v>
                </c:pt>
                <c:pt idx="7" formatCode="0">
                  <c:v>0</c:v>
                </c:pt>
                <c:pt idx="8" formatCode="0">
                  <c:v>1</c:v>
                </c:pt>
                <c:pt idx="9" formatCode="0">
                  <c:v>1</c:v>
                </c:pt>
                <c:pt idx="10" formatCode="#,##0.0;\-#,##0.0">
                  <c:v>0</c:v>
                </c:pt>
                <c:pt idx="11" formatCode="#,##0.0;\-#,##0.0">
                  <c:v>0</c:v>
                </c:pt>
                <c:pt idx="12" formatCode="#,##0.0;\-#,##0.0">
                  <c:v>0</c:v>
                </c:pt>
              </c:numCache>
            </c:numRef>
          </c:val>
          <c:extLst>
            <c:ext xmlns:c16="http://schemas.microsoft.com/office/drawing/2014/chart" uri="{C3380CC4-5D6E-409C-BE32-E72D297353CC}">
              <c16:uniqueId val="{0000000E-B1BA-4037-A3AA-CDA44F1AF8AF}"/>
            </c:ext>
          </c:extLst>
        </c:ser>
        <c:dLbls>
          <c:showLegendKey val="0"/>
          <c:showVal val="0"/>
          <c:showCatName val="0"/>
          <c:showSerName val="0"/>
          <c:showPercent val="0"/>
          <c:showBubbleSize val="0"/>
        </c:dLbls>
        <c:gapWidth val="65"/>
        <c:overlap val="100"/>
        <c:axId val="466673832"/>
        <c:axId val="466674224"/>
      </c:barChart>
      <c:catAx>
        <c:axId val="466673832"/>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solidFill>
                  <a:schemeClr val="tx1">
                    <a:lumMod val="75000"/>
                    <a:lumOff val="25000"/>
                  </a:schemeClr>
                </a:solidFill>
              </a:defRPr>
            </a:pPr>
            <a:endParaRPr lang="en-US"/>
          </a:p>
        </c:txPr>
        <c:crossAx val="466674224"/>
        <c:crosses val="autoZero"/>
        <c:auto val="1"/>
        <c:lblAlgn val="ctr"/>
        <c:lblOffset val="100"/>
        <c:noMultiLvlLbl val="0"/>
      </c:catAx>
      <c:valAx>
        <c:axId val="466674224"/>
        <c:scaling>
          <c:orientation val="minMax"/>
        </c:scaling>
        <c:delete val="0"/>
        <c:axPos val="b"/>
        <c:numFmt formatCode="General" sourceLinked="0"/>
        <c:majorTickMark val="out"/>
        <c:minorTickMark val="none"/>
        <c:tickLblPos val="nextTo"/>
        <c:spPr>
          <a:noFill/>
          <a:ln>
            <a:solidFill>
              <a:schemeClr val="tx1"/>
            </a:solidFill>
          </a:ln>
          <a:effectLst/>
        </c:spPr>
        <c:txPr>
          <a:bodyPr rot="0" vert="horz"/>
          <a:lstStyle/>
          <a:p>
            <a:pPr>
              <a:defRPr/>
            </a:pPr>
            <a:endParaRPr lang="en-US"/>
          </a:p>
        </c:txPr>
        <c:crossAx val="466673832"/>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388779178971708E-2"/>
          <c:y val="0.15189593368625859"/>
          <c:w val="0.83733078345553824"/>
          <c:h val="0.62077707883475386"/>
        </c:manualLayout>
      </c:layout>
      <c:lineChart>
        <c:grouping val="standard"/>
        <c:varyColors val="0"/>
        <c:ser>
          <c:idx val="0"/>
          <c:order val="0"/>
          <c:spPr>
            <a:ln w="19050">
              <a:solidFill>
                <a:srgbClr val="00539F"/>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Data'!$B$4:$B$31</c:f>
              <c:numCache>
                <c:formatCode>0.0%</c:formatCode>
                <c:ptCount val="28"/>
                <c:pt idx="0">
                  <c:v>0.38700000000000001</c:v>
                </c:pt>
                <c:pt idx="1">
                  <c:v>0.38500000000000001</c:v>
                </c:pt>
                <c:pt idx="2">
                  <c:v>0.38</c:v>
                </c:pt>
                <c:pt idx="3">
                  <c:v>0.46799999999999997</c:v>
                </c:pt>
                <c:pt idx="4">
                  <c:v>0.38100000000000001</c:v>
                </c:pt>
                <c:pt idx="5">
                  <c:v>0.6070000000000001</c:v>
                </c:pt>
                <c:pt idx="6">
                  <c:v>0.53300000000000003</c:v>
                </c:pt>
                <c:pt idx="7">
                  <c:v>0.39600000000000002</c:v>
                </c:pt>
                <c:pt idx="8">
                  <c:v>0.43419937295463329</c:v>
                </c:pt>
                <c:pt idx="9">
                  <c:v>0.47971443732075225</c:v>
                </c:pt>
                <c:pt idx="10">
                  <c:v>0.49742248884508511</c:v>
                </c:pt>
                <c:pt idx="11">
                  <c:v>0.49352355260367892</c:v>
                </c:pt>
                <c:pt idx="12">
                  <c:v>0.43397974368145265</c:v>
                </c:pt>
                <c:pt idx="13">
                  <c:v>0.41879922817548976</c:v>
                </c:pt>
                <c:pt idx="14">
                  <c:v>0.46375786484701709</c:v>
                </c:pt>
                <c:pt idx="15">
                  <c:v>0.37881680381869115</c:v>
                </c:pt>
                <c:pt idx="16">
                  <c:v>0.35844077296788557</c:v>
                </c:pt>
                <c:pt idx="17">
                  <c:v>0.43873560032390646</c:v>
                </c:pt>
                <c:pt idx="18">
                  <c:v>0.42425280810424471</c:v>
                </c:pt>
                <c:pt idx="19">
                  <c:v>0.42301756881076047</c:v>
                </c:pt>
                <c:pt idx="20">
                  <c:v>0.41925911747561451</c:v>
                </c:pt>
                <c:pt idx="21">
                  <c:v>0.3068738684338479</c:v>
                </c:pt>
                <c:pt idx="22">
                  <c:v>0.31620942434825633</c:v>
                </c:pt>
                <c:pt idx="23">
                  <c:v>0.32358737182998254</c:v>
                </c:pt>
                <c:pt idx="24">
                  <c:v>0.36054287169823473</c:v>
                </c:pt>
                <c:pt idx="25">
                  <c:v>0.36809512175258569</c:v>
                </c:pt>
                <c:pt idx="26">
                  <c:v>0.42344523333194956</c:v>
                </c:pt>
                <c:pt idx="27">
                  <c:v>0.43625932440414555</c:v>
                </c:pt>
              </c:numCache>
            </c:numRef>
          </c:val>
          <c:smooth val="0"/>
          <c:extLst>
            <c:ext xmlns:c16="http://schemas.microsoft.com/office/drawing/2014/chart" uri="{C3380CC4-5D6E-409C-BE32-E72D297353CC}">
              <c16:uniqueId val="{00000000-BC57-4E16-BB53-769B2F146A10}"/>
            </c:ext>
          </c:extLst>
        </c:ser>
        <c:ser>
          <c:idx val="1"/>
          <c:order val="1"/>
          <c:spPr>
            <a:ln w="19050">
              <a:solidFill>
                <a:srgbClr val="D50000"/>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Data'!$C$4:$C$31</c:f>
              <c:numCache>
                <c:formatCode>0.0%</c:formatCode>
                <c:ptCount val="28"/>
                <c:pt idx="0">
                  <c:v>0.20800000000000002</c:v>
                </c:pt>
                <c:pt idx="1">
                  <c:v>0.29699999999999999</c:v>
                </c:pt>
                <c:pt idx="2">
                  <c:v>0.307</c:v>
                </c:pt>
                <c:pt idx="3">
                  <c:v>0.33299999999999996</c:v>
                </c:pt>
                <c:pt idx="4">
                  <c:v>0.371</c:v>
                </c:pt>
                <c:pt idx="5">
                  <c:v>0.309</c:v>
                </c:pt>
                <c:pt idx="6">
                  <c:v>0.38</c:v>
                </c:pt>
                <c:pt idx="7">
                  <c:v>0.48</c:v>
                </c:pt>
                <c:pt idx="8">
                  <c:v>0.46109342130672404</c:v>
                </c:pt>
                <c:pt idx="9">
                  <c:v>0.48778127213331768</c:v>
                </c:pt>
                <c:pt idx="10">
                  <c:v>0.4635792088925863</c:v>
                </c:pt>
                <c:pt idx="11">
                  <c:v>0.43844254308599195</c:v>
                </c:pt>
                <c:pt idx="12">
                  <c:v>0.44132562041465734</c:v>
                </c:pt>
                <c:pt idx="13">
                  <c:v>0.48035028529698076</c:v>
                </c:pt>
                <c:pt idx="14">
                  <c:v>0.43072305542625494</c:v>
                </c:pt>
                <c:pt idx="15">
                  <c:v>0.37158761336332596</c:v>
                </c:pt>
                <c:pt idx="16">
                  <c:v>0.39251218536889654</c:v>
                </c:pt>
                <c:pt idx="17">
                  <c:v>0.36936947209413862</c:v>
                </c:pt>
                <c:pt idx="18">
                  <c:v>0.27572939340331598</c:v>
                </c:pt>
                <c:pt idx="19">
                  <c:v>0.30832883844973336</c:v>
                </c:pt>
                <c:pt idx="20">
                  <c:v>0.34391796721813606</c:v>
                </c:pt>
                <c:pt idx="21">
                  <c:v>0.43207966148999988</c:v>
                </c:pt>
                <c:pt idx="22">
                  <c:v>0.40675075717601555</c:v>
                </c:pt>
                <c:pt idx="23">
                  <c:v>0.35185857345393912</c:v>
                </c:pt>
                <c:pt idx="24">
                  <c:v>0.28990271495133119</c:v>
                </c:pt>
                <c:pt idx="25">
                  <c:v>0.30449710888508835</c:v>
                </c:pt>
                <c:pt idx="26">
                  <c:v>0.39988239400641062</c:v>
                </c:pt>
                <c:pt idx="27">
                  <c:v>0.32076640581293681</c:v>
                </c:pt>
              </c:numCache>
            </c:numRef>
          </c:val>
          <c:smooth val="0"/>
          <c:extLst>
            <c:ext xmlns:c16="http://schemas.microsoft.com/office/drawing/2014/chart" uri="{C3380CC4-5D6E-409C-BE32-E72D297353CC}">
              <c16:uniqueId val="{00000001-BC57-4E16-BB53-769B2F146A10}"/>
            </c:ext>
          </c:extLst>
        </c:ser>
        <c:ser>
          <c:idx val="2"/>
          <c:order val="2"/>
          <c:spPr>
            <a:ln w="19050">
              <a:solidFill>
                <a:srgbClr val="FAA01A"/>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Data'!$D$4:$D$31</c:f>
              <c:numCache>
                <c:formatCode>0.0%</c:formatCode>
                <c:ptCount val="28"/>
                <c:pt idx="0">
                  <c:v>0.25600000000000001</c:v>
                </c:pt>
                <c:pt idx="1">
                  <c:v>0.28799999999999998</c:v>
                </c:pt>
                <c:pt idx="2">
                  <c:v>0.29699999999999999</c:v>
                </c:pt>
                <c:pt idx="3">
                  <c:v>0.17800000000000002</c:v>
                </c:pt>
                <c:pt idx="4">
                  <c:v>0.23499999999999999</c:v>
                </c:pt>
                <c:pt idx="5">
                  <c:v>7.0000000000000007E-2</c:v>
                </c:pt>
                <c:pt idx="6">
                  <c:v>6.7000000000000004E-2</c:v>
                </c:pt>
                <c:pt idx="7">
                  <c:v>0.09</c:v>
                </c:pt>
                <c:pt idx="8">
                  <c:v>9.1115209819400869E-2</c:v>
                </c:pt>
                <c:pt idx="9">
                  <c:v>2.5546608802432907E-2</c:v>
                </c:pt>
                <c:pt idx="10">
                  <c:v>2.6995863822088781E-2</c:v>
                </c:pt>
                <c:pt idx="11">
                  <c:v>5.8887431103112509E-2</c:v>
                </c:pt>
                <c:pt idx="12">
                  <c:v>0.11206083143496937</c:v>
                </c:pt>
                <c:pt idx="13">
                  <c:v>8.5365068672744335E-2</c:v>
                </c:pt>
                <c:pt idx="14">
                  <c:v>7.4688660684757741E-2</c:v>
                </c:pt>
                <c:pt idx="15">
                  <c:v>0.19334676700139586</c:v>
                </c:pt>
                <c:pt idx="16">
                  <c:v>0.18317465311713577</c:v>
                </c:pt>
                <c:pt idx="17">
                  <c:v>0.13816834768451164</c:v>
                </c:pt>
                <c:pt idx="18">
                  <c:v>0.25368961704941034</c:v>
                </c:pt>
                <c:pt idx="19">
                  <c:v>0.22569100035666001</c:v>
                </c:pt>
                <c:pt idx="20">
                  <c:v>0.17848494056388403</c:v>
                </c:pt>
                <c:pt idx="21">
                  <c:v>0.16757972918739727</c:v>
                </c:pt>
                <c:pt idx="22">
                  <c:v>0.18258622784066209</c:v>
                </c:pt>
                <c:pt idx="23">
                  <c:v>0.2204708103685985</c:v>
                </c:pt>
                <c:pt idx="24">
                  <c:v>0.23027281016009241</c:v>
                </c:pt>
                <c:pt idx="25">
                  <c:v>7.8700219887612999E-2</c:v>
                </c:pt>
                <c:pt idx="26">
                  <c:v>7.3650807826235773E-2</c:v>
                </c:pt>
                <c:pt idx="27">
                  <c:v>0.11546218214406084</c:v>
                </c:pt>
              </c:numCache>
            </c:numRef>
          </c:val>
          <c:smooth val="0"/>
          <c:extLst>
            <c:ext xmlns:c16="http://schemas.microsoft.com/office/drawing/2014/chart" uri="{C3380CC4-5D6E-409C-BE32-E72D297353CC}">
              <c16:uniqueId val="{00000002-BC57-4E16-BB53-769B2F146A10}"/>
            </c:ext>
          </c:extLst>
        </c:ser>
        <c:ser>
          <c:idx val="3"/>
          <c:order val="3"/>
          <c:spPr>
            <a:ln w="19050">
              <a:solidFill>
                <a:srgbClr val="348837"/>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Data'!$E$4:$E$31</c:f>
              <c:numCache>
                <c:formatCode>0.0%</c:formatCode>
                <c:ptCount val="28"/>
                <c:pt idx="0">
                  <c:v>0</c:v>
                </c:pt>
                <c:pt idx="1">
                  <c:v>0</c:v>
                </c:pt>
                <c:pt idx="2">
                  <c:v>0</c:v>
                </c:pt>
                <c:pt idx="3">
                  <c:v>0</c:v>
                </c:pt>
                <c:pt idx="4">
                  <c:v>0</c:v>
                </c:pt>
                <c:pt idx="5">
                  <c:v>1E-3</c:v>
                </c:pt>
                <c:pt idx="6">
                  <c:v>1E-3</c:v>
                </c:pt>
                <c:pt idx="7">
                  <c:v>2E-3</c:v>
                </c:pt>
                <c:pt idx="8">
                  <c:v>9.4845095381049412E-4</c:v>
                </c:pt>
                <c:pt idx="9">
                  <c:v>6.371038453040946E-4</c:v>
                </c:pt>
                <c:pt idx="10">
                  <c:v>2.1386987887657607E-3</c:v>
                </c:pt>
                <c:pt idx="11">
                  <c:v>3.5642335840823766E-3</c:v>
                </c:pt>
                <c:pt idx="12">
                  <c:v>4.8288059202633623E-3</c:v>
                </c:pt>
                <c:pt idx="13">
                  <c:v>6.9520175631924992E-3</c:v>
                </c:pt>
                <c:pt idx="14">
                  <c:v>1.6998462998395684E-2</c:v>
                </c:pt>
                <c:pt idx="15">
                  <c:v>2.5671660535768769E-2</c:v>
                </c:pt>
                <c:pt idx="16">
                  <c:v>3.4462791321035413E-2</c:v>
                </c:pt>
                <c:pt idx="17">
                  <c:v>2.0396387575916771E-2</c:v>
                </c:pt>
                <c:pt idx="18">
                  <c:v>1.4909261433640363E-2</c:v>
                </c:pt>
                <c:pt idx="19">
                  <c:v>1.6602490201379189E-2</c:v>
                </c:pt>
                <c:pt idx="20">
                  <c:v>2.3338765780071765E-2</c:v>
                </c:pt>
                <c:pt idx="21">
                  <c:v>2.5013517105451064E-2</c:v>
                </c:pt>
                <c:pt idx="22">
                  <c:v>2.5038776127308503E-2</c:v>
                </c:pt>
                <c:pt idx="23">
                  <c:v>2.1625680378039164E-2</c:v>
                </c:pt>
                <c:pt idx="24">
                  <c:v>2.2123038288977444E-2</c:v>
                </c:pt>
                <c:pt idx="25">
                  <c:v>5.3297499796400354E-2</c:v>
                </c:pt>
                <c:pt idx="26">
                  <c:v>3.5462333865697589E-2</c:v>
                </c:pt>
                <c:pt idx="27">
                  <c:v>4.3594683719147584E-2</c:v>
                </c:pt>
              </c:numCache>
            </c:numRef>
          </c:val>
          <c:smooth val="0"/>
          <c:extLst>
            <c:ext xmlns:c16="http://schemas.microsoft.com/office/drawing/2014/chart" uri="{C3380CC4-5D6E-409C-BE32-E72D297353CC}">
              <c16:uniqueId val="{00000003-BC57-4E16-BB53-769B2F146A10}"/>
            </c:ext>
          </c:extLst>
        </c:ser>
        <c:ser>
          <c:idx val="4"/>
          <c:order val="4"/>
          <c:spPr>
            <a:ln w="19050">
              <a:solidFill>
                <a:srgbClr val="909090"/>
              </a:solidFill>
            </a:ln>
          </c:spPr>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'Share Data'!$F$4:$F$31</c:f>
              <c:numCache>
                <c:formatCode>0.0%</c:formatCode>
                <c:ptCount val="28"/>
                <c:pt idx="0">
                  <c:v>0.14900000000000002</c:v>
                </c:pt>
                <c:pt idx="1">
                  <c:v>3.0000000000000027E-2</c:v>
                </c:pt>
                <c:pt idx="2">
                  <c:v>1.6000000000000014E-2</c:v>
                </c:pt>
                <c:pt idx="3">
                  <c:v>2.1000000000000019E-2</c:v>
                </c:pt>
                <c:pt idx="4">
                  <c:v>1.3000000000000012E-2</c:v>
                </c:pt>
                <c:pt idx="5">
                  <c:v>1.299999999999979E-2</c:v>
                </c:pt>
                <c:pt idx="6">
                  <c:v>1.9000000000000017E-2</c:v>
                </c:pt>
                <c:pt idx="7">
                  <c:v>3.2000000000000028E-2</c:v>
                </c:pt>
                <c:pt idx="8">
                  <c:v>1.2643544965431297E-2</c:v>
                </c:pt>
                <c:pt idx="9">
                  <c:v>6.3205778981930694E-3</c:v>
                </c:pt>
                <c:pt idx="10">
                  <c:v>9.8637396514741349E-3</c:v>
                </c:pt>
                <c:pt idx="11">
                  <c:v>5.5822396231341997E-3</c:v>
                </c:pt>
                <c:pt idx="12">
                  <c:v>7.8049985486573492E-3</c:v>
                </c:pt>
                <c:pt idx="13">
                  <c:v>8.5334002915926632E-3</c:v>
                </c:pt>
                <c:pt idx="14">
                  <c:v>1.3831956043574567E-2</c:v>
                </c:pt>
                <c:pt idx="15">
                  <c:v>3.057715528081828E-2</c:v>
                </c:pt>
                <c:pt idx="16">
                  <c:v>3.140959722504677E-2</c:v>
                </c:pt>
                <c:pt idx="17">
                  <c:v>3.3330192321526564E-2</c:v>
                </c:pt>
                <c:pt idx="18">
                  <c:v>3.1418920009388618E-2</c:v>
                </c:pt>
                <c:pt idx="19">
                  <c:v>2.6360102181467004E-2</c:v>
                </c:pt>
                <c:pt idx="20">
                  <c:v>3.4999208962293582E-2</c:v>
                </c:pt>
                <c:pt idx="21">
                  <c:v>6.8453223783303874E-2</c:v>
                </c:pt>
                <c:pt idx="22">
                  <c:v>6.941481450775755E-2</c:v>
                </c:pt>
                <c:pt idx="23">
                  <c:v>8.2457563969440706E-2</c:v>
                </c:pt>
                <c:pt idx="24">
                  <c:v>9.7158564901364208E-2</c:v>
                </c:pt>
                <c:pt idx="25">
                  <c:v>0.19541004967831266</c:v>
                </c:pt>
                <c:pt idx="26">
                  <c:v>6.7559230969706396E-2</c:v>
                </c:pt>
                <c:pt idx="27">
                  <c:v>8.3917403919709144E-2</c:v>
                </c:pt>
              </c:numCache>
            </c:numRef>
          </c:val>
          <c:smooth val="0"/>
          <c:extLst>
            <c:ext xmlns:c16="http://schemas.microsoft.com/office/drawing/2014/chart" uri="{C3380CC4-5D6E-409C-BE32-E72D297353CC}">
              <c16:uniqueId val="{00000004-BC57-4E16-BB53-769B2F146A10}"/>
            </c:ext>
          </c:extLst>
        </c:ser>
        <c:ser>
          <c:idx val="5"/>
          <c:order val="5"/>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5-BC57-4E16-BB53-769B2F146A10}"/>
            </c:ext>
          </c:extLst>
        </c:ser>
        <c:ser>
          <c:idx val="6"/>
          <c:order val="6"/>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6-BC57-4E16-BB53-769B2F146A10}"/>
            </c:ext>
          </c:extLst>
        </c:ser>
        <c:ser>
          <c:idx val="7"/>
          <c:order val="7"/>
          <c:marker>
            <c:symbol val="none"/>
          </c:marker>
          <c:cat>
            <c:strRef>
              <c:f>'Share Data'!$A$4:$A$31</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'Landing page'!$D$35</c:f>
              <c:numCache>
                <c:formatCode>#,##0_);\(#,##0\)</c:formatCode>
                <c:ptCount val="1"/>
              </c:numCache>
            </c:numRef>
          </c:val>
          <c:smooth val="0"/>
          <c:extLst>
            <c:ext xmlns:c16="http://schemas.microsoft.com/office/drawing/2014/chart" uri="{C3380CC4-5D6E-409C-BE32-E72D297353CC}">
              <c16:uniqueId val="{00000007-BC57-4E16-BB53-769B2F146A10}"/>
            </c:ext>
          </c:extLst>
        </c:ser>
        <c:dLbls>
          <c:showLegendKey val="0"/>
          <c:showVal val="0"/>
          <c:showCatName val="0"/>
          <c:showSerName val="0"/>
          <c:showPercent val="0"/>
          <c:showBubbleSize val="0"/>
        </c:dLbls>
        <c:smooth val="0"/>
        <c:axId val="460674448"/>
        <c:axId val="460674840"/>
      </c:lineChart>
      <c:dateAx>
        <c:axId val="460674448"/>
        <c:scaling>
          <c:orientation val="minMax"/>
        </c:scaling>
        <c:delete val="0"/>
        <c:axPos val="b"/>
        <c:numFmt formatCode="dd/mm/yyyy" sourceLinked="0"/>
        <c:majorTickMark val="out"/>
        <c:minorTickMark val="none"/>
        <c:tickLblPos val="nextTo"/>
        <c:spPr>
          <a:ln>
            <a:solidFill>
              <a:schemeClr val="tx1">
                <a:lumMod val="75000"/>
                <a:lumOff val="25000"/>
              </a:schemeClr>
            </a:solidFill>
          </a:ln>
        </c:spPr>
        <c:txPr>
          <a:bodyPr rot="-5400000" vert="horz"/>
          <a:lstStyle/>
          <a:p>
            <a:pPr>
              <a:defRPr/>
            </a:pPr>
            <a:endParaRPr lang="en-US"/>
          </a:p>
        </c:txPr>
        <c:crossAx val="460674840"/>
        <c:crosses val="autoZero"/>
        <c:auto val="0"/>
        <c:lblOffset val="100"/>
        <c:baseTimeUnit val="days"/>
        <c:majorUnit val="1"/>
      </c:dateAx>
      <c:valAx>
        <c:axId val="460674840"/>
        <c:scaling>
          <c:orientation val="minMax"/>
        </c:scaling>
        <c:delete val="0"/>
        <c:axPos val="l"/>
        <c:numFmt formatCode="0%" sourceLinked="0"/>
        <c:majorTickMark val="out"/>
        <c:minorTickMark val="none"/>
        <c:tickLblPos val="nextTo"/>
        <c:spPr>
          <a:ln>
            <a:solidFill>
              <a:schemeClr val="tx1">
                <a:lumMod val="75000"/>
                <a:lumOff val="25000"/>
              </a:schemeClr>
            </a:solidFill>
          </a:ln>
        </c:spPr>
        <c:txPr>
          <a:bodyPr rot="0" vert="horz"/>
          <a:lstStyle/>
          <a:p>
            <a:pPr>
              <a:defRPr/>
            </a:pPr>
            <a:endParaRPr lang="en-US"/>
          </a:p>
        </c:txPr>
        <c:crossAx val="460674448"/>
        <c:crosses val="autoZero"/>
        <c:crossBetween val="midCat"/>
      </c:valAx>
      <c:spPr>
        <a:noFill/>
      </c:spPr>
    </c:plotArea>
    <c:plotVisOnly val="1"/>
    <c:dispBlanksAs val="gap"/>
    <c:showDLblsOverMax val="0"/>
  </c:chart>
  <c:spPr>
    <a:noFill/>
    <a:ln>
      <a:noFill/>
    </a:ln>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41261633919338E-2"/>
          <c:y val="1.6949152542372881E-2"/>
          <c:w val="0.9793174767321613"/>
          <c:h val="0.96610169491525422"/>
        </c:manualLayout>
      </c:layout>
      <c:barChart>
        <c:barDir val="col"/>
        <c:grouping val="clustered"/>
        <c:varyColors val="0"/>
        <c:dLbls>
          <c:showLegendKey val="0"/>
          <c:showVal val="0"/>
          <c:showCatName val="0"/>
          <c:showSerName val="0"/>
          <c:showPercent val="0"/>
          <c:showBubbleSize val="0"/>
        </c:dLbls>
        <c:gapWidth val="150"/>
        <c:axId val="466675008"/>
        <c:axId val="466675400"/>
      </c:barChart>
      <c:catAx>
        <c:axId val="466675008"/>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6675400"/>
        <c:crosses val="autoZero"/>
        <c:auto val="1"/>
        <c:lblAlgn val="ctr"/>
        <c:lblOffset val="100"/>
        <c:tickMarkSkip val="1"/>
        <c:noMultiLvlLbl val="0"/>
      </c:catAx>
      <c:valAx>
        <c:axId val="466675400"/>
        <c:scaling>
          <c:orientation val="minMax"/>
        </c:scaling>
        <c:delete val="0"/>
        <c:axPos val="l"/>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667500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GB"/>
              <a:t>Turnout at UK General Elections: 1918-2010</a:t>
            </a:r>
          </a:p>
        </c:rich>
      </c:tx>
      <c:overlay val="0"/>
    </c:title>
    <c:autoTitleDeleted val="0"/>
    <c:plotArea>
      <c:layout/>
      <c:barChart>
        <c:barDir val="col"/>
        <c:grouping val="clustered"/>
        <c:varyColors val="0"/>
        <c:ser>
          <c:idx val="2"/>
          <c:order val="0"/>
          <c:spPr>
            <a:solidFill>
              <a:srgbClr val="009900"/>
            </a:solidFill>
          </c:spPr>
          <c:invertIfNegative val="0"/>
          <c:val>
            <c:numRef>
              <c:f>'2 Turnout'!$H$9:$H$34</c:f>
              <c:numCache>
                <c:formatCode>0.0%</c:formatCode>
                <c:ptCount val="26"/>
                <c:pt idx="0">
                  <c:v>0.57199999999999995</c:v>
                </c:pt>
                <c:pt idx="1">
                  <c:v>0.73</c:v>
                </c:pt>
                <c:pt idx="2">
                  <c:v>0.71099999999999997</c:v>
                </c:pt>
                <c:pt idx="3">
                  <c:v>0.77</c:v>
                </c:pt>
                <c:pt idx="4">
                  <c:v>0.76300000000000001</c:v>
                </c:pt>
                <c:pt idx="5">
                  <c:v>0.76400000000000001</c:v>
                </c:pt>
                <c:pt idx="6">
                  <c:v>0.71099999999999997</c:v>
                </c:pt>
                <c:pt idx="7">
                  <c:v>0.72799999999999998</c:v>
                </c:pt>
                <c:pt idx="8">
                  <c:v>0.83899999999999997</c:v>
                </c:pt>
                <c:pt idx="9">
                  <c:v>0.82599999999999996</c:v>
                </c:pt>
                <c:pt idx="10">
                  <c:v>0.76800000000000002</c:v>
                </c:pt>
                <c:pt idx="11">
                  <c:v>0.78700000000000003</c:v>
                </c:pt>
                <c:pt idx="12">
                  <c:v>0.77100000000000002</c:v>
                </c:pt>
                <c:pt idx="13">
                  <c:v>0.75800000000000001</c:v>
                </c:pt>
                <c:pt idx="14">
                  <c:v>0.72</c:v>
                </c:pt>
                <c:pt idx="15">
                  <c:v>0.78800000000000003</c:v>
                </c:pt>
                <c:pt idx="16">
                  <c:v>0.72799999999999998</c:v>
                </c:pt>
                <c:pt idx="17">
                  <c:v>0.76</c:v>
                </c:pt>
                <c:pt idx="18">
                  <c:v>0.72699999999999998</c:v>
                </c:pt>
                <c:pt idx="19">
                  <c:v>0.753</c:v>
                </c:pt>
                <c:pt idx="20">
                  <c:v>0.77700000000000002</c:v>
                </c:pt>
                <c:pt idx="21">
                  <c:v>0.71399999999999997</c:v>
                </c:pt>
                <c:pt idx="22">
                  <c:v>0.59399999999999997</c:v>
                </c:pt>
                <c:pt idx="23">
                  <c:v>0.61399999999999999</c:v>
                </c:pt>
                <c:pt idx="24">
                  <c:v>0.65100000000000002</c:v>
                </c:pt>
                <c:pt idx="25">
                  <c:v>0.66200000000000003</c:v>
                </c:pt>
              </c:numCache>
            </c:numRef>
          </c:val>
          <c:extLst>
            <c:ext xmlns:c16="http://schemas.microsoft.com/office/drawing/2014/chart" uri="{C3380CC4-5D6E-409C-BE32-E72D297353CC}">
              <c16:uniqueId val="{00000000-64B8-485A-95A2-9CE54660414D}"/>
            </c:ext>
          </c:extLst>
        </c:ser>
        <c:dLbls>
          <c:showLegendKey val="0"/>
          <c:showVal val="0"/>
          <c:showCatName val="0"/>
          <c:showSerName val="0"/>
          <c:showPercent val="0"/>
          <c:showBubbleSize val="0"/>
        </c:dLbls>
        <c:gapWidth val="150"/>
        <c:axId val="466676184"/>
        <c:axId val="466676576"/>
      </c:barChart>
      <c:catAx>
        <c:axId val="466676184"/>
        <c:scaling>
          <c:orientation val="minMax"/>
        </c:scaling>
        <c:delete val="0"/>
        <c:axPos val="b"/>
        <c:numFmt formatCode="General" sourceLinked="1"/>
        <c:majorTickMark val="none"/>
        <c:minorTickMark val="none"/>
        <c:tickLblPos val="nextTo"/>
        <c:txPr>
          <a:bodyPr rot="-5400000" vert="horz"/>
          <a:lstStyle/>
          <a:p>
            <a:pPr>
              <a:defRPr sz="900" b="0" i="0" u="none" strike="noStrike" baseline="0">
                <a:solidFill>
                  <a:srgbClr val="000000"/>
                </a:solidFill>
                <a:latin typeface="Arial"/>
                <a:ea typeface="Arial"/>
                <a:cs typeface="Arial"/>
              </a:defRPr>
            </a:pPr>
            <a:endParaRPr lang="en-US"/>
          </a:p>
        </c:txPr>
        <c:crossAx val="466676576"/>
        <c:crosses val="autoZero"/>
        <c:auto val="1"/>
        <c:lblAlgn val="ctr"/>
        <c:lblOffset val="100"/>
        <c:noMultiLvlLbl val="0"/>
      </c:catAx>
      <c:valAx>
        <c:axId val="466676576"/>
        <c:scaling>
          <c:orientation val="minMax"/>
          <c:max val="0.9"/>
        </c:scaling>
        <c:delete val="0"/>
        <c:axPos val="l"/>
        <c:numFmt formatCode="0.0%"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466676184"/>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GB" b="1" cap="none" baseline="0"/>
              <a:t>Turnout at UK General Elections </a:t>
            </a:r>
          </a:p>
        </c:rich>
      </c:tx>
      <c:layout>
        <c:manualLayout>
          <c:xMode val="edge"/>
          <c:yMode val="edge"/>
          <c:x val="0.108611851449"/>
          <c:y val="1.9225405634984238E-3"/>
        </c:manualLayout>
      </c:layout>
      <c:overlay val="0"/>
      <c:spPr>
        <a:noFill/>
        <a:ln w="25400">
          <a:noFill/>
        </a:ln>
      </c:spPr>
    </c:title>
    <c:autoTitleDeleted val="0"/>
    <c:plotArea>
      <c:layout>
        <c:manualLayout>
          <c:layoutTarget val="inner"/>
          <c:xMode val="edge"/>
          <c:yMode val="edge"/>
          <c:x val="0.3039498210224193"/>
          <c:y val="9.6546019982796272E-2"/>
          <c:w val="0.79240004374453188"/>
          <c:h val="0.84179007035885223"/>
        </c:manualLayout>
      </c:layout>
      <c:barChart>
        <c:barDir val="bar"/>
        <c:grouping val="clustered"/>
        <c:varyColors val="0"/>
        <c:ser>
          <c:idx val="0"/>
          <c:order val="0"/>
          <c:tx>
            <c:strRef>
              <c:f>'2 Turnout'!$H$7</c:f>
              <c:strCache>
                <c:ptCount val="1"/>
                <c:pt idx="0">
                  <c:v>United Kingdom</c:v>
                </c:pt>
              </c:strCache>
            </c:strRef>
          </c:tx>
          <c:spPr>
            <a:solidFill>
              <a:schemeClr val="accent1"/>
            </a:solidFill>
            <a:ln w="25400">
              <a:solidFill>
                <a:schemeClr val="accent1"/>
              </a:solidFill>
            </a:ln>
          </c:spPr>
          <c:invertIfNegative val="0"/>
          <c:cat>
            <c:numRef>
              <c:extLst>
                <c:ext xmlns:c15="http://schemas.microsoft.com/office/drawing/2012/chart" uri="{02D57815-91ED-43cb-92C2-25804820EDAC}">
                  <c15:fullRef>
                    <c15:sqref>'2 Turnout'!$A$8:$A$36</c15:sqref>
                  </c15:fullRef>
                </c:ext>
              </c:extLst>
              <c:f>'2 Turnout'!$A$9:$A$36</c:f>
              <c:numCache>
                <c:formatCode>0</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c:v>1974</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extLst>
                <c:ext xmlns:c15="http://schemas.microsoft.com/office/drawing/2012/chart" uri="{02D57815-91ED-43cb-92C2-25804820EDAC}">
                  <c15:fullRef>
                    <c15:sqref>'2 Turnout'!$H$8:$H$36</c15:sqref>
                  </c15:fullRef>
                </c:ext>
              </c:extLst>
              <c:f>'2 Turnout'!$H$9:$H$36</c:f>
              <c:numCache>
                <c:formatCode>0.0%</c:formatCode>
                <c:ptCount val="28"/>
                <c:pt idx="0">
                  <c:v>0.57199999999999995</c:v>
                </c:pt>
                <c:pt idx="1">
                  <c:v>0.73</c:v>
                </c:pt>
                <c:pt idx="2">
                  <c:v>0.71099999999999997</c:v>
                </c:pt>
                <c:pt idx="3">
                  <c:v>0.77</c:v>
                </c:pt>
                <c:pt idx="4">
                  <c:v>0.76300000000000001</c:v>
                </c:pt>
                <c:pt idx="5">
                  <c:v>0.76400000000000001</c:v>
                </c:pt>
                <c:pt idx="6">
                  <c:v>0.71099999999999997</c:v>
                </c:pt>
                <c:pt idx="7">
                  <c:v>0.72799999999999998</c:v>
                </c:pt>
                <c:pt idx="8">
                  <c:v>0.83899999999999997</c:v>
                </c:pt>
                <c:pt idx="9">
                  <c:v>0.82599999999999996</c:v>
                </c:pt>
                <c:pt idx="10">
                  <c:v>0.76800000000000002</c:v>
                </c:pt>
                <c:pt idx="11">
                  <c:v>0.78700000000000003</c:v>
                </c:pt>
                <c:pt idx="12">
                  <c:v>0.77100000000000002</c:v>
                </c:pt>
                <c:pt idx="13">
                  <c:v>0.75800000000000001</c:v>
                </c:pt>
                <c:pt idx="14">
                  <c:v>0.72</c:v>
                </c:pt>
                <c:pt idx="15">
                  <c:v>0.78800000000000003</c:v>
                </c:pt>
                <c:pt idx="16">
                  <c:v>0.72799999999999998</c:v>
                </c:pt>
                <c:pt idx="17">
                  <c:v>0.76</c:v>
                </c:pt>
                <c:pt idx="18">
                  <c:v>0.72699999999999998</c:v>
                </c:pt>
                <c:pt idx="19">
                  <c:v>0.753</c:v>
                </c:pt>
                <c:pt idx="20">
                  <c:v>0.77700000000000002</c:v>
                </c:pt>
                <c:pt idx="21">
                  <c:v>0.71399999999999997</c:v>
                </c:pt>
                <c:pt idx="22">
                  <c:v>0.59399999999999997</c:v>
                </c:pt>
                <c:pt idx="23">
                  <c:v>0.61399999999999999</c:v>
                </c:pt>
                <c:pt idx="24">
                  <c:v>0.65100000000000002</c:v>
                </c:pt>
                <c:pt idx="25">
                  <c:v>0.66200000000000003</c:v>
                </c:pt>
                <c:pt idx="26">
                  <c:v>0.68799999999999994</c:v>
                </c:pt>
                <c:pt idx="27">
                  <c:v>0.67300000000000004</c:v>
                </c:pt>
              </c:numCache>
            </c:numRef>
          </c:val>
          <c:extLst>
            <c:ext xmlns:c16="http://schemas.microsoft.com/office/drawing/2014/chart" uri="{C3380CC4-5D6E-409C-BE32-E72D297353CC}">
              <c16:uniqueId val="{00000000-1AEC-48FA-87E5-112F33EEA3A5}"/>
            </c:ext>
          </c:extLst>
        </c:ser>
        <c:dLbls>
          <c:showLegendKey val="0"/>
          <c:showVal val="0"/>
          <c:showCatName val="0"/>
          <c:showSerName val="0"/>
          <c:showPercent val="0"/>
          <c:showBubbleSize val="0"/>
        </c:dLbls>
        <c:gapWidth val="63"/>
        <c:axId val="466678536"/>
        <c:axId val="466678928"/>
      </c:barChart>
      <c:catAx>
        <c:axId val="466678536"/>
        <c:scaling>
          <c:orientation val="maxMin"/>
        </c:scaling>
        <c:delete val="0"/>
        <c:axPos val="l"/>
        <c:numFmt formatCode="0" sourceLinked="0"/>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66678928"/>
        <c:crosses val="autoZero"/>
        <c:auto val="1"/>
        <c:lblAlgn val="ctr"/>
        <c:lblOffset val="100"/>
        <c:tickLblSkip val="1"/>
        <c:tickMarkSkip val="1"/>
        <c:noMultiLvlLbl val="0"/>
      </c:catAx>
      <c:valAx>
        <c:axId val="466678928"/>
        <c:scaling>
          <c:orientation val="minMax"/>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6678536"/>
        <c:crosses val="max"/>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37001409306594"/>
          <c:y val="0.13732921118002286"/>
          <c:w val="0.57817721060729477"/>
          <c:h val="0.7852287832744006"/>
        </c:manualLayout>
      </c:layout>
      <c:barChart>
        <c:barDir val="bar"/>
        <c:grouping val="clustered"/>
        <c:varyColors val="0"/>
        <c:ser>
          <c:idx val="0"/>
          <c:order val="0"/>
          <c:spPr>
            <a:solidFill>
              <a:schemeClr val="accent1"/>
            </a:solidFill>
            <a:ln w="25400">
              <a:solidFill>
                <a:schemeClr val="accent1"/>
              </a:solidFill>
            </a:ln>
          </c:spPr>
          <c:invertIfNegative val="0"/>
          <c:cat>
            <c:numRef>
              <c:f>'4 Postal ballots'!$A$8:$A$28</c:f>
              <c:numCache>
                <c:formatCode>0</c:formatCode>
                <c:ptCount val="21"/>
                <c:pt idx="0">
                  <c:v>1945</c:v>
                </c:pt>
                <c:pt idx="1">
                  <c:v>1950</c:v>
                </c:pt>
                <c:pt idx="2">
                  <c:v>1951</c:v>
                </c:pt>
                <c:pt idx="3">
                  <c:v>1955</c:v>
                </c:pt>
                <c:pt idx="4">
                  <c:v>1959</c:v>
                </c:pt>
                <c:pt idx="5">
                  <c:v>1964</c:v>
                </c:pt>
                <c:pt idx="6">
                  <c:v>1966</c:v>
                </c:pt>
                <c:pt idx="7">
                  <c:v>1970</c:v>
                </c:pt>
                <c:pt idx="8">
                  <c:v>1974</c:v>
                </c:pt>
                <c:pt idx="9">
                  <c:v>1974</c:v>
                </c:pt>
                <c:pt idx="10">
                  <c:v>1979</c:v>
                </c:pt>
                <c:pt idx="11">
                  <c:v>1983</c:v>
                </c:pt>
                <c:pt idx="12">
                  <c:v>1987</c:v>
                </c:pt>
                <c:pt idx="13">
                  <c:v>1992</c:v>
                </c:pt>
                <c:pt idx="14">
                  <c:v>1997</c:v>
                </c:pt>
                <c:pt idx="15">
                  <c:v>2001</c:v>
                </c:pt>
                <c:pt idx="16">
                  <c:v>2005</c:v>
                </c:pt>
                <c:pt idx="17">
                  <c:v>2010</c:v>
                </c:pt>
                <c:pt idx="18">
                  <c:v>2015</c:v>
                </c:pt>
                <c:pt idx="19">
                  <c:v>2017</c:v>
                </c:pt>
                <c:pt idx="20">
                  <c:v>2019</c:v>
                </c:pt>
              </c:numCache>
            </c:numRef>
          </c:cat>
          <c:val>
            <c:numRef>
              <c:f>'4 Postal ballots'!$H$8:$H$28</c:f>
              <c:numCache>
                <c:formatCode>0.0%</c:formatCode>
                <c:ptCount val="21"/>
                <c:pt idx="0">
                  <c:v>3.8996230458975968E-2</c:v>
                </c:pt>
                <c:pt idx="1">
                  <c:v>1.595031936927787E-2</c:v>
                </c:pt>
                <c:pt idx="2">
                  <c:v>2.5309988340500997E-2</c:v>
                </c:pt>
                <c:pt idx="3">
                  <c:v>1.8903278208777883E-2</c:v>
                </c:pt>
                <c:pt idx="4">
                  <c:v>2.1030693318003932E-2</c:v>
                </c:pt>
                <c:pt idx="5">
                  <c:v>2.4947695706055793E-2</c:v>
                </c:pt>
                <c:pt idx="6">
                  <c:v>1.8469469203235334E-2</c:v>
                </c:pt>
                <c:pt idx="7">
                  <c:v>2.158618216479561E-2</c:v>
                </c:pt>
                <c:pt idx="8">
                  <c:v>1.967235892918871E-2</c:v>
                </c:pt>
                <c:pt idx="9">
                  <c:v>2.8299846377446224E-2</c:v>
                </c:pt>
                <c:pt idx="10">
                  <c:v>2.1682756964479827E-2</c:v>
                </c:pt>
                <c:pt idx="11">
                  <c:v>1.9925232685633482E-2</c:v>
                </c:pt>
                <c:pt idx="12">
                  <c:v>2.3799494877956847E-2</c:v>
                </c:pt>
                <c:pt idx="13">
                  <c:v>2.0175325093445901E-2</c:v>
                </c:pt>
                <c:pt idx="14">
                  <c:v>2.3063742466876865E-2</c:v>
                </c:pt>
                <c:pt idx="15">
                  <c:v>5.0489753922439103E-2</c:v>
                </c:pt>
                <c:pt idx="16">
                  <c:v>0.12740272320575957</c:v>
                </c:pt>
                <c:pt idx="17">
                  <c:v>0.188</c:v>
                </c:pt>
                <c:pt idx="18">
                  <c:v>0.20529596872709505</c:v>
                </c:pt>
                <c:pt idx="19">
                  <c:v>0.21694677985962293</c:v>
                </c:pt>
                <c:pt idx="20">
                  <c:v>0.20983466352805061</c:v>
                </c:pt>
              </c:numCache>
            </c:numRef>
          </c:val>
          <c:extLst>
            <c:ext xmlns:c16="http://schemas.microsoft.com/office/drawing/2014/chart" uri="{C3380CC4-5D6E-409C-BE32-E72D297353CC}">
              <c16:uniqueId val="{00000000-F518-4A06-B348-DB897A5A9005}"/>
            </c:ext>
          </c:extLst>
        </c:ser>
        <c:dLbls>
          <c:showLegendKey val="0"/>
          <c:showVal val="0"/>
          <c:showCatName val="0"/>
          <c:showSerName val="0"/>
          <c:showPercent val="0"/>
          <c:showBubbleSize val="0"/>
        </c:dLbls>
        <c:gapWidth val="42"/>
        <c:axId val="466680104"/>
        <c:axId val="466680496"/>
      </c:barChart>
      <c:catAx>
        <c:axId val="466680104"/>
        <c:scaling>
          <c:orientation val="maxMin"/>
        </c:scaling>
        <c:delete val="0"/>
        <c:axPos val="l"/>
        <c:numFmt formatCode="General" sourceLinked="0"/>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pPr>
            <a:endParaRPr lang="en-US"/>
          </a:p>
        </c:txPr>
        <c:crossAx val="466680496"/>
        <c:crosses val="autoZero"/>
        <c:auto val="1"/>
        <c:lblAlgn val="ctr"/>
        <c:lblOffset val="100"/>
        <c:tickLblSkip val="1"/>
        <c:noMultiLvlLbl val="1"/>
      </c:catAx>
      <c:valAx>
        <c:axId val="466680496"/>
        <c:scaling>
          <c:orientation val="minMax"/>
          <c:max val="0.30000000000000004"/>
          <c:min val="0"/>
        </c:scaling>
        <c:delete val="0"/>
        <c:axPos val="b"/>
        <c:numFmt formatCode="0%" sourceLinked="0"/>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6680104"/>
        <c:crosses val="max"/>
        <c:crossBetween val="between"/>
        <c:majorUnit val="0.1"/>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75089089473571"/>
          <c:y val="6.3256661448742077E-2"/>
          <c:w val="0.75641668929314876"/>
          <c:h val="0.81548509231734079"/>
        </c:manualLayout>
      </c:layout>
      <c:lineChart>
        <c:grouping val="standard"/>
        <c:varyColors val="0"/>
        <c:ser>
          <c:idx val="3"/>
          <c:order val="0"/>
          <c:tx>
            <c:strRef>
              <c:f>'5 Women MPs Visual'!$Q$5</c:f>
              <c:strCache>
                <c:ptCount val="1"/>
                <c:pt idx="0">
                  <c:v>Other</c:v>
                </c:pt>
              </c:strCache>
            </c:strRef>
          </c:tx>
          <c:spPr>
            <a:ln>
              <a:solidFill>
                <a:schemeClr val="bg1">
                  <a:lumMod val="50000"/>
                </a:schemeClr>
              </a:solidFill>
            </a:ln>
          </c:spPr>
          <c:marker>
            <c:symbol val="none"/>
          </c:marker>
          <c:cat>
            <c:numRef>
              <c:f>'5 Women MPs Visual'!$M$6:$M$31</c:f>
              <c:numCache>
                <c:formatCode>General</c:formatCode>
                <c:ptCount val="26"/>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numCache>
            </c:numRef>
          </c:cat>
          <c:val>
            <c:numRef>
              <c:f>'5 Women MPs Visual'!$Q$6:$Q$31</c:f>
              <c:numCache>
                <c:formatCode>0%</c:formatCode>
                <c:ptCount val="26"/>
                <c:pt idx="0">
                  <c:v>9.5238095238095247E-3</c:v>
                </c:pt>
                <c:pt idx="1">
                  <c:v>0</c:v>
                </c:pt>
                <c:pt idx="2">
                  <c:v>0</c:v>
                </c:pt>
                <c:pt idx="3">
                  <c:v>0</c:v>
                </c:pt>
                <c:pt idx="4">
                  <c:v>0.1111111111111111</c:v>
                </c:pt>
                <c:pt idx="5">
                  <c:v>0.2</c:v>
                </c:pt>
                <c:pt idx="6">
                  <c:v>9.0909090909090912E-2</c:v>
                </c:pt>
                <c:pt idx="7">
                  <c:v>0.04</c:v>
                </c:pt>
                <c:pt idx="8">
                  <c:v>0.33333333333333331</c:v>
                </c:pt>
                <c:pt idx="9">
                  <c:v>0</c:v>
                </c:pt>
                <c:pt idx="10">
                  <c:v>0</c:v>
                </c:pt>
                <c:pt idx="11">
                  <c:v>0</c:v>
                </c:pt>
                <c:pt idx="12">
                  <c:v>0</c:v>
                </c:pt>
                <c:pt idx="13">
                  <c:v>0</c:v>
                </c:pt>
                <c:pt idx="14">
                  <c:v>0.16666666666666666</c:v>
                </c:pt>
                <c:pt idx="15">
                  <c:v>4.3478260869565216E-2</c:v>
                </c:pt>
                <c:pt idx="16">
                  <c:v>7.6923076923076927E-2</c:v>
                </c:pt>
                <c:pt idx="17">
                  <c:v>0</c:v>
                </c:pt>
                <c:pt idx="18">
                  <c:v>0</c:v>
                </c:pt>
                <c:pt idx="19">
                  <c:v>4.3478260869565216E-2</c:v>
                </c:pt>
                <c:pt idx="20">
                  <c:v>4.1666666666666664E-2</c:v>
                </c:pt>
                <c:pt idx="21">
                  <c:v>0.1</c:v>
                </c:pt>
                <c:pt idx="22">
                  <c:v>0.13793103448275862</c:v>
                </c:pt>
                <c:pt idx="23">
                  <c:v>9.6774193548387094E-2</c:v>
                </c:pt>
                <c:pt idx="24">
                  <c:v>0.20689655172413793</c:v>
                </c:pt>
                <c:pt idx="25">
                  <c:v>0.3</c:v>
                </c:pt>
              </c:numCache>
            </c:numRef>
          </c:val>
          <c:smooth val="0"/>
          <c:extLst>
            <c:ext xmlns:c16="http://schemas.microsoft.com/office/drawing/2014/chart" uri="{C3380CC4-5D6E-409C-BE32-E72D297353CC}">
              <c16:uniqueId val="{00000000-078F-499B-BE57-3EF07BB90861}"/>
            </c:ext>
          </c:extLst>
        </c:ser>
        <c:dLbls>
          <c:showLegendKey val="0"/>
          <c:showVal val="0"/>
          <c:showCatName val="0"/>
          <c:showSerName val="0"/>
          <c:showPercent val="0"/>
          <c:showBubbleSize val="0"/>
        </c:dLbls>
        <c:smooth val="0"/>
        <c:axId val="465142408"/>
        <c:axId val="465142800"/>
      </c:lineChart>
      <c:catAx>
        <c:axId val="465142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900" b="0" i="0" u="none" strike="noStrike" baseline="0">
                <a:solidFill>
                  <a:srgbClr val="000000"/>
                </a:solidFill>
                <a:latin typeface="Frutiger LT Std 55 Roman"/>
                <a:ea typeface="Frutiger LT Std 55 Roman"/>
                <a:cs typeface="Frutiger LT Std 55 Roman"/>
              </a:defRPr>
            </a:pPr>
            <a:endParaRPr lang="en-US"/>
          </a:p>
        </c:txPr>
        <c:crossAx val="465142800"/>
        <c:crosses val="autoZero"/>
        <c:auto val="1"/>
        <c:lblAlgn val="ctr"/>
        <c:lblOffset val="100"/>
        <c:tickLblSkip val="5"/>
        <c:noMultiLvlLbl val="0"/>
      </c:catAx>
      <c:valAx>
        <c:axId val="465142800"/>
        <c:scaling>
          <c:orientation val="minMax"/>
          <c:max val="0.45"/>
          <c:min val="0"/>
        </c:scaling>
        <c:delete val="0"/>
        <c:axPos val="l"/>
        <c:numFmt formatCode="0%" sourceLinked="1"/>
        <c:majorTickMark val="out"/>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55 Roman"/>
                <a:ea typeface="Frutiger LT Std 55 Roman"/>
                <a:cs typeface="Frutiger LT Std 55 Roman"/>
              </a:defRPr>
            </a:pPr>
            <a:endParaRPr lang="en-US"/>
          </a:p>
        </c:txPr>
        <c:crossAx val="465142408"/>
        <c:crosses val="autoZero"/>
        <c:crossBetween val="between"/>
        <c:majorUnit val="5.000000000000001E-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Frutiger LT Std 55 Roman"/>
          <a:ea typeface="Frutiger LT Std 55 Roman"/>
          <a:cs typeface="Frutiger LT Std 55 Roman"/>
        </a:defRPr>
      </a:pPr>
      <a:endParaRPr lang="en-US"/>
    </a:p>
  </c:txPr>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4117216140349"/>
          <c:y val="1.715254400181938E-2"/>
          <c:w val="0.82931792849316543"/>
          <c:h val="0.92141036099012463"/>
        </c:manualLayout>
      </c:layout>
      <c:barChart>
        <c:barDir val="bar"/>
        <c:grouping val="stacked"/>
        <c:varyColors val="0"/>
        <c:ser>
          <c:idx val="0"/>
          <c:order val="0"/>
          <c:tx>
            <c:strRef>
              <c:f>'5 Women MPs Visual'!$D$5</c:f>
              <c:strCache>
                <c:ptCount val="1"/>
                <c:pt idx="0">
                  <c:v>LAB</c:v>
                </c:pt>
              </c:strCache>
            </c:strRef>
          </c:tx>
          <c:spPr>
            <a:solidFill>
              <a:srgbClr val="CC3300"/>
            </a:solidFill>
          </c:spPr>
          <c:invertIfNegative val="0"/>
          <c:cat>
            <c:strRef>
              <c:f>'5 Women MPs Visual'!$A$6:$A$33</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'5 Women MPs Visual'!$D$6:$D$33</c:f>
              <c:numCache>
                <c:formatCode>General</c:formatCode>
                <c:ptCount val="28"/>
                <c:pt idx="0">
                  <c:v>0</c:v>
                </c:pt>
                <c:pt idx="1">
                  <c:v>0</c:v>
                </c:pt>
                <c:pt idx="2">
                  <c:v>3</c:v>
                </c:pt>
                <c:pt idx="3">
                  <c:v>1</c:v>
                </c:pt>
                <c:pt idx="4">
                  <c:v>9</c:v>
                </c:pt>
                <c:pt idx="5">
                  <c:v>0</c:v>
                </c:pt>
                <c:pt idx="6">
                  <c:v>1</c:v>
                </c:pt>
                <c:pt idx="7">
                  <c:v>21</c:v>
                </c:pt>
                <c:pt idx="8">
                  <c:v>14</c:v>
                </c:pt>
                <c:pt idx="9">
                  <c:v>11</c:v>
                </c:pt>
                <c:pt idx="10">
                  <c:v>14</c:v>
                </c:pt>
                <c:pt idx="11">
                  <c:v>13</c:v>
                </c:pt>
                <c:pt idx="12">
                  <c:v>18</c:v>
                </c:pt>
                <c:pt idx="13">
                  <c:v>19</c:v>
                </c:pt>
                <c:pt idx="14">
                  <c:v>10</c:v>
                </c:pt>
                <c:pt idx="15">
                  <c:v>13</c:v>
                </c:pt>
                <c:pt idx="16">
                  <c:v>18</c:v>
                </c:pt>
                <c:pt idx="17">
                  <c:v>11</c:v>
                </c:pt>
                <c:pt idx="18">
                  <c:v>10</c:v>
                </c:pt>
                <c:pt idx="19">
                  <c:v>21</c:v>
                </c:pt>
                <c:pt idx="20">
                  <c:v>37</c:v>
                </c:pt>
                <c:pt idx="21">
                  <c:v>101</c:v>
                </c:pt>
                <c:pt idx="22">
                  <c:v>95</c:v>
                </c:pt>
                <c:pt idx="23">
                  <c:v>98</c:v>
                </c:pt>
                <c:pt idx="24">
                  <c:v>81</c:v>
                </c:pt>
                <c:pt idx="25">
                  <c:v>99</c:v>
                </c:pt>
                <c:pt idx="26">
                  <c:v>119</c:v>
                </c:pt>
                <c:pt idx="27">
                  <c:v>104</c:v>
                </c:pt>
              </c:numCache>
            </c:numRef>
          </c:val>
          <c:extLst>
            <c:ext xmlns:c16="http://schemas.microsoft.com/office/drawing/2014/chart" uri="{C3380CC4-5D6E-409C-BE32-E72D297353CC}">
              <c16:uniqueId val="{00000000-9810-4C89-8E3A-9DBB11D9443C}"/>
            </c:ext>
          </c:extLst>
        </c:ser>
        <c:ser>
          <c:idx val="3"/>
          <c:order val="1"/>
          <c:tx>
            <c:strRef>
              <c:f>'5 Women MPs Visual'!$C$5</c:f>
              <c:strCache>
                <c:ptCount val="1"/>
                <c:pt idx="0">
                  <c:v>CON</c:v>
                </c:pt>
              </c:strCache>
            </c:strRef>
          </c:tx>
          <c:spPr>
            <a:solidFill>
              <a:srgbClr val="00539F"/>
            </a:solidFill>
          </c:spPr>
          <c:invertIfNegative val="0"/>
          <c:dPt>
            <c:idx val="0"/>
            <c:invertIfNegative val="0"/>
            <c:bubble3D val="0"/>
            <c:extLst>
              <c:ext xmlns:c16="http://schemas.microsoft.com/office/drawing/2014/chart" uri="{C3380CC4-5D6E-409C-BE32-E72D297353CC}">
                <c16:uniqueId val="{00000001-9810-4C89-8E3A-9DBB11D9443C}"/>
              </c:ext>
            </c:extLst>
          </c:dPt>
          <c:dPt>
            <c:idx val="1"/>
            <c:invertIfNegative val="0"/>
            <c:bubble3D val="0"/>
            <c:extLst>
              <c:ext xmlns:c16="http://schemas.microsoft.com/office/drawing/2014/chart" uri="{C3380CC4-5D6E-409C-BE32-E72D297353CC}">
                <c16:uniqueId val="{00000002-9810-4C89-8E3A-9DBB11D9443C}"/>
              </c:ext>
            </c:extLst>
          </c:dPt>
          <c:dPt>
            <c:idx val="2"/>
            <c:invertIfNegative val="0"/>
            <c:bubble3D val="0"/>
            <c:extLst>
              <c:ext xmlns:c16="http://schemas.microsoft.com/office/drawing/2014/chart" uri="{C3380CC4-5D6E-409C-BE32-E72D297353CC}">
                <c16:uniqueId val="{00000003-9810-4C89-8E3A-9DBB11D9443C}"/>
              </c:ext>
            </c:extLst>
          </c:dPt>
          <c:dPt>
            <c:idx val="3"/>
            <c:invertIfNegative val="0"/>
            <c:bubble3D val="0"/>
            <c:spPr>
              <a:solidFill>
                <a:srgbClr val="00539F"/>
              </a:solidFill>
              <a:ln>
                <a:solidFill>
                  <a:schemeClr val="accent4">
                    <a:lumMod val="20000"/>
                    <a:lumOff val="80000"/>
                  </a:schemeClr>
                </a:solidFill>
              </a:ln>
            </c:spPr>
            <c:extLst>
              <c:ext xmlns:c16="http://schemas.microsoft.com/office/drawing/2014/chart" uri="{C3380CC4-5D6E-409C-BE32-E72D297353CC}">
                <c16:uniqueId val="{00000005-9810-4C89-8E3A-9DBB11D9443C}"/>
              </c:ext>
            </c:extLst>
          </c:dPt>
          <c:dPt>
            <c:idx val="4"/>
            <c:invertIfNegative val="0"/>
            <c:bubble3D val="0"/>
            <c:extLst>
              <c:ext xmlns:c16="http://schemas.microsoft.com/office/drawing/2014/chart" uri="{C3380CC4-5D6E-409C-BE32-E72D297353CC}">
                <c16:uniqueId val="{00000006-9810-4C89-8E3A-9DBB11D9443C}"/>
              </c:ext>
            </c:extLst>
          </c:dPt>
          <c:dPt>
            <c:idx val="5"/>
            <c:invertIfNegative val="0"/>
            <c:bubble3D val="0"/>
            <c:extLst>
              <c:ext xmlns:c16="http://schemas.microsoft.com/office/drawing/2014/chart" uri="{C3380CC4-5D6E-409C-BE32-E72D297353CC}">
                <c16:uniqueId val="{00000007-9810-4C89-8E3A-9DBB11D9443C}"/>
              </c:ext>
            </c:extLst>
          </c:dPt>
          <c:dPt>
            <c:idx val="6"/>
            <c:invertIfNegative val="0"/>
            <c:bubble3D val="0"/>
            <c:extLst>
              <c:ext xmlns:c16="http://schemas.microsoft.com/office/drawing/2014/chart" uri="{C3380CC4-5D6E-409C-BE32-E72D297353CC}">
                <c16:uniqueId val="{00000008-9810-4C89-8E3A-9DBB11D9443C}"/>
              </c:ext>
            </c:extLst>
          </c:dPt>
          <c:dPt>
            <c:idx val="7"/>
            <c:invertIfNegative val="0"/>
            <c:bubble3D val="0"/>
            <c:extLst>
              <c:ext xmlns:c16="http://schemas.microsoft.com/office/drawing/2014/chart" uri="{C3380CC4-5D6E-409C-BE32-E72D297353CC}">
                <c16:uniqueId val="{00000009-9810-4C89-8E3A-9DBB11D9443C}"/>
              </c:ext>
            </c:extLst>
          </c:dPt>
          <c:dPt>
            <c:idx val="8"/>
            <c:invertIfNegative val="0"/>
            <c:bubble3D val="0"/>
            <c:extLst>
              <c:ext xmlns:c16="http://schemas.microsoft.com/office/drawing/2014/chart" uri="{C3380CC4-5D6E-409C-BE32-E72D297353CC}">
                <c16:uniqueId val="{0000000A-9810-4C89-8E3A-9DBB11D9443C}"/>
              </c:ext>
            </c:extLst>
          </c:dPt>
          <c:dPt>
            <c:idx val="9"/>
            <c:invertIfNegative val="0"/>
            <c:bubble3D val="0"/>
            <c:extLst>
              <c:ext xmlns:c16="http://schemas.microsoft.com/office/drawing/2014/chart" uri="{C3380CC4-5D6E-409C-BE32-E72D297353CC}">
                <c16:uniqueId val="{0000000B-9810-4C89-8E3A-9DBB11D9443C}"/>
              </c:ext>
            </c:extLst>
          </c:dPt>
          <c:dPt>
            <c:idx val="10"/>
            <c:invertIfNegative val="0"/>
            <c:bubble3D val="0"/>
            <c:extLst>
              <c:ext xmlns:c16="http://schemas.microsoft.com/office/drawing/2014/chart" uri="{C3380CC4-5D6E-409C-BE32-E72D297353CC}">
                <c16:uniqueId val="{0000000C-9810-4C89-8E3A-9DBB11D9443C}"/>
              </c:ext>
            </c:extLst>
          </c:dPt>
          <c:dPt>
            <c:idx val="11"/>
            <c:invertIfNegative val="0"/>
            <c:bubble3D val="0"/>
            <c:extLst>
              <c:ext xmlns:c16="http://schemas.microsoft.com/office/drawing/2014/chart" uri="{C3380CC4-5D6E-409C-BE32-E72D297353CC}">
                <c16:uniqueId val="{0000000D-9810-4C89-8E3A-9DBB11D9443C}"/>
              </c:ext>
            </c:extLst>
          </c:dPt>
          <c:dPt>
            <c:idx val="12"/>
            <c:invertIfNegative val="0"/>
            <c:bubble3D val="0"/>
            <c:extLst>
              <c:ext xmlns:c16="http://schemas.microsoft.com/office/drawing/2014/chart" uri="{C3380CC4-5D6E-409C-BE32-E72D297353CC}">
                <c16:uniqueId val="{0000000E-9810-4C89-8E3A-9DBB11D9443C}"/>
              </c:ext>
            </c:extLst>
          </c:dPt>
          <c:dPt>
            <c:idx val="13"/>
            <c:invertIfNegative val="0"/>
            <c:bubble3D val="0"/>
            <c:extLst>
              <c:ext xmlns:c16="http://schemas.microsoft.com/office/drawing/2014/chart" uri="{C3380CC4-5D6E-409C-BE32-E72D297353CC}">
                <c16:uniqueId val="{0000000F-9810-4C89-8E3A-9DBB11D9443C}"/>
              </c:ext>
            </c:extLst>
          </c:dPt>
          <c:dPt>
            <c:idx val="14"/>
            <c:invertIfNegative val="0"/>
            <c:bubble3D val="0"/>
            <c:extLst>
              <c:ext xmlns:c16="http://schemas.microsoft.com/office/drawing/2014/chart" uri="{C3380CC4-5D6E-409C-BE32-E72D297353CC}">
                <c16:uniqueId val="{00000010-9810-4C89-8E3A-9DBB11D9443C}"/>
              </c:ext>
            </c:extLst>
          </c:dPt>
          <c:dPt>
            <c:idx val="15"/>
            <c:invertIfNegative val="0"/>
            <c:bubble3D val="0"/>
            <c:extLst>
              <c:ext xmlns:c16="http://schemas.microsoft.com/office/drawing/2014/chart" uri="{C3380CC4-5D6E-409C-BE32-E72D297353CC}">
                <c16:uniqueId val="{00000011-9810-4C89-8E3A-9DBB11D9443C}"/>
              </c:ext>
            </c:extLst>
          </c:dPt>
          <c:dPt>
            <c:idx val="16"/>
            <c:invertIfNegative val="0"/>
            <c:bubble3D val="0"/>
            <c:extLst>
              <c:ext xmlns:c16="http://schemas.microsoft.com/office/drawing/2014/chart" uri="{C3380CC4-5D6E-409C-BE32-E72D297353CC}">
                <c16:uniqueId val="{00000012-9810-4C89-8E3A-9DBB11D9443C}"/>
              </c:ext>
            </c:extLst>
          </c:dPt>
          <c:dPt>
            <c:idx val="17"/>
            <c:invertIfNegative val="0"/>
            <c:bubble3D val="0"/>
            <c:extLst>
              <c:ext xmlns:c16="http://schemas.microsoft.com/office/drawing/2014/chart" uri="{C3380CC4-5D6E-409C-BE32-E72D297353CC}">
                <c16:uniqueId val="{00000013-9810-4C89-8E3A-9DBB11D9443C}"/>
              </c:ext>
            </c:extLst>
          </c:dPt>
          <c:dPt>
            <c:idx val="18"/>
            <c:invertIfNegative val="0"/>
            <c:bubble3D val="0"/>
            <c:extLst>
              <c:ext xmlns:c16="http://schemas.microsoft.com/office/drawing/2014/chart" uri="{C3380CC4-5D6E-409C-BE32-E72D297353CC}">
                <c16:uniqueId val="{00000014-9810-4C89-8E3A-9DBB11D9443C}"/>
              </c:ext>
            </c:extLst>
          </c:dPt>
          <c:cat>
            <c:strRef>
              <c:f>'5 Women MPs Visual'!$A$6:$A$33</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'5 Women MPs Visual'!$C$6:$C$33</c:f>
              <c:numCache>
                <c:formatCode>General</c:formatCode>
                <c:ptCount val="28"/>
                <c:pt idx="0">
                  <c:v>0</c:v>
                </c:pt>
                <c:pt idx="1">
                  <c:v>1</c:v>
                </c:pt>
                <c:pt idx="2">
                  <c:v>3</c:v>
                </c:pt>
                <c:pt idx="3">
                  <c:v>3</c:v>
                </c:pt>
                <c:pt idx="4">
                  <c:v>3</c:v>
                </c:pt>
                <c:pt idx="5">
                  <c:v>13</c:v>
                </c:pt>
                <c:pt idx="6">
                  <c:v>6</c:v>
                </c:pt>
                <c:pt idx="7">
                  <c:v>1</c:v>
                </c:pt>
                <c:pt idx="8">
                  <c:v>6</c:v>
                </c:pt>
                <c:pt idx="9">
                  <c:v>6</c:v>
                </c:pt>
                <c:pt idx="10">
                  <c:v>10</c:v>
                </c:pt>
                <c:pt idx="11">
                  <c:v>12</c:v>
                </c:pt>
                <c:pt idx="12">
                  <c:v>11</c:v>
                </c:pt>
                <c:pt idx="13">
                  <c:v>7</c:v>
                </c:pt>
                <c:pt idx="14">
                  <c:v>15</c:v>
                </c:pt>
                <c:pt idx="15">
                  <c:v>9</c:v>
                </c:pt>
                <c:pt idx="16">
                  <c:v>7</c:v>
                </c:pt>
                <c:pt idx="17">
                  <c:v>8</c:v>
                </c:pt>
                <c:pt idx="18">
                  <c:v>13</c:v>
                </c:pt>
                <c:pt idx="19">
                  <c:v>17</c:v>
                </c:pt>
                <c:pt idx="20">
                  <c:v>20</c:v>
                </c:pt>
                <c:pt idx="21">
                  <c:v>13</c:v>
                </c:pt>
                <c:pt idx="22">
                  <c:v>14</c:v>
                </c:pt>
                <c:pt idx="23">
                  <c:v>17</c:v>
                </c:pt>
                <c:pt idx="24">
                  <c:v>49</c:v>
                </c:pt>
                <c:pt idx="25">
                  <c:v>68</c:v>
                </c:pt>
                <c:pt idx="26">
                  <c:v>67</c:v>
                </c:pt>
                <c:pt idx="27">
                  <c:v>87</c:v>
                </c:pt>
              </c:numCache>
            </c:numRef>
          </c:val>
          <c:extLst>
            <c:ext xmlns:c16="http://schemas.microsoft.com/office/drawing/2014/chart" uri="{C3380CC4-5D6E-409C-BE32-E72D297353CC}">
              <c16:uniqueId val="{00000015-9810-4C89-8E3A-9DBB11D9443C}"/>
            </c:ext>
          </c:extLst>
        </c:ser>
        <c:ser>
          <c:idx val="1"/>
          <c:order val="2"/>
          <c:tx>
            <c:strRef>
              <c:f>'5 Women MPs Visual'!$E$5</c:f>
              <c:strCache>
                <c:ptCount val="1"/>
                <c:pt idx="0">
                  <c:v>LD</c:v>
                </c:pt>
              </c:strCache>
            </c:strRef>
          </c:tx>
          <c:spPr>
            <a:solidFill>
              <a:srgbClr val="FAA01A"/>
            </a:solidFill>
          </c:spPr>
          <c:invertIfNegative val="0"/>
          <c:cat>
            <c:strRef>
              <c:f>'5 Women MPs Visual'!$A$6:$A$33</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'5 Women MPs Visual'!$E$6:$E$33</c:f>
              <c:numCache>
                <c:formatCode>General</c:formatCode>
                <c:ptCount val="28"/>
                <c:pt idx="0">
                  <c:v>0</c:v>
                </c:pt>
                <c:pt idx="1">
                  <c:v>1</c:v>
                </c:pt>
                <c:pt idx="2">
                  <c:v>2</c:v>
                </c:pt>
                <c:pt idx="3">
                  <c:v>0</c:v>
                </c:pt>
                <c:pt idx="4">
                  <c:v>1</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2</c:v>
                </c:pt>
                <c:pt idx="20">
                  <c:v>2</c:v>
                </c:pt>
                <c:pt idx="21">
                  <c:v>3</c:v>
                </c:pt>
                <c:pt idx="22">
                  <c:v>5</c:v>
                </c:pt>
                <c:pt idx="23">
                  <c:v>10</c:v>
                </c:pt>
                <c:pt idx="24">
                  <c:v>7</c:v>
                </c:pt>
                <c:pt idx="25">
                  <c:v>0</c:v>
                </c:pt>
                <c:pt idx="26">
                  <c:v>4</c:v>
                </c:pt>
                <c:pt idx="27">
                  <c:v>7</c:v>
                </c:pt>
              </c:numCache>
            </c:numRef>
          </c:val>
          <c:extLst>
            <c:ext xmlns:c16="http://schemas.microsoft.com/office/drawing/2014/chart" uri="{C3380CC4-5D6E-409C-BE32-E72D297353CC}">
              <c16:uniqueId val="{00000016-9810-4C89-8E3A-9DBB11D9443C}"/>
            </c:ext>
          </c:extLst>
        </c:ser>
        <c:ser>
          <c:idx val="2"/>
          <c:order val="3"/>
          <c:tx>
            <c:strRef>
              <c:f>'5 Women MPs Visual'!$F$5</c:f>
              <c:strCache>
                <c:ptCount val="1"/>
                <c:pt idx="0">
                  <c:v>Other</c:v>
                </c:pt>
              </c:strCache>
            </c:strRef>
          </c:tx>
          <c:spPr>
            <a:solidFill>
              <a:srgbClr val="909090"/>
            </a:solidFill>
          </c:spPr>
          <c:invertIfNegative val="0"/>
          <c:cat>
            <c:strRef>
              <c:f>'5 Women MPs Visual'!$A$6:$A$33</c:f>
              <c:strCach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 Feb</c:v>
                </c:pt>
                <c:pt idx="16">
                  <c:v>1974 Oct</c:v>
                </c:pt>
                <c:pt idx="17">
                  <c:v>1979</c:v>
                </c:pt>
                <c:pt idx="18">
                  <c:v>1983</c:v>
                </c:pt>
                <c:pt idx="19">
                  <c:v>1987</c:v>
                </c:pt>
                <c:pt idx="20">
                  <c:v>1992</c:v>
                </c:pt>
                <c:pt idx="21">
                  <c:v>1997</c:v>
                </c:pt>
                <c:pt idx="22">
                  <c:v>2001</c:v>
                </c:pt>
                <c:pt idx="23">
                  <c:v>2005</c:v>
                </c:pt>
                <c:pt idx="24">
                  <c:v>2010</c:v>
                </c:pt>
                <c:pt idx="25">
                  <c:v>2015</c:v>
                </c:pt>
                <c:pt idx="26">
                  <c:v>2017</c:v>
                </c:pt>
                <c:pt idx="27">
                  <c:v>2019</c:v>
                </c:pt>
              </c:strCache>
            </c:strRef>
          </c:cat>
          <c:val>
            <c:numRef>
              <c:f>'5 Women MPs Visual'!$F$6:$F$33</c:f>
              <c:numCache>
                <c:formatCode>General</c:formatCode>
                <c:ptCount val="28"/>
                <c:pt idx="0">
                  <c:v>1</c:v>
                </c:pt>
                <c:pt idx="1">
                  <c:v>0</c:v>
                </c:pt>
                <c:pt idx="2">
                  <c:v>0</c:v>
                </c:pt>
                <c:pt idx="3">
                  <c:v>0</c:v>
                </c:pt>
                <c:pt idx="4">
                  <c:v>1</c:v>
                </c:pt>
                <c:pt idx="5">
                  <c:v>1</c:v>
                </c:pt>
                <c:pt idx="6">
                  <c:v>1</c:v>
                </c:pt>
                <c:pt idx="7">
                  <c:v>1</c:v>
                </c:pt>
                <c:pt idx="8">
                  <c:v>1</c:v>
                </c:pt>
                <c:pt idx="9">
                  <c:v>0</c:v>
                </c:pt>
                <c:pt idx="10">
                  <c:v>0</c:v>
                </c:pt>
                <c:pt idx="11">
                  <c:v>0</c:v>
                </c:pt>
                <c:pt idx="12">
                  <c:v>0</c:v>
                </c:pt>
                <c:pt idx="13">
                  <c:v>0</c:v>
                </c:pt>
                <c:pt idx="14">
                  <c:v>1</c:v>
                </c:pt>
                <c:pt idx="15">
                  <c:v>1</c:v>
                </c:pt>
                <c:pt idx="16">
                  <c:v>2</c:v>
                </c:pt>
                <c:pt idx="17">
                  <c:v>0</c:v>
                </c:pt>
                <c:pt idx="18">
                  <c:v>0</c:v>
                </c:pt>
                <c:pt idx="19">
                  <c:v>1</c:v>
                </c:pt>
                <c:pt idx="20">
                  <c:v>1</c:v>
                </c:pt>
                <c:pt idx="21">
                  <c:v>3</c:v>
                </c:pt>
                <c:pt idx="22">
                  <c:v>4</c:v>
                </c:pt>
                <c:pt idx="23">
                  <c:v>3</c:v>
                </c:pt>
                <c:pt idx="24">
                  <c:v>6</c:v>
                </c:pt>
                <c:pt idx="25">
                  <c:v>24</c:v>
                </c:pt>
                <c:pt idx="26">
                  <c:v>18</c:v>
                </c:pt>
                <c:pt idx="27">
                  <c:v>22</c:v>
                </c:pt>
              </c:numCache>
            </c:numRef>
          </c:val>
          <c:extLst>
            <c:ext xmlns:c16="http://schemas.microsoft.com/office/drawing/2014/chart" uri="{C3380CC4-5D6E-409C-BE32-E72D297353CC}">
              <c16:uniqueId val="{00000017-9810-4C89-8E3A-9DBB11D9443C}"/>
            </c:ext>
          </c:extLst>
        </c:ser>
        <c:dLbls>
          <c:showLegendKey val="0"/>
          <c:showVal val="0"/>
          <c:showCatName val="0"/>
          <c:showSerName val="0"/>
          <c:showPercent val="0"/>
          <c:showBubbleSize val="0"/>
        </c:dLbls>
        <c:gapWidth val="20"/>
        <c:overlap val="100"/>
        <c:axId val="706398624"/>
        <c:axId val="706399016"/>
      </c:barChart>
      <c:catAx>
        <c:axId val="706398624"/>
        <c:scaling>
          <c:orientation val="maxMin"/>
        </c:scaling>
        <c:delete val="0"/>
        <c:axPos val="l"/>
        <c:numFmt formatCode="dd/mm/yyyy" sourceLinked="0"/>
        <c:majorTickMark val="out"/>
        <c:minorTickMark val="none"/>
        <c:tickLblPos val="nextTo"/>
        <c:spPr>
          <a:noFill/>
          <a:ln w="9525" cap="flat" cmpd="sng" algn="ctr">
            <a:solidFill>
              <a:schemeClr val="tx1">
                <a:lumMod val="75000"/>
                <a:lumOff val="25000"/>
              </a:schemeClr>
            </a:solidFill>
            <a:round/>
          </a:ln>
          <a:effectLst/>
        </c:spPr>
        <c:txPr>
          <a:bodyPr rot="0" vert="horz"/>
          <a:lstStyle/>
          <a:p>
            <a:pPr>
              <a:defRPr>
                <a:solidFill>
                  <a:schemeClr val="tx1">
                    <a:lumMod val="75000"/>
                    <a:lumOff val="25000"/>
                  </a:schemeClr>
                </a:solidFill>
              </a:defRPr>
            </a:pPr>
            <a:endParaRPr lang="en-US"/>
          </a:p>
        </c:txPr>
        <c:crossAx val="706399016"/>
        <c:crosses val="autoZero"/>
        <c:auto val="1"/>
        <c:lblAlgn val="ctr"/>
        <c:lblOffset val="100"/>
        <c:tickLblSkip val="3"/>
        <c:noMultiLvlLbl val="0"/>
      </c:catAx>
      <c:valAx>
        <c:axId val="706399016"/>
        <c:scaling>
          <c:orientation val="minMax"/>
          <c:max val="225"/>
          <c:min val="0"/>
        </c:scaling>
        <c:delete val="0"/>
        <c:axPos val="b"/>
        <c:numFmt formatCode="General" sourceLinked="0"/>
        <c:majorTickMark val="out"/>
        <c:minorTickMark val="none"/>
        <c:tickLblPos val="nextTo"/>
        <c:spPr>
          <a:noFill/>
          <a:ln>
            <a:solidFill>
              <a:schemeClr val="tx1">
                <a:lumMod val="75000"/>
                <a:lumOff val="25000"/>
              </a:schemeClr>
            </a:solidFill>
          </a:ln>
          <a:effectLst/>
        </c:spPr>
        <c:txPr>
          <a:bodyPr rot="0" vert="horz"/>
          <a:lstStyle/>
          <a:p>
            <a:pPr>
              <a:defRPr>
                <a:solidFill>
                  <a:schemeClr val="tx1">
                    <a:lumMod val="75000"/>
                    <a:lumOff val="25000"/>
                  </a:schemeClr>
                </a:solidFill>
              </a:defRPr>
            </a:pPr>
            <a:endParaRPr lang="en-US"/>
          </a:p>
        </c:txPr>
        <c:crossAx val="706398624"/>
        <c:crosses val="max"/>
        <c:crossBetween val="between"/>
      </c:valAx>
      <c:spPr>
        <a:noFill/>
        <a:ln w="25400">
          <a:noFill/>
        </a:ln>
      </c:spPr>
    </c:plotArea>
    <c:legend>
      <c:legendPos val="r"/>
      <c:layout>
        <c:manualLayout>
          <c:xMode val="edge"/>
          <c:yMode val="edge"/>
          <c:x val="0.79475847576705805"/>
          <c:y val="0.26438368906134291"/>
          <c:w val="0.11122658250630729"/>
          <c:h val="0.22528798303752967"/>
        </c:manualLayout>
      </c:layout>
      <c:overlay val="0"/>
      <c:txPr>
        <a:bodyPr/>
        <a:lstStyle/>
        <a:p>
          <a:pPr>
            <a:defRPr sz="1100"/>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45 Light" panose="020B04020202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75089089473571"/>
          <c:y val="6.3256661448742077E-2"/>
          <c:w val="0.75641668929314876"/>
          <c:h val="0.78143279714624625"/>
        </c:manualLayout>
      </c:layout>
      <c:lineChart>
        <c:grouping val="standard"/>
        <c:varyColors val="0"/>
        <c:ser>
          <c:idx val="2"/>
          <c:order val="0"/>
          <c:tx>
            <c:strRef>
              <c:f>'5 Women MPs Visual'!$N$5</c:f>
              <c:strCache>
                <c:ptCount val="1"/>
                <c:pt idx="0">
                  <c:v>CON</c:v>
                </c:pt>
              </c:strCache>
            </c:strRef>
          </c:tx>
          <c:spPr>
            <a:ln w="25400">
              <a:solidFill>
                <a:srgbClr val="0000FF"/>
              </a:solidFill>
              <a:prstDash val="solid"/>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Visual'!$N$6:$N$31</c:f>
              <c:numCache>
                <c:formatCode>0%</c:formatCode>
                <c:ptCount val="26"/>
                <c:pt idx="0">
                  <c:v>0</c:v>
                </c:pt>
                <c:pt idx="1">
                  <c:v>2.9069767441860465E-3</c:v>
                </c:pt>
                <c:pt idx="2">
                  <c:v>1.1627906976744186E-2</c:v>
                </c:pt>
                <c:pt idx="3">
                  <c:v>7.2815533980582527E-3</c:v>
                </c:pt>
                <c:pt idx="4">
                  <c:v>1.1538461538461539E-2</c:v>
                </c:pt>
                <c:pt idx="5">
                  <c:v>2.4904214559386972E-2</c:v>
                </c:pt>
                <c:pt idx="6">
                  <c:v>1.3986013986013986E-2</c:v>
                </c:pt>
                <c:pt idx="7">
                  <c:v>4.7619047619047623E-3</c:v>
                </c:pt>
                <c:pt idx="8">
                  <c:v>2.0134228187919462E-2</c:v>
                </c:pt>
                <c:pt idx="9">
                  <c:v>1.8691588785046728E-2</c:v>
                </c:pt>
                <c:pt idx="10">
                  <c:v>2.8985507246376812E-2</c:v>
                </c:pt>
                <c:pt idx="11">
                  <c:v>3.287671232876712E-2</c:v>
                </c:pt>
                <c:pt idx="12">
                  <c:v>3.6184210526315791E-2</c:v>
                </c:pt>
                <c:pt idx="13">
                  <c:v>2.766798418972332E-2</c:v>
                </c:pt>
                <c:pt idx="14">
                  <c:v>4.5454545454545456E-2</c:v>
                </c:pt>
                <c:pt idx="15">
                  <c:v>3.0303030303030304E-2</c:v>
                </c:pt>
                <c:pt idx="16">
                  <c:v>2.5270758122743681E-2</c:v>
                </c:pt>
                <c:pt idx="17">
                  <c:v>2.359882005899705E-2</c:v>
                </c:pt>
                <c:pt idx="18">
                  <c:v>3.2745591939546598E-2</c:v>
                </c:pt>
                <c:pt idx="19">
                  <c:v>4.5212765957446811E-2</c:v>
                </c:pt>
                <c:pt idx="20">
                  <c:v>5.9523809523809521E-2</c:v>
                </c:pt>
                <c:pt idx="21">
                  <c:v>7.8787878787878782E-2</c:v>
                </c:pt>
                <c:pt idx="22">
                  <c:v>8.4337349397590355E-2</c:v>
                </c:pt>
                <c:pt idx="23">
                  <c:v>8.5858585858585856E-2</c:v>
                </c:pt>
                <c:pt idx="24">
                  <c:v>0.16013071895424835</c:v>
                </c:pt>
                <c:pt idx="25">
                  <c:v>0.20606060606060606</c:v>
                </c:pt>
              </c:numCache>
            </c:numRef>
          </c:val>
          <c:smooth val="0"/>
          <c:extLst>
            <c:ext xmlns:c16="http://schemas.microsoft.com/office/drawing/2014/chart" uri="{C3380CC4-5D6E-409C-BE32-E72D297353CC}">
              <c16:uniqueId val="{00000000-3603-4494-9C49-30B933989B0F}"/>
            </c:ext>
          </c:extLst>
        </c:ser>
        <c:ser>
          <c:idx val="3"/>
          <c:order val="1"/>
          <c:tx>
            <c:strRef>
              <c:f>'5 Women MPs Visual'!$N$5</c:f>
              <c:strCache>
                <c:ptCount val="1"/>
                <c:pt idx="0">
                  <c:v>CON</c:v>
                </c:pt>
              </c:strCache>
            </c:strRef>
          </c:tx>
          <c:spPr>
            <a:ln w="25400">
              <a:solidFill>
                <a:srgbClr val="0000FF"/>
              </a:solidFill>
              <a:prstDash val="solid"/>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Visual'!$N$6:$N$31</c:f>
              <c:numCache>
                <c:formatCode>0%</c:formatCode>
                <c:ptCount val="26"/>
                <c:pt idx="0">
                  <c:v>0</c:v>
                </c:pt>
                <c:pt idx="1">
                  <c:v>2.9069767441860465E-3</c:v>
                </c:pt>
                <c:pt idx="2">
                  <c:v>1.1627906976744186E-2</c:v>
                </c:pt>
                <c:pt idx="3">
                  <c:v>7.2815533980582527E-3</c:v>
                </c:pt>
                <c:pt idx="4">
                  <c:v>1.1538461538461539E-2</c:v>
                </c:pt>
                <c:pt idx="5">
                  <c:v>2.4904214559386972E-2</c:v>
                </c:pt>
                <c:pt idx="6">
                  <c:v>1.3986013986013986E-2</c:v>
                </c:pt>
                <c:pt idx="7">
                  <c:v>4.7619047619047623E-3</c:v>
                </c:pt>
                <c:pt idx="8">
                  <c:v>2.0134228187919462E-2</c:v>
                </c:pt>
                <c:pt idx="9">
                  <c:v>1.8691588785046728E-2</c:v>
                </c:pt>
                <c:pt idx="10">
                  <c:v>2.8985507246376812E-2</c:v>
                </c:pt>
                <c:pt idx="11">
                  <c:v>3.287671232876712E-2</c:v>
                </c:pt>
                <c:pt idx="12">
                  <c:v>3.6184210526315791E-2</c:v>
                </c:pt>
                <c:pt idx="13">
                  <c:v>2.766798418972332E-2</c:v>
                </c:pt>
                <c:pt idx="14">
                  <c:v>4.5454545454545456E-2</c:v>
                </c:pt>
                <c:pt idx="15">
                  <c:v>3.0303030303030304E-2</c:v>
                </c:pt>
                <c:pt idx="16">
                  <c:v>2.5270758122743681E-2</c:v>
                </c:pt>
                <c:pt idx="17">
                  <c:v>2.359882005899705E-2</c:v>
                </c:pt>
                <c:pt idx="18">
                  <c:v>3.2745591939546598E-2</c:v>
                </c:pt>
                <c:pt idx="19">
                  <c:v>4.5212765957446811E-2</c:v>
                </c:pt>
                <c:pt idx="20">
                  <c:v>5.9523809523809521E-2</c:v>
                </c:pt>
                <c:pt idx="21">
                  <c:v>7.8787878787878782E-2</c:v>
                </c:pt>
                <c:pt idx="22">
                  <c:v>8.4337349397590355E-2</c:v>
                </c:pt>
                <c:pt idx="23">
                  <c:v>8.5858585858585856E-2</c:v>
                </c:pt>
                <c:pt idx="24">
                  <c:v>0.16013071895424835</c:v>
                </c:pt>
                <c:pt idx="25">
                  <c:v>0.20606060606060606</c:v>
                </c:pt>
              </c:numCache>
            </c:numRef>
          </c:val>
          <c:smooth val="0"/>
          <c:extLst>
            <c:ext xmlns:c16="http://schemas.microsoft.com/office/drawing/2014/chart" uri="{C3380CC4-5D6E-409C-BE32-E72D297353CC}">
              <c16:uniqueId val="{00000001-3603-4494-9C49-30B933989B0F}"/>
            </c:ext>
          </c:extLst>
        </c:ser>
        <c:ser>
          <c:idx val="1"/>
          <c:order val="2"/>
          <c:tx>
            <c:strRef>
              <c:f>'5 Women MPs Visual'!$N$5</c:f>
              <c:strCache>
                <c:ptCount val="1"/>
                <c:pt idx="0">
                  <c:v>CON</c:v>
                </c:pt>
              </c:strCache>
            </c:strRef>
          </c:tx>
          <c:spPr>
            <a:ln w="25400">
              <a:solidFill>
                <a:srgbClr val="0000FF"/>
              </a:solidFill>
              <a:prstDash val="solid"/>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Visual'!$N$6:$N$31</c:f>
              <c:numCache>
                <c:formatCode>0%</c:formatCode>
                <c:ptCount val="26"/>
                <c:pt idx="0">
                  <c:v>0</c:v>
                </c:pt>
                <c:pt idx="1">
                  <c:v>2.9069767441860465E-3</c:v>
                </c:pt>
                <c:pt idx="2">
                  <c:v>1.1627906976744186E-2</c:v>
                </c:pt>
                <c:pt idx="3">
                  <c:v>7.2815533980582527E-3</c:v>
                </c:pt>
                <c:pt idx="4">
                  <c:v>1.1538461538461539E-2</c:v>
                </c:pt>
                <c:pt idx="5">
                  <c:v>2.4904214559386972E-2</c:v>
                </c:pt>
                <c:pt idx="6">
                  <c:v>1.3986013986013986E-2</c:v>
                </c:pt>
                <c:pt idx="7">
                  <c:v>4.7619047619047623E-3</c:v>
                </c:pt>
                <c:pt idx="8">
                  <c:v>2.0134228187919462E-2</c:v>
                </c:pt>
                <c:pt idx="9">
                  <c:v>1.8691588785046728E-2</c:v>
                </c:pt>
                <c:pt idx="10">
                  <c:v>2.8985507246376812E-2</c:v>
                </c:pt>
                <c:pt idx="11">
                  <c:v>3.287671232876712E-2</c:v>
                </c:pt>
                <c:pt idx="12">
                  <c:v>3.6184210526315791E-2</c:v>
                </c:pt>
                <c:pt idx="13">
                  <c:v>2.766798418972332E-2</c:v>
                </c:pt>
                <c:pt idx="14">
                  <c:v>4.5454545454545456E-2</c:v>
                </c:pt>
                <c:pt idx="15">
                  <c:v>3.0303030303030304E-2</c:v>
                </c:pt>
                <c:pt idx="16">
                  <c:v>2.5270758122743681E-2</c:v>
                </c:pt>
                <c:pt idx="17">
                  <c:v>2.359882005899705E-2</c:v>
                </c:pt>
                <c:pt idx="18">
                  <c:v>3.2745591939546598E-2</c:v>
                </c:pt>
                <c:pt idx="19">
                  <c:v>4.5212765957446811E-2</c:v>
                </c:pt>
                <c:pt idx="20">
                  <c:v>5.9523809523809521E-2</c:v>
                </c:pt>
                <c:pt idx="21">
                  <c:v>7.8787878787878782E-2</c:v>
                </c:pt>
                <c:pt idx="22">
                  <c:v>8.4337349397590355E-2</c:v>
                </c:pt>
                <c:pt idx="23">
                  <c:v>8.5858585858585856E-2</c:v>
                </c:pt>
                <c:pt idx="24">
                  <c:v>0.16013071895424835</c:v>
                </c:pt>
                <c:pt idx="25">
                  <c:v>0.20606060606060606</c:v>
                </c:pt>
              </c:numCache>
            </c:numRef>
          </c:val>
          <c:smooth val="0"/>
          <c:extLst>
            <c:ext xmlns:c16="http://schemas.microsoft.com/office/drawing/2014/chart" uri="{C3380CC4-5D6E-409C-BE32-E72D297353CC}">
              <c16:uniqueId val="{00000002-3603-4494-9C49-30B933989B0F}"/>
            </c:ext>
          </c:extLst>
        </c:ser>
        <c:ser>
          <c:idx val="0"/>
          <c:order val="3"/>
          <c:tx>
            <c:strRef>
              <c:f>'5 Women MPs Visual'!$N$5</c:f>
              <c:strCache>
                <c:ptCount val="1"/>
                <c:pt idx="0">
                  <c:v>CON</c:v>
                </c:pt>
              </c:strCache>
            </c:strRef>
          </c:tx>
          <c:spPr>
            <a:ln w="25400">
              <a:solidFill>
                <a:srgbClr val="00539F"/>
              </a:solidFill>
              <a:prstDash val="solid"/>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Visual'!$N$6:$N$33</c:f>
              <c:numCache>
                <c:formatCode>0%</c:formatCode>
                <c:ptCount val="28"/>
                <c:pt idx="0">
                  <c:v>0</c:v>
                </c:pt>
                <c:pt idx="1">
                  <c:v>2.9069767441860465E-3</c:v>
                </c:pt>
                <c:pt idx="2">
                  <c:v>1.1627906976744186E-2</c:v>
                </c:pt>
                <c:pt idx="3">
                  <c:v>7.2815533980582527E-3</c:v>
                </c:pt>
                <c:pt idx="4">
                  <c:v>1.1538461538461539E-2</c:v>
                </c:pt>
                <c:pt idx="5">
                  <c:v>2.4904214559386972E-2</c:v>
                </c:pt>
                <c:pt idx="6">
                  <c:v>1.3986013986013986E-2</c:v>
                </c:pt>
                <c:pt idx="7">
                  <c:v>4.7619047619047623E-3</c:v>
                </c:pt>
                <c:pt idx="8">
                  <c:v>2.0134228187919462E-2</c:v>
                </c:pt>
                <c:pt idx="9">
                  <c:v>1.8691588785046728E-2</c:v>
                </c:pt>
                <c:pt idx="10">
                  <c:v>2.8985507246376812E-2</c:v>
                </c:pt>
                <c:pt idx="11">
                  <c:v>3.287671232876712E-2</c:v>
                </c:pt>
                <c:pt idx="12">
                  <c:v>3.6184210526315791E-2</c:v>
                </c:pt>
                <c:pt idx="13">
                  <c:v>2.766798418972332E-2</c:v>
                </c:pt>
                <c:pt idx="14">
                  <c:v>4.5454545454545456E-2</c:v>
                </c:pt>
                <c:pt idx="15">
                  <c:v>3.0303030303030304E-2</c:v>
                </c:pt>
                <c:pt idx="16">
                  <c:v>2.5270758122743681E-2</c:v>
                </c:pt>
                <c:pt idx="17">
                  <c:v>2.359882005899705E-2</c:v>
                </c:pt>
                <c:pt idx="18">
                  <c:v>3.2745591939546598E-2</c:v>
                </c:pt>
                <c:pt idx="19">
                  <c:v>4.5212765957446811E-2</c:v>
                </c:pt>
                <c:pt idx="20">
                  <c:v>5.9523809523809521E-2</c:v>
                </c:pt>
                <c:pt idx="21">
                  <c:v>7.8787878787878782E-2</c:v>
                </c:pt>
                <c:pt idx="22">
                  <c:v>8.4337349397590355E-2</c:v>
                </c:pt>
                <c:pt idx="23">
                  <c:v>8.5858585858585856E-2</c:v>
                </c:pt>
                <c:pt idx="24">
                  <c:v>0.16013071895424835</c:v>
                </c:pt>
                <c:pt idx="25">
                  <c:v>0.20606060606060606</c:v>
                </c:pt>
                <c:pt idx="26">
                  <c:v>0.2113564668769716</c:v>
                </c:pt>
                <c:pt idx="27">
                  <c:v>0.23835616438356164</c:v>
                </c:pt>
              </c:numCache>
            </c:numRef>
          </c:val>
          <c:smooth val="0"/>
          <c:extLst>
            <c:ext xmlns:c16="http://schemas.microsoft.com/office/drawing/2014/chart" uri="{C3380CC4-5D6E-409C-BE32-E72D297353CC}">
              <c16:uniqueId val="{00000003-3603-4494-9C49-30B933989B0F}"/>
            </c:ext>
          </c:extLst>
        </c:ser>
        <c:dLbls>
          <c:showLegendKey val="0"/>
          <c:showVal val="0"/>
          <c:showCatName val="0"/>
          <c:showSerName val="0"/>
          <c:showPercent val="0"/>
          <c:showBubbleSize val="0"/>
        </c:dLbls>
        <c:smooth val="0"/>
        <c:axId val="465138880"/>
        <c:axId val="465139272"/>
      </c:lineChart>
      <c:catAx>
        <c:axId val="4651388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5139272"/>
        <c:crosses val="autoZero"/>
        <c:auto val="1"/>
        <c:lblAlgn val="ctr"/>
        <c:lblOffset val="100"/>
        <c:tickLblSkip val="9"/>
        <c:noMultiLvlLbl val="0"/>
      </c:catAx>
      <c:valAx>
        <c:axId val="465139272"/>
        <c:scaling>
          <c:orientation val="minMax"/>
          <c:max val="0.60000000000000009"/>
          <c:min val="0"/>
        </c:scaling>
        <c:delete val="0"/>
        <c:axPos val="l"/>
        <c:numFmt formatCode="0%" sourceLinked="1"/>
        <c:majorTickMark val="out"/>
        <c:minorTickMark val="none"/>
        <c:tickLblPos val="nextTo"/>
        <c:spPr>
          <a:noFill/>
          <a:ln>
            <a:solidFill>
              <a:schemeClr val="tx1"/>
            </a:solidFill>
          </a:ln>
          <a:effectLst/>
        </c:spPr>
        <c:txPr>
          <a:bodyPr rot="0" vert="horz"/>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465138880"/>
        <c:crosses val="autoZero"/>
        <c:crossBetween val="midCat"/>
        <c:majorUnit val="0.1500000000000000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Frutiger LT Std 55 Roman"/>
          <a:ea typeface="Frutiger LT Std 55 Roman"/>
          <a:cs typeface="Frutiger LT Std 55 Roman"/>
        </a:defRPr>
      </a:pPr>
      <a:endParaRPr lang="en-US"/>
    </a:p>
  </c:txPr>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75089089473571"/>
          <c:y val="6.3256661448742077E-2"/>
          <c:w val="0.75641668929314876"/>
          <c:h val="0.81548509231734079"/>
        </c:manualLayout>
      </c:layout>
      <c:lineChart>
        <c:grouping val="standard"/>
        <c:varyColors val="0"/>
        <c:ser>
          <c:idx val="0"/>
          <c:order val="0"/>
          <c:tx>
            <c:strRef>
              <c:f>'5 Women MPs Visual'!$O$5</c:f>
              <c:strCache>
                <c:ptCount val="1"/>
                <c:pt idx="0">
                  <c:v>LAB</c:v>
                </c:pt>
              </c:strCache>
            </c:strRef>
          </c:tx>
          <c:spPr>
            <a:ln w="25400">
              <a:solidFill>
                <a:srgbClr val="D50000"/>
              </a:solidFill>
              <a:prstDash val="solid"/>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Visual'!$O$6:$O$33</c:f>
              <c:numCache>
                <c:formatCode>0%</c:formatCode>
                <c:ptCount val="28"/>
                <c:pt idx="0">
                  <c:v>0</c:v>
                </c:pt>
                <c:pt idx="1">
                  <c:v>0</c:v>
                </c:pt>
                <c:pt idx="2">
                  <c:v>1.5706806282722512E-2</c:v>
                </c:pt>
                <c:pt idx="3">
                  <c:v>6.6225165562913907E-3</c:v>
                </c:pt>
                <c:pt idx="4">
                  <c:v>3.1358885017421602E-2</c:v>
                </c:pt>
                <c:pt idx="5">
                  <c:v>0</c:v>
                </c:pt>
                <c:pt idx="6">
                  <c:v>6.4935064935064939E-3</c:v>
                </c:pt>
                <c:pt idx="7">
                  <c:v>5.3435114503816793E-2</c:v>
                </c:pt>
                <c:pt idx="8">
                  <c:v>4.4444444444444446E-2</c:v>
                </c:pt>
                <c:pt idx="9">
                  <c:v>3.7288135593220341E-2</c:v>
                </c:pt>
                <c:pt idx="10">
                  <c:v>5.0541516245487361E-2</c:v>
                </c:pt>
                <c:pt idx="11">
                  <c:v>5.0387596899224806E-2</c:v>
                </c:pt>
                <c:pt idx="12">
                  <c:v>5.6782334384858045E-2</c:v>
                </c:pt>
                <c:pt idx="13">
                  <c:v>5.21978021978022E-2</c:v>
                </c:pt>
                <c:pt idx="14">
                  <c:v>3.4722222222222224E-2</c:v>
                </c:pt>
                <c:pt idx="15">
                  <c:v>4.3189368770764118E-2</c:v>
                </c:pt>
                <c:pt idx="16">
                  <c:v>5.6426332288401257E-2</c:v>
                </c:pt>
                <c:pt idx="17">
                  <c:v>4.0892193308550186E-2</c:v>
                </c:pt>
                <c:pt idx="18">
                  <c:v>4.784688995215311E-2</c:v>
                </c:pt>
                <c:pt idx="19">
                  <c:v>9.1703056768558958E-2</c:v>
                </c:pt>
                <c:pt idx="20">
                  <c:v>0.13653136531365315</c:v>
                </c:pt>
                <c:pt idx="21">
                  <c:v>0.24162679425837322</c:v>
                </c:pt>
                <c:pt idx="22">
                  <c:v>0.23058252427184467</c:v>
                </c:pt>
                <c:pt idx="23">
                  <c:v>0.27605633802816903</c:v>
                </c:pt>
                <c:pt idx="24">
                  <c:v>0.31395348837209303</c:v>
                </c:pt>
                <c:pt idx="25">
                  <c:v>0.42672413793103448</c:v>
                </c:pt>
                <c:pt idx="26">
                  <c:v>0.45419847328244273</c:v>
                </c:pt>
                <c:pt idx="27">
                  <c:v>0.51485148514851486</c:v>
                </c:pt>
              </c:numCache>
            </c:numRef>
          </c:val>
          <c:smooth val="0"/>
          <c:extLst>
            <c:ext xmlns:c16="http://schemas.microsoft.com/office/drawing/2014/chart" uri="{C3380CC4-5D6E-409C-BE32-E72D297353CC}">
              <c16:uniqueId val="{00000000-EC40-42D4-8EAD-E255844A03D9}"/>
            </c:ext>
          </c:extLst>
        </c:ser>
        <c:dLbls>
          <c:showLegendKey val="0"/>
          <c:showVal val="0"/>
          <c:showCatName val="0"/>
          <c:showSerName val="0"/>
          <c:showPercent val="0"/>
          <c:showBubbleSize val="0"/>
        </c:dLbls>
        <c:smooth val="0"/>
        <c:axId val="465140056"/>
        <c:axId val="465140448"/>
      </c:lineChart>
      <c:catAx>
        <c:axId val="4651400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5140448"/>
        <c:crosses val="autoZero"/>
        <c:auto val="1"/>
        <c:lblAlgn val="ctr"/>
        <c:lblOffset val="100"/>
        <c:tickLblSkip val="9"/>
        <c:noMultiLvlLbl val="0"/>
      </c:catAx>
      <c:valAx>
        <c:axId val="465140448"/>
        <c:scaling>
          <c:orientation val="minMax"/>
          <c:min val="0"/>
        </c:scaling>
        <c:delete val="0"/>
        <c:axPos val="l"/>
        <c:numFmt formatCode="0%" sourceLinked="1"/>
        <c:majorTickMark val="out"/>
        <c:minorTickMark val="none"/>
        <c:tickLblPos val="nextTo"/>
        <c:spPr>
          <a:noFill/>
          <a:ln>
            <a:solidFill>
              <a:schemeClr val="tx1"/>
            </a:solidFill>
          </a:ln>
          <a:effectLst/>
        </c:spPr>
        <c:txPr>
          <a:bodyPr rot="0" vert="horz"/>
          <a:lstStyle/>
          <a:p>
            <a:pPr>
              <a:defRPr/>
            </a:pPr>
            <a:endParaRPr lang="en-US"/>
          </a:p>
        </c:txPr>
        <c:crossAx val="465140056"/>
        <c:crosses val="autoZero"/>
        <c:crossBetween val="midCat"/>
        <c:majorUnit val="0.1500000000000000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75089089473571"/>
          <c:y val="6.3256661448742077E-2"/>
          <c:w val="0.75641668929314876"/>
          <c:h val="0.81548509231734079"/>
        </c:manualLayout>
      </c:layout>
      <c:lineChart>
        <c:grouping val="standard"/>
        <c:varyColors val="0"/>
        <c:ser>
          <c:idx val="0"/>
          <c:order val="0"/>
          <c:tx>
            <c:strRef>
              <c:f>'5 Women MPs Visual'!$P$5</c:f>
              <c:strCache>
                <c:ptCount val="1"/>
                <c:pt idx="0">
                  <c:v>LD</c:v>
                </c:pt>
              </c:strCache>
            </c:strRef>
          </c:tx>
          <c:spPr>
            <a:ln>
              <a:solidFill>
                <a:srgbClr val="FFC000"/>
              </a:solidFill>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Visual'!$P$6:$P$31</c:f>
              <c:numCache>
                <c:formatCode>0%</c:formatCode>
                <c:ptCount val="26"/>
                <c:pt idx="0">
                  <c:v>0</c:v>
                </c:pt>
                <c:pt idx="1">
                  <c:v>8.6956521739130436E-3</c:v>
                </c:pt>
                <c:pt idx="2">
                  <c:v>1.2658227848101266E-2</c:v>
                </c:pt>
                <c:pt idx="3">
                  <c:v>0</c:v>
                </c:pt>
                <c:pt idx="4">
                  <c:v>1.6949152542372881E-2</c:v>
                </c:pt>
                <c:pt idx="5">
                  <c:v>2.7777777777777776E-2</c:v>
                </c:pt>
                <c:pt idx="6">
                  <c:v>4.7619047619047616E-2</c:v>
                </c:pt>
                <c:pt idx="7">
                  <c:v>8.3333333333333329E-2</c:v>
                </c:pt>
                <c:pt idx="8">
                  <c:v>0</c:v>
                </c:pt>
                <c:pt idx="9">
                  <c:v>0</c:v>
                </c:pt>
                <c:pt idx="10">
                  <c:v>0</c:v>
                </c:pt>
                <c:pt idx="11">
                  <c:v>0</c:v>
                </c:pt>
                <c:pt idx="12">
                  <c:v>0</c:v>
                </c:pt>
                <c:pt idx="13">
                  <c:v>0</c:v>
                </c:pt>
                <c:pt idx="14">
                  <c:v>0</c:v>
                </c:pt>
                <c:pt idx="15">
                  <c:v>0</c:v>
                </c:pt>
                <c:pt idx="16">
                  <c:v>0</c:v>
                </c:pt>
                <c:pt idx="17">
                  <c:v>0</c:v>
                </c:pt>
                <c:pt idx="18">
                  <c:v>0</c:v>
                </c:pt>
                <c:pt idx="19">
                  <c:v>9.0909090909090912E-2</c:v>
                </c:pt>
                <c:pt idx="20">
                  <c:v>0.1</c:v>
                </c:pt>
                <c:pt idx="21">
                  <c:v>6.5217391304347824E-2</c:v>
                </c:pt>
                <c:pt idx="22">
                  <c:v>9.6153846153846159E-2</c:v>
                </c:pt>
                <c:pt idx="23">
                  <c:v>0.16129032258064516</c:v>
                </c:pt>
                <c:pt idx="24">
                  <c:v>0.12280701754385964</c:v>
                </c:pt>
                <c:pt idx="25">
                  <c:v>0</c:v>
                </c:pt>
              </c:numCache>
            </c:numRef>
          </c:val>
          <c:smooth val="0"/>
          <c:extLst>
            <c:ext xmlns:c16="http://schemas.microsoft.com/office/drawing/2014/chart" uri="{C3380CC4-5D6E-409C-BE32-E72D297353CC}">
              <c16:uniqueId val="{00000000-E375-4B28-A7DE-BE6C7A88F78A}"/>
            </c:ext>
          </c:extLst>
        </c:ser>
        <c:ser>
          <c:idx val="2"/>
          <c:order val="1"/>
          <c:tx>
            <c:strRef>
              <c:f>'5 Women MPs Visual'!$P$5</c:f>
              <c:strCache>
                <c:ptCount val="1"/>
                <c:pt idx="0">
                  <c:v>LD</c:v>
                </c:pt>
              </c:strCache>
            </c:strRef>
          </c:tx>
          <c:spPr>
            <a:ln>
              <a:solidFill>
                <a:srgbClr val="FFC000"/>
              </a:solidFill>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Visual'!$P$6:$P$33</c:f>
              <c:numCache>
                <c:formatCode>0%</c:formatCode>
                <c:ptCount val="28"/>
                <c:pt idx="0">
                  <c:v>0</c:v>
                </c:pt>
                <c:pt idx="1">
                  <c:v>8.6956521739130436E-3</c:v>
                </c:pt>
                <c:pt idx="2">
                  <c:v>1.2658227848101266E-2</c:v>
                </c:pt>
                <c:pt idx="3">
                  <c:v>0</c:v>
                </c:pt>
                <c:pt idx="4">
                  <c:v>1.6949152542372881E-2</c:v>
                </c:pt>
                <c:pt idx="5">
                  <c:v>2.7777777777777776E-2</c:v>
                </c:pt>
                <c:pt idx="6">
                  <c:v>4.7619047619047616E-2</c:v>
                </c:pt>
                <c:pt idx="7">
                  <c:v>8.3333333333333329E-2</c:v>
                </c:pt>
                <c:pt idx="8">
                  <c:v>0</c:v>
                </c:pt>
                <c:pt idx="9">
                  <c:v>0</c:v>
                </c:pt>
                <c:pt idx="10">
                  <c:v>0</c:v>
                </c:pt>
                <c:pt idx="11">
                  <c:v>0</c:v>
                </c:pt>
                <c:pt idx="12">
                  <c:v>0</c:v>
                </c:pt>
                <c:pt idx="13">
                  <c:v>0</c:v>
                </c:pt>
                <c:pt idx="14">
                  <c:v>0</c:v>
                </c:pt>
                <c:pt idx="15">
                  <c:v>0</c:v>
                </c:pt>
                <c:pt idx="16">
                  <c:v>0</c:v>
                </c:pt>
                <c:pt idx="17">
                  <c:v>0</c:v>
                </c:pt>
                <c:pt idx="18">
                  <c:v>0</c:v>
                </c:pt>
                <c:pt idx="19">
                  <c:v>9.0909090909090912E-2</c:v>
                </c:pt>
                <c:pt idx="20">
                  <c:v>0.1</c:v>
                </c:pt>
                <c:pt idx="21">
                  <c:v>6.5217391304347824E-2</c:v>
                </c:pt>
                <c:pt idx="22">
                  <c:v>9.6153846153846159E-2</c:v>
                </c:pt>
                <c:pt idx="23">
                  <c:v>0.16129032258064516</c:v>
                </c:pt>
                <c:pt idx="24">
                  <c:v>0.12280701754385964</c:v>
                </c:pt>
                <c:pt idx="25">
                  <c:v>0</c:v>
                </c:pt>
                <c:pt idx="26">
                  <c:v>0.33333333333333331</c:v>
                </c:pt>
                <c:pt idx="27">
                  <c:v>0.63636363636363635</c:v>
                </c:pt>
              </c:numCache>
            </c:numRef>
          </c:val>
          <c:smooth val="0"/>
          <c:extLst>
            <c:ext xmlns:c16="http://schemas.microsoft.com/office/drawing/2014/chart" uri="{C3380CC4-5D6E-409C-BE32-E72D297353CC}">
              <c16:uniqueId val="{00000001-E375-4B28-A7DE-BE6C7A88F78A}"/>
            </c:ext>
          </c:extLst>
        </c:ser>
        <c:dLbls>
          <c:showLegendKey val="0"/>
          <c:showVal val="0"/>
          <c:showCatName val="0"/>
          <c:showSerName val="0"/>
          <c:showPercent val="0"/>
          <c:showBubbleSize val="0"/>
        </c:dLbls>
        <c:smooth val="0"/>
        <c:axId val="465141232"/>
        <c:axId val="465141624"/>
      </c:lineChart>
      <c:catAx>
        <c:axId val="4651412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000"/>
            </a:pPr>
            <a:endParaRPr lang="en-US"/>
          </a:p>
        </c:txPr>
        <c:crossAx val="465141624"/>
        <c:crosses val="autoZero"/>
        <c:auto val="1"/>
        <c:lblAlgn val="ctr"/>
        <c:lblOffset val="100"/>
        <c:tickLblSkip val="9"/>
        <c:noMultiLvlLbl val="0"/>
      </c:catAx>
      <c:valAx>
        <c:axId val="465141624"/>
        <c:scaling>
          <c:orientation val="minMax"/>
          <c:max val="0.70000000000000007"/>
          <c:min val="0"/>
        </c:scaling>
        <c:delete val="0"/>
        <c:axPos val="l"/>
        <c:numFmt formatCode="0%" sourceLinked="1"/>
        <c:majorTickMark val="out"/>
        <c:minorTickMark val="none"/>
        <c:tickLblPos val="nextTo"/>
        <c:spPr>
          <a:noFill/>
          <a:ln>
            <a:solidFill>
              <a:schemeClr val="tx1"/>
            </a:solidFill>
          </a:ln>
          <a:effectLst/>
        </c:spPr>
        <c:txPr>
          <a:bodyPr rot="0" vert="horz"/>
          <a:lstStyle/>
          <a:p>
            <a:pPr>
              <a:defRPr sz="1000"/>
            </a:pPr>
            <a:endParaRPr lang="en-US"/>
          </a:p>
        </c:txPr>
        <c:crossAx val="465141232"/>
        <c:crosses val="autoZero"/>
        <c:crossBetween val="between"/>
        <c:majorUnit val="0.1500000000000000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75089089473571"/>
          <c:y val="6.3256661448742077E-2"/>
          <c:w val="0.75641668929314876"/>
          <c:h val="0.81548509231734079"/>
        </c:manualLayout>
      </c:layout>
      <c:lineChart>
        <c:grouping val="standard"/>
        <c:varyColors val="0"/>
        <c:ser>
          <c:idx val="3"/>
          <c:order val="0"/>
          <c:tx>
            <c:strRef>
              <c:f>'5 Women MPs Visual'!$Q$5</c:f>
              <c:strCache>
                <c:ptCount val="1"/>
                <c:pt idx="0">
                  <c:v>Other</c:v>
                </c:pt>
              </c:strCache>
            </c:strRef>
          </c:tx>
          <c:spPr>
            <a:ln>
              <a:solidFill>
                <a:schemeClr val="bg1">
                  <a:lumMod val="50000"/>
                </a:schemeClr>
              </a:solidFill>
            </a:ln>
          </c:spPr>
          <c:marker>
            <c:symbol val="none"/>
          </c:marker>
          <c:cat>
            <c:numRef>
              <c:f>'5 Women MPs Visual'!$M$6:$M$33</c:f>
              <c:numCache>
                <c:formatCode>General</c:formatCode>
                <c:ptCount val="28"/>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1974</c:v>
                </c:pt>
                <c:pt idx="16" formatCode="mmm\-yy">
                  <c:v>27303</c:v>
                </c:pt>
                <c:pt idx="17">
                  <c:v>1979</c:v>
                </c:pt>
                <c:pt idx="18">
                  <c:v>1983</c:v>
                </c:pt>
                <c:pt idx="19">
                  <c:v>1987</c:v>
                </c:pt>
                <c:pt idx="20">
                  <c:v>1992</c:v>
                </c:pt>
                <c:pt idx="21">
                  <c:v>1997</c:v>
                </c:pt>
                <c:pt idx="22">
                  <c:v>2001</c:v>
                </c:pt>
                <c:pt idx="23">
                  <c:v>2005</c:v>
                </c:pt>
                <c:pt idx="24">
                  <c:v>2010</c:v>
                </c:pt>
                <c:pt idx="25">
                  <c:v>2015</c:v>
                </c:pt>
                <c:pt idx="26">
                  <c:v>2017</c:v>
                </c:pt>
                <c:pt idx="27">
                  <c:v>2019</c:v>
                </c:pt>
              </c:numCache>
            </c:numRef>
          </c:cat>
          <c:val>
            <c:numRef>
              <c:f>'5 Women MPs Visual'!$Q$6:$Q$33</c:f>
              <c:numCache>
                <c:formatCode>0%</c:formatCode>
                <c:ptCount val="28"/>
                <c:pt idx="0">
                  <c:v>9.5238095238095247E-3</c:v>
                </c:pt>
                <c:pt idx="1">
                  <c:v>0</c:v>
                </c:pt>
                <c:pt idx="2">
                  <c:v>0</c:v>
                </c:pt>
                <c:pt idx="3">
                  <c:v>0</c:v>
                </c:pt>
                <c:pt idx="4">
                  <c:v>0.1111111111111111</c:v>
                </c:pt>
                <c:pt idx="5">
                  <c:v>0.2</c:v>
                </c:pt>
                <c:pt idx="6">
                  <c:v>9.0909090909090912E-2</c:v>
                </c:pt>
                <c:pt idx="7">
                  <c:v>0.04</c:v>
                </c:pt>
                <c:pt idx="8">
                  <c:v>0.33333333333333331</c:v>
                </c:pt>
                <c:pt idx="9">
                  <c:v>0</c:v>
                </c:pt>
                <c:pt idx="10">
                  <c:v>0</c:v>
                </c:pt>
                <c:pt idx="11">
                  <c:v>0</c:v>
                </c:pt>
                <c:pt idx="12">
                  <c:v>0</c:v>
                </c:pt>
                <c:pt idx="13">
                  <c:v>0</c:v>
                </c:pt>
                <c:pt idx="14">
                  <c:v>0.16666666666666666</c:v>
                </c:pt>
                <c:pt idx="15">
                  <c:v>4.3478260869565216E-2</c:v>
                </c:pt>
                <c:pt idx="16">
                  <c:v>7.6923076923076927E-2</c:v>
                </c:pt>
                <c:pt idx="17">
                  <c:v>0</c:v>
                </c:pt>
                <c:pt idx="18">
                  <c:v>0</c:v>
                </c:pt>
                <c:pt idx="19">
                  <c:v>4.3478260869565216E-2</c:v>
                </c:pt>
                <c:pt idx="20">
                  <c:v>4.1666666666666664E-2</c:v>
                </c:pt>
                <c:pt idx="21">
                  <c:v>0.1</c:v>
                </c:pt>
                <c:pt idx="22">
                  <c:v>0.13793103448275862</c:v>
                </c:pt>
                <c:pt idx="23">
                  <c:v>9.6774193548387094E-2</c:v>
                </c:pt>
                <c:pt idx="24">
                  <c:v>0.20689655172413793</c:v>
                </c:pt>
                <c:pt idx="25">
                  <c:v>0.3</c:v>
                </c:pt>
                <c:pt idx="26">
                  <c:v>0.30508474576271188</c:v>
                </c:pt>
                <c:pt idx="27">
                  <c:v>0.30555555555555558</c:v>
                </c:pt>
              </c:numCache>
            </c:numRef>
          </c:val>
          <c:smooth val="0"/>
          <c:extLst>
            <c:ext xmlns:c16="http://schemas.microsoft.com/office/drawing/2014/chart" uri="{C3380CC4-5D6E-409C-BE32-E72D297353CC}">
              <c16:uniqueId val="{00000000-105E-4918-A273-8CA93F8D9DE3}"/>
            </c:ext>
          </c:extLst>
        </c:ser>
        <c:dLbls>
          <c:showLegendKey val="0"/>
          <c:showVal val="0"/>
          <c:showCatName val="0"/>
          <c:showSerName val="0"/>
          <c:showPercent val="0"/>
          <c:showBubbleSize val="0"/>
        </c:dLbls>
        <c:smooth val="0"/>
        <c:axId val="465143584"/>
        <c:axId val="465143976"/>
      </c:lineChart>
      <c:catAx>
        <c:axId val="4651435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5143976"/>
        <c:crosses val="autoZero"/>
        <c:auto val="1"/>
        <c:lblAlgn val="ctr"/>
        <c:lblOffset val="100"/>
        <c:tickLblSkip val="9"/>
        <c:noMultiLvlLbl val="0"/>
      </c:catAx>
      <c:valAx>
        <c:axId val="465143976"/>
        <c:scaling>
          <c:orientation val="minMax"/>
          <c:max val="0.60000000000000009"/>
          <c:min val="0"/>
        </c:scaling>
        <c:delete val="0"/>
        <c:axPos val="l"/>
        <c:numFmt formatCode="0%" sourceLinked="1"/>
        <c:majorTickMark val="out"/>
        <c:minorTickMark val="none"/>
        <c:tickLblPos val="nextTo"/>
        <c:spPr>
          <a:noFill/>
          <a:ln>
            <a:solidFill>
              <a:schemeClr val="tx1"/>
            </a:solidFill>
          </a:ln>
          <a:effectLst/>
        </c:spPr>
        <c:txPr>
          <a:bodyPr rot="0" vert="horz"/>
          <a:lstStyle/>
          <a:p>
            <a:pPr>
              <a:defRPr/>
            </a:pPr>
            <a:endParaRPr lang="en-US"/>
          </a:p>
        </c:txPr>
        <c:crossAx val="465143584"/>
        <c:crosses val="autoZero"/>
        <c:crossBetween val="midCat"/>
        <c:majorUnit val="0.15000000000000002"/>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586474212680755E-2"/>
          <c:y val="0.16906923053434708"/>
          <c:w val="0.92577526493398854"/>
          <c:h val="0.72715000498355431"/>
        </c:manualLayout>
      </c:layout>
      <c:barChart>
        <c:barDir val="col"/>
        <c:grouping val="clustered"/>
        <c:varyColors val="0"/>
        <c:ser>
          <c:idx val="0"/>
          <c:order val="0"/>
          <c:tx>
            <c:strRef>
              <c:f>'20a London 2016'!$A$6</c:f>
              <c:strCache>
                <c:ptCount val="1"/>
                <c:pt idx="0">
                  <c:v>CON</c:v>
                </c:pt>
              </c:strCache>
            </c:strRef>
          </c:tx>
          <c:spPr>
            <a:solidFill>
              <a:srgbClr val="00539F"/>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2016'!$B$6:$G$6</c:f>
              <c:numCache>
                <c:formatCode>#,##0_);\(#,##0\)</c:formatCode>
                <c:ptCount val="6"/>
                <c:pt idx="0">
                  <c:v>9</c:v>
                </c:pt>
                <c:pt idx="1">
                  <c:v>9</c:v>
                </c:pt>
                <c:pt idx="2">
                  <c:v>11</c:v>
                </c:pt>
                <c:pt idx="3">
                  <c:v>9</c:v>
                </c:pt>
                <c:pt idx="4" formatCode="General">
                  <c:v>8</c:v>
                </c:pt>
                <c:pt idx="5" formatCode="General">
                  <c:v>9</c:v>
                </c:pt>
              </c:numCache>
            </c:numRef>
          </c:val>
          <c:extLst>
            <c:ext xmlns:c16="http://schemas.microsoft.com/office/drawing/2014/chart" uri="{C3380CC4-5D6E-409C-BE32-E72D297353CC}">
              <c16:uniqueId val="{00000000-81C7-43A3-BF42-5668649817A4}"/>
            </c:ext>
          </c:extLst>
        </c:ser>
        <c:ser>
          <c:idx val="1"/>
          <c:order val="1"/>
          <c:tx>
            <c:strRef>
              <c:f>'20a London 2016'!$A$7</c:f>
              <c:strCache>
                <c:ptCount val="1"/>
                <c:pt idx="0">
                  <c:v>LAB</c:v>
                </c:pt>
              </c:strCache>
            </c:strRef>
          </c:tx>
          <c:spPr>
            <a:solidFill>
              <a:srgbClr val="D50000"/>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2016'!$B$7:$G$7</c:f>
              <c:numCache>
                <c:formatCode>#,##0_);\(#,##0\)</c:formatCode>
                <c:ptCount val="6"/>
                <c:pt idx="0">
                  <c:v>9</c:v>
                </c:pt>
                <c:pt idx="1">
                  <c:v>7</c:v>
                </c:pt>
                <c:pt idx="2">
                  <c:v>8</c:v>
                </c:pt>
                <c:pt idx="3">
                  <c:v>12</c:v>
                </c:pt>
                <c:pt idx="4" formatCode="General">
                  <c:v>12</c:v>
                </c:pt>
                <c:pt idx="5" formatCode="General">
                  <c:v>11</c:v>
                </c:pt>
              </c:numCache>
            </c:numRef>
          </c:val>
          <c:extLst>
            <c:ext xmlns:c16="http://schemas.microsoft.com/office/drawing/2014/chart" uri="{C3380CC4-5D6E-409C-BE32-E72D297353CC}">
              <c16:uniqueId val="{00000001-81C7-43A3-BF42-5668649817A4}"/>
            </c:ext>
          </c:extLst>
        </c:ser>
        <c:ser>
          <c:idx val="2"/>
          <c:order val="2"/>
          <c:tx>
            <c:strRef>
              <c:f>'20a London 2016'!$A$8</c:f>
              <c:strCache>
                <c:ptCount val="1"/>
                <c:pt idx="0">
                  <c:v>LD</c:v>
                </c:pt>
              </c:strCache>
            </c:strRef>
          </c:tx>
          <c:spPr>
            <a:solidFill>
              <a:srgbClr val="FAA01A"/>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2016'!$B$8:$G$8</c:f>
              <c:numCache>
                <c:formatCode>#,##0_);\(#,##0\)</c:formatCode>
                <c:ptCount val="6"/>
                <c:pt idx="0">
                  <c:v>4</c:v>
                </c:pt>
                <c:pt idx="1">
                  <c:v>5</c:v>
                </c:pt>
                <c:pt idx="2">
                  <c:v>3</c:v>
                </c:pt>
                <c:pt idx="3">
                  <c:v>2</c:v>
                </c:pt>
                <c:pt idx="4" formatCode="General">
                  <c:v>1</c:v>
                </c:pt>
                <c:pt idx="5" formatCode="General">
                  <c:v>2</c:v>
                </c:pt>
              </c:numCache>
            </c:numRef>
          </c:val>
          <c:extLst>
            <c:ext xmlns:c16="http://schemas.microsoft.com/office/drawing/2014/chart" uri="{C3380CC4-5D6E-409C-BE32-E72D297353CC}">
              <c16:uniqueId val="{00000002-81C7-43A3-BF42-5668649817A4}"/>
            </c:ext>
          </c:extLst>
        </c:ser>
        <c:ser>
          <c:idx val="3"/>
          <c:order val="3"/>
          <c:tx>
            <c:strRef>
              <c:f>'20a London 2016'!$A$9</c:f>
              <c:strCache>
                <c:ptCount val="1"/>
                <c:pt idx="0">
                  <c:v>Green</c:v>
                </c:pt>
              </c:strCache>
            </c:strRef>
          </c:tx>
          <c:spPr>
            <a:solidFill>
              <a:srgbClr val="78B82A"/>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2016'!$B$9:$G$9</c:f>
              <c:numCache>
                <c:formatCode>#,##0_);\(#,##0\)</c:formatCode>
                <c:ptCount val="6"/>
                <c:pt idx="0">
                  <c:v>3</c:v>
                </c:pt>
                <c:pt idx="1">
                  <c:v>2</c:v>
                </c:pt>
                <c:pt idx="2">
                  <c:v>2</c:v>
                </c:pt>
                <c:pt idx="3">
                  <c:v>2</c:v>
                </c:pt>
                <c:pt idx="4" formatCode="General">
                  <c:v>2</c:v>
                </c:pt>
                <c:pt idx="5" formatCode="General">
                  <c:v>3</c:v>
                </c:pt>
              </c:numCache>
            </c:numRef>
          </c:val>
          <c:extLst>
            <c:ext xmlns:c16="http://schemas.microsoft.com/office/drawing/2014/chart" uri="{C3380CC4-5D6E-409C-BE32-E72D297353CC}">
              <c16:uniqueId val="{00000003-81C7-43A3-BF42-5668649817A4}"/>
            </c:ext>
          </c:extLst>
        </c:ser>
        <c:ser>
          <c:idx val="4"/>
          <c:order val="4"/>
          <c:tx>
            <c:strRef>
              <c:f>'20a London 2016'!$A$10</c:f>
              <c:strCache>
                <c:ptCount val="1"/>
                <c:pt idx="0">
                  <c:v>UKIP</c:v>
                </c:pt>
              </c:strCache>
            </c:strRef>
          </c:tx>
          <c:spPr>
            <a:solidFill>
              <a:srgbClr val="722889"/>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2016'!$B$10:$G$10</c:f>
              <c:numCache>
                <c:formatCode>#,##0_);\(#,##0\)</c:formatCode>
                <c:ptCount val="6"/>
                <c:pt idx="0">
                  <c:v>0</c:v>
                </c:pt>
                <c:pt idx="1">
                  <c:v>2</c:v>
                </c:pt>
                <c:pt idx="2">
                  <c:v>0</c:v>
                </c:pt>
                <c:pt idx="3">
                  <c:v>0</c:v>
                </c:pt>
                <c:pt idx="4" formatCode="General">
                  <c:v>2</c:v>
                </c:pt>
                <c:pt idx="5" formatCode="General">
                  <c:v>0</c:v>
                </c:pt>
              </c:numCache>
            </c:numRef>
          </c:val>
          <c:extLst>
            <c:ext xmlns:c16="http://schemas.microsoft.com/office/drawing/2014/chart" uri="{C3380CC4-5D6E-409C-BE32-E72D297353CC}">
              <c16:uniqueId val="{00000004-81C7-43A3-BF42-5668649817A4}"/>
            </c:ext>
          </c:extLst>
        </c:ser>
        <c:ser>
          <c:idx val="5"/>
          <c:order val="5"/>
          <c:tx>
            <c:strRef>
              <c:f>'20a London 2016'!$A$11</c:f>
              <c:strCache>
                <c:ptCount val="1"/>
                <c:pt idx="0">
                  <c:v>BNP</c:v>
                </c:pt>
              </c:strCache>
            </c:strRef>
          </c:tx>
          <c:spPr>
            <a:solidFill>
              <a:srgbClr val="909090"/>
            </a:solidFill>
            <a:ln w="25400">
              <a:noFill/>
            </a:ln>
          </c:spPr>
          <c:invertIfNegative val="0"/>
          <c:cat>
            <c:numRef>
              <c:f>'20a London 2016'!$B$5:$G$5</c:f>
              <c:numCache>
                <c:formatCode>General</c:formatCode>
                <c:ptCount val="6"/>
                <c:pt idx="0">
                  <c:v>2000</c:v>
                </c:pt>
                <c:pt idx="1">
                  <c:v>2004</c:v>
                </c:pt>
                <c:pt idx="2">
                  <c:v>2008</c:v>
                </c:pt>
                <c:pt idx="3">
                  <c:v>2012</c:v>
                </c:pt>
                <c:pt idx="4">
                  <c:v>2016</c:v>
                </c:pt>
                <c:pt idx="5">
                  <c:v>2021</c:v>
                </c:pt>
              </c:numCache>
            </c:numRef>
          </c:cat>
          <c:val>
            <c:numRef>
              <c:f>'20a London 2016'!$B$11:$G$11</c:f>
              <c:numCache>
                <c:formatCode>#,##0_);\(#,##0\)</c:formatCode>
                <c:ptCount val="6"/>
                <c:pt idx="0">
                  <c:v>0</c:v>
                </c:pt>
                <c:pt idx="1">
                  <c:v>0</c:v>
                </c:pt>
                <c:pt idx="2">
                  <c:v>1</c:v>
                </c:pt>
                <c:pt idx="3">
                  <c:v>0</c:v>
                </c:pt>
                <c:pt idx="4" formatCode="General">
                  <c:v>0</c:v>
                </c:pt>
                <c:pt idx="5" formatCode="General">
                  <c:v>0</c:v>
                </c:pt>
              </c:numCache>
            </c:numRef>
          </c:val>
          <c:extLst>
            <c:ext xmlns:c16="http://schemas.microsoft.com/office/drawing/2014/chart" uri="{C3380CC4-5D6E-409C-BE32-E72D297353CC}">
              <c16:uniqueId val="{00000005-81C7-43A3-BF42-5668649817A4}"/>
            </c:ext>
          </c:extLst>
        </c:ser>
        <c:dLbls>
          <c:showLegendKey val="0"/>
          <c:showVal val="0"/>
          <c:showCatName val="0"/>
          <c:showSerName val="0"/>
          <c:showPercent val="0"/>
          <c:showBubbleSize val="0"/>
        </c:dLbls>
        <c:gapWidth val="219"/>
        <c:overlap val="-27"/>
        <c:axId val="473412432"/>
        <c:axId val="473412824"/>
      </c:barChart>
      <c:catAx>
        <c:axId val="4734124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3412824"/>
        <c:crosses val="autoZero"/>
        <c:auto val="1"/>
        <c:lblAlgn val="ctr"/>
        <c:lblOffset val="100"/>
        <c:noMultiLvlLbl val="0"/>
      </c:catAx>
      <c:valAx>
        <c:axId val="473412824"/>
        <c:scaling>
          <c:orientation val="minMax"/>
          <c:max val="12"/>
        </c:scaling>
        <c:delete val="0"/>
        <c:axPos val="l"/>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3412432"/>
        <c:crosses val="autoZero"/>
        <c:crossBetween val="between"/>
      </c:valAx>
      <c:spPr>
        <a:noFill/>
        <a:ln w="25400">
          <a:noFill/>
        </a:ln>
      </c:spPr>
    </c:plotArea>
    <c:legend>
      <c:legendPos val="r"/>
      <c:layout>
        <c:manualLayout>
          <c:xMode val="edge"/>
          <c:yMode val="edge"/>
          <c:x val="0.13036863813075997"/>
          <c:y val="8.0735439715605165E-2"/>
          <c:w val="0.75142314990512338"/>
          <c:h val="0.10509478720223263"/>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1125038841177E-2"/>
          <c:y val="5.8051315014194652E-2"/>
          <c:w val="0.87538661563408471"/>
          <c:h val="0.75998554072956448"/>
        </c:manualLayout>
      </c:layout>
      <c:lineChart>
        <c:grouping val="standard"/>
        <c:varyColors val="0"/>
        <c:ser>
          <c:idx val="0"/>
          <c:order val="0"/>
          <c:tx>
            <c:strRef>
              <c:f>'7  median age'!$A$14:$B$14</c:f>
              <c:strCache>
                <c:ptCount val="2"/>
                <c:pt idx="0">
                  <c:v>Conservative</c:v>
                </c:pt>
              </c:strCache>
            </c:strRef>
          </c:tx>
          <c:spPr>
            <a:ln w="25400">
              <a:solidFill>
                <a:srgbClr val="00539F"/>
              </a:solidFill>
              <a:prstDash val="solid"/>
            </a:ln>
          </c:spPr>
          <c:marker>
            <c:symbol val="none"/>
          </c:marker>
          <c:cat>
            <c:numRef>
              <c:f>'7  median age'!$C$13:$U$13</c:f>
              <c:numCache>
                <c:formatCode>General</c:formatCode>
                <c:ptCount val="19"/>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pt idx="18">
                  <c:v>2019</c:v>
                </c:pt>
              </c:numCache>
            </c:numRef>
          </c:cat>
          <c:val>
            <c:numRef>
              <c:f>'7  median age'!$C$14:$U$14</c:f>
              <c:numCache>
                <c:formatCode>#,##0_);\(#,##0\)</c:formatCode>
                <c:ptCount val="19"/>
                <c:pt idx="0">
                  <c:v>47</c:v>
                </c:pt>
                <c:pt idx="1">
                  <c:v>49</c:v>
                </c:pt>
                <c:pt idx="2">
                  <c:v>48</c:v>
                </c:pt>
                <c:pt idx="3">
                  <c:v>45</c:v>
                </c:pt>
                <c:pt idx="4">
                  <c:v>48</c:v>
                </c:pt>
                <c:pt idx="5">
                  <c:v>49</c:v>
                </c:pt>
                <c:pt idx="6">
                  <c:v>48</c:v>
                </c:pt>
                <c:pt idx="7">
                  <c:v>47</c:v>
                </c:pt>
                <c:pt idx="8">
                  <c:v>47</c:v>
                </c:pt>
                <c:pt idx="9">
                  <c:v>47</c:v>
                </c:pt>
                <c:pt idx="10">
                  <c:v>48</c:v>
                </c:pt>
                <c:pt idx="11">
                  <c:v>48</c:v>
                </c:pt>
                <c:pt idx="12">
                  <c:v>50</c:v>
                </c:pt>
                <c:pt idx="13">
                  <c:v>48</c:v>
                </c:pt>
                <c:pt idx="14">
                  <c:v>48</c:v>
                </c:pt>
                <c:pt idx="15">
                  <c:v>47</c:v>
                </c:pt>
                <c:pt idx="16">
                  <c:v>49</c:v>
                </c:pt>
                <c:pt idx="17">
                  <c:v>49.9</c:v>
                </c:pt>
                <c:pt idx="18">
                  <c:v>50.351999999999997</c:v>
                </c:pt>
              </c:numCache>
            </c:numRef>
          </c:val>
          <c:smooth val="0"/>
          <c:extLst>
            <c:ext xmlns:c16="http://schemas.microsoft.com/office/drawing/2014/chart" uri="{C3380CC4-5D6E-409C-BE32-E72D297353CC}">
              <c16:uniqueId val="{00000000-0DCA-4D2C-8EA7-D7036852ACFC}"/>
            </c:ext>
          </c:extLst>
        </c:ser>
        <c:ser>
          <c:idx val="1"/>
          <c:order val="1"/>
          <c:tx>
            <c:strRef>
              <c:f>'7  median age'!$A$15:$B$15</c:f>
              <c:strCache>
                <c:ptCount val="2"/>
                <c:pt idx="0">
                  <c:v>Labour</c:v>
                </c:pt>
              </c:strCache>
            </c:strRef>
          </c:tx>
          <c:spPr>
            <a:ln w="25400">
              <a:solidFill>
                <a:srgbClr val="CC3300"/>
              </a:solidFill>
              <a:prstDash val="solid"/>
            </a:ln>
          </c:spPr>
          <c:marker>
            <c:symbol val="none"/>
          </c:marker>
          <c:cat>
            <c:numRef>
              <c:f>'7  median age'!$C$13:$U$13</c:f>
              <c:numCache>
                <c:formatCode>General</c:formatCode>
                <c:ptCount val="19"/>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pt idx="18">
                  <c:v>2019</c:v>
                </c:pt>
              </c:numCache>
            </c:numRef>
          </c:cat>
          <c:val>
            <c:numRef>
              <c:f>'7  median age'!$C$15:$U$15</c:f>
              <c:numCache>
                <c:formatCode>#,##0_);\(#,##0\)</c:formatCode>
                <c:ptCount val="19"/>
                <c:pt idx="0">
                  <c:v>52</c:v>
                </c:pt>
                <c:pt idx="1">
                  <c:v>54</c:v>
                </c:pt>
                <c:pt idx="2">
                  <c:v>55</c:v>
                </c:pt>
                <c:pt idx="3">
                  <c:v>52</c:v>
                </c:pt>
                <c:pt idx="4">
                  <c:v>50</c:v>
                </c:pt>
                <c:pt idx="5">
                  <c:v>50</c:v>
                </c:pt>
                <c:pt idx="6">
                  <c:v>50</c:v>
                </c:pt>
                <c:pt idx="7">
                  <c:v>49</c:v>
                </c:pt>
                <c:pt idx="8">
                  <c:v>51</c:v>
                </c:pt>
                <c:pt idx="9">
                  <c:v>51</c:v>
                </c:pt>
                <c:pt idx="10">
                  <c:v>47</c:v>
                </c:pt>
                <c:pt idx="11">
                  <c:v>51</c:v>
                </c:pt>
                <c:pt idx="12">
                  <c:v>48</c:v>
                </c:pt>
                <c:pt idx="13">
                  <c:v>50</c:v>
                </c:pt>
                <c:pt idx="14">
                  <c:v>53</c:v>
                </c:pt>
                <c:pt idx="15">
                  <c:v>52</c:v>
                </c:pt>
                <c:pt idx="16">
                  <c:v>54</c:v>
                </c:pt>
                <c:pt idx="17">
                  <c:v>51.6</c:v>
                </c:pt>
                <c:pt idx="18">
                  <c:v>52.683999999999997</c:v>
                </c:pt>
              </c:numCache>
            </c:numRef>
          </c:val>
          <c:smooth val="0"/>
          <c:extLst>
            <c:ext xmlns:c16="http://schemas.microsoft.com/office/drawing/2014/chart" uri="{C3380CC4-5D6E-409C-BE32-E72D297353CC}">
              <c16:uniqueId val="{00000001-0DCA-4D2C-8EA7-D7036852ACFC}"/>
            </c:ext>
          </c:extLst>
        </c:ser>
        <c:ser>
          <c:idx val="2"/>
          <c:order val="2"/>
          <c:tx>
            <c:strRef>
              <c:f>'7  median age'!$A$16:$B$16</c:f>
              <c:strCache>
                <c:ptCount val="2"/>
                <c:pt idx="0">
                  <c:v>Liberal</c:v>
                </c:pt>
              </c:strCache>
            </c:strRef>
          </c:tx>
          <c:spPr>
            <a:ln w="28575" cap="rnd">
              <a:solidFill>
                <a:srgbClr val="FAA01A"/>
              </a:solidFill>
              <a:round/>
            </a:ln>
            <a:effectLst/>
          </c:spPr>
          <c:marker>
            <c:symbol val="none"/>
          </c:marker>
          <c:cat>
            <c:numRef>
              <c:f>'7  median age'!$C$13:$U$13</c:f>
              <c:numCache>
                <c:formatCode>General</c:formatCode>
                <c:ptCount val="19"/>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pt idx="18">
                  <c:v>2019</c:v>
                </c:pt>
              </c:numCache>
            </c:numRef>
          </c:cat>
          <c:val>
            <c:numRef>
              <c:f>'7  median age'!$C$16:$U$16</c:f>
              <c:numCache>
                <c:formatCode>#,##0_);\(#,##0\)</c:formatCode>
                <c:ptCount val="19"/>
                <c:pt idx="0">
                  <c:v>42</c:v>
                </c:pt>
                <c:pt idx="1">
                  <c:v>46</c:v>
                </c:pt>
                <c:pt idx="2">
                  <c:v>46</c:v>
                </c:pt>
                <c:pt idx="3">
                  <c:v>43</c:v>
                </c:pt>
                <c:pt idx="4">
                  <c:v>39</c:v>
                </c:pt>
                <c:pt idx="5">
                  <c:v>39</c:v>
                </c:pt>
                <c:pt idx="6">
                  <c:v>39</c:v>
                </c:pt>
                <c:pt idx="7">
                  <c:v>45</c:v>
                </c:pt>
                <c:pt idx="8">
                  <c:v>47</c:v>
                </c:pt>
                <c:pt idx="9">
                  <c:v>43</c:v>
                </c:pt>
                <c:pt idx="10">
                  <c:v>45</c:v>
                </c:pt>
                <c:pt idx="11">
                  <c:v>45</c:v>
                </c:pt>
                <c:pt idx="12">
                  <c:v>46</c:v>
                </c:pt>
                <c:pt idx="13">
                  <c:v>47</c:v>
                </c:pt>
                <c:pt idx="14">
                  <c:v>46</c:v>
                </c:pt>
                <c:pt idx="15">
                  <c:v>50</c:v>
                </c:pt>
                <c:pt idx="16">
                  <c:v>50</c:v>
                </c:pt>
                <c:pt idx="17">
                  <c:v>53.5</c:v>
                </c:pt>
                <c:pt idx="18">
                  <c:v>52.25</c:v>
                </c:pt>
              </c:numCache>
            </c:numRef>
          </c:val>
          <c:smooth val="0"/>
          <c:extLst>
            <c:ext xmlns:c16="http://schemas.microsoft.com/office/drawing/2014/chart" uri="{C3380CC4-5D6E-409C-BE32-E72D297353CC}">
              <c16:uniqueId val="{00000002-0DCA-4D2C-8EA7-D7036852ACFC}"/>
            </c:ext>
          </c:extLst>
        </c:ser>
        <c:dLbls>
          <c:showLegendKey val="0"/>
          <c:showVal val="0"/>
          <c:showCatName val="0"/>
          <c:showSerName val="0"/>
          <c:showPercent val="0"/>
          <c:showBubbleSize val="0"/>
        </c:dLbls>
        <c:smooth val="0"/>
        <c:axId val="465144760"/>
        <c:axId val="465145152"/>
      </c:lineChart>
      <c:catAx>
        <c:axId val="4651447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5145152"/>
        <c:crosses val="autoZero"/>
        <c:auto val="1"/>
        <c:lblAlgn val="ctr"/>
        <c:lblOffset val="100"/>
        <c:noMultiLvlLbl val="0"/>
      </c:catAx>
      <c:valAx>
        <c:axId val="465145152"/>
        <c:scaling>
          <c:orientation val="minMax"/>
          <c:min val="35"/>
        </c:scaling>
        <c:delete val="0"/>
        <c:axPos val="l"/>
        <c:numFmt formatCode="#,##0_);\(#,##0\)" sourceLinked="1"/>
        <c:majorTickMark val="none"/>
        <c:minorTickMark val="none"/>
        <c:tickLblPos val="nextTo"/>
        <c:spPr>
          <a:noFill/>
          <a:ln>
            <a:solidFill>
              <a:schemeClr val="tx1"/>
            </a:solidFill>
          </a:ln>
          <a:effectLst/>
        </c:spPr>
        <c:txPr>
          <a:bodyPr rot="0" vert="horz"/>
          <a:lstStyle/>
          <a:p>
            <a:pPr>
              <a:defRPr/>
            </a:pPr>
            <a:endParaRPr lang="en-US"/>
          </a:p>
        </c:txPr>
        <c:crossAx val="465144760"/>
        <c:crosses val="autoZero"/>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56526943905933"/>
          <c:y val="0.22759196444102647"/>
          <c:w val="0.64510783078013634"/>
          <c:h val="0.65365305739423407"/>
        </c:manualLayout>
      </c:layout>
      <c:barChart>
        <c:barDir val="bar"/>
        <c:grouping val="stacked"/>
        <c:varyColors val="0"/>
        <c:ser>
          <c:idx val="0"/>
          <c:order val="0"/>
          <c:tx>
            <c:strRef>
              <c:f>'8 BME'!$C$6</c:f>
              <c:strCache>
                <c:ptCount val="1"/>
                <c:pt idx="0">
                  <c:v> CON </c:v>
                </c:pt>
              </c:strCache>
            </c:strRef>
          </c:tx>
          <c:spPr>
            <a:solidFill>
              <a:srgbClr val="00539F"/>
            </a:solidFill>
            <a:ln w="25400">
              <a:noFill/>
            </a:ln>
          </c:spPr>
          <c:invertIfNegative val="0"/>
          <c:cat>
            <c:strRef>
              <c:extLst>
                <c:ext xmlns:c15="http://schemas.microsoft.com/office/drawing/2012/chart" uri="{02D57815-91ED-43cb-92C2-25804820EDAC}">
                  <c15:fullRef>
                    <c15:sqref>'8 BME'!$A$7:$B$26</c15:sqref>
                  </c15:fullRef>
                </c:ext>
              </c:extLst>
              <c:f>'8 BME'!$A$9:$B$26</c:f>
              <c:strCache>
                <c:ptCount val="9"/>
                <c:pt idx="0">
                  <c:v>1987</c:v>
                </c:pt>
                <c:pt idx="1">
                  <c:v>1992</c:v>
                </c:pt>
                <c:pt idx="2">
                  <c:v>1997</c:v>
                </c:pt>
                <c:pt idx="3">
                  <c:v>2001</c:v>
                </c:pt>
                <c:pt idx="4">
                  <c:v>2005</c:v>
                </c:pt>
                <c:pt idx="5">
                  <c:v>2010</c:v>
                </c:pt>
                <c:pt idx="6">
                  <c:v>2015</c:v>
                </c:pt>
                <c:pt idx="7">
                  <c:v>2017</c:v>
                </c:pt>
                <c:pt idx="8">
                  <c:v>2019</c:v>
                </c:pt>
              </c:strCache>
            </c:strRef>
          </c:cat>
          <c:val>
            <c:numRef>
              <c:extLst>
                <c:ext xmlns:c15="http://schemas.microsoft.com/office/drawing/2012/chart" uri="{02D57815-91ED-43cb-92C2-25804820EDAC}">
                  <c15:fullRef>
                    <c15:sqref>'8 BME'!$C$7:$C$26</c15:sqref>
                  </c15:fullRef>
                </c:ext>
              </c:extLst>
              <c:f>'8 BME'!$C$9:$C$26</c:f>
              <c:numCache>
                <c:formatCode>General</c:formatCode>
                <c:ptCount val="9"/>
                <c:pt idx="0">
                  <c:v>0</c:v>
                </c:pt>
                <c:pt idx="1">
                  <c:v>1</c:v>
                </c:pt>
                <c:pt idx="2">
                  <c:v>0</c:v>
                </c:pt>
                <c:pt idx="3">
                  <c:v>0</c:v>
                </c:pt>
                <c:pt idx="4">
                  <c:v>2</c:v>
                </c:pt>
                <c:pt idx="5">
                  <c:v>11</c:v>
                </c:pt>
                <c:pt idx="6">
                  <c:v>17</c:v>
                </c:pt>
                <c:pt idx="7">
                  <c:v>19</c:v>
                </c:pt>
                <c:pt idx="8">
                  <c:v>22</c:v>
                </c:pt>
              </c:numCache>
            </c:numRef>
          </c:val>
          <c:extLst>
            <c:ext xmlns:c16="http://schemas.microsoft.com/office/drawing/2014/chart" uri="{C3380CC4-5D6E-409C-BE32-E72D297353CC}">
              <c16:uniqueId val="{00000000-C548-4E12-9C02-EB5FBB7F8682}"/>
            </c:ext>
          </c:extLst>
        </c:ser>
        <c:ser>
          <c:idx val="1"/>
          <c:order val="1"/>
          <c:tx>
            <c:strRef>
              <c:f>'8 BME'!$D$6</c:f>
              <c:strCache>
                <c:ptCount val="1"/>
                <c:pt idx="0">
                  <c:v>LAB </c:v>
                </c:pt>
              </c:strCache>
            </c:strRef>
          </c:tx>
          <c:spPr>
            <a:solidFill>
              <a:srgbClr val="CC3300"/>
            </a:solidFill>
            <a:ln w="25400">
              <a:noFill/>
            </a:ln>
          </c:spPr>
          <c:invertIfNegative val="0"/>
          <c:cat>
            <c:strRef>
              <c:extLst>
                <c:ext xmlns:c15="http://schemas.microsoft.com/office/drawing/2012/chart" uri="{02D57815-91ED-43cb-92C2-25804820EDAC}">
                  <c15:fullRef>
                    <c15:sqref>'8 BME'!$A$7:$B$26</c15:sqref>
                  </c15:fullRef>
                </c:ext>
              </c:extLst>
              <c:f>'8 BME'!$A$9:$B$26</c:f>
              <c:strCache>
                <c:ptCount val="9"/>
                <c:pt idx="0">
                  <c:v>1987</c:v>
                </c:pt>
                <c:pt idx="1">
                  <c:v>1992</c:v>
                </c:pt>
                <c:pt idx="2">
                  <c:v>1997</c:v>
                </c:pt>
                <c:pt idx="3">
                  <c:v>2001</c:v>
                </c:pt>
                <c:pt idx="4">
                  <c:v>2005</c:v>
                </c:pt>
                <c:pt idx="5">
                  <c:v>2010</c:v>
                </c:pt>
                <c:pt idx="6">
                  <c:v>2015</c:v>
                </c:pt>
                <c:pt idx="7">
                  <c:v>2017</c:v>
                </c:pt>
                <c:pt idx="8">
                  <c:v>2019</c:v>
                </c:pt>
              </c:strCache>
            </c:strRef>
          </c:cat>
          <c:val>
            <c:numRef>
              <c:extLst>
                <c:ext xmlns:c15="http://schemas.microsoft.com/office/drawing/2012/chart" uri="{02D57815-91ED-43cb-92C2-25804820EDAC}">
                  <c15:fullRef>
                    <c15:sqref>'8 BME'!$D$7:$D$26</c15:sqref>
                  </c15:fullRef>
                </c:ext>
              </c:extLst>
              <c:f>'8 BME'!$D$9:$D$26</c:f>
              <c:numCache>
                <c:formatCode>General</c:formatCode>
                <c:ptCount val="9"/>
                <c:pt idx="0">
                  <c:v>4</c:v>
                </c:pt>
                <c:pt idx="1">
                  <c:v>5</c:v>
                </c:pt>
                <c:pt idx="2">
                  <c:v>9</c:v>
                </c:pt>
                <c:pt idx="3">
                  <c:v>12</c:v>
                </c:pt>
                <c:pt idx="4">
                  <c:v>13</c:v>
                </c:pt>
                <c:pt idx="5">
                  <c:v>16</c:v>
                </c:pt>
                <c:pt idx="6">
                  <c:v>23</c:v>
                </c:pt>
                <c:pt idx="7">
                  <c:v>32</c:v>
                </c:pt>
                <c:pt idx="8">
                  <c:v>41</c:v>
                </c:pt>
              </c:numCache>
            </c:numRef>
          </c:val>
          <c:extLst>
            <c:ext xmlns:c16="http://schemas.microsoft.com/office/drawing/2014/chart" uri="{C3380CC4-5D6E-409C-BE32-E72D297353CC}">
              <c16:uniqueId val="{00000001-C548-4E12-9C02-EB5FBB7F8682}"/>
            </c:ext>
          </c:extLst>
        </c:ser>
        <c:ser>
          <c:idx val="3"/>
          <c:order val="2"/>
          <c:tx>
            <c:strRef>
              <c:f>'8 BME'!$E$6</c:f>
              <c:strCache>
                <c:ptCount val="1"/>
                <c:pt idx="0">
                  <c:v>LD </c:v>
                </c:pt>
              </c:strCache>
            </c:strRef>
          </c:tx>
          <c:spPr>
            <a:solidFill>
              <a:srgbClr val="FFC000"/>
            </a:solidFill>
            <a:ln>
              <a:noFill/>
            </a:ln>
          </c:spPr>
          <c:invertIfNegative val="0"/>
          <c:cat>
            <c:strRef>
              <c:extLst>
                <c:ext xmlns:c15="http://schemas.microsoft.com/office/drawing/2012/chart" uri="{02D57815-91ED-43cb-92C2-25804820EDAC}">
                  <c15:fullRef>
                    <c15:sqref>'8 BME'!$A$7:$B$26</c15:sqref>
                  </c15:fullRef>
                </c:ext>
              </c:extLst>
              <c:f>'8 BME'!$A$9:$B$26</c:f>
              <c:strCache>
                <c:ptCount val="9"/>
                <c:pt idx="0">
                  <c:v>1987</c:v>
                </c:pt>
                <c:pt idx="1">
                  <c:v>1992</c:v>
                </c:pt>
                <c:pt idx="2">
                  <c:v>1997</c:v>
                </c:pt>
                <c:pt idx="3">
                  <c:v>2001</c:v>
                </c:pt>
                <c:pt idx="4">
                  <c:v>2005</c:v>
                </c:pt>
                <c:pt idx="5">
                  <c:v>2010</c:v>
                </c:pt>
                <c:pt idx="6">
                  <c:v>2015</c:v>
                </c:pt>
                <c:pt idx="7">
                  <c:v>2017</c:v>
                </c:pt>
                <c:pt idx="8">
                  <c:v>2019</c:v>
                </c:pt>
              </c:strCache>
            </c:strRef>
          </c:cat>
          <c:val>
            <c:numRef>
              <c:extLst>
                <c:ext xmlns:c15="http://schemas.microsoft.com/office/drawing/2012/chart" uri="{02D57815-91ED-43cb-92C2-25804820EDAC}">
                  <c15:fullRef>
                    <c15:sqref>'8 BME'!$E$7:$E$26</c15:sqref>
                  </c15:fullRef>
                </c:ext>
              </c:extLst>
              <c:f>'8 BME'!$E$9:$E$26</c:f>
              <c:numCache>
                <c:formatCode>General</c:formatCode>
                <c:ptCount val="9"/>
                <c:pt idx="0">
                  <c:v>0</c:v>
                </c:pt>
                <c:pt idx="1">
                  <c:v>0</c:v>
                </c:pt>
                <c:pt idx="2">
                  <c:v>0</c:v>
                </c:pt>
                <c:pt idx="3">
                  <c:v>0</c:v>
                </c:pt>
                <c:pt idx="4">
                  <c:v>0</c:v>
                </c:pt>
                <c:pt idx="5">
                  <c:v>0</c:v>
                </c:pt>
                <c:pt idx="6">
                  <c:v>0</c:v>
                </c:pt>
                <c:pt idx="7">
                  <c:v>1</c:v>
                </c:pt>
                <c:pt idx="8">
                  <c:v>2</c:v>
                </c:pt>
              </c:numCache>
            </c:numRef>
          </c:val>
          <c:extLst>
            <c:ext xmlns:c16="http://schemas.microsoft.com/office/drawing/2014/chart" uri="{C3380CC4-5D6E-409C-BE32-E72D297353CC}">
              <c16:uniqueId val="{00000002-C548-4E12-9C02-EB5FBB7F8682}"/>
            </c:ext>
          </c:extLst>
        </c:ser>
        <c:ser>
          <c:idx val="2"/>
          <c:order val="3"/>
          <c:tx>
            <c:strRef>
              <c:f>'8 BME'!$F$6</c:f>
              <c:strCache>
                <c:ptCount val="1"/>
                <c:pt idx="0">
                  <c:v>SNP </c:v>
                </c:pt>
              </c:strCache>
            </c:strRef>
          </c:tx>
          <c:spPr>
            <a:solidFill>
              <a:srgbClr val="FFF685"/>
            </a:solidFill>
            <a:ln>
              <a:noFill/>
            </a:ln>
          </c:spPr>
          <c:invertIfNegative val="0"/>
          <c:cat>
            <c:strRef>
              <c:extLst>
                <c:ext xmlns:c15="http://schemas.microsoft.com/office/drawing/2012/chart" uri="{02D57815-91ED-43cb-92C2-25804820EDAC}">
                  <c15:fullRef>
                    <c15:sqref>'8 BME'!$A$7:$B$26</c15:sqref>
                  </c15:fullRef>
                </c:ext>
              </c:extLst>
              <c:f>'8 BME'!$A$9:$B$26</c:f>
              <c:strCache>
                <c:ptCount val="9"/>
                <c:pt idx="0">
                  <c:v>1987</c:v>
                </c:pt>
                <c:pt idx="1">
                  <c:v>1992</c:v>
                </c:pt>
                <c:pt idx="2">
                  <c:v>1997</c:v>
                </c:pt>
                <c:pt idx="3">
                  <c:v>2001</c:v>
                </c:pt>
                <c:pt idx="4">
                  <c:v>2005</c:v>
                </c:pt>
                <c:pt idx="5">
                  <c:v>2010</c:v>
                </c:pt>
                <c:pt idx="6">
                  <c:v>2015</c:v>
                </c:pt>
                <c:pt idx="7">
                  <c:v>2017</c:v>
                </c:pt>
                <c:pt idx="8">
                  <c:v>2019</c:v>
                </c:pt>
              </c:strCache>
            </c:strRef>
          </c:cat>
          <c:val>
            <c:numRef>
              <c:extLst>
                <c:ext xmlns:c15="http://schemas.microsoft.com/office/drawing/2012/chart" uri="{02D57815-91ED-43cb-92C2-25804820EDAC}">
                  <c15:fullRef>
                    <c15:sqref>'8 BME'!$F$7:$F$26</c15:sqref>
                  </c15:fullRef>
                </c:ext>
              </c:extLst>
              <c:f>'8 BME'!$F$9:$F$26</c:f>
              <c:numCache>
                <c:formatCode>General</c:formatCode>
                <c:ptCount val="9"/>
                <c:pt idx="0">
                  <c:v>0</c:v>
                </c:pt>
                <c:pt idx="1">
                  <c:v>0</c:v>
                </c:pt>
                <c:pt idx="2">
                  <c:v>0</c:v>
                </c:pt>
                <c:pt idx="3">
                  <c:v>0</c:v>
                </c:pt>
                <c:pt idx="4">
                  <c:v>0</c:v>
                </c:pt>
                <c:pt idx="5">
                  <c:v>0</c:v>
                </c:pt>
                <c:pt idx="6">
                  <c:v>1</c:v>
                </c:pt>
                <c:pt idx="7">
                  <c:v>0</c:v>
                </c:pt>
                <c:pt idx="8">
                  <c:v>0</c:v>
                </c:pt>
              </c:numCache>
            </c:numRef>
          </c:val>
          <c:extLst>
            <c:ext xmlns:c16="http://schemas.microsoft.com/office/drawing/2014/chart" uri="{C3380CC4-5D6E-409C-BE32-E72D297353CC}">
              <c16:uniqueId val="{00000003-C548-4E12-9C02-EB5FBB7F8682}"/>
            </c:ext>
          </c:extLst>
        </c:ser>
        <c:dLbls>
          <c:showLegendKey val="0"/>
          <c:showVal val="0"/>
          <c:showCatName val="0"/>
          <c:showSerName val="0"/>
          <c:showPercent val="0"/>
          <c:showBubbleSize val="0"/>
        </c:dLbls>
        <c:gapWidth val="90"/>
        <c:overlap val="100"/>
        <c:axId val="465145936"/>
        <c:axId val="465146328"/>
        <c:extLst>
          <c:ext xmlns:c15="http://schemas.microsoft.com/office/drawing/2012/chart" uri="{02D57815-91ED-43cb-92C2-25804820EDAC}">
            <c15:filteredBarSeries>
              <c15:ser>
                <c:idx val="4"/>
                <c:order val="4"/>
                <c:tx>
                  <c:strRef>
                    <c:extLst>
                      <c:ext uri="{02D57815-91ED-43cb-92C2-25804820EDAC}">
                        <c15:formulaRef>
                          <c15:sqref>'8 BME'!$G$6</c15:sqref>
                        </c15:formulaRef>
                      </c:ext>
                    </c:extLst>
                    <c:strCache>
                      <c:ptCount val="1"/>
                      <c:pt idx="0">
                        <c:v>Other</c:v>
                      </c:pt>
                    </c:strCache>
                  </c:strRef>
                </c:tx>
                <c:invertIfNegative val="0"/>
                <c:cat>
                  <c:strRef>
                    <c:extLst>
                      <c:ext uri="{02D57815-91ED-43cb-92C2-25804820EDAC}">
                        <c15:fullRef>
                          <c15:sqref>'8 BME'!$A$7:$B$26</c15:sqref>
                        </c15:fullRef>
                        <c15:formulaRef>
                          <c15:sqref>'8 BME'!$A$9:$B$26</c15:sqref>
                        </c15:formulaRef>
                      </c:ext>
                    </c:extLst>
                    <c:strCache>
                      <c:ptCount val="9"/>
                      <c:pt idx="0">
                        <c:v>1987</c:v>
                      </c:pt>
                      <c:pt idx="1">
                        <c:v>1992</c:v>
                      </c:pt>
                      <c:pt idx="2">
                        <c:v>1997</c:v>
                      </c:pt>
                      <c:pt idx="3">
                        <c:v>2001</c:v>
                      </c:pt>
                      <c:pt idx="4">
                        <c:v>2005</c:v>
                      </c:pt>
                      <c:pt idx="5">
                        <c:v>2010</c:v>
                      </c:pt>
                      <c:pt idx="6">
                        <c:v>2015</c:v>
                      </c:pt>
                      <c:pt idx="7">
                        <c:v>2017</c:v>
                      </c:pt>
                      <c:pt idx="8">
                        <c:v>2019</c:v>
                      </c:pt>
                    </c:strCache>
                  </c:strRef>
                </c:cat>
                <c:val>
                  <c:numRef>
                    <c:extLst>
                      <c:ext uri="{02D57815-91ED-43cb-92C2-25804820EDAC}">
                        <c15:fullRef>
                          <c15:sqref>'8 BME'!$G$7:$G$26</c15:sqref>
                        </c15:fullRef>
                        <c15:formulaRef>
                          <c15:sqref>'8 BME'!$G$9:$G$26</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C548-4E12-9C02-EB5FBB7F8682}"/>
                  </c:ext>
                </c:extLst>
              </c15:ser>
            </c15:filteredBarSeries>
          </c:ext>
        </c:extLst>
      </c:barChart>
      <c:catAx>
        <c:axId val="465145936"/>
        <c:scaling>
          <c:orientation val="maxMin"/>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5146328"/>
        <c:crosses val="autoZero"/>
        <c:auto val="1"/>
        <c:lblAlgn val="ctr"/>
        <c:lblOffset val="100"/>
        <c:noMultiLvlLbl val="0"/>
      </c:catAx>
      <c:valAx>
        <c:axId val="465146328"/>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145936"/>
        <c:crosses val="max"/>
        <c:crossBetween val="between"/>
        <c:majorUnit val="20"/>
      </c:valAx>
      <c:spPr>
        <a:noFill/>
        <a:ln w="25400">
          <a:noFill/>
        </a:ln>
      </c:spPr>
    </c:plotArea>
    <c:legend>
      <c:legendPos val="r"/>
      <c:layout>
        <c:manualLayout>
          <c:xMode val="edge"/>
          <c:yMode val="edge"/>
          <c:x val="0.51732184420343685"/>
          <c:y val="0.20151474088994692"/>
          <c:w val="0.35748889879331119"/>
          <c:h val="0.4356141968740394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13337369782435"/>
          <c:y val="0.12844466181948447"/>
          <c:w val="0.68354001006901921"/>
          <c:h val="0.74313558574819305"/>
        </c:manualLayout>
      </c:layout>
      <c:barChart>
        <c:barDir val="bar"/>
        <c:grouping val="stacked"/>
        <c:varyColors val="0"/>
        <c:ser>
          <c:idx val="0"/>
          <c:order val="0"/>
          <c:tx>
            <c:strRef>
              <c:f>'9 New MPs'!$C$8</c:f>
              <c:strCache>
                <c:ptCount val="1"/>
                <c:pt idx="0">
                  <c:v>CON  </c:v>
                </c:pt>
              </c:strCache>
            </c:strRef>
          </c:tx>
          <c:spPr>
            <a:solidFill>
              <a:srgbClr val="00539F"/>
            </a:solidFill>
            <a:ln w="25400">
              <a:noFill/>
            </a:ln>
          </c:spPr>
          <c:invertIfNegative val="0"/>
          <c:cat>
            <c:numRef>
              <c:extLst>
                <c:ext xmlns:c15="http://schemas.microsoft.com/office/drawing/2012/chart" uri="{02D57815-91ED-43cb-92C2-25804820EDAC}">
                  <c15:fullRef>
                    <c15:sqref>'9 New MPs'!$A$9:$A$20</c15:sqref>
                  </c15:fullRef>
                </c:ext>
              </c:extLst>
              <c:f>'9 New MPs'!$A$10:$A$20</c:f>
              <c:numCache>
                <c:formatCode>General</c:formatCode>
                <c:ptCount val="11"/>
                <c:pt idx="0">
                  <c:v>1979</c:v>
                </c:pt>
                <c:pt idx="1">
                  <c:v>1983</c:v>
                </c:pt>
                <c:pt idx="2">
                  <c:v>1987</c:v>
                </c:pt>
                <c:pt idx="3">
                  <c:v>1992</c:v>
                </c:pt>
                <c:pt idx="4">
                  <c:v>1997</c:v>
                </c:pt>
                <c:pt idx="5">
                  <c:v>2001</c:v>
                </c:pt>
                <c:pt idx="6">
                  <c:v>2005</c:v>
                </c:pt>
                <c:pt idx="7">
                  <c:v>2010</c:v>
                </c:pt>
                <c:pt idx="8">
                  <c:v>2015</c:v>
                </c:pt>
                <c:pt idx="9">
                  <c:v>2017</c:v>
                </c:pt>
                <c:pt idx="10">
                  <c:v>2019</c:v>
                </c:pt>
              </c:numCache>
            </c:numRef>
          </c:cat>
          <c:val>
            <c:numRef>
              <c:extLst>
                <c:ext xmlns:c15="http://schemas.microsoft.com/office/drawing/2012/chart" uri="{02D57815-91ED-43cb-92C2-25804820EDAC}">
                  <c15:fullRef>
                    <c15:sqref>'9 New MPs'!$C$9:$C$20</c15:sqref>
                  </c15:fullRef>
                </c:ext>
              </c:extLst>
              <c:f>'9 New MPs'!$C$10:$C$20</c:f>
              <c:numCache>
                <c:formatCode>General</c:formatCode>
                <c:ptCount val="11"/>
                <c:pt idx="0">
                  <c:v>77</c:v>
                </c:pt>
                <c:pt idx="1">
                  <c:v>100</c:v>
                </c:pt>
                <c:pt idx="2">
                  <c:v>53</c:v>
                </c:pt>
                <c:pt idx="3">
                  <c:v>54</c:v>
                </c:pt>
                <c:pt idx="4">
                  <c:v>33</c:v>
                </c:pt>
                <c:pt idx="5">
                  <c:v>26</c:v>
                </c:pt>
                <c:pt idx="6">
                  <c:v>51</c:v>
                </c:pt>
                <c:pt idx="7">
                  <c:v>147</c:v>
                </c:pt>
                <c:pt idx="8">
                  <c:v>73</c:v>
                </c:pt>
                <c:pt idx="9">
                  <c:v>30</c:v>
                </c:pt>
                <c:pt idx="10">
                  <c:v>97</c:v>
                </c:pt>
              </c:numCache>
            </c:numRef>
          </c:val>
          <c:extLst>
            <c:ext xmlns:c16="http://schemas.microsoft.com/office/drawing/2014/chart" uri="{C3380CC4-5D6E-409C-BE32-E72D297353CC}">
              <c16:uniqueId val="{00000000-0813-4E7C-B6E8-9FD98206818B}"/>
            </c:ext>
          </c:extLst>
        </c:ser>
        <c:ser>
          <c:idx val="1"/>
          <c:order val="1"/>
          <c:tx>
            <c:strRef>
              <c:f>'9 New MPs'!$D$8</c:f>
              <c:strCache>
                <c:ptCount val="1"/>
                <c:pt idx="0">
                  <c:v>LAB </c:v>
                </c:pt>
              </c:strCache>
            </c:strRef>
          </c:tx>
          <c:spPr>
            <a:solidFill>
              <a:srgbClr val="CC3300"/>
            </a:solidFill>
            <a:ln w="25400">
              <a:noFill/>
            </a:ln>
          </c:spPr>
          <c:invertIfNegative val="0"/>
          <c:cat>
            <c:numRef>
              <c:extLst>
                <c:ext xmlns:c15="http://schemas.microsoft.com/office/drawing/2012/chart" uri="{02D57815-91ED-43cb-92C2-25804820EDAC}">
                  <c15:fullRef>
                    <c15:sqref>'9 New MPs'!$A$9:$A$20</c15:sqref>
                  </c15:fullRef>
                </c:ext>
              </c:extLst>
              <c:f>'9 New MPs'!$A$10:$A$20</c:f>
              <c:numCache>
                <c:formatCode>General</c:formatCode>
                <c:ptCount val="11"/>
                <c:pt idx="0">
                  <c:v>1979</c:v>
                </c:pt>
                <c:pt idx="1">
                  <c:v>1983</c:v>
                </c:pt>
                <c:pt idx="2">
                  <c:v>1987</c:v>
                </c:pt>
                <c:pt idx="3">
                  <c:v>1992</c:v>
                </c:pt>
                <c:pt idx="4">
                  <c:v>1997</c:v>
                </c:pt>
                <c:pt idx="5">
                  <c:v>2001</c:v>
                </c:pt>
                <c:pt idx="6">
                  <c:v>2005</c:v>
                </c:pt>
                <c:pt idx="7">
                  <c:v>2010</c:v>
                </c:pt>
                <c:pt idx="8">
                  <c:v>2015</c:v>
                </c:pt>
                <c:pt idx="9">
                  <c:v>2017</c:v>
                </c:pt>
                <c:pt idx="10">
                  <c:v>2019</c:v>
                </c:pt>
              </c:numCache>
            </c:numRef>
          </c:cat>
          <c:val>
            <c:numRef>
              <c:extLst>
                <c:ext xmlns:c15="http://schemas.microsoft.com/office/drawing/2012/chart" uri="{02D57815-91ED-43cb-92C2-25804820EDAC}">
                  <c15:fullRef>
                    <c15:sqref>'9 New MPs'!$D$9:$D$20</c15:sqref>
                  </c15:fullRef>
                </c:ext>
              </c:extLst>
              <c:f>'9 New MPs'!$D$10:$D$20</c:f>
              <c:numCache>
                <c:formatCode>General</c:formatCode>
                <c:ptCount val="11"/>
                <c:pt idx="0">
                  <c:v>37</c:v>
                </c:pt>
                <c:pt idx="1">
                  <c:v>34</c:v>
                </c:pt>
                <c:pt idx="2">
                  <c:v>62</c:v>
                </c:pt>
                <c:pt idx="3">
                  <c:v>66</c:v>
                </c:pt>
                <c:pt idx="4">
                  <c:v>178</c:v>
                </c:pt>
                <c:pt idx="5">
                  <c:v>38</c:v>
                </c:pt>
                <c:pt idx="6">
                  <c:v>41</c:v>
                </c:pt>
                <c:pt idx="7">
                  <c:v>63</c:v>
                </c:pt>
                <c:pt idx="8">
                  <c:v>50</c:v>
                </c:pt>
                <c:pt idx="9">
                  <c:v>46</c:v>
                </c:pt>
                <c:pt idx="10">
                  <c:v>24</c:v>
                </c:pt>
              </c:numCache>
            </c:numRef>
          </c:val>
          <c:extLst>
            <c:ext xmlns:c16="http://schemas.microsoft.com/office/drawing/2014/chart" uri="{C3380CC4-5D6E-409C-BE32-E72D297353CC}">
              <c16:uniqueId val="{00000001-0813-4E7C-B6E8-9FD98206818B}"/>
            </c:ext>
          </c:extLst>
        </c:ser>
        <c:ser>
          <c:idx val="2"/>
          <c:order val="2"/>
          <c:tx>
            <c:v>LD</c:v>
          </c:tx>
          <c:spPr>
            <a:solidFill>
              <a:srgbClr val="FAA01A"/>
            </a:solidFill>
            <a:ln w="25400">
              <a:noFill/>
            </a:ln>
          </c:spPr>
          <c:invertIfNegative val="0"/>
          <c:cat>
            <c:numRef>
              <c:extLst>
                <c:ext xmlns:c15="http://schemas.microsoft.com/office/drawing/2012/chart" uri="{02D57815-91ED-43cb-92C2-25804820EDAC}">
                  <c15:fullRef>
                    <c15:sqref>'9 New MPs'!$A$9:$A$20</c15:sqref>
                  </c15:fullRef>
                </c:ext>
              </c:extLst>
              <c:f>'9 New MPs'!$A$10:$A$20</c:f>
              <c:numCache>
                <c:formatCode>General</c:formatCode>
                <c:ptCount val="11"/>
                <c:pt idx="0">
                  <c:v>1979</c:v>
                </c:pt>
                <c:pt idx="1">
                  <c:v>1983</c:v>
                </c:pt>
                <c:pt idx="2">
                  <c:v>1987</c:v>
                </c:pt>
                <c:pt idx="3">
                  <c:v>1992</c:v>
                </c:pt>
                <c:pt idx="4">
                  <c:v>1997</c:v>
                </c:pt>
                <c:pt idx="5">
                  <c:v>2001</c:v>
                </c:pt>
                <c:pt idx="6">
                  <c:v>2005</c:v>
                </c:pt>
                <c:pt idx="7">
                  <c:v>2010</c:v>
                </c:pt>
                <c:pt idx="8">
                  <c:v>2015</c:v>
                </c:pt>
                <c:pt idx="9">
                  <c:v>2017</c:v>
                </c:pt>
                <c:pt idx="10">
                  <c:v>2019</c:v>
                </c:pt>
              </c:numCache>
            </c:numRef>
          </c:cat>
          <c:val>
            <c:numRef>
              <c:extLst>
                <c:ext xmlns:c15="http://schemas.microsoft.com/office/drawing/2012/chart" uri="{02D57815-91ED-43cb-92C2-25804820EDAC}">
                  <c15:fullRef>
                    <c15:sqref>'9 New MPs'!$E$9:$E$20</c15:sqref>
                  </c15:fullRef>
                </c:ext>
              </c:extLst>
              <c:f>'9 New MPs'!$E$10:$E$20</c:f>
              <c:numCache>
                <c:formatCode>General</c:formatCode>
                <c:ptCount val="11"/>
                <c:pt idx="0">
                  <c:v>0</c:v>
                </c:pt>
                <c:pt idx="1">
                  <c:v>7</c:v>
                </c:pt>
                <c:pt idx="2">
                  <c:v>3</c:v>
                </c:pt>
                <c:pt idx="3">
                  <c:v>4</c:v>
                </c:pt>
                <c:pt idx="4">
                  <c:v>26</c:v>
                </c:pt>
                <c:pt idx="5">
                  <c:v>14</c:v>
                </c:pt>
                <c:pt idx="6">
                  <c:v>20</c:v>
                </c:pt>
                <c:pt idx="7">
                  <c:v>10</c:v>
                </c:pt>
                <c:pt idx="8">
                  <c:v>0</c:v>
                </c:pt>
                <c:pt idx="9">
                  <c:v>4</c:v>
                </c:pt>
                <c:pt idx="10">
                  <c:v>3</c:v>
                </c:pt>
              </c:numCache>
            </c:numRef>
          </c:val>
          <c:extLst>
            <c:ext xmlns:c16="http://schemas.microsoft.com/office/drawing/2014/chart" uri="{C3380CC4-5D6E-409C-BE32-E72D297353CC}">
              <c16:uniqueId val="{00000002-0813-4E7C-B6E8-9FD98206818B}"/>
            </c:ext>
          </c:extLst>
        </c:ser>
        <c:ser>
          <c:idx val="3"/>
          <c:order val="3"/>
          <c:tx>
            <c:strRef>
              <c:f>'9 New MPs'!$F$8</c:f>
              <c:strCache>
                <c:ptCount val="1"/>
                <c:pt idx="0">
                  <c:v>Other </c:v>
                </c:pt>
              </c:strCache>
            </c:strRef>
          </c:tx>
          <c:spPr>
            <a:solidFill>
              <a:srgbClr val="909090"/>
            </a:solidFill>
            <a:ln>
              <a:noFill/>
            </a:ln>
          </c:spPr>
          <c:invertIfNegative val="0"/>
          <c:cat>
            <c:numRef>
              <c:extLst>
                <c:ext xmlns:c15="http://schemas.microsoft.com/office/drawing/2012/chart" uri="{02D57815-91ED-43cb-92C2-25804820EDAC}">
                  <c15:fullRef>
                    <c15:sqref>'9 New MPs'!$A$9:$A$20</c15:sqref>
                  </c15:fullRef>
                </c:ext>
              </c:extLst>
              <c:f>'9 New MPs'!$A$10:$A$20</c:f>
              <c:numCache>
                <c:formatCode>General</c:formatCode>
                <c:ptCount val="11"/>
                <c:pt idx="0">
                  <c:v>1979</c:v>
                </c:pt>
                <c:pt idx="1">
                  <c:v>1983</c:v>
                </c:pt>
                <c:pt idx="2">
                  <c:v>1987</c:v>
                </c:pt>
                <c:pt idx="3">
                  <c:v>1992</c:v>
                </c:pt>
                <c:pt idx="4">
                  <c:v>1997</c:v>
                </c:pt>
                <c:pt idx="5">
                  <c:v>2001</c:v>
                </c:pt>
                <c:pt idx="6">
                  <c:v>2005</c:v>
                </c:pt>
                <c:pt idx="7">
                  <c:v>2010</c:v>
                </c:pt>
                <c:pt idx="8">
                  <c:v>2015</c:v>
                </c:pt>
                <c:pt idx="9">
                  <c:v>2017</c:v>
                </c:pt>
                <c:pt idx="10">
                  <c:v>2019</c:v>
                </c:pt>
              </c:numCache>
            </c:numRef>
          </c:cat>
          <c:val>
            <c:numRef>
              <c:extLst>
                <c:ext xmlns:c15="http://schemas.microsoft.com/office/drawing/2012/chart" uri="{02D57815-91ED-43cb-92C2-25804820EDAC}">
                  <c15:fullRef>
                    <c15:sqref>'9 New MPs'!$F$9:$F$20</c15:sqref>
                  </c15:fullRef>
                </c:ext>
              </c:extLst>
              <c:f>'9 New MPs'!$F$10:$F$20</c:f>
              <c:numCache>
                <c:formatCode>General</c:formatCode>
                <c:ptCount val="11"/>
                <c:pt idx="0">
                  <c:v>2</c:v>
                </c:pt>
                <c:pt idx="1">
                  <c:v>9</c:v>
                </c:pt>
                <c:pt idx="2">
                  <c:v>3</c:v>
                </c:pt>
                <c:pt idx="3">
                  <c:v>3</c:v>
                </c:pt>
                <c:pt idx="4">
                  <c:v>6</c:v>
                </c:pt>
                <c:pt idx="5">
                  <c:v>14</c:v>
                </c:pt>
                <c:pt idx="6">
                  <c:v>7</c:v>
                </c:pt>
                <c:pt idx="7">
                  <c:v>7</c:v>
                </c:pt>
                <c:pt idx="8">
                  <c:v>54</c:v>
                </c:pt>
                <c:pt idx="9">
                  <c:v>7</c:v>
                </c:pt>
                <c:pt idx="10">
                  <c:v>16</c:v>
                </c:pt>
              </c:numCache>
            </c:numRef>
          </c:val>
          <c:extLst>
            <c:ext xmlns:c16="http://schemas.microsoft.com/office/drawing/2014/chart" uri="{C3380CC4-5D6E-409C-BE32-E72D297353CC}">
              <c16:uniqueId val="{00000003-0813-4E7C-B6E8-9FD98206818B}"/>
            </c:ext>
          </c:extLst>
        </c:ser>
        <c:dLbls>
          <c:showLegendKey val="0"/>
          <c:showVal val="0"/>
          <c:showCatName val="0"/>
          <c:showSerName val="0"/>
          <c:showPercent val="0"/>
          <c:showBubbleSize val="0"/>
        </c:dLbls>
        <c:gapWidth val="90"/>
        <c:overlap val="100"/>
        <c:axId val="465079224"/>
        <c:axId val="465079616"/>
      </c:barChart>
      <c:catAx>
        <c:axId val="465079224"/>
        <c:scaling>
          <c:orientation val="maxMin"/>
        </c:scaling>
        <c:delete val="0"/>
        <c:axPos val="l"/>
        <c:numFmt formatCode="General" sourceLinked="1"/>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5079616"/>
        <c:crosses val="autoZero"/>
        <c:auto val="1"/>
        <c:lblAlgn val="ctr"/>
        <c:lblOffset val="100"/>
        <c:noMultiLvlLbl val="0"/>
      </c:catAx>
      <c:valAx>
        <c:axId val="465079616"/>
        <c:scaling>
          <c:orientation val="minMax"/>
        </c:scaling>
        <c:delete val="0"/>
        <c:axPos val="b"/>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5079224"/>
        <c:crosses val="max"/>
        <c:crossBetween val="between"/>
        <c:majorUnit val="100"/>
      </c:valAx>
      <c:spPr>
        <a:noFill/>
        <a:ln w="25400">
          <a:noFill/>
        </a:ln>
      </c:spPr>
    </c:plotArea>
    <c:legend>
      <c:legendPos val="r"/>
      <c:layout>
        <c:manualLayout>
          <c:xMode val="edge"/>
          <c:yMode val="edge"/>
          <c:x val="0.67474058503347922"/>
          <c:y val="0.11125797545199664"/>
          <c:w val="0.3172076548683842"/>
          <c:h val="0.26464455081240218"/>
        </c:manualLayout>
      </c:layout>
      <c:overlay val="0"/>
      <c:spPr>
        <a:noFill/>
        <a:ln w="25400">
          <a:noFill/>
        </a:ln>
      </c:spPr>
      <c:txPr>
        <a:bodyPr/>
        <a:lstStyle/>
        <a:p>
          <a:pPr>
            <a:defRPr sz="1000"/>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Frutiger LT Std 45 Light"/>
                <a:ea typeface="Frutiger LT Std 45 Light"/>
                <a:cs typeface="Frutiger LT Std 45 Light"/>
              </a:defRPr>
            </a:pPr>
            <a:r>
              <a:rPr lang="en-GB"/>
              <a:t>(a) Barrister</a:t>
            </a:r>
          </a:p>
        </c:rich>
      </c:tx>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Occupations'!$V$135</c:f>
              <c:strCache>
                <c:ptCount val="1"/>
                <c:pt idx="0">
                  <c:v>CON</c:v>
                </c:pt>
              </c:strCache>
            </c:strRef>
          </c:tx>
          <c:spPr>
            <a:solidFill>
              <a:srgbClr val="0000FF"/>
            </a:solidFill>
            <a:ln w="12700">
              <a:solidFill>
                <a:srgbClr val="0000FF"/>
              </a:solidFill>
              <a:prstDash val="solid"/>
            </a:ln>
          </c:spPr>
          <c:invertIfNegative val="0"/>
          <c:cat>
            <c:numRef>
              <c:f>'11 Occupations'!$W$133:$AM$133</c:f>
              <c:numCache>
                <c:formatCode>#,##0_);\(#,##0\)</c:formatCode>
                <c:ptCount val="17"/>
                <c:pt idx="0">
                  <c:v>51</c:v>
                </c:pt>
                <c:pt idx="1">
                  <c:v>55</c:v>
                </c:pt>
                <c:pt idx="2">
                  <c:v>59</c:v>
                </c:pt>
                <c:pt idx="3">
                  <c:v>64</c:v>
                </c:pt>
                <c:pt idx="4">
                  <c:v>66</c:v>
                </c:pt>
                <c:pt idx="5">
                  <c:v>70</c:v>
                </c:pt>
                <c:pt idx="6">
                  <c:v>74</c:v>
                </c:pt>
                <c:pt idx="7">
                  <c:v>74</c:v>
                </c:pt>
                <c:pt idx="8">
                  <c:v>79</c:v>
                </c:pt>
                <c:pt idx="9">
                  <c:v>83</c:v>
                </c:pt>
                <c:pt idx="10">
                  <c:v>87</c:v>
                </c:pt>
                <c:pt idx="11">
                  <c:v>92</c:v>
                </c:pt>
                <c:pt idx="12">
                  <c:v>97</c:v>
                </c:pt>
                <c:pt idx="13" formatCode="General">
                  <c:v>1</c:v>
                </c:pt>
                <c:pt idx="14" formatCode="General">
                  <c:v>5</c:v>
                </c:pt>
                <c:pt idx="15" formatCode="General">
                  <c:v>10</c:v>
                </c:pt>
                <c:pt idx="16" formatCode="General">
                  <c:v>15</c:v>
                </c:pt>
              </c:numCache>
            </c:numRef>
          </c:cat>
          <c:val>
            <c:numRef>
              <c:f>'11 Occupations'!$W$135:$AM$135</c:f>
              <c:numCache>
                <c:formatCode>0</c:formatCode>
                <c:ptCount val="17"/>
                <c:pt idx="0">
                  <c:v>61</c:v>
                </c:pt>
                <c:pt idx="1">
                  <c:v>66</c:v>
                </c:pt>
                <c:pt idx="2">
                  <c:v>72</c:v>
                </c:pt>
                <c:pt idx="3">
                  <c:v>65</c:v>
                </c:pt>
                <c:pt idx="4">
                  <c:v>55</c:v>
                </c:pt>
                <c:pt idx="5">
                  <c:v>60</c:v>
                </c:pt>
                <c:pt idx="6">
                  <c:v>59</c:v>
                </c:pt>
                <c:pt idx="7">
                  <c:v>55</c:v>
                </c:pt>
                <c:pt idx="8">
                  <c:v>51</c:v>
                </c:pt>
                <c:pt idx="9">
                  <c:v>56</c:v>
                </c:pt>
                <c:pt idx="10">
                  <c:v>43</c:v>
                </c:pt>
                <c:pt idx="11">
                  <c:v>39</c:v>
                </c:pt>
                <c:pt idx="12" formatCode="#,##0_);\(#,##0\)">
                  <c:v>20</c:v>
                </c:pt>
                <c:pt idx="13">
                  <c:v>18</c:v>
                </c:pt>
                <c:pt idx="14" formatCode="#,##0_);\(#,##0\)">
                  <c:v>22</c:v>
                </c:pt>
                <c:pt idx="15">
                  <c:v>27</c:v>
                </c:pt>
                <c:pt idx="16" formatCode="#,##0_);\(#,##0\)">
                  <c:v>28</c:v>
                </c:pt>
              </c:numCache>
            </c:numRef>
          </c:val>
          <c:extLst>
            <c:ext xmlns:c16="http://schemas.microsoft.com/office/drawing/2014/chart" uri="{C3380CC4-5D6E-409C-BE32-E72D297353CC}">
              <c16:uniqueId val="{00000000-A86E-494A-B8D1-D4DA3FE06E1F}"/>
            </c:ext>
          </c:extLst>
        </c:ser>
        <c:ser>
          <c:idx val="1"/>
          <c:order val="1"/>
          <c:tx>
            <c:strRef>
              <c:f>'11 Occupations'!$V$136</c:f>
              <c:strCache>
                <c:ptCount val="1"/>
                <c:pt idx="0">
                  <c:v>LAB</c:v>
                </c:pt>
              </c:strCache>
            </c:strRef>
          </c:tx>
          <c:spPr>
            <a:solidFill>
              <a:srgbClr val="FF0000"/>
            </a:solidFill>
            <a:ln w="25400">
              <a:noFill/>
            </a:ln>
          </c:spPr>
          <c:invertIfNegative val="0"/>
          <c:cat>
            <c:numRef>
              <c:f>'11 Occupations'!$W$133:$AM$133</c:f>
              <c:numCache>
                <c:formatCode>#,##0_);\(#,##0\)</c:formatCode>
                <c:ptCount val="17"/>
                <c:pt idx="0">
                  <c:v>51</c:v>
                </c:pt>
                <c:pt idx="1">
                  <c:v>55</c:v>
                </c:pt>
                <c:pt idx="2">
                  <c:v>59</c:v>
                </c:pt>
                <c:pt idx="3">
                  <c:v>64</c:v>
                </c:pt>
                <c:pt idx="4">
                  <c:v>66</c:v>
                </c:pt>
                <c:pt idx="5">
                  <c:v>70</c:v>
                </c:pt>
                <c:pt idx="6">
                  <c:v>74</c:v>
                </c:pt>
                <c:pt idx="7">
                  <c:v>74</c:v>
                </c:pt>
                <c:pt idx="8">
                  <c:v>79</c:v>
                </c:pt>
                <c:pt idx="9">
                  <c:v>83</c:v>
                </c:pt>
                <c:pt idx="10">
                  <c:v>87</c:v>
                </c:pt>
                <c:pt idx="11">
                  <c:v>92</c:v>
                </c:pt>
                <c:pt idx="12">
                  <c:v>97</c:v>
                </c:pt>
                <c:pt idx="13" formatCode="General">
                  <c:v>1</c:v>
                </c:pt>
                <c:pt idx="14" formatCode="General">
                  <c:v>5</c:v>
                </c:pt>
                <c:pt idx="15" formatCode="General">
                  <c:v>10</c:v>
                </c:pt>
                <c:pt idx="16" formatCode="General">
                  <c:v>15</c:v>
                </c:pt>
              </c:numCache>
            </c:numRef>
          </c:cat>
          <c:val>
            <c:numRef>
              <c:f>'11 Occupations'!$W$136:$AM$136</c:f>
              <c:numCache>
                <c:formatCode>0</c:formatCode>
                <c:ptCount val="17"/>
                <c:pt idx="0">
                  <c:v>28</c:v>
                </c:pt>
                <c:pt idx="1">
                  <c:v>27</c:v>
                </c:pt>
                <c:pt idx="2">
                  <c:v>27</c:v>
                </c:pt>
                <c:pt idx="3">
                  <c:v>31</c:v>
                </c:pt>
                <c:pt idx="4">
                  <c:v>36</c:v>
                </c:pt>
                <c:pt idx="5">
                  <c:v>34</c:v>
                </c:pt>
                <c:pt idx="6">
                  <c:v>31</c:v>
                </c:pt>
                <c:pt idx="7">
                  <c:v>32</c:v>
                </c:pt>
                <c:pt idx="8">
                  <c:v>15</c:v>
                </c:pt>
                <c:pt idx="9">
                  <c:v>9</c:v>
                </c:pt>
                <c:pt idx="10">
                  <c:v>9</c:v>
                </c:pt>
                <c:pt idx="11">
                  <c:v>9</c:v>
                </c:pt>
                <c:pt idx="12">
                  <c:v>12</c:v>
                </c:pt>
                <c:pt idx="13">
                  <c:v>13</c:v>
                </c:pt>
                <c:pt idx="14" formatCode="#,##0_);\(#,##0\)">
                  <c:v>10</c:v>
                </c:pt>
                <c:pt idx="15">
                  <c:v>9</c:v>
                </c:pt>
                <c:pt idx="16" formatCode="#,##0_);\(#,##0\)">
                  <c:v>9</c:v>
                </c:pt>
              </c:numCache>
            </c:numRef>
          </c:val>
          <c:extLst>
            <c:ext xmlns:c16="http://schemas.microsoft.com/office/drawing/2014/chart" uri="{C3380CC4-5D6E-409C-BE32-E72D297353CC}">
              <c16:uniqueId val="{00000001-A86E-494A-B8D1-D4DA3FE06E1F}"/>
            </c:ext>
          </c:extLst>
        </c:ser>
        <c:ser>
          <c:idx val="2"/>
          <c:order val="2"/>
          <c:tx>
            <c:strRef>
              <c:f>'11 Occupations'!$V$137</c:f>
              <c:strCache>
                <c:ptCount val="1"/>
                <c:pt idx="0">
                  <c:v>LD</c:v>
                </c:pt>
              </c:strCache>
            </c:strRef>
          </c:tx>
          <c:spPr>
            <a:solidFill>
              <a:srgbClr val="FFCC00"/>
            </a:solidFill>
            <a:ln w="25400">
              <a:noFill/>
            </a:ln>
          </c:spPr>
          <c:invertIfNegative val="0"/>
          <c:cat>
            <c:numRef>
              <c:f>'11 Occupations'!$W$133:$AM$133</c:f>
              <c:numCache>
                <c:formatCode>#,##0_);\(#,##0\)</c:formatCode>
                <c:ptCount val="17"/>
                <c:pt idx="0">
                  <c:v>51</c:v>
                </c:pt>
                <c:pt idx="1">
                  <c:v>55</c:v>
                </c:pt>
                <c:pt idx="2">
                  <c:v>59</c:v>
                </c:pt>
                <c:pt idx="3">
                  <c:v>64</c:v>
                </c:pt>
                <c:pt idx="4">
                  <c:v>66</c:v>
                </c:pt>
                <c:pt idx="5">
                  <c:v>70</c:v>
                </c:pt>
                <c:pt idx="6">
                  <c:v>74</c:v>
                </c:pt>
                <c:pt idx="7">
                  <c:v>74</c:v>
                </c:pt>
                <c:pt idx="8">
                  <c:v>79</c:v>
                </c:pt>
                <c:pt idx="9">
                  <c:v>83</c:v>
                </c:pt>
                <c:pt idx="10">
                  <c:v>87</c:v>
                </c:pt>
                <c:pt idx="11">
                  <c:v>92</c:v>
                </c:pt>
                <c:pt idx="12">
                  <c:v>97</c:v>
                </c:pt>
                <c:pt idx="13" formatCode="General">
                  <c:v>1</c:v>
                </c:pt>
                <c:pt idx="14" formatCode="General">
                  <c:v>5</c:v>
                </c:pt>
                <c:pt idx="15" formatCode="General">
                  <c:v>10</c:v>
                </c:pt>
                <c:pt idx="16" formatCode="General">
                  <c:v>15</c:v>
                </c:pt>
              </c:numCache>
            </c:numRef>
          </c:cat>
          <c:val>
            <c:numRef>
              <c:f>'11 Occupations'!$W$137:$AM$137</c:f>
              <c:numCache>
                <c:formatCode>0</c:formatCode>
                <c:ptCount val="17"/>
                <c:pt idx="0">
                  <c:v>4</c:v>
                </c:pt>
                <c:pt idx="1">
                  <c:v>4</c:v>
                </c:pt>
                <c:pt idx="2">
                  <c:v>4</c:v>
                </c:pt>
                <c:pt idx="3">
                  <c:v>4</c:v>
                </c:pt>
                <c:pt idx="4">
                  <c:v>3</c:v>
                </c:pt>
                <c:pt idx="5">
                  <c:v>3</c:v>
                </c:pt>
                <c:pt idx="6">
                  <c:v>3</c:v>
                </c:pt>
                <c:pt idx="7">
                  <c:v>3</c:v>
                </c:pt>
                <c:pt idx="8">
                  <c:v>1</c:v>
                </c:pt>
                <c:pt idx="9">
                  <c:v>4</c:v>
                </c:pt>
                <c:pt idx="10">
                  <c:v>5</c:v>
                </c:pt>
                <c:pt idx="11">
                  <c:v>5</c:v>
                </c:pt>
                <c:pt idx="12">
                  <c:v>4</c:v>
                </c:pt>
                <c:pt idx="13">
                  <c:v>2</c:v>
                </c:pt>
                <c:pt idx="14" formatCode="#,##0_);\(#,##0\)">
                  <c:v>2</c:v>
                </c:pt>
                <c:pt idx="15">
                  <c:v>2</c:v>
                </c:pt>
                <c:pt idx="16" formatCode="#,##0_);\(#,##0\)">
                  <c:v>0</c:v>
                </c:pt>
              </c:numCache>
            </c:numRef>
          </c:val>
          <c:extLst>
            <c:ext xmlns:c16="http://schemas.microsoft.com/office/drawing/2014/chart" uri="{C3380CC4-5D6E-409C-BE32-E72D297353CC}">
              <c16:uniqueId val="{00000002-A86E-494A-B8D1-D4DA3FE06E1F}"/>
            </c:ext>
          </c:extLst>
        </c:ser>
        <c:dLbls>
          <c:showLegendKey val="0"/>
          <c:showVal val="0"/>
          <c:showCatName val="0"/>
          <c:showSerName val="0"/>
          <c:showPercent val="0"/>
          <c:showBubbleSize val="0"/>
        </c:dLbls>
        <c:gapWidth val="150"/>
        <c:overlap val="100"/>
        <c:axId val="465080400"/>
        <c:axId val="465080792"/>
      </c:barChart>
      <c:catAx>
        <c:axId val="465080400"/>
        <c:scaling>
          <c:orientation val="minMax"/>
        </c:scaling>
        <c:delete val="0"/>
        <c:axPos val="b"/>
        <c:numFmt formatCode="#,##0_);\(#,##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65080792"/>
        <c:crosses val="autoZero"/>
        <c:auto val="1"/>
        <c:lblAlgn val="ctr"/>
        <c:lblOffset val="100"/>
        <c:noMultiLvlLbl val="0"/>
      </c:catAx>
      <c:valAx>
        <c:axId val="465080792"/>
        <c:scaling>
          <c:orientation val="minMax"/>
        </c:scaling>
        <c:delete val="0"/>
        <c:axPos val="l"/>
        <c:numFmt formatCode="0" sourceLinked="1"/>
        <c:majorTickMark val="none"/>
        <c:minorTickMark val="none"/>
        <c:tickLblPos val="nextTo"/>
        <c:spPr>
          <a:noFill/>
          <a:ln>
            <a:solidFill>
              <a:schemeClr val="tx1"/>
            </a:solidFill>
          </a:ln>
          <a:effectLst/>
        </c:spPr>
        <c:txPr>
          <a:bodyPr rot="0" vert="horz"/>
          <a:lstStyle/>
          <a:p>
            <a:pPr>
              <a:defRPr sz="900" b="0" i="0" u="none" strike="noStrike" baseline="0">
                <a:solidFill>
                  <a:srgbClr val="000000"/>
                </a:solidFill>
                <a:latin typeface="Frutiger LT Std 45 Light"/>
                <a:ea typeface="Frutiger LT Std 45 Light"/>
                <a:cs typeface="Frutiger LT Std 45 Light"/>
              </a:defRPr>
            </a:pPr>
            <a:endParaRPr lang="en-US"/>
          </a:p>
        </c:txPr>
        <c:crossAx val="465080400"/>
        <c:crosses val="autoZero"/>
        <c:crossBetween val="between"/>
      </c:valAx>
      <c:spPr>
        <a:noFill/>
        <a:ln w="25400">
          <a:noFill/>
        </a:ln>
      </c:spPr>
    </c:plotArea>
    <c:legend>
      <c:legendPos val="b"/>
      <c:layout>
        <c:manualLayout>
          <c:xMode val="edge"/>
          <c:yMode val="edge"/>
          <c:x val="0.81081168388254998"/>
          <c:y val="0.14236147564887722"/>
          <c:w val="0.14345136171907824"/>
          <c:h val="0.19791739574219888"/>
        </c:manualLayout>
      </c:layout>
      <c:overlay val="0"/>
      <c:spPr>
        <a:noFill/>
        <a:ln w="25400">
          <a:noFill/>
        </a:ln>
      </c:spPr>
      <c:txPr>
        <a:bodyPr/>
        <a:lstStyle/>
        <a:p>
          <a:pPr>
            <a:defRPr sz="575" b="0" i="0" u="none" strike="noStrike" baseline="0">
              <a:solidFill>
                <a:srgbClr val="000000"/>
              </a:solidFill>
              <a:latin typeface="Frutiger LT Std 45 Light"/>
              <a:ea typeface="Frutiger LT Std 45 Light"/>
              <a:cs typeface="Frutiger LT Std 45 Light"/>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Frutiger LT Std 45 Light"/>
          <a:ea typeface="Frutiger LT Std 45 Light"/>
          <a:cs typeface="Frutiger LT Std 45 Light"/>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 Barrister</a:t>
            </a:r>
          </a:p>
        </c:rich>
      </c:tx>
      <c:layout>
        <c:manualLayout>
          <c:xMode val="edge"/>
          <c:yMode val="edge"/>
          <c:x val="0.32500515213376108"/>
          <c:y val="4.3636745406824148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 Visual'!$B$5</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Visual'!$C$5:$S$5</c:f>
              <c:numCache>
                <c:formatCode>0</c:formatCode>
                <c:ptCount val="17"/>
                <c:pt idx="0">
                  <c:v>61</c:v>
                </c:pt>
                <c:pt idx="1">
                  <c:v>66</c:v>
                </c:pt>
                <c:pt idx="2">
                  <c:v>72</c:v>
                </c:pt>
                <c:pt idx="3">
                  <c:v>65</c:v>
                </c:pt>
                <c:pt idx="4">
                  <c:v>55</c:v>
                </c:pt>
                <c:pt idx="5">
                  <c:v>60</c:v>
                </c:pt>
                <c:pt idx="6">
                  <c:v>59</c:v>
                </c:pt>
                <c:pt idx="7">
                  <c:v>55</c:v>
                </c:pt>
                <c:pt idx="8">
                  <c:v>51</c:v>
                </c:pt>
                <c:pt idx="9">
                  <c:v>56</c:v>
                </c:pt>
                <c:pt idx="10">
                  <c:v>43</c:v>
                </c:pt>
                <c:pt idx="11">
                  <c:v>39</c:v>
                </c:pt>
                <c:pt idx="12" formatCode="#,##0_);\(#,##0\)">
                  <c:v>20</c:v>
                </c:pt>
                <c:pt idx="13">
                  <c:v>18</c:v>
                </c:pt>
                <c:pt idx="14" formatCode="#,##0_);\(#,##0\)">
                  <c:v>22</c:v>
                </c:pt>
                <c:pt idx="15">
                  <c:v>27</c:v>
                </c:pt>
                <c:pt idx="16" formatCode="#,##0_);\(#,##0\)">
                  <c:v>28</c:v>
                </c:pt>
              </c:numCache>
            </c:numRef>
          </c:val>
          <c:extLst>
            <c:ext xmlns:c16="http://schemas.microsoft.com/office/drawing/2014/chart" uri="{C3380CC4-5D6E-409C-BE32-E72D297353CC}">
              <c16:uniqueId val="{00000000-29A7-4742-87C7-69830A2375FF}"/>
            </c:ext>
          </c:extLst>
        </c:ser>
        <c:ser>
          <c:idx val="1"/>
          <c:order val="1"/>
          <c:tx>
            <c:strRef>
              <c:f>'11 Occupations Visual'!$B$6</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Visual'!$C$6:$S$6</c:f>
              <c:numCache>
                <c:formatCode>0</c:formatCode>
                <c:ptCount val="17"/>
                <c:pt idx="0">
                  <c:v>28</c:v>
                </c:pt>
                <c:pt idx="1">
                  <c:v>27</c:v>
                </c:pt>
                <c:pt idx="2">
                  <c:v>27</c:v>
                </c:pt>
                <c:pt idx="3">
                  <c:v>31</c:v>
                </c:pt>
                <c:pt idx="4">
                  <c:v>36</c:v>
                </c:pt>
                <c:pt idx="5">
                  <c:v>34</c:v>
                </c:pt>
                <c:pt idx="6">
                  <c:v>31</c:v>
                </c:pt>
                <c:pt idx="7">
                  <c:v>32</c:v>
                </c:pt>
                <c:pt idx="8">
                  <c:v>15</c:v>
                </c:pt>
                <c:pt idx="9">
                  <c:v>9</c:v>
                </c:pt>
                <c:pt idx="10">
                  <c:v>9</c:v>
                </c:pt>
                <c:pt idx="11">
                  <c:v>9</c:v>
                </c:pt>
                <c:pt idx="12">
                  <c:v>12</c:v>
                </c:pt>
                <c:pt idx="13">
                  <c:v>13</c:v>
                </c:pt>
                <c:pt idx="14" formatCode="#,##0_);\(#,##0\)">
                  <c:v>10</c:v>
                </c:pt>
                <c:pt idx="15">
                  <c:v>9</c:v>
                </c:pt>
                <c:pt idx="16" formatCode="#,##0_);\(#,##0\)">
                  <c:v>9</c:v>
                </c:pt>
              </c:numCache>
            </c:numRef>
          </c:val>
          <c:extLst>
            <c:ext xmlns:c16="http://schemas.microsoft.com/office/drawing/2014/chart" uri="{C3380CC4-5D6E-409C-BE32-E72D297353CC}">
              <c16:uniqueId val="{00000001-29A7-4742-87C7-69830A2375FF}"/>
            </c:ext>
          </c:extLst>
        </c:ser>
        <c:ser>
          <c:idx val="2"/>
          <c:order val="2"/>
          <c:tx>
            <c:strRef>
              <c:f>'11 Occupations Visual'!$B$7</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Visual'!$C$7:$S$7</c:f>
              <c:numCache>
                <c:formatCode>0</c:formatCode>
                <c:ptCount val="17"/>
                <c:pt idx="0">
                  <c:v>4</c:v>
                </c:pt>
                <c:pt idx="1">
                  <c:v>4</c:v>
                </c:pt>
                <c:pt idx="2">
                  <c:v>4</c:v>
                </c:pt>
                <c:pt idx="3">
                  <c:v>4</c:v>
                </c:pt>
                <c:pt idx="4">
                  <c:v>3</c:v>
                </c:pt>
                <c:pt idx="5">
                  <c:v>3</c:v>
                </c:pt>
                <c:pt idx="6">
                  <c:v>3</c:v>
                </c:pt>
                <c:pt idx="7">
                  <c:v>3</c:v>
                </c:pt>
                <c:pt idx="8">
                  <c:v>1</c:v>
                </c:pt>
                <c:pt idx="9">
                  <c:v>4</c:v>
                </c:pt>
                <c:pt idx="10">
                  <c:v>5</c:v>
                </c:pt>
                <c:pt idx="11">
                  <c:v>5</c:v>
                </c:pt>
                <c:pt idx="12">
                  <c:v>4</c:v>
                </c:pt>
                <c:pt idx="13">
                  <c:v>2</c:v>
                </c:pt>
                <c:pt idx="14" formatCode="#,##0_);\(#,##0\)">
                  <c:v>2</c:v>
                </c:pt>
                <c:pt idx="15">
                  <c:v>2</c:v>
                </c:pt>
                <c:pt idx="16" formatCode="#,##0_);\(#,##0\)">
                  <c:v>0</c:v>
                </c:pt>
              </c:numCache>
            </c:numRef>
          </c:val>
          <c:extLst>
            <c:ext xmlns:c16="http://schemas.microsoft.com/office/drawing/2014/chart" uri="{C3380CC4-5D6E-409C-BE32-E72D297353CC}">
              <c16:uniqueId val="{00000002-29A7-4742-87C7-69830A2375FF}"/>
            </c:ext>
          </c:extLst>
        </c:ser>
        <c:dLbls>
          <c:showLegendKey val="0"/>
          <c:showVal val="0"/>
          <c:showCatName val="0"/>
          <c:showSerName val="0"/>
          <c:showPercent val="0"/>
          <c:showBubbleSize val="0"/>
        </c:dLbls>
        <c:gapWidth val="50"/>
        <c:overlap val="100"/>
        <c:axId val="465081576"/>
        <c:axId val="465081968"/>
      </c:barChart>
      <c:catAx>
        <c:axId val="465081576"/>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5081968"/>
        <c:crosses val="autoZero"/>
        <c:auto val="1"/>
        <c:lblAlgn val="ctr"/>
        <c:lblOffset val="100"/>
        <c:noMultiLvlLbl val="0"/>
      </c:catAx>
      <c:valAx>
        <c:axId val="465081968"/>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81576"/>
        <c:crosses val="autoZero"/>
        <c:crossBetween val="between"/>
        <c:majorUnit val="50"/>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 Teacher</a:t>
            </a:r>
          </a:p>
        </c:rich>
      </c:tx>
      <c:layout>
        <c:manualLayout>
          <c:xMode val="edge"/>
          <c:yMode val="edge"/>
          <c:x val="0.32500554097404494"/>
          <c:y val="4.3636792591937243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 Visual'!$B$9</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Visual'!$C$9:$S$9</c:f>
              <c:numCache>
                <c:formatCode>0</c:formatCode>
                <c:ptCount val="17"/>
                <c:pt idx="0">
                  <c:v>5</c:v>
                </c:pt>
                <c:pt idx="1">
                  <c:v>4</c:v>
                </c:pt>
                <c:pt idx="2">
                  <c:v>5</c:v>
                </c:pt>
                <c:pt idx="3">
                  <c:v>5</c:v>
                </c:pt>
                <c:pt idx="4">
                  <c:v>4</c:v>
                </c:pt>
                <c:pt idx="5">
                  <c:v>9</c:v>
                </c:pt>
                <c:pt idx="6">
                  <c:v>10</c:v>
                </c:pt>
                <c:pt idx="7">
                  <c:v>12</c:v>
                </c:pt>
                <c:pt idx="8">
                  <c:v>18</c:v>
                </c:pt>
                <c:pt idx="9">
                  <c:v>20</c:v>
                </c:pt>
                <c:pt idx="10">
                  <c:v>25</c:v>
                </c:pt>
                <c:pt idx="11">
                  <c:v>22</c:v>
                </c:pt>
                <c:pt idx="12" formatCode="#,##0_);\(#,##0\)">
                  <c:v>8</c:v>
                </c:pt>
                <c:pt idx="13">
                  <c:v>7</c:v>
                </c:pt>
                <c:pt idx="14" formatCode="#,##0_);\(#,##0\)">
                  <c:v>6</c:v>
                </c:pt>
                <c:pt idx="15">
                  <c:v>4</c:v>
                </c:pt>
                <c:pt idx="16" formatCode="#,##0_);\(#,##0\)">
                  <c:v>6</c:v>
                </c:pt>
              </c:numCache>
            </c:numRef>
          </c:val>
          <c:extLst>
            <c:ext xmlns:c16="http://schemas.microsoft.com/office/drawing/2014/chart" uri="{C3380CC4-5D6E-409C-BE32-E72D297353CC}">
              <c16:uniqueId val="{00000000-AC7A-4467-860A-18EF3BA71453}"/>
            </c:ext>
          </c:extLst>
        </c:ser>
        <c:ser>
          <c:idx val="1"/>
          <c:order val="1"/>
          <c:tx>
            <c:strRef>
              <c:f>'11 Occupations Visual'!$B$10</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Visual'!$C$10:$S$10</c:f>
              <c:numCache>
                <c:formatCode>0</c:formatCode>
                <c:ptCount val="17"/>
                <c:pt idx="0">
                  <c:v>42</c:v>
                </c:pt>
                <c:pt idx="1">
                  <c:v>39</c:v>
                </c:pt>
                <c:pt idx="2">
                  <c:v>36</c:v>
                </c:pt>
                <c:pt idx="3">
                  <c:v>51</c:v>
                </c:pt>
                <c:pt idx="4">
                  <c:v>72</c:v>
                </c:pt>
                <c:pt idx="5">
                  <c:v>56</c:v>
                </c:pt>
                <c:pt idx="6">
                  <c:v>65</c:v>
                </c:pt>
                <c:pt idx="7">
                  <c:v>78</c:v>
                </c:pt>
                <c:pt idx="8">
                  <c:v>56</c:v>
                </c:pt>
                <c:pt idx="9">
                  <c:v>52</c:v>
                </c:pt>
                <c:pt idx="10">
                  <c:v>55</c:v>
                </c:pt>
                <c:pt idx="11">
                  <c:v>76</c:v>
                </c:pt>
                <c:pt idx="12">
                  <c:v>111</c:v>
                </c:pt>
                <c:pt idx="13">
                  <c:v>98</c:v>
                </c:pt>
                <c:pt idx="14" formatCode="#,##0_);\(#,##0\)">
                  <c:v>73</c:v>
                </c:pt>
                <c:pt idx="15">
                  <c:v>35</c:v>
                </c:pt>
                <c:pt idx="16" formatCode="#,##0_);\(#,##0\)">
                  <c:v>19</c:v>
                </c:pt>
              </c:numCache>
            </c:numRef>
          </c:val>
          <c:extLst>
            <c:ext xmlns:c16="http://schemas.microsoft.com/office/drawing/2014/chart" uri="{C3380CC4-5D6E-409C-BE32-E72D297353CC}">
              <c16:uniqueId val="{00000001-AC7A-4467-860A-18EF3BA71453}"/>
            </c:ext>
          </c:extLst>
        </c:ser>
        <c:ser>
          <c:idx val="2"/>
          <c:order val="2"/>
          <c:tx>
            <c:strRef>
              <c:f>'11 Occupations Visual'!$B$11</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Visual'!$C$11:$S$11</c:f>
              <c:numCache>
                <c:formatCode>0</c:formatCode>
                <c:ptCount val="17"/>
                <c:pt idx="0">
                  <c:v>0</c:v>
                </c:pt>
                <c:pt idx="1">
                  <c:v>0</c:v>
                </c:pt>
                <c:pt idx="2">
                  <c:v>0</c:v>
                </c:pt>
                <c:pt idx="3">
                  <c:v>1</c:v>
                </c:pt>
                <c:pt idx="4">
                  <c:v>1</c:v>
                </c:pt>
                <c:pt idx="5">
                  <c:v>1</c:v>
                </c:pt>
                <c:pt idx="6">
                  <c:v>2</c:v>
                </c:pt>
                <c:pt idx="7">
                  <c:v>2</c:v>
                </c:pt>
                <c:pt idx="8">
                  <c:v>3</c:v>
                </c:pt>
                <c:pt idx="9">
                  <c:v>3</c:v>
                </c:pt>
                <c:pt idx="10">
                  <c:v>4</c:v>
                </c:pt>
                <c:pt idx="11">
                  <c:v>4</c:v>
                </c:pt>
                <c:pt idx="12">
                  <c:v>7</c:v>
                </c:pt>
                <c:pt idx="13">
                  <c:v>12</c:v>
                </c:pt>
                <c:pt idx="14" formatCode="#,##0_);\(#,##0\)">
                  <c:v>12</c:v>
                </c:pt>
                <c:pt idx="15">
                  <c:v>10</c:v>
                </c:pt>
                <c:pt idx="16" formatCode="#,##0_);\(#,##0\)">
                  <c:v>2</c:v>
                </c:pt>
              </c:numCache>
            </c:numRef>
          </c:val>
          <c:extLst>
            <c:ext xmlns:c16="http://schemas.microsoft.com/office/drawing/2014/chart" uri="{C3380CC4-5D6E-409C-BE32-E72D297353CC}">
              <c16:uniqueId val="{00000002-AC7A-4467-860A-18EF3BA71453}"/>
            </c:ext>
          </c:extLst>
        </c:ser>
        <c:dLbls>
          <c:showLegendKey val="0"/>
          <c:showVal val="0"/>
          <c:showCatName val="0"/>
          <c:showSerName val="0"/>
          <c:showPercent val="0"/>
          <c:showBubbleSize val="0"/>
        </c:dLbls>
        <c:gapWidth val="80"/>
        <c:overlap val="100"/>
        <c:axId val="465082752"/>
        <c:axId val="465083144"/>
      </c:barChart>
      <c:catAx>
        <c:axId val="465082752"/>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5083144"/>
        <c:crosses val="autoZero"/>
        <c:auto val="1"/>
        <c:lblAlgn val="ctr"/>
        <c:lblOffset val="100"/>
        <c:noMultiLvlLbl val="0"/>
      </c:catAx>
      <c:valAx>
        <c:axId val="465083144"/>
        <c:scaling>
          <c:orientation val="minMax"/>
          <c:max val="150"/>
          <c:min val="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82752"/>
        <c:crosses val="autoZero"/>
        <c:crossBetween val="between"/>
        <c:majorUnit val="50"/>
      </c:valAx>
      <c:spPr>
        <a:noFill/>
        <a:ln w="25400">
          <a:noFill/>
        </a:ln>
      </c:spPr>
    </c:plotArea>
    <c:legend>
      <c:legendPos val="r"/>
      <c:layout>
        <c:manualLayout>
          <c:xMode val="edge"/>
          <c:yMode val="edge"/>
          <c:x val="0.12846771451307401"/>
          <c:y val="5.617980841653155E-3"/>
          <c:w val="0.21369881368455781"/>
          <c:h val="0.32958879919124667"/>
        </c:manualLayout>
      </c:layout>
      <c:overlay val="0"/>
      <c:spPr>
        <a:noFill/>
        <a:ln w="25400">
          <a:noFill/>
        </a:ln>
      </c:spPr>
    </c:legend>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 Politician/political organiser</a:t>
            </a:r>
          </a:p>
        </c:rich>
      </c:tx>
      <c:layout>
        <c:manualLayout>
          <c:xMode val="edge"/>
          <c:yMode val="edge"/>
          <c:x val="0.14420219694760378"/>
          <c:y val="4.3636696575718732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1"/>
          <c:order val="0"/>
          <c:tx>
            <c:strRef>
              <c:f>'11 Occupations Visual'!$B$13</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Visual'!$C$13:$S$13</c:f>
              <c:numCache>
                <c:formatCode>0</c:formatCode>
                <c:ptCount val="17"/>
                <c:pt idx="0">
                  <c:v>12</c:v>
                </c:pt>
                <c:pt idx="1">
                  <c:v>17</c:v>
                </c:pt>
                <c:pt idx="2">
                  <c:v>11</c:v>
                </c:pt>
                <c:pt idx="3">
                  <c:v>11</c:v>
                </c:pt>
                <c:pt idx="4">
                  <c:v>2</c:v>
                </c:pt>
                <c:pt idx="5">
                  <c:v>10</c:v>
                </c:pt>
                <c:pt idx="6">
                  <c:v>5</c:v>
                </c:pt>
                <c:pt idx="7">
                  <c:v>4</c:v>
                </c:pt>
                <c:pt idx="8">
                  <c:v>8</c:v>
                </c:pt>
                <c:pt idx="9">
                  <c:v>12</c:v>
                </c:pt>
                <c:pt idx="10">
                  <c:v>21</c:v>
                </c:pt>
                <c:pt idx="11">
                  <c:v>20</c:v>
                </c:pt>
                <c:pt idx="12">
                  <c:v>15</c:v>
                </c:pt>
                <c:pt idx="13">
                  <c:v>18</c:v>
                </c:pt>
                <c:pt idx="14" formatCode="#,##0_);\(#,##0\)">
                  <c:v>20</c:v>
                </c:pt>
                <c:pt idx="15">
                  <c:v>31</c:v>
                </c:pt>
                <c:pt idx="16" formatCode="#,##0_);\(#,##0\)">
                  <c:v>40</c:v>
                </c:pt>
              </c:numCache>
            </c:numRef>
          </c:val>
          <c:extLst>
            <c:ext xmlns:c16="http://schemas.microsoft.com/office/drawing/2014/chart" uri="{C3380CC4-5D6E-409C-BE32-E72D297353CC}">
              <c16:uniqueId val="{00000000-D954-4A6D-A10E-C8F450BA9618}"/>
            </c:ext>
          </c:extLst>
        </c:ser>
        <c:ser>
          <c:idx val="2"/>
          <c:order val="1"/>
          <c:tx>
            <c:strRef>
              <c:f>'11 Occupations Visual'!$B$14</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Visual'!$C$14:$S$14</c:f>
              <c:numCache>
                <c:formatCode>0</c:formatCode>
                <c:ptCount val="17"/>
                <c:pt idx="0">
                  <c:v>6</c:v>
                </c:pt>
                <c:pt idx="1">
                  <c:v>7</c:v>
                </c:pt>
                <c:pt idx="2">
                  <c:v>7</c:v>
                </c:pt>
                <c:pt idx="3">
                  <c:v>7</c:v>
                </c:pt>
                <c:pt idx="4">
                  <c:v>9</c:v>
                </c:pt>
                <c:pt idx="5">
                  <c:v>11</c:v>
                </c:pt>
                <c:pt idx="6">
                  <c:v>8</c:v>
                </c:pt>
                <c:pt idx="7">
                  <c:v>8</c:v>
                </c:pt>
                <c:pt idx="8">
                  <c:v>13</c:v>
                </c:pt>
                <c:pt idx="9">
                  <c:v>7</c:v>
                </c:pt>
                <c:pt idx="10">
                  <c:v>12</c:v>
                </c:pt>
                <c:pt idx="11">
                  <c:v>24</c:v>
                </c:pt>
                <c:pt idx="12">
                  <c:v>40</c:v>
                </c:pt>
                <c:pt idx="13">
                  <c:v>44</c:v>
                </c:pt>
                <c:pt idx="14" formatCode="#,##0_);\(#,##0\)">
                  <c:v>60</c:v>
                </c:pt>
                <c:pt idx="15">
                  <c:v>52</c:v>
                </c:pt>
                <c:pt idx="16" formatCode="#,##0_);\(#,##0\)">
                  <c:v>59</c:v>
                </c:pt>
              </c:numCache>
            </c:numRef>
          </c:val>
          <c:extLst>
            <c:ext xmlns:c16="http://schemas.microsoft.com/office/drawing/2014/chart" uri="{C3380CC4-5D6E-409C-BE32-E72D297353CC}">
              <c16:uniqueId val="{00000001-D954-4A6D-A10E-C8F450BA9618}"/>
            </c:ext>
          </c:extLst>
        </c:ser>
        <c:ser>
          <c:idx val="3"/>
          <c:order val="2"/>
          <c:tx>
            <c:strRef>
              <c:f>'11 Occupations Visual'!$B$15</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Visual'!$C$15:$S$15</c:f>
              <c:numCache>
                <c:formatCode>0</c:formatCode>
                <c:ptCount val="17"/>
                <c:pt idx="0">
                  <c:v>0</c:v>
                </c:pt>
                <c:pt idx="1">
                  <c:v>0</c:v>
                </c:pt>
                <c:pt idx="2">
                  <c:v>0</c:v>
                </c:pt>
                <c:pt idx="3">
                  <c:v>0</c:v>
                </c:pt>
                <c:pt idx="4">
                  <c:v>1</c:v>
                </c:pt>
                <c:pt idx="5">
                  <c:v>0</c:v>
                </c:pt>
                <c:pt idx="6">
                  <c:v>0</c:v>
                </c:pt>
                <c:pt idx="7">
                  <c:v>0</c:v>
                </c:pt>
                <c:pt idx="8">
                  <c:v>0</c:v>
                </c:pt>
                <c:pt idx="9">
                  <c:v>1</c:v>
                </c:pt>
                <c:pt idx="10">
                  <c:v>1</c:v>
                </c:pt>
                <c:pt idx="11">
                  <c:v>2</c:v>
                </c:pt>
                <c:pt idx="12">
                  <c:v>5</c:v>
                </c:pt>
                <c:pt idx="13">
                  <c:v>4</c:v>
                </c:pt>
                <c:pt idx="14" formatCode="#,##0_);\(#,##0\)">
                  <c:v>7</c:v>
                </c:pt>
                <c:pt idx="15">
                  <c:v>7</c:v>
                </c:pt>
                <c:pt idx="16" formatCode="#,##0_);\(#,##0\)">
                  <c:v>0</c:v>
                </c:pt>
              </c:numCache>
            </c:numRef>
          </c:val>
          <c:extLst>
            <c:ext xmlns:c16="http://schemas.microsoft.com/office/drawing/2014/chart" uri="{C3380CC4-5D6E-409C-BE32-E72D297353CC}">
              <c16:uniqueId val="{00000002-D954-4A6D-A10E-C8F450BA9618}"/>
            </c:ext>
          </c:extLst>
        </c:ser>
        <c:dLbls>
          <c:showLegendKey val="0"/>
          <c:showVal val="0"/>
          <c:showCatName val="0"/>
          <c:showSerName val="0"/>
          <c:showPercent val="0"/>
          <c:showBubbleSize val="0"/>
        </c:dLbls>
        <c:gapWidth val="80"/>
        <c:overlap val="100"/>
        <c:axId val="465083928"/>
        <c:axId val="465084320"/>
      </c:barChart>
      <c:catAx>
        <c:axId val="465083928"/>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5084320"/>
        <c:crosses val="autoZero"/>
        <c:auto val="1"/>
        <c:lblAlgn val="ctr"/>
        <c:lblOffset val="100"/>
        <c:noMultiLvlLbl val="0"/>
      </c:catAx>
      <c:valAx>
        <c:axId val="465084320"/>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83928"/>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 Armed services</a:t>
            </a:r>
          </a:p>
        </c:rich>
      </c:tx>
      <c:layout>
        <c:manualLayout>
          <c:xMode val="edge"/>
          <c:yMode val="edge"/>
          <c:x val="0.32500566580468954"/>
          <c:y val="4.3636915327780558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 Visual'!$B$25</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Visual'!$C$25:$S$25</c:f>
              <c:numCache>
                <c:formatCode>#,##0_);\(#,##0\)</c:formatCode>
                <c:ptCount val="17"/>
                <c:pt idx="0">
                  <c:v>32</c:v>
                </c:pt>
                <c:pt idx="1">
                  <c:v>47</c:v>
                </c:pt>
                <c:pt idx="2">
                  <c:v>37</c:v>
                </c:pt>
                <c:pt idx="3">
                  <c:v>28</c:v>
                </c:pt>
                <c:pt idx="4">
                  <c:v>19</c:v>
                </c:pt>
                <c:pt idx="5">
                  <c:v>24</c:v>
                </c:pt>
                <c:pt idx="6">
                  <c:v>9</c:v>
                </c:pt>
                <c:pt idx="7">
                  <c:v>8</c:v>
                </c:pt>
                <c:pt idx="8">
                  <c:v>20</c:v>
                </c:pt>
                <c:pt idx="9">
                  <c:v>18</c:v>
                </c:pt>
                <c:pt idx="10">
                  <c:v>15</c:v>
                </c:pt>
                <c:pt idx="11">
                  <c:v>14</c:v>
                </c:pt>
                <c:pt idx="12">
                  <c:v>9</c:v>
                </c:pt>
                <c:pt idx="13">
                  <c:v>11</c:v>
                </c:pt>
                <c:pt idx="14">
                  <c:v>13</c:v>
                </c:pt>
                <c:pt idx="15">
                  <c:v>15</c:v>
                </c:pt>
                <c:pt idx="16">
                  <c:v>12</c:v>
                </c:pt>
              </c:numCache>
            </c:numRef>
          </c:val>
          <c:extLst>
            <c:ext xmlns:c16="http://schemas.microsoft.com/office/drawing/2014/chart" uri="{C3380CC4-5D6E-409C-BE32-E72D297353CC}">
              <c16:uniqueId val="{00000000-FFB6-42AF-AAE5-CA1ACE814F1F}"/>
            </c:ext>
          </c:extLst>
        </c:ser>
        <c:ser>
          <c:idx val="1"/>
          <c:order val="1"/>
          <c:tx>
            <c:strRef>
              <c:f>'11 Occupations Visual'!$B$26</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Visual'!$C$26:$S$26</c:f>
              <c:numCache>
                <c:formatCode>#,##0_);\(#,##0\)</c:formatCode>
                <c:ptCount val="17"/>
                <c:pt idx="0">
                  <c:v>2</c:v>
                </c:pt>
                <c:pt idx="1">
                  <c:v>3</c:v>
                </c:pt>
                <c:pt idx="2">
                  <c:v>3</c:v>
                </c:pt>
                <c:pt idx="3">
                  <c:v>2</c:v>
                </c:pt>
                <c:pt idx="4">
                  <c:v>3</c:v>
                </c:pt>
                <c:pt idx="5">
                  <c:v>0</c:v>
                </c:pt>
                <c:pt idx="6">
                  <c:v>0</c:v>
                </c:pt>
                <c:pt idx="7">
                  <c:v>0</c:v>
                </c:pt>
                <c:pt idx="8">
                  <c:v>0</c:v>
                </c:pt>
                <c:pt idx="9">
                  <c:v>0</c:v>
                </c:pt>
                <c:pt idx="10">
                  <c:v>0</c:v>
                </c:pt>
                <c:pt idx="11">
                  <c:v>0</c:v>
                </c:pt>
                <c:pt idx="12">
                  <c:v>0</c:v>
                </c:pt>
                <c:pt idx="13">
                  <c:v>1</c:v>
                </c:pt>
                <c:pt idx="14">
                  <c:v>1</c:v>
                </c:pt>
                <c:pt idx="15">
                  <c:v>1</c:v>
                </c:pt>
                <c:pt idx="16">
                  <c:v>1</c:v>
                </c:pt>
              </c:numCache>
            </c:numRef>
          </c:val>
          <c:extLst>
            <c:ext xmlns:c16="http://schemas.microsoft.com/office/drawing/2014/chart" uri="{C3380CC4-5D6E-409C-BE32-E72D297353CC}">
              <c16:uniqueId val="{00000001-FFB6-42AF-AAE5-CA1ACE814F1F}"/>
            </c:ext>
          </c:extLst>
        </c:ser>
        <c:ser>
          <c:idx val="2"/>
          <c:order val="2"/>
          <c:tx>
            <c:strRef>
              <c:f>'11 Occupations Visual'!$B$27</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Visual'!$C$27:$S$27</c:f>
              <c:numCache>
                <c:formatCode>#,##0_);\(#,##0\)</c:formatCode>
                <c:ptCount val="17"/>
                <c:pt idx="0">
                  <c:v>0</c:v>
                </c:pt>
                <c:pt idx="1">
                  <c:v>0</c:v>
                </c:pt>
                <c:pt idx="2">
                  <c:v>0</c:v>
                </c:pt>
                <c:pt idx="3">
                  <c:v>0</c:v>
                </c:pt>
                <c:pt idx="4">
                  <c:v>0</c:v>
                </c:pt>
                <c:pt idx="5">
                  <c:v>0</c:v>
                </c:pt>
                <c:pt idx="6">
                  <c:v>0</c:v>
                </c:pt>
                <c:pt idx="7">
                  <c:v>0</c:v>
                </c:pt>
                <c:pt idx="8">
                  <c:v>0</c:v>
                </c:pt>
                <c:pt idx="9">
                  <c:v>1</c:v>
                </c:pt>
                <c:pt idx="10">
                  <c:v>1</c:v>
                </c:pt>
                <c:pt idx="11">
                  <c:v>1</c:v>
                </c:pt>
                <c:pt idx="12">
                  <c:v>1</c:v>
                </c:pt>
                <c:pt idx="13">
                  <c:v>0</c:v>
                </c:pt>
                <c:pt idx="14">
                  <c:v>0</c:v>
                </c:pt>
                <c:pt idx="15">
                  <c:v>0</c:v>
                </c:pt>
                <c:pt idx="16">
                  <c:v>0</c:v>
                </c:pt>
              </c:numCache>
            </c:numRef>
          </c:val>
          <c:extLst>
            <c:ext xmlns:c16="http://schemas.microsoft.com/office/drawing/2014/chart" uri="{C3380CC4-5D6E-409C-BE32-E72D297353CC}">
              <c16:uniqueId val="{00000002-FFB6-42AF-AAE5-CA1ACE814F1F}"/>
            </c:ext>
          </c:extLst>
        </c:ser>
        <c:dLbls>
          <c:showLegendKey val="0"/>
          <c:showVal val="0"/>
          <c:showCatName val="0"/>
          <c:showSerName val="0"/>
          <c:showPercent val="0"/>
          <c:showBubbleSize val="0"/>
        </c:dLbls>
        <c:gapWidth val="80"/>
        <c:overlap val="100"/>
        <c:axId val="465085104"/>
        <c:axId val="465085496"/>
      </c:barChart>
      <c:catAx>
        <c:axId val="465085104"/>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5085496"/>
        <c:crosses val="autoZero"/>
        <c:auto val="1"/>
        <c:lblAlgn val="ctr"/>
        <c:lblOffset val="100"/>
        <c:noMultiLvlLbl val="0"/>
      </c:catAx>
      <c:valAx>
        <c:axId val="465085496"/>
        <c:scaling>
          <c:orientation val="minMax"/>
          <c:max val="150"/>
        </c:scaling>
        <c:delete val="0"/>
        <c:axPos val="l"/>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85104"/>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 Miner</a:t>
            </a:r>
          </a:p>
        </c:rich>
      </c:tx>
      <c:layout>
        <c:manualLayout>
          <c:xMode val="edge"/>
          <c:yMode val="edge"/>
          <c:x val="0.37178536016331293"/>
          <c:y val="4.363730696453641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3"/>
          <c:order val="0"/>
          <c:tx>
            <c:strRef>
              <c:f>'11 Occupations Visual'!$B$19</c:f>
              <c:strCache>
                <c:ptCount val="1"/>
                <c:pt idx="0">
                  <c:v>LD</c:v>
                </c:pt>
              </c:strCache>
            </c:strRef>
          </c:tx>
          <c:spPr>
            <a:solidFill>
              <a:srgbClr val="0000FF"/>
            </a:solidFill>
            <a:ln w="12700">
              <a:solidFill>
                <a:srgbClr val="0000FF"/>
              </a:solid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Visual'!$C$19:$S$19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_);\(#,##0\)">
                  <c:v>0</c:v>
                </c:pt>
                <c:pt idx="15">
                  <c:v>0</c:v>
                </c:pt>
                <c:pt idx="16" formatCode="#,##0_);\(#,##0\)">
                  <c:v>0</c:v>
                </c:pt>
              </c:numCache>
            </c:numRef>
          </c:val>
          <c:extLst>
            <c:ext xmlns:c16="http://schemas.microsoft.com/office/drawing/2014/chart" uri="{C3380CC4-5D6E-409C-BE32-E72D297353CC}">
              <c16:uniqueId val="{00000000-A190-4F59-849C-0A73430FC37B}"/>
            </c:ext>
          </c:extLst>
        </c:ser>
        <c:ser>
          <c:idx val="1"/>
          <c:order val="1"/>
          <c:tx>
            <c:strRef>
              <c:f>'11 Occupations Visual'!$B$17</c:f>
              <c:strCache>
                <c:ptCount val="1"/>
                <c:pt idx="0">
                  <c:v>CON</c:v>
                </c:pt>
              </c:strCache>
            </c:strRef>
          </c:tx>
          <c:spPr>
            <a:solidFill>
              <a:srgbClr val="0000FF"/>
            </a:solidFill>
            <a:ln w="12700">
              <a:solidFill>
                <a:srgbClr val="0000FF"/>
              </a:solid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Visual'!$C$17:$S$17</c:f>
              <c:numCache>
                <c:formatCode>0</c:formatCode>
                <c:ptCount val="17"/>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formatCode="#,##0_);\(#,##0\)">
                  <c:v>1</c:v>
                </c:pt>
                <c:pt idx="15">
                  <c:v>1</c:v>
                </c:pt>
                <c:pt idx="16" formatCode="#,##0_);\(#,##0\)">
                  <c:v>1</c:v>
                </c:pt>
              </c:numCache>
            </c:numRef>
          </c:val>
          <c:extLst>
            <c:ext xmlns:c16="http://schemas.microsoft.com/office/drawing/2014/chart" uri="{C3380CC4-5D6E-409C-BE32-E72D297353CC}">
              <c16:uniqueId val="{00000001-A190-4F59-849C-0A73430FC37B}"/>
            </c:ext>
          </c:extLst>
        </c:ser>
        <c:ser>
          <c:idx val="2"/>
          <c:order val="2"/>
          <c:tx>
            <c:strRef>
              <c:f>'11 Occupations Visual'!$B$18</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Visual'!$C$18:$S$18</c:f>
              <c:numCache>
                <c:formatCode>0</c:formatCode>
                <c:ptCount val="17"/>
                <c:pt idx="0">
                  <c:v>35</c:v>
                </c:pt>
                <c:pt idx="1">
                  <c:v>33</c:v>
                </c:pt>
                <c:pt idx="2">
                  <c:v>34</c:v>
                </c:pt>
                <c:pt idx="3">
                  <c:v>31</c:v>
                </c:pt>
                <c:pt idx="4">
                  <c:v>32</c:v>
                </c:pt>
                <c:pt idx="5">
                  <c:v>22</c:v>
                </c:pt>
                <c:pt idx="6">
                  <c:v>19</c:v>
                </c:pt>
                <c:pt idx="7">
                  <c:v>19</c:v>
                </c:pt>
                <c:pt idx="8">
                  <c:v>21</c:v>
                </c:pt>
                <c:pt idx="9">
                  <c:v>20</c:v>
                </c:pt>
                <c:pt idx="10">
                  <c:v>16</c:v>
                </c:pt>
                <c:pt idx="11">
                  <c:v>12</c:v>
                </c:pt>
                <c:pt idx="12">
                  <c:v>12</c:v>
                </c:pt>
                <c:pt idx="13">
                  <c:v>11</c:v>
                </c:pt>
                <c:pt idx="14" formatCode="#,##0_);\(#,##0\)">
                  <c:v>10</c:v>
                </c:pt>
                <c:pt idx="15">
                  <c:v>7</c:v>
                </c:pt>
                <c:pt idx="16" formatCode="#,##0_);\(#,##0\)">
                  <c:v>6</c:v>
                </c:pt>
              </c:numCache>
            </c:numRef>
          </c:val>
          <c:extLst>
            <c:ext xmlns:c16="http://schemas.microsoft.com/office/drawing/2014/chart" uri="{C3380CC4-5D6E-409C-BE32-E72D297353CC}">
              <c16:uniqueId val="{00000002-A190-4F59-849C-0A73430FC37B}"/>
            </c:ext>
          </c:extLst>
        </c:ser>
        <c:dLbls>
          <c:showLegendKey val="0"/>
          <c:showVal val="0"/>
          <c:showCatName val="0"/>
          <c:showSerName val="0"/>
          <c:showPercent val="0"/>
          <c:showBubbleSize val="0"/>
        </c:dLbls>
        <c:gapWidth val="80"/>
        <c:overlap val="100"/>
        <c:axId val="465086280"/>
        <c:axId val="465086672"/>
      </c:barChart>
      <c:catAx>
        <c:axId val="465086280"/>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5086672"/>
        <c:crosses val="autoZero"/>
        <c:auto val="1"/>
        <c:lblAlgn val="ctr"/>
        <c:lblOffset val="100"/>
        <c:noMultiLvlLbl val="0"/>
      </c:catAx>
      <c:valAx>
        <c:axId val="465086672"/>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5086280"/>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 All manual workers</a:t>
            </a:r>
          </a:p>
        </c:rich>
      </c:tx>
      <c:layout>
        <c:manualLayout>
          <c:xMode val="edge"/>
          <c:yMode val="edge"/>
          <c:x val="0.20107242150286769"/>
          <c:y val="4.3636915327780558E-2"/>
        </c:manualLayout>
      </c:layout>
      <c:overlay val="0"/>
      <c:spPr>
        <a:noFill/>
        <a:ln w="25400">
          <a:noFill/>
        </a:ln>
      </c:spPr>
    </c:title>
    <c:autoTitleDeleted val="0"/>
    <c:plotArea>
      <c:layout>
        <c:manualLayout>
          <c:layoutTarget val="inner"/>
          <c:xMode val="edge"/>
          <c:yMode val="edge"/>
          <c:x val="0.12852771336562011"/>
          <c:y val="0.16395099755843409"/>
          <c:w val="0.89019685039370078"/>
          <c:h val="0.70294728783902016"/>
        </c:manualLayout>
      </c:layout>
      <c:barChart>
        <c:barDir val="col"/>
        <c:grouping val="stacked"/>
        <c:varyColors val="0"/>
        <c:ser>
          <c:idx val="1"/>
          <c:order val="0"/>
          <c:tx>
            <c:strRef>
              <c:f>'11 Occupations Visual'!$B$22</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Visual'!$C$22:$S$22</c:f>
              <c:numCache>
                <c:formatCode>#,##0_);\(#,##0\)</c:formatCode>
                <c:ptCount val="17"/>
                <c:pt idx="0">
                  <c:v>108</c:v>
                </c:pt>
                <c:pt idx="1">
                  <c:v>97</c:v>
                </c:pt>
                <c:pt idx="2">
                  <c:v>90</c:v>
                </c:pt>
                <c:pt idx="3">
                  <c:v>103</c:v>
                </c:pt>
                <c:pt idx="4">
                  <c:v>109</c:v>
                </c:pt>
                <c:pt idx="5">
                  <c:v>76</c:v>
                </c:pt>
                <c:pt idx="6">
                  <c:v>89</c:v>
                </c:pt>
                <c:pt idx="7">
                  <c:v>89</c:v>
                </c:pt>
                <c:pt idx="8">
                  <c:v>83</c:v>
                </c:pt>
                <c:pt idx="9">
                  <c:v>70</c:v>
                </c:pt>
                <c:pt idx="10">
                  <c:v>66</c:v>
                </c:pt>
                <c:pt idx="11">
                  <c:v>59</c:v>
                </c:pt>
                <c:pt idx="12">
                  <c:v>54</c:v>
                </c:pt>
                <c:pt idx="13">
                  <c:v>51</c:v>
                </c:pt>
                <c:pt idx="14">
                  <c:v>25</c:v>
                </c:pt>
                <c:pt idx="15">
                  <c:v>15</c:v>
                </c:pt>
                <c:pt idx="16">
                  <c:v>16</c:v>
                </c:pt>
              </c:numCache>
            </c:numRef>
          </c:val>
          <c:extLst>
            <c:ext xmlns:c16="http://schemas.microsoft.com/office/drawing/2014/chart" uri="{C3380CC4-5D6E-409C-BE32-E72D297353CC}">
              <c16:uniqueId val="{00000000-7EE9-428D-983C-2B281D4E5F83}"/>
            </c:ext>
          </c:extLst>
        </c:ser>
        <c:ser>
          <c:idx val="0"/>
          <c:order val="1"/>
          <c:tx>
            <c:strRef>
              <c:f>'11 Occupations Visual'!$B$21</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Visual'!$C$21:$S$21</c:f>
              <c:numCache>
                <c:formatCode>#,##0_);\(#,##0\)</c:formatCode>
                <c:ptCount val="17"/>
                <c:pt idx="0">
                  <c:v>1</c:v>
                </c:pt>
                <c:pt idx="1">
                  <c:v>1</c:v>
                </c:pt>
                <c:pt idx="2">
                  <c:v>1</c:v>
                </c:pt>
                <c:pt idx="3">
                  <c:v>2</c:v>
                </c:pt>
                <c:pt idx="4">
                  <c:v>2</c:v>
                </c:pt>
                <c:pt idx="5">
                  <c:v>2</c:v>
                </c:pt>
                <c:pt idx="6">
                  <c:v>1</c:v>
                </c:pt>
                <c:pt idx="7">
                  <c:v>2</c:v>
                </c:pt>
                <c:pt idx="8">
                  <c:v>3</c:v>
                </c:pt>
                <c:pt idx="9">
                  <c:v>4</c:v>
                </c:pt>
                <c:pt idx="10">
                  <c:v>3</c:v>
                </c:pt>
                <c:pt idx="11">
                  <c:v>4</c:v>
                </c:pt>
                <c:pt idx="12">
                  <c:v>1</c:v>
                </c:pt>
                <c:pt idx="13">
                  <c:v>1</c:v>
                </c:pt>
                <c:pt idx="14">
                  <c:v>1</c:v>
                </c:pt>
                <c:pt idx="15">
                  <c:v>1</c:v>
                </c:pt>
                <c:pt idx="16">
                  <c:v>3</c:v>
                </c:pt>
              </c:numCache>
            </c:numRef>
          </c:val>
          <c:extLst>
            <c:ext xmlns:c16="http://schemas.microsoft.com/office/drawing/2014/chart" uri="{C3380CC4-5D6E-409C-BE32-E72D297353CC}">
              <c16:uniqueId val="{00000001-7EE9-428D-983C-2B281D4E5F83}"/>
            </c:ext>
          </c:extLst>
        </c:ser>
        <c:dLbls>
          <c:showLegendKey val="0"/>
          <c:showVal val="0"/>
          <c:showCatName val="0"/>
          <c:showSerName val="0"/>
          <c:showPercent val="0"/>
          <c:showBubbleSize val="0"/>
        </c:dLbls>
        <c:gapWidth val="80"/>
        <c:overlap val="100"/>
        <c:axId val="469287304"/>
        <c:axId val="469287696"/>
      </c:barChart>
      <c:catAx>
        <c:axId val="469287304"/>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9287696"/>
        <c:crosses val="autoZero"/>
        <c:auto val="1"/>
        <c:lblAlgn val="ctr"/>
        <c:lblOffset val="100"/>
        <c:noMultiLvlLbl val="0"/>
      </c:catAx>
      <c:valAx>
        <c:axId val="469287696"/>
        <c:scaling>
          <c:orientation val="minMax"/>
          <c:max val="150"/>
        </c:scaling>
        <c:delete val="0"/>
        <c:axPos val="l"/>
        <c:numFmt formatCode="#,##0_);\(#,##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9287304"/>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886968393620498E-2"/>
          <c:y val="0.13133278835869092"/>
          <c:w val="0.89768894270619259"/>
          <c:h val="0.76845050965974337"/>
        </c:manualLayout>
      </c:layout>
      <c:lineChart>
        <c:grouping val="standard"/>
        <c:varyColors val="0"/>
        <c:ser>
          <c:idx val="0"/>
          <c:order val="0"/>
          <c:tx>
            <c:strRef>
              <c:f>'24 Councillors graph '!$V$7:$V$10</c:f>
              <c:strCache>
                <c:ptCount val="4"/>
                <c:pt idx="0">
                  <c:v>CON </c:v>
                </c:pt>
              </c:strCache>
            </c:strRef>
          </c:tx>
          <c:spPr>
            <a:ln w="25400">
              <a:solidFill>
                <a:srgbClr val="00539F"/>
              </a:solidFill>
              <a:prstDash val="solid"/>
            </a:ln>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'!$V$11:$V$58</c:f>
              <c:numCache>
                <c:formatCode>General</c:formatCode>
                <c:ptCount val="48"/>
                <c:pt idx="0">
                  <c:v>7709</c:v>
                </c:pt>
                <c:pt idx="1">
                  <c:v>8102</c:v>
                </c:pt>
                <c:pt idx="2">
                  <c:v>8301</c:v>
                </c:pt>
                <c:pt idx="3">
                  <c:v>11077</c:v>
                </c:pt>
                <c:pt idx="4">
                  <c:v>12370</c:v>
                </c:pt>
                <c:pt idx="5">
                  <c:v>12645</c:v>
                </c:pt>
                <c:pt idx="6">
                  <c:v>12222</c:v>
                </c:pt>
                <c:pt idx="7">
                  <c:v>11738</c:v>
                </c:pt>
                <c:pt idx="8">
                  <c:v>10545</c:v>
                </c:pt>
                <c:pt idx="9">
                  <c:v>10447</c:v>
                </c:pt>
                <c:pt idx="10">
                  <c:v>10557</c:v>
                </c:pt>
                <c:pt idx="11">
                  <c:v>10393</c:v>
                </c:pt>
                <c:pt idx="12">
                  <c:v>10191</c:v>
                </c:pt>
                <c:pt idx="13">
                  <c:v>9216</c:v>
                </c:pt>
                <c:pt idx="14">
                  <c:v>9141</c:v>
                </c:pt>
                <c:pt idx="15">
                  <c:v>9150</c:v>
                </c:pt>
                <c:pt idx="16">
                  <c:v>9242</c:v>
                </c:pt>
                <c:pt idx="17">
                  <c:v>9020</c:v>
                </c:pt>
                <c:pt idx="18">
                  <c:v>7985</c:v>
                </c:pt>
                <c:pt idx="19">
                  <c:v>8288</c:v>
                </c:pt>
                <c:pt idx="20">
                  <c:v>7802</c:v>
                </c:pt>
                <c:pt idx="21">
                  <c:v>7286</c:v>
                </c:pt>
                <c:pt idx="22">
                  <c:v>4883</c:v>
                </c:pt>
                <c:pt idx="23">
                  <c:v>4276</c:v>
                </c:pt>
                <c:pt idx="24">
                  <c:v>4449</c:v>
                </c:pt>
                <c:pt idx="25">
                  <c:v>4772</c:v>
                </c:pt>
                <c:pt idx="26">
                  <c:v>6144</c:v>
                </c:pt>
                <c:pt idx="27">
                  <c:v>6785</c:v>
                </c:pt>
                <c:pt idx="28">
                  <c:v>6941</c:v>
                </c:pt>
                <c:pt idx="29">
                  <c:v>7178</c:v>
                </c:pt>
                <c:pt idx="30">
                  <c:v>7768</c:v>
                </c:pt>
                <c:pt idx="31">
                  <c:v>8038</c:v>
                </c:pt>
                <c:pt idx="32">
                  <c:v>8193</c:v>
                </c:pt>
                <c:pt idx="33">
                  <c:v>8495</c:v>
                </c:pt>
                <c:pt idx="34">
                  <c:v>9431</c:v>
                </c:pt>
                <c:pt idx="35">
                  <c:v>9721</c:v>
                </c:pt>
                <c:pt idx="36">
                  <c:v>9553</c:v>
                </c:pt>
                <c:pt idx="37">
                  <c:v>9406</c:v>
                </c:pt>
                <c:pt idx="38">
                  <c:v>9445</c:v>
                </c:pt>
                <c:pt idx="39">
                  <c:v>9004</c:v>
                </c:pt>
                <c:pt idx="40">
                  <c:v>8589</c:v>
                </c:pt>
                <c:pt idx="41">
                  <c:v>8261</c:v>
                </c:pt>
                <c:pt idx="42">
                  <c:v>8766</c:v>
                </c:pt>
                <c:pt idx="43" formatCode="#,##0">
                  <c:v>8709</c:v>
                </c:pt>
                <c:pt idx="44" formatCode="#,##0">
                  <c:v>9233</c:v>
                </c:pt>
                <c:pt idx="45" formatCode="#,##0">
                  <c:v>9102</c:v>
                </c:pt>
                <c:pt idx="46" formatCode="#,##0">
                  <c:v>7507</c:v>
                </c:pt>
                <c:pt idx="47" formatCode="#,##0">
                  <c:v>7562</c:v>
                </c:pt>
              </c:numCache>
            </c:numRef>
          </c:val>
          <c:smooth val="0"/>
          <c:extLst>
            <c:ext xmlns:c16="http://schemas.microsoft.com/office/drawing/2014/chart" uri="{C3380CC4-5D6E-409C-BE32-E72D297353CC}">
              <c16:uniqueId val="{00000000-92B5-465F-B290-864C78DDEB01}"/>
            </c:ext>
          </c:extLst>
        </c:ser>
        <c:ser>
          <c:idx val="1"/>
          <c:order val="1"/>
          <c:tx>
            <c:strRef>
              <c:f>'24 Councillors graph '!$W$7:$W$10</c:f>
              <c:strCache>
                <c:ptCount val="4"/>
                <c:pt idx="0">
                  <c:v>LAB </c:v>
                </c:pt>
              </c:strCache>
            </c:strRef>
          </c:tx>
          <c:spPr>
            <a:ln w="25400">
              <a:solidFill>
                <a:srgbClr val="D50000"/>
              </a:solidFill>
              <a:prstDash val="solid"/>
            </a:ln>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'!$W$11:$W$58</c:f>
              <c:numCache>
                <c:formatCode>General</c:formatCode>
                <c:ptCount val="48"/>
                <c:pt idx="0">
                  <c:v>9781</c:v>
                </c:pt>
                <c:pt idx="1">
                  <c:v>10325</c:v>
                </c:pt>
                <c:pt idx="2">
                  <c:v>10117</c:v>
                </c:pt>
                <c:pt idx="3">
                  <c:v>8213</c:v>
                </c:pt>
                <c:pt idx="4">
                  <c:v>7115</c:v>
                </c:pt>
                <c:pt idx="5">
                  <c:v>6644</c:v>
                </c:pt>
                <c:pt idx="6">
                  <c:v>7410</c:v>
                </c:pt>
                <c:pt idx="7">
                  <c:v>8011</c:v>
                </c:pt>
                <c:pt idx="8">
                  <c:v>8999</c:v>
                </c:pt>
                <c:pt idx="9">
                  <c:v>8774</c:v>
                </c:pt>
                <c:pt idx="10">
                  <c:v>8782</c:v>
                </c:pt>
                <c:pt idx="11">
                  <c:v>8870</c:v>
                </c:pt>
                <c:pt idx="12">
                  <c:v>8746</c:v>
                </c:pt>
                <c:pt idx="13">
                  <c:v>8759</c:v>
                </c:pt>
                <c:pt idx="14">
                  <c:v>8525</c:v>
                </c:pt>
                <c:pt idx="15">
                  <c:v>8601</c:v>
                </c:pt>
                <c:pt idx="16">
                  <c:v>8636</c:v>
                </c:pt>
                <c:pt idx="17">
                  <c:v>8920</c:v>
                </c:pt>
                <c:pt idx="18">
                  <c:v>9504</c:v>
                </c:pt>
                <c:pt idx="19">
                  <c:v>9102</c:v>
                </c:pt>
                <c:pt idx="20">
                  <c:v>9213</c:v>
                </c:pt>
                <c:pt idx="21">
                  <c:v>9257</c:v>
                </c:pt>
                <c:pt idx="22">
                  <c:v>10461</c:v>
                </c:pt>
                <c:pt idx="23">
                  <c:v>10929</c:v>
                </c:pt>
                <c:pt idx="24">
                  <c:v>10608</c:v>
                </c:pt>
                <c:pt idx="25">
                  <c:v>10411</c:v>
                </c:pt>
                <c:pt idx="26">
                  <c:v>9134</c:v>
                </c:pt>
                <c:pt idx="27">
                  <c:v>8529</c:v>
                </c:pt>
                <c:pt idx="28">
                  <c:v>8487</c:v>
                </c:pt>
                <c:pt idx="29">
                  <c:v>8117</c:v>
                </c:pt>
                <c:pt idx="30">
                  <c:v>7207</c:v>
                </c:pt>
                <c:pt idx="31">
                  <c:v>6669</c:v>
                </c:pt>
                <c:pt idx="32">
                  <c:v>6518</c:v>
                </c:pt>
                <c:pt idx="33">
                  <c:v>6176</c:v>
                </c:pt>
                <c:pt idx="34">
                  <c:v>5483</c:v>
                </c:pt>
                <c:pt idx="35">
                  <c:v>5122</c:v>
                </c:pt>
                <c:pt idx="36">
                  <c:v>4436</c:v>
                </c:pt>
                <c:pt idx="37">
                  <c:v>4831</c:v>
                </c:pt>
                <c:pt idx="38">
                  <c:v>5707</c:v>
                </c:pt>
                <c:pt idx="39">
                  <c:v>6559</c:v>
                </c:pt>
                <c:pt idx="40">
                  <c:v>6842</c:v>
                </c:pt>
                <c:pt idx="41">
                  <c:v>7129</c:v>
                </c:pt>
                <c:pt idx="42">
                  <c:v>6873</c:v>
                </c:pt>
                <c:pt idx="43" formatCode="#,##0">
                  <c:v>6851</c:v>
                </c:pt>
                <c:pt idx="44" formatCode="#,##0">
                  <c:v>6439</c:v>
                </c:pt>
                <c:pt idx="45" formatCode="#,##0">
                  <c:v>6485</c:v>
                </c:pt>
                <c:pt idx="46" formatCode="#,##0">
                  <c:v>6332</c:v>
                </c:pt>
                <c:pt idx="47" formatCode="#,##0">
                  <c:v>5849</c:v>
                </c:pt>
              </c:numCache>
            </c:numRef>
          </c:val>
          <c:smooth val="0"/>
          <c:extLst>
            <c:ext xmlns:c16="http://schemas.microsoft.com/office/drawing/2014/chart" uri="{C3380CC4-5D6E-409C-BE32-E72D297353CC}">
              <c16:uniqueId val="{00000001-92B5-465F-B290-864C78DDEB01}"/>
            </c:ext>
          </c:extLst>
        </c:ser>
        <c:ser>
          <c:idx val="2"/>
          <c:order val="2"/>
          <c:tx>
            <c:strRef>
              <c:f>'24 Councillors graph '!$X$7:$X$10</c:f>
              <c:strCache>
                <c:ptCount val="4"/>
                <c:pt idx="0">
                  <c:v>LD </c:v>
                </c:pt>
              </c:strCache>
            </c:strRef>
          </c:tx>
          <c:spPr>
            <a:ln w="28575" cap="rnd">
              <a:solidFill>
                <a:srgbClr val="FAA01A"/>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'!$X$11:$X$58</c:f>
              <c:numCache>
                <c:formatCode>General</c:formatCode>
                <c:ptCount val="48"/>
                <c:pt idx="0">
                  <c:v>1427</c:v>
                </c:pt>
                <c:pt idx="1">
                  <c:v>1474</c:v>
                </c:pt>
                <c:pt idx="2">
                  <c:v>1462</c:v>
                </c:pt>
                <c:pt idx="3">
                  <c:v>1113</c:v>
                </c:pt>
                <c:pt idx="4">
                  <c:v>950</c:v>
                </c:pt>
                <c:pt idx="5">
                  <c:v>923</c:v>
                </c:pt>
                <c:pt idx="6">
                  <c:v>1059</c:v>
                </c:pt>
                <c:pt idx="7">
                  <c:v>1149</c:v>
                </c:pt>
                <c:pt idx="8">
                  <c:v>1455</c:v>
                </c:pt>
                <c:pt idx="9">
                  <c:v>1850</c:v>
                </c:pt>
                <c:pt idx="10">
                  <c:v>2171</c:v>
                </c:pt>
                <c:pt idx="11">
                  <c:v>2331</c:v>
                </c:pt>
                <c:pt idx="12">
                  <c:v>2633</c:v>
                </c:pt>
                <c:pt idx="13">
                  <c:v>2971</c:v>
                </c:pt>
                <c:pt idx="14">
                  <c:v>3640</c:v>
                </c:pt>
                <c:pt idx="15">
                  <c:v>3518</c:v>
                </c:pt>
                <c:pt idx="16">
                  <c:v>3343</c:v>
                </c:pt>
                <c:pt idx="17">
                  <c:v>3265</c:v>
                </c:pt>
                <c:pt idx="18">
                  <c:v>3672</c:v>
                </c:pt>
                <c:pt idx="19">
                  <c:v>3728</c:v>
                </c:pt>
                <c:pt idx="20">
                  <c:v>4123</c:v>
                </c:pt>
                <c:pt idx="21">
                  <c:v>4551</c:v>
                </c:pt>
                <c:pt idx="22">
                  <c:v>4942</c:v>
                </c:pt>
                <c:pt idx="23">
                  <c:v>5078</c:v>
                </c:pt>
                <c:pt idx="24">
                  <c:v>4754</c:v>
                </c:pt>
                <c:pt idx="25">
                  <c:v>4629</c:v>
                </c:pt>
                <c:pt idx="26">
                  <c:v>4485</c:v>
                </c:pt>
                <c:pt idx="27">
                  <c:v>4457</c:v>
                </c:pt>
                <c:pt idx="28">
                  <c:v>4382</c:v>
                </c:pt>
                <c:pt idx="29">
                  <c:v>4379</c:v>
                </c:pt>
                <c:pt idx="30">
                  <c:v>4551</c:v>
                </c:pt>
                <c:pt idx="31">
                  <c:v>4714</c:v>
                </c:pt>
                <c:pt idx="32">
                  <c:v>4743</c:v>
                </c:pt>
                <c:pt idx="33">
                  <c:v>4723</c:v>
                </c:pt>
                <c:pt idx="34">
                  <c:v>4420</c:v>
                </c:pt>
                <c:pt idx="35">
                  <c:v>4467</c:v>
                </c:pt>
                <c:pt idx="36">
                  <c:v>4083</c:v>
                </c:pt>
                <c:pt idx="37">
                  <c:v>3944</c:v>
                </c:pt>
                <c:pt idx="38">
                  <c:v>3104</c:v>
                </c:pt>
                <c:pt idx="39">
                  <c:v>2711</c:v>
                </c:pt>
                <c:pt idx="40">
                  <c:v>2576</c:v>
                </c:pt>
                <c:pt idx="41">
                  <c:v>2235</c:v>
                </c:pt>
                <c:pt idx="42">
                  <c:v>1810</c:v>
                </c:pt>
                <c:pt idx="43" formatCode="#,##0">
                  <c:v>1822</c:v>
                </c:pt>
                <c:pt idx="44" formatCode="#,##0">
                  <c:v>1803</c:v>
                </c:pt>
                <c:pt idx="45" formatCode="#,##0">
                  <c:v>1873</c:v>
                </c:pt>
                <c:pt idx="46" formatCode="#,##0">
                  <c:v>2531</c:v>
                </c:pt>
                <c:pt idx="47" formatCode="#,##0">
                  <c:v>2487</c:v>
                </c:pt>
              </c:numCache>
            </c:numRef>
          </c:val>
          <c:smooth val="0"/>
          <c:extLst>
            <c:ext xmlns:c16="http://schemas.microsoft.com/office/drawing/2014/chart" uri="{C3380CC4-5D6E-409C-BE32-E72D297353CC}">
              <c16:uniqueId val="{00000002-92B5-465F-B290-864C78DDEB01}"/>
            </c:ext>
          </c:extLst>
        </c:ser>
        <c:ser>
          <c:idx val="3"/>
          <c:order val="3"/>
          <c:tx>
            <c:strRef>
              <c:f>'24 Councillors graph '!$Y$7:$Y$10</c:f>
              <c:strCache>
                <c:ptCount val="4"/>
                <c:pt idx="0">
                  <c:v>PC/SNP </c:v>
                </c:pt>
              </c:strCache>
            </c:strRef>
          </c:tx>
          <c:spPr>
            <a:ln w="28575" cap="rnd">
              <a:solidFill>
                <a:schemeClr val="accent2">
                  <a:lumMod val="75000"/>
                </a:schemeClr>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'!$Y$11:$Y$58</c:f>
              <c:numCache>
                <c:formatCode>General</c:formatCode>
                <c:ptCount val="48"/>
                <c:pt idx="0">
                  <c:v>65</c:v>
                </c:pt>
                <c:pt idx="1">
                  <c:v>145</c:v>
                </c:pt>
                <c:pt idx="2">
                  <c:v>145</c:v>
                </c:pt>
                <c:pt idx="3">
                  <c:v>223</c:v>
                </c:pt>
                <c:pt idx="4">
                  <c:v>349</c:v>
                </c:pt>
                <c:pt idx="5">
                  <c:v>349</c:v>
                </c:pt>
                <c:pt idx="6">
                  <c:v>301</c:v>
                </c:pt>
                <c:pt idx="7">
                  <c:v>186</c:v>
                </c:pt>
                <c:pt idx="8">
                  <c:v>172</c:v>
                </c:pt>
                <c:pt idx="9">
                  <c:v>177</c:v>
                </c:pt>
                <c:pt idx="10">
                  <c:v>175</c:v>
                </c:pt>
                <c:pt idx="11">
                  <c:v>179</c:v>
                </c:pt>
                <c:pt idx="12">
                  <c:v>177</c:v>
                </c:pt>
                <c:pt idx="13">
                  <c:v>191</c:v>
                </c:pt>
                <c:pt idx="14">
                  <c:v>203</c:v>
                </c:pt>
                <c:pt idx="15">
                  <c:v>254</c:v>
                </c:pt>
                <c:pt idx="16">
                  <c:v>258</c:v>
                </c:pt>
                <c:pt idx="17">
                  <c:v>264</c:v>
                </c:pt>
                <c:pt idx="18">
                  <c:v>292</c:v>
                </c:pt>
                <c:pt idx="19">
                  <c:v>334</c:v>
                </c:pt>
                <c:pt idx="20">
                  <c:v>358</c:v>
                </c:pt>
                <c:pt idx="21">
                  <c:v>392</c:v>
                </c:pt>
                <c:pt idx="22">
                  <c:v>294</c:v>
                </c:pt>
                <c:pt idx="23">
                  <c:v>298</c:v>
                </c:pt>
                <c:pt idx="24">
                  <c:v>301</c:v>
                </c:pt>
                <c:pt idx="25">
                  <c:v>304</c:v>
                </c:pt>
                <c:pt idx="26">
                  <c:v>444</c:v>
                </c:pt>
                <c:pt idx="27">
                  <c:v>447</c:v>
                </c:pt>
                <c:pt idx="28">
                  <c:v>418</c:v>
                </c:pt>
                <c:pt idx="29">
                  <c:v>415</c:v>
                </c:pt>
                <c:pt idx="30">
                  <c:v>388</c:v>
                </c:pt>
                <c:pt idx="31">
                  <c:v>355</c:v>
                </c:pt>
                <c:pt idx="32">
                  <c:v>357</c:v>
                </c:pt>
                <c:pt idx="33">
                  <c:v>364</c:v>
                </c:pt>
                <c:pt idx="34">
                  <c:v>537</c:v>
                </c:pt>
                <c:pt idx="35">
                  <c:v>569</c:v>
                </c:pt>
                <c:pt idx="36">
                  <c:v>570</c:v>
                </c:pt>
                <c:pt idx="37">
                  <c:v>568</c:v>
                </c:pt>
                <c:pt idx="38">
                  <c:v>568</c:v>
                </c:pt>
                <c:pt idx="39">
                  <c:v>584</c:v>
                </c:pt>
                <c:pt idx="40">
                  <c:v>590</c:v>
                </c:pt>
                <c:pt idx="41">
                  <c:v>591</c:v>
                </c:pt>
                <c:pt idx="42">
                  <c:v>592</c:v>
                </c:pt>
                <c:pt idx="43" formatCode="#,##0">
                  <c:v>596</c:v>
                </c:pt>
                <c:pt idx="44" formatCode="#,##0">
                  <c:v>634</c:v>
                </c:pt>
                <c:pt idx="45" formatCode="#,##0">
                  <c:v>631</c:v>
                </c:pt>
                <c:pt idx="46" formatCode="#,##0">
                  <c:v>622</c:v>
                </c:pt>
                <c:pt idx="47" formatCode="#,##0">
                  <c:v>605</c:v>
                </c:pt>
              </c:numCache>
            </c:numRef>
          </c:val>
          <c:smooth val="0"/>
          <c:extLst>
            <c:ext xmlns:c16="http://schemas.microsoft.com/office/drawing/2014/chart" uri="{C3380CC4-5D6E-409C-BE32-E72D297353CC}">
              <c16:uniqueId val="{00000003-92B5-465F-B290-864C78DDEB01}"/>
            </c:ext>
          </c:extLst>
        </c:ser>
        <c:ser>
          <c:idx val="4"/>
          <c:order val="4"/>
          <c:tx>
            <c:strRef>
              <c:f>'24 Councillors graph '!$Z$7:$Z$10</c:f>
              <c:strCache>
                <c:ptCount val="4"/>
                <c:pt idx="0">
                  <c:v>Others </c:v>
                </c:pt>
              </c:strCache>
            </c:strRef>
          </c:tx>
          <c:spPr>
            <a:ln w="28575" cap="rnd">
              <a:solidFill>
                <a:schemeClr val="bg1">
                  <a:lumMod val="65000"/>
                </a:schemeClr>
              </a:solidFill>
              <a:round/>
            </a:ln>
            <a:effectLst/>
          </c:spPr>
          <c:marker>
            <c:symbol val="none"/>
          </c:marker>
          <c:cat>
            <c:numRef>
              <c:f>'24 Councillors graph '!$U$11:$U$58</c:f>
              <c:numCache>
                <c:formatCode>General</c:formatCode>
                <c:ptCount val="48"/>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formatCode="0">
                  <c:v>2016</c:v>
                </c:pt>
                <c:pt idx="44" formatCode="0">
                  <c:v>2017</c:v>
                </c:pt>
                <c:pt idx="45" formatCode="0">
                  <c:v>2018</c:v>
                </c:pt>
                <c:pt idx="46" formatCode="0">
                  <c:v>2019</c:v>
                </c:pt>
                <c:pt idx="47" formatCode="0">
                  <c:v>2021</c:v>
                </c:pt>
              </c:numCache>
            </c:numRef>
          </c:cat>
          <c:val>
            <c:numRef>
              <c:f>'24 Councillors graph '!$Z$11:$Z$58</c:f>
              <c:numCache>
                <c:formatCode>General</c:formatCode>
                <c:ptCount val="48"/>
                <c:pt idx="0">
                  <c:v>5183</c:v>
                </c:pt>
                <c:pt idx="1">
                  <c:v>5664</c:v>
                </c:pt>
                <c:pt idx="2">
                  <c:v>5685</c:v>
                </c:pt>
                <c:pt idx="3">
                  <c:v>5132</c:v>
                </c:pt>
                <c:pt idx="4">
                  <c:v>4965</c:v>
                </c:pt>
                <c:pt idx="5">
                  <c:v>4920</c:v>
                </c:pt>
                <c:pt idx="6">
                  <c:v>4388</c:v>
                </c:pt>
                <c:pt idx="7">
                  <c:v>4325</c:v>
                </c:pt>
                <c:pt idx="8">
                  <c:v>4208</c:v>
                </c:pt>
                <c:pt idx="9">
                  <c:v>4099</c:v>
                </c:pt>
                <c:pt idx="10">
                  <c:v>3570</c:v>
                </c:pt>
                <c:pt idx="11">
                  <c:v>3515</c:v>
                </c:pt>
                <c:pt idx="12">
                  <c:v>3432</c:v>
                </c:pt>
                <c:pt idx="13">
                  <c:v>3364</c:v>
                </c:pt>
                <c:pt idx="14">
                  <c:v>2974</c:v>
                </c:pt>
                <c:pt idx="15">
                  <c:v>2968</c:v>
                </c:pt>
                <c:pt idx="16">
                  <c:v>2958</c:v>
                </c:pt>
                <c:pt idx="17">
                  <c:v>2968</c:v>
                </c:pt>
                <c:pt idx="18">
                  <c:v>2997</c:v>
                </c:pt>
                <c:pt idx="19">
                  <c:v>2977</c:v>
                </c:pt>
                <c:pt idx="20">
                  <c:v>2948</c:v>
                </c:pt>
                <c:pt idx="21">
                  <c:v>2941</c:v>
                </c:pt>
                <c:pt idx="22">
                  <c:v>2157</c:v>
                </c:pt>
                <c:pt idx="23">
                  <c:v>2157</c:v>
                </c:pt>
                <c:pt idx="24">
                  <c:v>2076</c:v>
                </c:pt>
                <c:pt idx="25">
                  <c:v>2083</c:v>
                </c:pt>
                <c:pt idx="26">
                  <c:v>1973</c:v>
                </c:pt>
                <c:pt idx="27">
                  <c:v>2071</c:v>
                </c:pt>
                <c:pt idx="28">
                  <c:v>2091</c:v>
                </c:pt>
                <c:pt idx="29">
                  <c:v>2094</c:v>
                </c:pt>
                <c:pt idx="30">
                  <c:v>2125</c:v>
                </c:pt>
                <c:pt idx="31">
                  <c:v>2213</c:v>
                </c:pt>
                <c:pt idx="32">
                  <c:v>2233</c:v>
                </c:pt>
                <c:pt idx="33">
                  <c:v>2273</c:v>
                </c:pt>
                <c:pt idx="34">
                  <c:v>2173</c:v>
                </c:pt>
                <c:pt idx="35">
                  <c:v>2225</c:v>
                </c:pt>
                <c:pt idx="36">
                  <c:v>2060</c:v>
                </c:pt>
                <c:pt idx="37">
                  <c:v>1962</c:v>
                </c:pt>
                <c:pt idx="38">
                  <c:v>1855</c:v>
                </c:pt>
                <c:pt idx="39">
                  <c:v>1787</c:v>
                </c:pt>
                <c:pt idx="40">
                  <c:v>1991</c:v>
                </c:pt>
                <c:pt idx="41">
                  <c:v>2362</c:v>
                </c:pt>
                <c:pt idx="42">
                  <c:v>2241</c:v>
                </c:pt>
                <c:pt idx="43" formatCode="#,##0">
                  <c:v>2251</c:v>
                </c:pt>
                <c:pt idx="44" formatCode="#,##0">
                  <c:v>2100</c:v>
                </c:pt>
                <c:pt idx="45" formatCode="#,##0">
                  <c:v>2019</c:v>
                </c:pt>
                <c:pt idx="46" formatCode="#,##0">
                  <c:v>2655</c:v>
                </c:pt>
                <c:pt idx="47" formatCode="#,##0">
                  <c:v>2838</c:v>
                </c:pt>
              </c:numCache>
            </c:numRef>
          </c:val>
          <c:smooth val="0"/>
          <c:extLst>
            <c:ext xmlns:c16="http://schemas.microsoft.com/office/drawing/2014/chart" uri="{C3380CC4-5D6E-409C-BE32-E72D297353CC}">
              <c16:uniqueId val="{00000004-92B5-465F-B290-864C78DDEB01}"/>
            </c:ext>
          </c:extLst>
        </c:ser>
        <c:dLbls>
          <c:showLegendKey val="0"/>
          <c:showVal val="0"/>
          <c:showCatName val="0"/>
          <c:showSerName val="0"/>
          <c:showPercent val="0"/>
          <c:showBubbleSize val="0"/>
        </c:dLbls>
        <c:smooth val="0"/>
        <c:axId val="473417136"/>
        <c:axId val="473417528"/>
      </c:lineChart>
      <c:catAx>
        <c:axId val="4734171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050"/>
            </a:pPr>
            <a:endParaRPr lang="en-US"/>
          </a:p>
        </c:txPr>
        <c:crossAx val="473417528"/>
        <c:crosses val="autoZero"/>
        <c:auto val="1"/>
        <c:lblAlgn val="ctr"/>
        <c:lblOffset val="100"/>
        <c:tickLblSkip val="9"/>
        <c:tickMarkSkip val="9"/>
        <c:noMultiLvlLbl val="0"/>
      </c:catAx>
      <c:valAx>
        <c:axId val="473417528"/>
        <c:scaling>
          <c:orientation val="minMax"/>
        </c:scaling>
        <c:delete val="0"/>
        <c:axPos val="l"/>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3417136"/>
        <c:crossesAt val="1"/>
        <c:crossBetween val="midCat"/>
        <c:dispUnits>
          <c:builtInUnit val="thousands"/>
        </c:dispUnits>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orientation="portrait"/>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 Civil service/local gov.</a:t>
            </a:r>
          </a:p>
        </c:rich>
      </c:tx>
      <c:layout>
        <c:manualLayout>
          <c:xMode val="edge"/>
          <c:yMode val="edge"/>
          <c:x val="0.20840011665208516"/>
          <c:y val="4.3637131565450869E-2"/>
        </c:manualLayout>
      </c:layout>
      <c:overlay val="0"/>
      <c:spPr>
        <a:noFill/>
        <a:ln w="25400">
          <a:noFill/>
        </a:ln>
      </c:spPr>
    </c:title>
    <c:autoTitleDeleted val="0"/>
    <c:plotArea>
      <c:layout>
        <c:manualLayout>
          <c:layoutTarget val="inner"/>
          <c:xMode val="edge"/>
          <c:yMode val="edge"/>
          <c:x val="0.10865982688385079"/>
          <c:y val="0.17171322547854947"/>
          <c:w val="0.89019685039370078"/>
          <c:h val="0.70294728783902016"/>
        </c:manualLayout>
      </c:layout>
      <c:barChart>
        <c:barDir val="col"/>
        <c:grouping val="stacked"/>
        <c:varyColors val="0"/>
        <c:ser>
          <c:idx val="1"/>
          <c:order val="0"/>
          <c:tx>
            <c:strRef>
              <c:f>'11 Occupations Visual'!$B$29</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Visual'!$C$29:$S$29</c:f>
              <c:numCache>
                <c:formatCode>0</c:formatCode>
                <c:ptCount val="17"/>
                <c:pt idx="0">
                  <c:v>9</c:v>
                </c:pt>
                <c:pt idx="1">
                  <c:v>12</c:v>
                </c:pt>
                <c:pt idx="2">
                  <c:v>14</c:v>
                </c:pt>
                <c:pt idx="3">
                  <c:v>18</c:v>
                </c:pt>
                <c:pt idx="4">
                  <c:v>13</c:v>
                </c:pt>
                <c:pt idx="5">
                  <c:v>12</c:v>
                </c:pt>
                <c:pt idx="6">
                  <c:v>8</c:v>
                </c:pt>
                <c:pt idx="7">
                  <c:v>7</c:v>
                </c:pt>
                <c:pt idx="8">
                  <c:v>14</c:v>
                </c:pt>
                <c:pt idx="9">
                  <c:v>16</c:v>
                </c:pt>
                <c:pt idx="10">
                  <c:v>13</c:v>
                </c:pt>
                <c:pt idx="11">
                  <c:v>3</c:v>
                </c:pt>
                <c:pt idx="12" formatCode="#,##0_);\(#,##0\)">
                  <c:v>5</c:v>
                </c:pt>
                <c:pt idx="13">
                  <c:v>2</c:v>
                </c:pt>
                <c:pt idx="14" formatCode="#,##0_);\(#,##0\)">
                  <c:v>3</c:v>
                </c:pt>
                <c:pt idx="15">
                  <c:v>2</c:v>
                </c:pt>
                <c:pt idx="16" formatCode="#,##0_);\(#,##0\)">
                  <c:v>2</c:v>
                </c:pt>
              </c:numCache>
            </c:numRef>
          </c:val>
          <c:extLst>
            <c:ext xmlns:c16="http://schemas.microsoft.com/office/drawing/2014/chart" uri="{C3380CC4-5D6E-409C-BE32-E72D297353CC}">
              <c16:uniqueId val="{00000000-46AF-465C-A0A9-13E4DA763AAC}"/>
            </c:ext>
          </c:extLst>
        </c:ser>
        <c:ser>
          <c:idx val="2"/>
          <c:order val="1"/>
          <c:tx>
            <c:strRef>
              <c:f>'11 Occupations Visual'!$B$30</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Visual'!$C$30:$S$30</c:f>
              <c:numCache>
                <c:formatCode>0</c:formatCode>
                <c:ptCount val="17"/>
                <c:pt idx="0">
                  <c:v>9</c:v>
                </c:pt>
                <c:pt idx="1">
                  <c:v>9</c:v>
                </c:pt>
                <c:pt idx="2">
                  <c:v>8</c:v>
                </c:pt>
                <c:pt idx="3">
                  <c:v>7</c:v>
                </c:pt>
                <c:pt idx="4">
                  <c:v>9</c:v>
                </c:pt>
                <c:pt idx="5">
                  <c:v>3</c:v>
                </c:pt>
                <c:pt idx="6">
                  <c:v>5</c:v>
                </c:pt>
                <c:pt idx="7">
                  <c:v>7</c:v>
                </c:pt>
                <c:pt idx="8">
                  <c:v>16</c:v>
                </c:pt>
                <c:pt idx="9">
                  <c:v>10</c:v>
                </c:pt>
                <c:pt idx="10">
                  <c:v>8</c:v>
                </c:pt>
                <c:pt idx="11">
                  <c:v>16</c:v>
                </c:pt>
                <c:pt idx="12">
                  <c:v>30</c:v>
                </c:pt>
                <c:pt idx="13">
                  <c:v>30</c:v>
                </c:pt>
                <c:pt idx="14" formatCode="#,##0_);\(#,##0\)">
                  <c:v>22</c:v>
                </c:pt>
                <c:pt idx="15">
                  <c:v>13</c:v>
                </c:pt>
                <c:pt idx="16" formatCode="#,##0_);\(#,##0\)">
                  <c:v>10</c:v>
                </c:pt>
              </c:numCache>
            </c:numRef>
          </c:val>
          <c:extLst>
            <c:ext xmlns:c16="http://schemas.microsoft.com/office/drawing/2014/chart" uri="{C3380CC4-5D6E-409C-BE32-E72D297353CC}">
              <c16:uniqueId val="{00000001-46AF-465C-A0A9-13E4DA763AAC}"/>
            </c:ext>
          </c:extLst>
        </c:ser>
        <c:ser>
          <c:idx val="3"/>
          <c:order val="2"/>
          <c:tx>
            <c:strRef>
              <c:f>'11 Occupations Visual'!$B$31</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Visual'!$C$31:$S$31</c:f>
              <c:numCache>
                <c:formatCode>0</c:formatCode>
                <c:ptCount val="17"/>
                <c:pt idx="0">
                  <c:v>0</c:v>
                </c:pt>
                <c:pt idx="1">
                  <c:v>0</c:v>
                </c:pt>
                <c:pt idx="2">
                  <c:v>0</c:v>
                </c:pt>
                <c:pt idx="3">
                  <c:v>0</c:v>
                </c:pt>
                <c:pt idx="4">
                  <c:v>0</c:v>
                </c:pt>
                <c:pt idx="5">
                  <c:v>0</c:v>
                </c:pt>
                <c:pt idx="6">
                  <c:v>0</c:v>
                </c:pt>
                <c:pt idx="7">
                  <c:v>0</c:v>
                </c:pt>
                <c:pt idx="8">
                  <c:v>0</c:v>
                </c:pt>
                <c:pt idx="9">
                  <c:v>1</c:v>
                </c:pt>
                <c:pt idx="10">
                  <c:v>1</c:v>
                </c:pt>
                <c:pt idx="11">
                  <c:v>0</c:v>
                </c:pt>
                <c:pt idx="12">
                  <c:v>2</c:v>
                </c:pt>
                <c:pt idx="13">
                  <c:v>3</c:v>
                </c:pt>
                <c:pt idx="14" formatCode="#,##0_);\(#,##0\)">
                  <c:v>3</c:v>
                </c:pt>
                <c:pt idx="15">
                  <c:v>3</c:v>
                </c:pt>
                <c:pt idx="16" formatCode="#,##0_);\(#,##0\)">
                  <c:v>2</c:v>
                </c:pt>
              </c:numCache>
            </c:numRef>
          </c:val>
          <c:extLst>
            <c:ext xmlns:c16="http://schemas.microsoft.com/office/drawing/2014/chart" uri="{C3380CC4-5D6E-409C-BE32-E72D297353CC}">
              <c16:uniqueId val="{00000002-46AF-465C-A0A9-13E4DA763AAC}"/>
            </c:ext>
          </c:extLst>
        </c:ser>
        <c:dLbls>
          <c:showLegendKey val="0"/>
          <c:showVal val="0"/>
          <c:showCatName val="0"/>
          <c:showSerName val="0"/>
          <c:showPercent val="0"/>
          <c:showBubbleSize val="0"/>
        </c:dLbls>
        <c:gapWidth val="80"/>
        <c:overlap val="100"/>
        <c:axId val="469288480"/>
        <c:axId val="469288872"/>
      </c:barChart>
      <c:catAx>
        <c:axId val="469288480"/>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9288872"/>
        <c:crosses val="autoZero"/>
        <c:auto val="1"/>
        <c:lblAlgn val="ctr"/>
        <c:lblOffset val="100"/>
        <c:noMultiLvlLbl val="0"/>
      </c:catAx>
      <c:valAx>
        <c:axId val="469288872"/>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9288480"/>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 Miscellaneous white collar </a:t>
            </a:r>
          </a:p>
        </c:rich>
      </c:tx>
      <c:layout>
        <c:manualLayout>
          <c:xMode val="edge"/>
          <c:yMode val="edge"/>
          <c:x val="0.20107242150286769"/>
          <c:y val="4.3637131565450869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 Visual'!$B$33</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Visual'!$C$33:$S$33</c:f>
              <c:numCache>
                <c:formatCode>0</c:formatCode>
                <c:ptCount val="17"/>
                <c:pt idx="0">
                  <c:v>4</c:v>
                </c:pt>
                <c:pt idx="1">
                  <c:v>4</c:v>
                </c:pt>
                <c:pt idx="2">
                  <c:v>4</c:v>
                </c:pt>
                <c:pt idx="3">
                  <c:v>5</c:v>
                </c:pt>
                <c:pt idx="4">
                  <c:v>7</c:v>
                </c:pt>
                <c:pt idx="5">
                  <c:v>1</c:v>
                </c:pt>
                <c:pt idx="6">
                  <c:v>0</c:v>
                </c:pt>
                <c:pt idx="7">
                  <c:v>0</c:v>
                </c:pt>
                <c:pt idx="8">
                  <c:v>4</c:v>
                </c:pt>
                <c:pt idx="9">
                  <c:v>6</c:v>
                </c:pt>
                <c:pt idx="10">
                  <c:v>8</c:v>
                </c:pt>
                <c:pt idx="11">
                  <c:v>9</c:v>
                </c:pt>
                <c:pt idx="12">
                  <c:v>2</c:v>
                </c:pt>
                <c:pt idx="13">
                  <c:v>2</c:v>
                </c:pt>
                <c:pt idx="14" formatCode="#,##0_);\(#,##0\)">
                  <c:v>4</c:v>
                </c:pt>
                <c:pt idx="15">
                  <c:v>23</c:v>
                </c:pt>
                <c:pt idx="16" formatCode="#,##0_);\(#,##0\)">
                  <c:v>4</c:v>
                </c:pt>
              </c:numCache>
            </c:numRef>
          </c:val>
          <c:extLst>
            <c:ext xmlns:c16="http://schemas.microsoft.com/office/drawing/2014/chart" uri="{C3380CC4-5D6E-409C-BE32-E72D297353CC}">
              <c16:uniqueId val="{00000000-31D4-4CAC-BD51-A41F324319E1}"/>
            </c:ext>
          </c:extLst>
        </c:ser>
        <c:ser>
          <c:idx val="1"/>
          <c:order val="1"/>
          <c:tx>
            <c:strRef>
              <c:f>'11 Occupations Visual'!$B$34</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Visual'!$C$34:$S$34</c:f>
              <c:numCache>
                <c:formatCode>0</c:formatCode>
                <c:ptCount val="17"/>
                <c:pt idx="0">
                  <c:v>12</c:v>
                </c:pt>
                <c:pt idx="1">
                  <c:v>5</c:v>
                </c:pt>
                <c:pt idx="2">
                  <c:v>6</c:v>
                </c:pt>
                <c:pt idx="3">
                  <c:v>11</c:v>
                </c:pt>
                <c:pt idx="4">
                  <c:v>22</c:v>
                </c:pt>
                <c:pt idx="5">
                  <c:v>3</c:v>
                </c:pt>
                <c:pt idx="6">
                  <c:v>7</c:v>
                </c:pt>
                <c:pt idx="7">
                  <c:v>10</c:v>
                </c:pt>
                <c:pt idx="8">
                  <c:v>5</c:v>
                </c:pt>
                <c:pt idx="9">
                  <c:v>14</c:v>
                </c:pt>
                <c:pt idx="10">
                  <c:v>18</c:v>
                </c:pt>
                <c:pt idx="11">
                  <c:v>36</c:v>
                </c:pt>
                <c:pt idx="12">
                  <c:v>69</c:v>
                </c:pt>
                <c:pt idx="13">
                  <c:v>73</c:v>
                </c:pt>
                <c:pt idx="14" formatCode="#,##0_);\(#,##0\)">
                  <c:v>70</c:v>
                </c:pt>
                <c:pt idx="15">
                  <c:v>60</c:v>
                </c:pt>
                <c:pt idx="16" formatCode="#,##0_);\(#,##0\)">
                  <c:v>18</c:v>
                </c:pt>
              </c:numCache>
            </c:numRef>
          </c:val>
          <c:extLst>
            <c:ext xmlns:c16="http://schemas.microsoft.com/office/drawing/2014/chart" uri="{C3380CC4-5D6E-409C-BE32-E72D297353CC}">
              <c16:uniqueId val="{00000001-31D4-4CAC-BD51-A41F324319E1}"/>
            </c:ext>
          </c:extLst>
        </c:ser>
        <c:ser>
          <c:idx val="2"/>
          <c:order val="2"/>
          <c:tx>
            <c:strRef>
              <c:f>'11 Occupations Visual'!$B$35</c:f>
              <c:strCache>
                <c:ptCount val="1"/>
                <c:pt idx="0">
                  <c:v>LD</c:v>
                </c:pt>
              </c:strCache>
            </c:strRef>
          </c:tx>
          <c:spPr>
            <a:solidFill>
              <a:srgbClr val="FAA01A"/>
            </a:solidFill>
            <a:ln>
              <a:noFill/>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Visual'!$C$35:$S$35</c:f>
              <c:numCache>
                <c:formatCode>0</c:formatCode>
                <c:ptCount val="17"/>
                <c:pt idx="0">
                  <c:v>0</c:v>
                </c:pt>
                <c:pt idx="1">
                  <c:v>0</c:v>
                </c:pt>
                <c:pt idx="2">
                  <c:v>0</c:v>
                </c:pt>
                <c:pt idx="3">
                  <c:v>1</c:v>
                </c:pt>
                <c:pt idx="4">
                  <c:v>0</c:v>
                </c:pt>
                <c:pt idx="5">
                  <c:v>0</c:v>
                </c:pt>
                <c:pt idx="6">
                  <c:v>0</c:v>
                </c:pt>
                <c:pt idx="7">
                  <c:v>0</c:v>
                </c:pt>
                <c:pt idx="8">
                  <c:v>0</c:v>
                </c:pt>
                <c:pt idx="9">
                  <c:v>1</c:v>
                </c:pt>
                <c:pt idx="10">
                  <c:v>2</c:v>
                </c:pt>
                <c:pt idx="11">
                  <c:v>1</c:v>
                </c:pt>
                <c:pt idx="12">
                  <c:v>1</c:v>
                </c:pt>
                <c:pt idx="13">
                  <c:v>1</c:v>
                </c:pt>
                <c:pt idx="14" formatCode="#,##0_);\(#,##0\)">
                  <c:v>6</c:v>
                </c:pt>
                <c:pt idx="15">
                  <c:v>11</c:v>
                </c:pt>
                <c:pt idx="16" formatCode="#,##0_);\(#,##0\)">
                  <c:v>0</c:v>
                </c:pt>
              </c:numCache>
            </c:numRef>
          </c:val>
          <c:extLst>
            <c:ext xmlns:c16="http://schemas.microsoft.com/office/drawing/2014/chart" uri="{C3380CC4-5D6E-409C-BE32-E72D297353CC}">
              <c16:uniqueId val="{00000002-31D4-4CAC-BD51-A41F324319E1}"/>
            </c:ext>
          </c:extLst>
        </c:ser>
        <c:dLbls>
          <c:showLegendKey val="0"/>
          <c:showVal val="0"/>
          <c:showCatName val="0"/>
          <c:showSerName val="0"/>
          <c:showPercent val="0"/>
          <c:showBubbleSize val="0"/>
        </c:dLbls>
        <c:gapWidth val="80"/>
        <c:overlap val="100"/>
        <c:axId val="469289656"/>
        <c:axId val="469290048"/>
      </c:barChart>
      <c:catAx>
        <c:axId val="469289656"/>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9290048"/>
        <c:crosses val="autoZero"/>
        <c:auto val="1"/>
        <c:lblAlgn val="ctr"/>
        <c:lblOffset val="100"/>
        <c:noMultiLvlLbl val="0"/>
      </c:catAx>
      <c:valAx>
        <c:axId val="469290048"/>
        <c:scaling>
          <c:orientation val="minMax"/>
          <c:max val="150"/>
          <c:min val="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9289656"/>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(j) Company Executive/Director </a:t>
            </a:r>
          </a:p>
        </c:rich>
      </c:tx>
      <c:layout>
        <c:manualLayout>
          <c:xMode val="edge"/>
          <c:yMode val="edge"/>
          <c:x val="0.1687520171089725"/>
          <c:y val="4.363730696453641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1"/>
          <c:order val="0"/>
          <c:tx>
            <c:strRef>
              <c:f>'11 Occupations Visual'!$B$37</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Visual'!$C$37:$S$37</c:f>
              <c:numCache>
                <c:formatCode>0</c:formatCode>
                <c:ptCount val="17"/>
                <c:pt idx="0">
                  <c:v>76</c:v>
                </c:pt>
                <c:pt idx="1">
                  <c:v>62</c:v>
                </c:pt>
                <c:pt idx="2">
                  <c:v>88</c:v>
                </c:pt>
                <c:pt idx="3">
                  <c:v>58</c:v>
                </c:pt>
                <c:pt idx="4">
                  <c:v>52</c:v>
                </c:pt>
                <c:pt idx="5">
                  <c:v>94</c:v>
                </c:pt>
                <c:pt idx="6">
                  <c:v>62</c:v>
                </c:pt>
                <c:pt idx="7">
                  <c:v>61</c:v>
                </c:pt>
                <c:pt idx="8">
                  <c:v>59</c:v>
                </c:pt>
                <c:pt idx="9">
                  <c:v>100</c:v>
                </c:pt>
                <c:pt idx="10">
                  <c:v>114</c:v>
                </c:pt>
                <c:pt idx="11">
                  <c:v>112</c:v>
                </c:pt>
                <c:pt idx="12">
                  <c:v>53</c:v>
                </c:pt>
                <c:pt idx="13" formatCode="#,##0_);\(#,##0\)">
                  <c:v>49</c:v>
                </c:pt>
                <c:pt idx="14">
                  <c:v>64</c:v>
                </c:pt>
                <c:pt idx="15" formatCode="#,##0_);\(#,##0\)">
                  <c:v>100</c:v>
                </c:pt>
                <c:pt idx="16" formatCode="#,##0_);\(#,##0\)">
                  <c:v>111</c:v>
                </c:pt>
              </c:numCache>
            </c:numRef>
          </c:val>
          <c:extLst>
            <c:ext xmlns:c16="http://schemas.microsoft.com/office/drawing/2014/chart" uri="{C3380CC4-5D6E-409C-BE32-E72D297353CC}">
              <c16:uniqueId val="{00000000-CBC7-4FE1-8576-3B2A9348042E}"/>
            </c:ext>
          </c:extLst>
        </c:ser>
        <c:ser>
          <c:idx val="2"/>
          <c:order val="1"/>
          <c:tx>
            <c:strRef>
              <c:f>'11 Occupations Visual'!$B$38</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Visual'!$C$38:$S$38</c:f>
              <c:numCache>
                <c:formatCode>0</c:formatCode>
                <c:ptCount val="17"/>
                <c:pt idx="0">
                  <c:v>4</c:v>
                </c:pt>
                <c:pt idx="1">
                  <c:v>2</c:v>
                </c:pt>
                <c:pt idx="2">
                  <c:v>6</c:v>
                </c:pt>
                <c:pt idx="3">
                  <c:v>6</c:v>
                </c:pt>
                <c:pt idx="4">
                  <c:v>14</c:v>
                </c:pt>
                <c:pt idx="5">
                  <c:v>14</c:v>
                </c:pt>
                <c:pt idx="6">
                  <c:v>19</c:v>
                </c:pt>
                <c:pt idx="7">
                  <c:v>17</c:v>
                </c:pt>
                <c:pt idx="8">
                  <c:v>12</c:v>
                </c:pt>
                <c:pt idx="9">
                  <c:v>5</c:v>
                </c:pt>
                <c:pt idx="10">
                  <c:v>9</c:v>
                </c:pt>
                <c:pt idx="11">
                  <c:v>9</c:v>
                </c:pt>
                <c:pt idx="12">
                  <c:v>16</c:v>
                </c:pt>
                <c:pt idx="13" formatCode="#,##0_);\(#,##0\)">
                  <c:v>15</c:v>
                </c:pt>
                <c:pt idx="14">
                  <c:v>10</c:v>
                </c:pt>
                <c:pt idx="15" formatCode="#,##0_);\(#,##0\)">
                  <c:v>8</c:v>
                </c:pt>
                <c:pt idx="16" formatCode="#,##0_);\(#,##0\)">
                  <c:v>14</c:v>
                </c:pt>
              </c:numCache>
            </c:numRef>
          </c:val>
          <c:extLst>
            <c:ext xmlns:c16="http://schemas.microsoft.com/office/drawing/2014/chart" uri="{C3380CC4-5D6E-409C-BE32-E72D297353CC}">
              <c16:uniqueId val="{00000001-CBC7-4FE1-8576-3B2A9348042E}"/>
            </c:ext>
          </c:extLst>
        </c:ser>
        <c:ser>
          <c:idx val="3"/>
          <c:order val="2"/>
          <c:tx>
            <c:strRef>
              <c:f>'11 Occupations Visual'!$B$39</c:f>
              <c:strCache>
                <c:ptCount val="1"/>
                <c:pt idx="0">
                  <c:v>LD</c:v>
                </c:pt>
              </c:strCache>
            </c:strRef>
          </c:tx>
          <c:spPr>
            <a:solidFill>
              <a:srgbClr val="FAA01A"/>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Visual'!$C$39:$S$39</c:f>
              <c:numCache>
                <c:formatCode>0</c:formatCode>
                <c:ptCount val="17"/>
                <c:pt idx="0">
                  <c:v>0</c:v>
                </c:pt>
                <c:pt idx="1">
                  <c:v>0</c:v>
                </c:pt>
                <c:pt idx="2">
                  <c:v>0</c:v>
                </c:pt>
                <c:pt idx="3">
                  <c:v>2</c:v>
                </c:pt>
                <c:pt idx="4">
                  <c:v>3</c:v>
                </c:pt>
                <c:pt idx="5">
                  <c:v>0</c:v>
                </c:pt>
                <c:pt idx="6">
                  <c:v>1</c:v>
                </c:pt>
                <c:pt idx="7">
                  <c:v>1</c:v>
                </c:pt>
                <c:pt idx="8">
                  <c:v>0</c:v>
                </c:pt>
                <c:pt idx="9">
                  <c:v>0</c:v>
                </c:pt>
                <c:pt idx="10">
                  <c:v>0</c:v>
                </c:pt>
                <c:pt idx="11">
                  <c:v>2</c:v>
                </c:pt>
                <c:pt idx="12">
                  <c:v>9</c:v>
                </c:pt>
                <c:pt idx="13" formatCode="#,##0_);\(#,##0\)">
                  <c:v>13</c:v>
                </c:pt>
                <c:pt idx="14">
                  <c:v>13</c:v>
                </c:pt>
                <c:pt idx="15" formatCode="#,##0_);\(#,##0\)">
                  <c:v>7</c:v>
                </c:pt>
                <c:pt idx="16" formatCode="#,##0_);\(#,##0\)">
                  <c:v>2</c:v>
                </c:pt>
              </c:numCache>
            </c:numRef>
          </c:val>
          <c:extLst>
            <c:ext xmlns:c16="http://schemas.microsoft.com/office/drawing/2014/chart" uri="{C3380CC4-5D6E-409C-BE32-E72D297353CC}">
              <c16:uniqueId val="{00000002-CBC7-4FE1-8576-3B2A9348042E}"/>
            </c:ext>
          </c:extLst>
        </c:ser>
        <c:dLbls>
          <c:showLegendKey val="0"/>
          <c:showVal val="0"/>
          <c:showCatName val="0"/>
          <c:showSerName val="0"/>
          <c:showPercent val="0"/>
          <c:showBubbleSize val="0"/>
        </c:dLbls>
        <c:gapWidth val="80"/>
        <c:overlap val="100"/>
        <c:axId val="469290832"/>
        <c:axId val="469291224"/>
      </c:barChart>
      <c:catAx>
        <c:axId val="469290832"/>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9291224"/>
        <c:crosses val="autoZero"/>
        <c:auto val="1"/>
        <c:lblAlgn val="ctr"/>
        <c:lblOffset val="100"/>
        <c:noMultiLvlLbl val="0"/>
      </c:catAx>
      <c:valAx>
        <c:axId val="469291224"/>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9290832"/>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(k) Publisher/journalist</a:t>
            </a:r>
          </a:p>
        </c:rich>
      </c:tx>
      <c:layout>
        <c:manualLayout>
          <c:xMode val="edge"/>
          <c:yMode val="edge"/>
          <c:x val="0.20107242150286769"/>
          <c:y val="4.3636915327780558E-2"/>
        </c:manualLayout>
      </c:layout>
      <c:overlay val="0"/>
      <c:spPr>
        <a:noFill/>
        <a:ln w="25400">
          <a:noFill/>
        </a:ln>
      </c:spPr>
    </c:title>
    <c:autoTitleDeleted val="0"/>
    <c:plotArea>
      <c:layout>
        <c:manualLayout>
          <c:layoutTarget val="inner"/>
          <c:xMode val="edge"/>
          <c:yMode val="edge"/>
          <c:x val="7.9247594050743664E-2"/>
          <c:y val="0.17171296296296296"/>
          <c:w val="0.89019685039370078"/>
          <c:h val="0.70294728783902016"/>
        </c:manualLayout>
      </c:layout>
      <c:barChart>
        <c:barDir val="col"/>
        <c:grouping val="stacked"/>
        <c:varyColors val="0"/>
        <c:ser>
          <c:idx val="0"/>
          <c:order val="0"/>
          <c:tx>
            <c:strRef>
              <c:f>'11 Occupations Visual'!$B$41</c:f>
              <c:strCache>
                <c:ptCount val="1"/>
                <c:pt idx="0">
                  <c:v>CON</c:v>
                </c:pt>
              </c:strCache>
            </c:strRef>
          </c:tx>
          <c:spPr>
            <a:solidFill>
              <a:srgbClr val="00539F"/>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Visual'!$C$41:$S$41</c:f>
              <c:numCache>
                <c:formatCode>0</c:formatCode>
                <c:ptCount val="17"/>
                <c:pt idx="0">
                  <c:v>13</c:v>
                </c:pt>
                <c:pt idx="1">
                  <c:v>19</c:v>
                </c:pt>
                <c:pt idx="2">
                  <c:v>26</c:v>
                </c:pt>
                <c:pt idx="3">
                  <c:v>20</c:v>
                </c:pt>
                <c:pt idx="4">
                  <c:v>17</c:v>
                </c:pt>
                <c:pt idx="5">
                  <c:v>30</c:v>
                </c:pt>
                <c:pt idx="6">
                  <c:v>32</c:v>
                </c:pt>
                <c:pt idx="7">
                  <c:v>27</c:v>
                </c:pt>
                <c:pt idx="8">
                  <c:v>31</c:v>
                </c:pt>
                <c:pt idx="9">
                  <c:v>31</c:v>
                </c:pt>
                <c:pt idx="10">
                  <c:v>26</c:v>
                </c:pt>
                <c:pt idx="11">
                  <c:v>28</c:v>
                </c:pt>
                <c:pt idx="12">
                  <c:v>14</c:v>
                </c:pt>
                <c:pt idx="13" formatCode="#,##0_);\(#,##0\)">
                  <c:v>14</c:v>
                </c:pt>
                <c:pt idx="14">
                  <c:v>14</c:v>
                </c:pt>
                <c:pt idx="15" formatCode="#,##0_);\(#,##0\)">
                  <c:v>18</c:v>
                </c:pt>
                <c:pt idx="16" formatCode="#,##0_);\(#,##0\)">
                  <c:v>16</c:v>
                </c:pt>
              </c:numCache>
            </c:numRef>
          </c:val>
          <c:extLst>
            <c:ext xmlns:c16="http://schemas.microsoft.com/office/drawing/2014/chart" uri="{C3380CC4-5D6E-409C-BE32-E72D297353CC}">
              <c16:uniqueId val="{00000000-91BE-4402-AA64-C5ABD13C8839}"/>
            </c:ext>
          </c:extLst>
        </c:ser>
        <c:ser>
          <c:idx val="1"/>
          <c:order val="1"/>
          <c:tx>
            <c:strRef>
              <c:f>'11 Occupations Visual'!$B$42</c:f>
              <c:strCache>
                <c:ptCount val="1"/>
                <c:pt idx="0">
                  <c:v>LAB</c:v>
                </c:pt>
              </c:strCache>
            </c:strRef>
          </c:tx>
          <c:spPr>
            <a:solidFill>
              <a:srgbClr val="D50000"/>
            </a:solidFill>
            <a:ln w="12700">
              <a:noFill/>
              <a:prstDash val="solid"/>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Visual'!$C$42:$S$42</c:f>
              <c:numCache>
                <c:formatCode>0</c:formatCode>
                <c:ptCount val="17"/>
                <c:pt idx="0">
                  <c:v>33</c:v>
                </c:pt>
                <c:pt idx="1">
                  <c:v>27</c:v>
                </c:pt>
                <c:pt idx="2">
                  <c:v>25</c:v>
                </c:pt>
                <c:pt idx="3">
                  <c:v>27</c:v>
                </c:pt>
                <c:pt idx="4">
                  <c:v>29</c:v>
                </c:pt>
                <c:pt idx="5">
                  <c:v>27</c:v>
                </c:pt>
                <c:pt idx="6">
                  <c:v>23</c:v>
                </c:pt>
                <c:pt idx="7">
                  <c:v>22</c:v>
                </c:pt>
                <c:pt idx="8">
                  <c:v>13</c:v>
                </c:pt>
                <c:pt idx="9">
                  <c:v>9</c:v>
                </c:pt>
                <c:pt idx="10">
                  <c:v>14</c:v>
                </c:pt>
                <c:pt idx="11">
                  <c:v>13</c:v>
                </c:pt>
                <c:pt idx="12">
                  <c:v>29</c:v>
                </c:pt>
                <c:pt idx="13" formatCode="#,##0_);\(#,##0\)">
                  <c:v>32</c:v>
                </c:pt>
                <c:pt idx="14">
                  <c:v>24</c:v>
                </c:pt>
                <c:pt idx="15" formatCode="#,##0_);\(#,##0\)">
                  <c:v>15</c:v>
                </c:pt>
                <c:pt idx="16" formatCode="#,##0_);\(#,##0\)">
                  <c:v>14</c:v>
                </c:pt>
              </c:numCache>
            </c:numRef>
          </c:val>
          <c:extLst>
            <c:ext xmlns:c16="http://schemas.microsoft.com/office/drawing/2014/chart" uri="{C3380CC4-5D6E-409C-BE32-E72D297353CC}">
              <c16:uniqueId val="{00000001-91BE-4402-AA64-C5ABD13C8839}"/>
            </c:ext>
          </c:extLst>
        </c:ser>
        <c:ser>
          <c:idx val="2"/>
          <c:order val="2"/>
          <c:tx>
            <c:strRef>
              <c:f>'11 Occupations Visual'!$B$43</c:f>
              <c:strCache>
                <c:ptCount val="1"/>
                <c:pt idx="0">
                  <c:v>LD</c:v>
                </c:pt>
              </c:strCache>
            </c:strRef>
          </c:tx>
          <c:spPr>
            <a:solidFill>
              <a:srgbClr val="FAA01A"/>
            </a:solidFill>
            <a:ln>
              <a:noFill/>
            </a:ln>
          </c:spPr>
          <c:invertIfNegative val="0"/>
          <c:cat>
            <c:numRef>
              <c:f>'11 Occupations Visual'!$C$3:$S$3</c:f>
              <c:numCache>
                <c:formatCode>General</c:formatCode>
                <c:ptCount val="17"/>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2001</c:v>
                </c:pt>
                <c:pt idx="14">
                  <c:v>2005</c:v>
                </c:pt>
                <c:pt idx="15">
                  <c:v>2010</c:v>
                </c:pt>
                <c:pt idx="16">
                  <c:v>2015</c:v>
                </c:pt>
              </c:numCache>
            </c:numRef>
          </c:cat>
          <c:val>
            <c:numRef>
              <c:f>'11 Occupations Visual'!$C$43:$S$43</c:f>
              <c:numCache>
                <c:formatCode>0</c:formatCode>
                <c:ptCount val="17"/>
                <c:pt idx="0">
                  <c:v>0</c:v>
                </c:pt>
                <c:pt idx="1">
                  <c:v>0</c:v>
                </c:pt>
                <c:pt idx="2">
                  <c:v>0</c:v>
                </c:pt>
                <c:pt idx="3">
                  <c:v>0</c:v>
                </c:pt>
                <c:pt idx="4">
                  <c:v>0</c:v>
                </c:pt>
                <c:pt idx="5">
                  <c:v>1</c:v>
                </c:pt>
                <c:pt idx="6">
                  <c:v>1</c:v>
                </c:pt>
                <c:pt idx="7">
                  <c:v>1</c:v>
                </c:pt>
                <c:pt idx="8">
                  <c:v>2</c:v>
                </c:pt>
                <c:pt idx="9">
                  <c:v>5</c:v>
                </c:pt>
                <c:pt idx="10">
                  <c:v>3</c:v>
                </c:pt>
                <c:pt idx="11">
                  <c:v>3</c:v>
                </c:pt>
                <c:pt idx="12">
                  <c:v>4</c:v>
                </c:pt>
                <c:pt idx="13" formatCode="#,##0_);\(#,##0\)">
                  <c:v>4</c:v>
                </c:pt>
                <c:pt idx="14">
                  <c:v>5</c:v>
                </c:pt>
                <c:pt idx="15" formatCode="#,##0_);\(#,##0\)">
                  <c:v>5</c:v>
                </c:pt>
                <c:pt idx="16" formatCode="#,##0_);\(#,##0\)">
                  <c:v>0</c:v>
                </c:pt>
              </c:numCache>
            </c:numRef>
          </c:val>
          <c:extLst>
            <c:ext xmlns:c16="http://schemas.microsoft.com/office/drawing/2014/chart" uri="{C3380CC4-5D6E-409C-BE32-E72D297353CC}">
              <c16:uniqueId val="{00000002-91BE-4402-AA64-C5ABD13C8839}"/>
            </c:ext>
          </c:extLst>
        </c:ser>
        <c:dLbls>
          <c:showLegendKey val="0"/>
          <c:showVal val="0"/>
          <c:showCatName val="0"/>
          <c:showSerName val="0"/>
          <c:showPercent val="0"/>
          <c:showBubbleSize val="0"/>
        </c:dLbls>
        <c:gapWidth val="80"/>
        <c:overlap val="100"/>
        <c:axId val="469292008"/>
        <c:axId val="469292400"/>
      </c:barChart>
      <c:catAx>
        <c:axId val="469292008"/>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5400000" vert="horz"/>
          <a:lstStyle/>
          <a:p>
            <a:pPr>
              <a:defRPr/>
            </a:pPr>
            <a:endParaRPr lang="en-US"/>
          </a:p>
        </c:txPr>
        <c:crossAx val="469292400"/>
        <c:crosses val="autoZero"/>
        <c:auto val="1"/>
        <c:lblAlgn val="ctr"/>
        <c:lblOffset val="100"/>
        <c:noMultiLvlLbl val="0"/>
      </c:catAx>
      <c:valAx>
        <c:axId val="469292400"/>
        <c:scaling>
          <c:orientation val="minMax"/>
          <c:max val="150"/>
        </c:scaling>
        <c:delete val="0"/>
        <c:axPos val="l"/>
        <c:numFmt formatCode="0" sourceLinked="1"/>
        <c:majorTickMark val="out"/>
        <c:minorTickMark val="none"/>
        <c:tickLblPos val="nextTo"/>
        <c:spPr>
          <a:noFill/>
          <a:ln>
            <a:solidFill>
              <a:schemeClr val="tx1">
                <a:lumMod val="75000"/>
                <a:lumOff val="25000"/>
              </a:schemeClr>
            </a:solidFill>
          </a:ln>
          <a:effectLst/>
        </c:spPr>
        <c:txPr>
          <a:bodyPr rot="0" vert="horz"/>
          <a:lstStyle/>
          <a:p>
            <a:pPr>
              <a:defRPr/>
            </a:pPr>
            <a:endParaRPr lang="en-US"/>
          </a:p>
        </c:txPr>
        <c:crossAx val="469292008"/>
        <c:crosses val="autoZero"/>
        <c:crossBetween val="between"/>
      </c:valAx>
      <c:spPr>
        <a:noFill/>
        <a:ln w="25400">
          <a:noFill/>
        </a:ln>
      </c:spPr>
    </c:plotArea>
    <c:plotVisOnly val="1"/>
    <c:dispBlanksAs val="gap"/>
    <c:showDLblsOverMax val="0"/>
  </c:chart>
  <c:spPr>
    <a:noFill/>
    <a:ln w="9525">
      <a:noFill/>
    </a:ln>
  </c:spPr>
  <c:txPr>
    <a:bodyPr/>
    <a:lstStyle/>
    <a:p>
      <a:pPr>
        <a:defRPr sz="90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9099929581972"/>
          <c:y val="6.3256661448742077E-2"/>
          <c:w val="0.75641668929314876"/>
          <c:h val="0.81548509231734079"/>
        </c:manualLayout>
      </c:layout>
      <c:lineChart>
        <c:grouping val="standard"/>
        <c:varyColors val="0"/>
        <c:ser>
          <c:idx val="2"/>
          <c:order val="0"/>
          <c:tx>
            <c:strRef>
              <c:f>'12 by-elections summary Visual'!$C$6</c:f>
              <c:strCache>
                <c:ptCount val="1"/>
                <c:pt idx="0">
                  <c:v>CON</c:v>
                </c:pt>
              </c:strCache>
            </c:strRef>
          </c:tx>
          <c:spPr>
            <a:ln w="25400">
              <a:solidFill>
                <a:srgbClr val="00539F"/>
              </a:solidFill>
              <a:prstDash val="solid"/>
            </a:ln>
          </c:spPr>
          <c:marker>
            <c:symbol val="none"/>
          </c:marker>
          <c:cat>
            <c:strRef>
              <c:f>'12 by-elections summary Visual'!$B$7:$B$27</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1997-2001</c:v>
                </c:pt>
                <c:pt idx="15">
                  <c:v>2001-05</c:v>
                </c:pt>
                <c:pt idx="16">
                  <c:v>2005-10</c:v>
                </c:pt>
                <c:pt idx="17">
                  <c:v>2010-15</c:v>
                </c:pt>
                <c:pt idx="18">
                  <c:v>2015-17</c:v>
                </c:pt>
                <c:pt idx="19">
                  <c:v>2017-19</c:v>
                </c:pt>
                <c:pt idx="20">
                  <c:v>2019-21</c:v>
                </c:pt>
              </c:strCache>
            </c:strRef>
          </c:cat>
          <c:val>
            <c:numRef>
              <c:f>'12 by-elections summary Visual'!$C$7:$C$27</c:f>
              <c:numCache>
                <c:formatCode>\+0.0%;\-0.0%;""</c:formatCode>
                <c:ptCount val="21"/>
                <c:pt idx="0" formatCode="0.0%">
                  <c:v>3.6647101319465629E-2</c:v>
                </c:pt>
                <c:pt idx="1">
                  <c:v>6.8071428571428574E-2</c:v>
                </c:pt>
                <c:pt idx="2">
                  <c:v>-5.5000000000000005E-3</c:v>
                </c:pt>
                <c:pt idx="3">
                  <c:v>-8.6904081632653077E-2</c:v>
                </c:pt>
                <c:pt idx="4">
                  <c:v>-0.14118032786885246</c:v>
                </c:pt>
                <c:pt idx="5">
                  <c:v>1.3307692307692305E-2</c:v>
                </c:pt>
                <c:pt idx="6">
                  <c:v>6.8189189189189203E-2</c:v>
                </c:pt>
                <c:pt idx="7">
                  <c:v>-0.10676666666666666</c:v>
                </c:pt>
                <c:pt idx="8">
                  <c:v>-1.0999999999999999E-2</c:v>
                </c:pt>
                <c:pt idx="9">
                  <c:v>9.8733333333333353E-2</c:v>
                </c:pt>
                <c:pt idx="10">
                  <c:v>-0.11388235294117646</c:v>
                </c:pt>
                <c:pt idx="11">
                  <c:v>-0.13981249999999998</c:v>
                </c:pt>
                <c:pt idx="12">
                  <c:v>-0.10995652173913047</c:v>
                </c:pt>
                <c:pt idx="13">
                  <c:v>-0.1985344908077171</c:v>
                </c:pt>
                <c:pt idx="14">
                  <c:v>-5.9333333333333347E-3</c:v>
                </c:pt>
                <c:pt idx="15">
                  <c:v>-4.1500000000000002E-2</c:v>
                </c:pt>
                <c:pt idx="16">
                  <c:v>2.6473005909755605E-2</c:v>
                </c:pt>
                <c:pt idx="17">
                  <c:v>-6.3974756014585396E-2</c:v>
                </c:pt>
                <c:pt idx="18">
                  <c:v>-4.6555555555555551E-2</c:v>
                </c:pt>
                <c:pt idx="19">
                  <c:v>0.16300000000000001</c:v>
                </c:pt>
                <c:pt idx="20">
                  <c:v>-8.0000000000000002E-3</c:v>
                </c:pt>
              </c:numCache>
            </c:numRef>
          </c:val>
          <c:smooth val="0"/>
          <c:extLst>
            <c:ext xmlns:c16="http://schemas.microsoft.com/office/drawing/2014/chart" uri="{C3380CC4-5D6E-409C-BE32-E72D297353CC}">
              <c16:uniqueId val="{00000000-AD33-4D4A-83F6-A12F92EDF0FD}"/>
            </c:ext>
          </c:extLst>
        </c:ser>
        <c:dLbls>
          <c:showLegendKey val="0"/>
          <c:showVal val="0"/>
          <c:showCatName val="0"/>
          <c:showSerName val="0"/>
          <c:showPercent val="0"/>
          <c:showBubbleSize val="0"/>
        </c:dLbls>
        <c:smooth val="0"/>
        <c:axId val="469293184"/>
        <c:axId val="469293576"/>
      </c:lineChart>
      <c:catAx>
        <c:axId val="469293184"/>
        <c:scaling>
          <c:orientation val="minMax"/>
        </c:scaling>
        <c:delete val="0"/>
        <c:axPos val="b"/>
        <c:numFmt formatCode="#,##0_);\(#,##0\)" sourceLinked="0"/>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9293576"/>
        <c:crosses val="autoZero"/>
        <c:auto val="1"/>
        <c:lblAlgn val="ctr"/>
        <c:lblOffset val="100"/>
        <c:tickLblSkip val="10"/>
        <c:noMultiLvlLbl val="0"/>
      </c:catAx>
      <c:valAx>
        <c:axId val="469293576"/>
        <c:scaling>
          <c:orientation val="minMax"/>
          <c:max val="0.25"/>
          <c:min val="-0.2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9293184"/>
        <c:crosses val="autoZero"/>
        <c:crossBetween val="midCat"/>
        <c:majorUnit val="0.1"/>
      </c:valAx>
      <c:spPr>
        <a:noFill/>
        <a:ln w="25400">
          <a:noFill/>
        </a:ln>
      </c:spPr>
    </c:plotArea>
    <c:plotVisOnly val="1"/>
    <c:dispBlanksAs val="gap"/>
    <c:showDLblsOverMax val="0"/>
  </c:chart>
  <c:spPr>
    <a:solidFill>
      <a:schemeClr val="bg1"/>
    </a:solidFill>
    <a:ln w="9525" cap="flat" cmpd="sng" algn="ctr">
      <a:solidFill>
        <a:schemeClr val="bg1"/>
      </a:solid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9099929581972"/>
          <c:y val="6.3256661448742077E-2"/>
          <c:w val="0.75641668929314876"/>
          <c:h val="0.81548509231734079"/>
        </c:manualLayout>
      </c:layout>
      <c:lineChart>
        <c:grouping val="standard"/>
        <c:varyColors val="0"/>
        <c:ser>
          <c:idx val="0"/>
          <c:order val="0"/>
          <c:tx>
            <c:strRef>
              <c:f>'12 by-elections summary Visual'!$D$6</c:f>
              <c:strCache>
                <c:ptCount val="1"/>
                <c:pt idx="0">
                  <c:v>LAB</c:v>
                </c:pt>
              </c:strCache>
            </c:strRef>
          </c:tx>
          <c:spPr>
            <a:ln>
              <a:solidFill>
                <a:srgbClr val="D50000"/>
              </a:solidFill>
            </a:ln>
          </c:spPr>
          <c:marker>
            <c:symbol val="none"/>
          </c:marker>
          <c:cat>
            <c:strRef>
              <c:f>'12 by-elections summary Visual'!$B$7:$B$27</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1997-2001</c:v>
                </c:pt>
                <c:pt idx="15">
                  <c:v>2001-05</c:v>
                </c:pt>
                <c:pt idx="16">
                  <c:v>2005-10</c:v>
                </c:pt>
                <c:pt idx="17">
                  <c:v>2010-15</c:v>
                </c:pt>
                <c:pt idx="18">
                  <c:v>2015-17</c:v>
                </c:pt>
                <c:pt idx="19">
                  <c:v>2017-19</c:v>
                </c:pt>
                <c:pt idx="20">
                  <c:v>2019-21</c:v>
                </c:pt>
              </c:strCache>
            </c:strRef>
          </c:cat>
          <c:val>
            <c:numRef>
              <c:f>'12 by-elections summary Visual'!$D$7:$D$27</c:f>
              <c:numCache>
                <c:formatCode>\+0.0%;\-0.0%;""</c:formatCode>
                <c:ptCount val="21"/>
                <c:pt idx="0" formatCode="0.0%">
                  <c:v>-2.335555555555556E-2</c:v>
                </c:pt>
                <c:pt idx="1">
                  <c:v>-2.0285714285714289E-2</c:v>
                </c:pt>
                <c:pt idx="2">
                  <c:v>3.1136363636363627E-3</c:v>
                </c:pt>
                <c:pt idx="3">
                  <c:v>1.291836734693878E-2</c:v>
                </c:pt>
                <c:pt idx="4">
                  <c:v>-2.0721311475409843E-2</c:v>
                </c:pt>
                <c:pt idx="5">
                  <c:v>-1.8307692307692306E-2</c:v>
                </c:pt>
                <c:pt idx="6">
                  <c:v>-0.17262162162162165</c:v>
                </c:pt>
                <c:pt idx="7">
                  <c:v>-4.1499999999999988E-2</c:v>
                </c:pt>
                <c:pt idx="8">
                  <c:v>-3.4000000000000002E-2</c:v>
                </c:pt>
                <c:pt idx="9">
                  <c:v>-9.2700000000000032E-2</c:v>
                </c:pt>
                <c:pt idx="10">
                  <c:v>-0.10188235294117648</c:v>
                </c:pt>
                <c:pt idx="11">
                  <c:v>3.7499999999999986E-3</c:v>
                </c:pt>
                <c:pt idx="12">
                  <c:v>-7.6086956521739177E-3</c:v>
                </c:pt>
                <c:pt idx="13">
                  <c:v>7.3924179902948042E-2</c:v>
                </c:pt>
                <c:pt idx="14">
                  <c:v>-0.11119999999999998</c:v>
                </c:pt>
                <c:pt idx="15">
                  <c:v>-0.19766666666666666</c:v>
                </c:pt>
                <c:pt idx="16">
                  <c:v>-0.10392307692307692</c:v>
                </c:pt>
                <c:pt idx="17">
                  <c:v>5.3756201374032524E-2</c:v>
                </c:pt>
                <c:pt idx="18">
                  <c:v>3.9400000000000004E-2</c:v>
                </c:pt>
                <c:pt idx="19">
                  <c:v>-0.11600000000000001</c:v>
                </c:pt>
                <c:pt idx="20">
                  <c:v>-5.2999999999999999E-2</c:v>
                </c:pt>
              </c:numCache>
            </c:numRef>
          </c:val>
          <c:smooth val="0"/>
          <c:extLst>
            <c:ext xmlns:c16="http://schemas.microsoft.com/office/drawing/2014/chart" uri="{C3380CC4-5D6E-409C-BE32-E72D297353CC}">
              <c16:uniqueId val="{00000000-41E3-46AD-843C-C75F4DACBEE8}"/>
            </c:ext>
          </c:extLst>
        </c:ser>
        <c:dLbls>
          <c:showLegendKey val="0"/>
          <c:showVal val="0"/>
          <c:showCatName val="0"/>
          <c:showSerName val="0"/>
          <c:showPercent val="0"/>
          <c:showBubbleSize val="0"/>
        </c:dLbls>
        <c:smooth val="0"/>
        <c:axId val="469294360"/>
        <c:axId val="467195632"/>
      </c:lineChart>
      <c:catAx>
        <c:axId val="469294360"/>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7195632"/>
        <c:crosses val="autoZero"/>
        <c:auto val="1"/>
        <c:lblAlgn val="ctr"/>
        <c:lblOffset val="100"/>
        <c:tickLblSkip val="10"/>
        <c:noMultiLvlLbl val="0"/>
      </c:catAx>
      <c:valAx>
        <c:axId val="467195632"/>
        <c:scaling>
          <c:orientation val="minMax"/>
          <c:max val="0.25"/>
          <c:min val="-0.2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9294360"/>
        <c:crosses val="autoZero"/>
        <c:crossBetween val="midCat"/>
        <c:majorUnit val="0.1"/>
      </c:valAx>
      <c:spPr>
        <a:noFill/>
        <a:ln w="25400">
          <a:solidFill>
            <a:schemeClr val="bg1"/>
          </a:solid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9099929581972"/>
          <c:y val="6.3256661448742077E-2"/>
          <c:w val="0.75641668929314876"/>
          <c:h val="0.81548509231734079"/>
        </c:manualLayout>
      </c:layout>
      <c:lineChart>
        <c:grouping val="standard"/>
        <c:varyColors val="0"/>
        <c:ser>
          <c:idx val="0"/>
          <c:order val="0"/>
          <c:tx>
            <c:strRef>
              <c:f>'12 by-elections summary Visual'!$E$6</c:f>
              <c:strCache>
                <c:ptCount val="1"/>
                <c:pt idx="0">
                  <c:v>LD</c:v>
                </c:pt>
              </c:strCache>
            </c:strRef>
          </c:tx>
          <c:spPr>
            <a:ln>
              <a:solidFill>
                <a:srgbClr val="FAA01A"/>
              </a:solidFill>
            </a:ln>
          </c:spPr>
          <c:marker>
            <c:symbol val="none"/>
          </c:marker>
          <c:cat>
            <c:strRef>
              <c:f>'12 by-elections summary Visual'!$B$7:$B$27</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1997-2001</c:v>
                </c:pt>
                <c:pt idx="15">
                  <c:v>2001-05</c:v>
                </c:pt>
                <c:pt idx="16">
                  <c:v>2005-10</c:v>
                </c:pt>
                <c:pt idx="17">
                  <c:v>2010-15</c:v>
                </c:pt>
                <c:pt idx="18">
                  <c:v>2015-17</c:v>
                </c:pt>
                <c:pt idx="19">
                  <c:v>2017-19</c:v>
                </c:pt>
                <c:pt idx="20">
                  <c:v>2019-21</c:v>
                </c:pt>
              </c:strCache>
            </c:strRef>
          </c:cat>
          <c:val>
            <c:numRef>
              <c:f>'12 by-elections summary Visual'!$E$7:$E$27</c:f>
              <c:numCache>
                <c:formatCode>\+0.0%;\-0.0%;""</c:formatCode>
                <c:ptCount val="21"/>
                <c:pt idx="0" formatCode="0.0%">
                  <c:v>-1.1188189835281732E-2</c:v>
                </c:pt>
                <c:pt idx="1">
                  <c:v>-4.585714285714286E-2</c:v>
                </c:pt>
                <c:pt idx="2">
                  <c:v>-6.0000000000000001E-3</c:v>
                </c:pt>
                <c:pt idx="3">
                  <c:v>6.2367346938775513E-2</c:v>
                </c:pt>
                <c:pt idx="4">
                  <c:v>0.13698360655737701</c:v>
                </c:pt>
                <c:pt idx="5">
                  <c:v>5.2307692307692333E-3</c:v>
                </c:pt>
                <c:pt idx="6">
                  <c:v>3.2540540540540543E-2</c:v>
                </c:pt>
                <c:pt idx="7">
                  <c:v>8.9566666666666669E-2</c:v>
                </c:pt>
                <c:pt idx="8">
                  <c:v>-2.3E-2</c:v>
                </c:pt>
                <c:pt idx="9">
                  <c:v>-4.893333333333335E-2</c:v>
                </c:pt>
                <c:pt idx="10">
                  <c:v>0.18594117647058825</c:v>
                </c:pt>
                <c:pt idx="11">
                  <c:v>0.12343749999999999</c:v>
                </c:pt>
                <c:pt idx="12">
                  <c:v>-5.7391304347826199E-3</c:v>
                </c:pt>
                <c:pt idx="13">
                  <c:v>5.2287888758262499E-2</c:v>
                </c:pt>
                <c:pt idx="14">
                  <c:v>4.9599999999999998E-2</c:v>
                </c:pt>
                <c:pt idx="15">
                  <c:v>0.158</c:v>
                </c:pt>
                <c:pt idx="16">
                  <c:v>1.9615384615384614E-2</c:v>
                </c:pt>
                <c:pt idx="17">
                  <c:v>-7.6364185838350446E-2</c:v>
                </c:pt>
                <c:pt idx="18">
                  <c:v>7.6888911111111125E-2</c:v>
                </c:pt>
                <c:pt idx="19">
                  <c:v>0.11600000000000001</c:v>
                </c:pt>
                <c:pt idx="20">
                  <c:v>8.1000000000000003E-2</c:v>
                </c:pt>
              </c:numCache>
            </c:numRef>
          </c:val>
          <c:smooth val="0"/>
          <c:extLst>
            <c:ext xmlns:c16="http://schemas.microsoft.com/office/drawing/2014/chart" uri="{C3380CC4-5D6E-409C-BE32-E72D297353CC}">
              <c16:uniqueId val="{00000000-3AF0-4F57-9C39-EE03891580A2}"/>
            </c:ext>
          </c:extLst>
        </c:ser>
        <c:dLbls>
          <c:showLegendKey val="0"/>
          <c:showVal val="0"/>
          <c:showCatName val="0"/>
          <c:showSerName val="0"/>
          <c:showPercent val="0"/>
          <c:showBubbleSize val="0"/>
        </c:dLbls>
        <c:smooth val="0"/>
        <c:axId val="467196416"/>
        <c:axId val="467196808"/>
      </c:lineChart>
      <c:catAx>
        <c:axId val="46719641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7196808"/>
        <c:crosses val="autoZero"/>
        <c:auto val="1"/>
        <c:lblAlgn val="ctr"/>
        <c:lblOffset val="100"/>
        <c:tickLblSkip val="10"/>
        <c:noMultiLvlLbl val="0"/>
      </c:catAx>
      <c:valAx>
        <c:axId val="467196808"/>
        <c:scaling>
          <c:orientation val="minMax"/>
          <c:max val="0.25"/>
          <c:min val="-0.2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7196416"/>
        <c:crosses val="autoZero"/>
        <c:crossBetween val="midCat"/>
        <c:majorUnit val="0.1"/>
      </c:valAx>
      <c:spPr>
        <a:noFill/>
        <a:ln w="25400">
          <a:noFill/>
        </a:ln>
      </c:spPr>
    </c:plotArea>
    <c:plotVisOnly val="1"/>
    <c:dispBlanksAs val="gap"/>
    <c:showDLblsOverMax val="0"/>
  </c:chart>
  <c:spPr>
    <a:solidFill>
      <a:schemeClr val="bg1"/>
    </a:solidFill>
    <a:ln w="9525" cap="flat" cmpd="sng" algn="ctr">
      <a:solidFill>
        <a:schemeClr val="bg1"/>
      </a:solid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9099929581972"/>
          <c:y val="6.3256661448742077E-2"/>
          <c:w val="0.75641668929314876"/>
          <c:h val="0.81548509231734079"/>
        </c:manualLayout>
      </c:layout>
      <c:lineChart>
        <c:grouping val="standard"/>
        <c:varyColors val="0"/>
        <c:ser>
          <c:idx val="3"/>
          <c:order val="0"/>
          <c:tx>
            <c:strRef>
              <c:f>'12 by-elections summary Visual'!$F$6</c:f>
              <c:strCache>
                <c:ptCount val="1"/>
                <c:pt idx="0">
                  <c:v>SNP/PC</c:v>
                </c:pt>
              </c:strCache>
            </c:strRef>
          </c:tx>
          <c:spPr>
            <a:ln>
              <a:solidFill>
                <a:schemeClr val="tx1"/>
              </a:solidFill>
            </a:ln>
          </c:spPr>
          <c:marker>
            <c:symbol val="none"/>
          </c:marker>
          <c:cat>
            <c:strRef>
              <c:f>'12 by-elections summary Visual'!$B$7:$B$27</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1997-2001</c:v>
                </c:pt>
                <c:pt idx="15">
                  <c:v>2001-05</c:v>
                </c:pt>
                <c:pt idx="16">
                  <c:v>2005-10</c:v>
                </c:pt>
                <c:pt idx="17">
                  <c:v>2010-15</c:v>
                </c:pt>
                <c:pt idx="18">
                  <c:v>2015-17</c:v>
                </c:pt>
                <c:pt idx="19">
                  <c:v>2017-19</c:v>
                </c:pt>
                <c:pt idx="20">
                  <c:v>2019-21</c:v>
                </c:pt>
              </c:strCache>
            </c:strRef>
          </c:cat>
          <c:val>
            <c:numRef>
              <c:f>'12 by-elections summary Visual'!$F$7:$F$27</c:f>
              <c:numCache>
                <c:formatCode>\+0.0%;\-0.0%;""</c:formatCode>
                <c:ptCount val="21"/>
                <c:pt idx="0" formatCode="0.0%">
                  <c:v>1.3911111111111108E-2</c:v>
                </c:pt>
                <c:pt idx="1">
                  <c:v>0</c:v>
                </c:pt>
                <c:pt idx="2">
                  <c:v>5.681818181818182E-3</c:v>
                </c:pt>
                <c:pt idx="3">
                  <c:v>2.795918367346939E-3</c:v>
                </c:pt>
                <c:pt idx="4">
                  <c:v>1.1540983606557377E-2</c:v>
                </c:pt>
                <c:pt idx="5">
                  <c:v>3.2307692307692311E-3</c:v>
                </c:pt>
                <c:pt idx="6">
                  <c:v>5.486486486486486E-2</c:v>
                </c:pt>
                <c:pt idx="7">
                  <c:v>3.9766666666666665E-2</c:v>
                </c:pt>
                <c:pt idx="8">
                  <c:v>0</c:v>
                </c:pt>
                <c:pt idx="9">
                  <c:v>-2.7666666666666664E-3</c:v>
                </c:pt>
                <c:pt idx="10">
                  <c:v>1.5941176470588233E-2</c:v>
                </c:pt>
                <c:pt idx="11">
                  <c:v>7.4999999999999991E-4</c:v>
                </c:pt>
                <c:pt idx="12">
                  <c:v>5.7304347826086961E-2</c:v>
                </c:pt>
                <c:pt idx="13">
                  <c:v>2.3588235294117646E-2</c:v>
                </c:pt>
                <c:pt idx="14">
                  <c:v>3.1199999999999999E-2</c:v>
                </c:pt>
                <c:pt idx="15">
                  <c:v>1.1333333333333334E-2</c:v>
                </c:pt>
                <c:pt idx="16">
                  <c:v>4.3461538461538468E-2</c:v>
                </c:pt>
                <c:pt idx="17">
                  <c:v>1.0999999999999999E-2</c:v>
                </c:pt>
                <c:pt idx="18">
                  <c:v>5.7000000000000002E-2</c:v>
                </c:pt>
                <c:pt idx="19">
                  <c:v>2.5000000000000001E-2</c:v>
                </c:pt>
                <c:pt idx="20">
                  <c:v>1.2999999999999999E-2</c:v>
                </c:pt>
              </c:numCache>
            </c:numRef>
          </c:val>
          <c:smooth val="0"/>
          <c:extLst>
            <c:ext xmlns:c16="http://schemas.microsoft.com/office/drawing/2014/chart" uri="{C3380CC4-5D6E-409C-BE32-E72D297353CC}">
              <c16:uniqueId val="{00000000-FE21-452B-91D9-8444DA258D59}"/>
            </c:ext>
          </c:extLst>
        </c:ser>
        <c:dLbls>
          <c:showLegendKey val="0"/>
          <c:showVal val="0"/>
          <c:showCatName val="0"/>
          <c:showSerName val="0"/>
          <c:showPercent val="0"/>
          <c:showBubbleSize val="0"/>
        </c:dLbls>
        <c:smooth val="0"/>
        <c:axId val="467197592"/>
        <c:axId val="467197984"/>
      </c:lineChart>
      <c:catAx>
        <c:axId val="467197592"/>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7197984"/>
        <c:crosses val="autoZero"/>
        <c:auto val="1"/>
        <c:lblAlgn val="ctr"/>
        <c:lblOffset val="100"/>
        <c:tickLblSkip val="10"/>
        <c:noMultiLvlLbl val="0"/>
      </c:catAx>
      <c:valAx>
        <c:axId val="467197984"/>
        <c:scaling>
          <c:orientation val="minMax"/>
          <c:max val="0.25"/>
          <c:min val="-0.2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7197592"/>
        <c:crosses val="autoZero"/>
        <c:crossBetween val="midCat"/>
        <c:majorUnit val="0.1"/>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9099929581972"/>
          <c:y val="6.3256661448742077E-2"/>
          <c:w val="0.75641668929314876"/>
          <c:h val="0.81548509231734079"/>
        </c:manualLayout>
      </c:layout>
      <c:lineChart>
        <c:grouping val="standard"/>
        <c:varyColors val="0"/>
        <c:ser>
          <c:idx val="4"/>
          <c:order val="0"/>
          <c:tx>
            <c:strRef>
              <c:f>'12 by-elections summary Visual'!$G$6</c:f>
              <c:strCache>
                <c:ptCount val="1"/>
                <c:pt idx="0">
                  <c:v>Other</c:v>
                </c:pt>
              </c:strCache>
            </c:strRef>
          </c:tx>
          <c:spPr>
            <a:ln>
              <a:solidFill>
                <a:schemeClr val="bg1">
                  <a:lumMod val="50000"/>
                </a:schemeClr>
              </a:solidFill>
            </a:ln>
          </c:spPr>
          <c:marker>
            <c:symbol val="none"/>
          </c:marker>
          <c:cat>
            <c:strRef>
              <c:f>'12 by-elections summary Visual'!$B$7:$B$27</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1997-2001</c:v>
                </c:pt>
                <c:pt idx="15">
                  <c:v>2001-05</c:v>
                </c:pt>
                <c:pt idx="16">
                  <c:v>2005-10</c:v>
                </c:pt>
                <c:pt idx="17">
                  <c:v>2010-15</c:v>
                </c:pt>
                <c:pt idx="18">
                  <c:v>2015-17</c:v>
                </c:pt>
                <c:pt idx="19">
                  <c:v>2017-19</c:v>
                </c:pt>
                <c:pt idx="20">
                  <c:v>2019-21</c:v>
                </c:pt>
              </c:strCache>
            </c:strRef>
          </c:cat>
          <c:val>
            <c:numRef>
              <c:f>'12 by-elections summary Visual'!$G$7:$G$27</c:f>
              <c:numCache>
                <c:formatCode>\+0.0%;\-0.0%;""</c:formatCode>
                <c:ptCount val="21"/>
                <c:pt idx="0" formatCode="0.0%">
                  <c:v>-9.977571524417226E-3</c:v>
                </c:pt>
                <c:pt idx="1">
                  <c:v>-1.9285714285714286E-3</c:v>
                </c:pt>
                <c:pt idx="2">
                  <c:v>3.3863636363636361E-3</c:v>
                </c:pt>
                <c:pt idx="3">
                  <c:v>8.6122448979591842E-3</c:v>
                </c:pt>
                <c:pt idx="4">
                  <c:v>1.5213114754098363E-2</c:v>
                </c:pt>
                <c:pt idx="5">
                  <c:v>4.4615384615384621E-3</c:v>
                </c:pt>
                <c:pt idx="6">
                  <c:v>1.7027027027027034E-2</c:v>
                </c:pt>
                <c:pt idx="7">
                  <c:v>1.8933333333333333E-2</c:v>
                </c:pt>
                <c:pt idx="8">
                  <c:v>6.8000000000000005E-2</c:v>
                </c:pt>
                <c:pt idx="9">
                  <c:v>4.5666666666666661E-2</c:v>
                </c:pt>
                <c:pt idx="10">
                  <c:v>1.3882352941176471E-2</c:v>
                </c:pt>
                <c:pt idx="11">
                  <c:v>1.1875000000000002E-2</c:v>
                </c:pt>
                <c:pt idx="12">
                  <c:v>6.5956521739130414E-2</c:v>
                </c:pt>
                <c:pt idx="13">
                  <c:v>4.8683801702092112E-2</c:v>
                </c:pt>
                <c:pt idx="14">
                  <c:v>3.6333333333333329E-2</c:v>
                </c:pt>
                <c:pt idx="15">
                  <c:v>6.9833333333333344E-2</c:v>
                </c:pt>
                <c:pt idx="16">
                  <c:v>5.2536035102325233E-2</c:v>
                </c:pt>
                <c:pt idx="17">
                  <c:v>0.17901014180050576</c:v>
                </c:pt>
                <c:pt idx="18">
                  <c:v>-6.5899999999999986E-2</c:v>
                </c:pt>
                <c:pt idx="19">
                  <c:v>0.156</c:v>
                </c:pt>
                <c:pt idx="20">
                  <c:v>4.7000000000000002E-3</c:v>
                </c:pt>
              </c:numCache>
            </c:numRef>
          </c:val>
          <c:smooth val="0"/>
          <c:extLst>
            <c:ext xmlns:c16="http://schemas.microsoft.com/office/drawing/2014/chart" uri="{C3380CC4-5D6E-409C-BE32-E72D297353CC}">
              <c16:uniqueId val="{00000000-9DD5-4BBC-9B4D-CFC25959175B}"/>
            </c:ext>
          </c:extLst>
        </c:ser>
        <c:dLbls>
          <c:showLegendKey val="0"/>
          <c:showVal val="0"/>
          <c:showCatName val="0"/>
          <c:showSerName val="0"/>
          <c:showPercent val="0"/>
          <c:showBubbleSize val="0"/>
        </c:dLbls>
        <c:smooth val="0"/>
        <c:axId val="467198768"/>
        <c:axId val="467199160"/>
      </c:lineChart>
      <c:catAx>
        <c:axId val="467198768"/>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0" vert="horz"/>
          <a:lstStyle/>
          <a:p>
            <a:pPr>
              <a:defRPr/>
            </a:pPr>
            <a:endParaRPr lang="en-US"/>
          </a:p>
        </c:txPr>
        <c:crossAx val="467199160"/>
        <c:crosses val="autoZero"/>
        <c:auto val="1"/>
        <c:lblAlgn val="ctr"/>
        <c:lblOffset val="100"/>
        <c:tickLblSkip val="10"/>
        <c:noMultiLvlLbl val="0"/>
      </c:catAx>
      <c:valAx>
        <c:axId val="467199160"/>
        <c:scaling>
          <c:orientation val="minMax"/>
          <c:max val="0.25"/>
          <c:min val="-0.25"/>
        </c:scaling>
        <c:delete val="0"/>
        <c:axPos val="l"/>
        <c:numFmt formatCode="0%" sourceLinked="0"/>
        <c:majorTickMark val="out"/>
        <c:minorTickMark val="none"/>
        <c:tickLblPos val="nextTo"/>
        <c:spPr>
          <a:noFill/>
          <a:ln>
            <a:solidFill>
              <a:schemeClr val="tx1"/>
            </a:solidFill>
          </a:ln>
          <a:effectLst/>
        </c:spPr>
        <c:txPr>
          <a:bodyPr rot="0" vert="horz"/>
          <a:lstStyle/>
          <a:p>
            <a:pPr>
              <a:defRPr/>
            </a:pPr>
            <a:endParaRPr lang="en-US"/>
          </a:p>
        </c:txPr>
        <c:crossAx val="467198768"/>
        <c:crosses val="autoZero"/>
        <c:crossBetween val="midCat"/>
        <c:majorUnit val="0.1"/>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6284440411112"/>
          <c:y val="3.3219754460939471E-2"/>
          <c:w val="0.79563628217444893"/>
          <c:h val="0.89981663539765466"/>
        </c:manualLayout>
      </c:layout>
      <c:barChart>
        <c:barDir val="bar"/>
        <c:grouping val="stacked"/>
        <c:varyColors val="0"/>
        <c:ser>
          <c:idx val="5"/>
          <c:order val="0"/>
          <c:tx>
            <c:strRef>
              <c:f>'12 by-elections summary Visual'!$C$65</c:f>
              <c:strCache>
                <c:ptCount val="1"/>
                <c:pt idx="0">
                  <c:v>CON</c:v>
                </c:pt>
              </c:strCache>
            </c:strRef>
          </c:tx>
          <c:spPr>
            <a:solidFill>
              <a:srgbClr val="00539F"/>
            </a:solidFill>
            <a:ln w="25400">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Visual'!$C$66:$C$87</c:f>
              <c:numCache>
                <c:formatCode>#,##0_);\(#,##0\)</c:formatCode>
                <c:ptCount val="22"/>
                <c:pt idx="0">
                  <c:v>0</c:v>
                </c:pt>
                <c:pt idx="1">
                  <c:v>-1</c:v>
                </c:pt>
                <c:pt idx="2">
                  <c:v>0</c:v>
                </c:pt>
                <c:pt idx="3">
                  <c:v>-3</c:v>
                </c:pt>
                <c:pt idx="4">
                  <c:v>0</c:v>
                </c:pt>
                <c:pt idx="5">
                  <c:v>0</c:v>
                </c:pt>
                <c:pt idx="6" formatCode="\+#,##0;\-#,##0;&quot;&quot;">
                  <c:v>-2</c:v>
                </c:pt>
                <c:pt idx="7" formatCode="\+#,##0;\-#,##0;&quot;&quot;">
                  <c:v>-8</c:v>
                </c:pt>
                <c:pt idx="8" formatCode="\+#,##0;\-#,##0;&quot;&quot;">
                  <c:v>-7</c:v>
                </c:pt>
                <c:pt idx="9" formatCode="\+#,##0;\-#,##0;&quot;&quot;">
                  <c:v>-4</c:v>
                </c:pt>
                <c:pt idx="10" formatCode="\+#,##0;\-#,##0;&quot;&quot;">
                  <c:v>-3</c:v>
                </c:pt>
                <c:pt idx="11" formatCode="\+#,##0;\-#,##0;&quot;&quot;">
                  <c:v>6</c:v>
                </c:pt>
                <c:pt idx="12">
                  <c:v>0</c:v>
                </c:pt>
                <c:pt idx="13" formatCode="\+#,##0;\-#,##0;&quot;&quot;">
                  <c:v>-5</c:v>
                </c:pt>
                <c:pt idx="14" formatCode="\+#,##0;\-#,##0;&quot;&quot;">
                  <c:v>11</c:v>
                </c:pt>
                <c:pt idx="15">
                  <c:v>0</c:v>
                </c:pt>
                <c:pt idx="16" formatCode="\+#,##0;\-#,##0;&quot;&quot;">
                  <c:v>-5</c:v>
                </c:pt>
                <c:pt idx="17" formatCode="\+#,##0;\-#,##0;&quot;&quot;">
                  <c:v>-2</c:v>
                </c:pt>
                <c:pt idx="18" formatCode="\+#,##0;\-#,##0;&quot;&quot;">
                  <c:v>1</c:v>
                </c:pt>
                <c:pt idx="19">
                  <c:v>0</c:v>
                </c:pt>
                <c:pt idx="20" formatCode="\+#,##0;\-#,##0;&quot;&quot;">
                  <c:v>4</c:v>
                </c:pt>
              </c:numCache>
            </c:numRef>
          </c:val>
          <c:extLst>
            <c:ext xmlns:c16="http://schemas.microsoft.com/office/drawing/2014/chart" uri="{C3380CC4-5D6E-409C-BE32-E72D297353CC}">
              <c16:uniqueId val="{00000000-934A-468B-9993-4F4D120B5297}"/>
            </c:ext>
          </c:extLst>
        </c:ser>
        <c:ser>
          <c:idx val="0"/>
          <c:order val="1"/>
          <c:tx>
            <c:strRef>
              <c:f>'12 by-elections summary Visual'!$D$65</c:f>
              <c:strCache>
                <c:ptCount val="1"/>
                <c:pt idx="0">
                  <c:v>LAB</c:v>
                </c:pt>
              </c:strCache>
            </c:strRef>
          </c:tx>
          <c:spPr>
            <a:solidFill>
              <a:srgbClr val="D50000"/>
            </a:solidFill>
            <a:ln w="25400">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Visual'!$D$66:$D$87</c:f>
              <c:numCache>
                <c:formatCode>#,##0_);\(#,##0\)</c:formatCode>
                <c:ptCount val="22"/>
                <c:pt idx="0">
                  <c:v>-1</c:v>
                </c:pt>
                <c:pt idx="1">
                  <c:v>0</c:v>
                </c:pt>
                <c:pt idx="2">
                  <c:v>-1</c:v>
                </c:pt>
                <c:pt idx="3">
                  <c:v>0</c:v>
                </c:pt>
                <c:pt idx="4">
                  <c:v>-1</c:v>
                </c:pt>
                <c:pt idx="5">
                  <c:v>-2</c:v>
                </c:pt>
                <c:pt idx="6" formatCode="\+#,##0;\-#,##0;&quot;&quot;">
                  <c:v>1</c:v>
                </c:pt>
                <c:pt idx="7" formatCode="\+#,##0;\-#,##0;&quot;&quot;">
                  <c:v>3</c:v>
                </c:pt>
                <c:pt idx="8" formatCode="\+#,##0;\-#,##0;&quot;&quot;">
                  <c:v>3</c:v>
                </c:pt>
                <c:pt idx="9">
                  <c:v>0</c:v>
                </c:pt>
                <c:pt idx="10" formatCode="\+#,##0;\-#,##0;&quot;&quot;">
                  <c:v>1</c:v>
                </c:pt>
                <c:pt idx="11" formatCode="\+#,##0;\-#,##0;&quot;&quot;">
                  <c:v>-6</c:v>
                </c:pt>
                <c:pt idx="12">
                  <c:v>0</c:v>
                </c:pt>
                <c:pt idx="13">
                  <c:v>0</c:v>
                </c:pt>
                <c:pt idx="14" formatCode="\+#,##0;\-#,##0;&quot;&quot;">
                  <c:v>-15</c:v>
                </c:pt>
                <c:pt idx="15" formatCode="\+#,##0;\-#,##0;&quot;&quot;">
                  <c:v>-1</c:v>
                </c:pt>
                <c:pt idx="16" formatCode="\+#,##0;\-#,##0;&quot;&quot;">
                  <c:v>4</c:v>
                </c:pt>
                <c:pt idx="17" formatCode="\+#,##0;\-#,##0;&quot;&quot;">
                  <c:v>4</c:v>
                </c:pt>
                <c:pt idx="18" formatCode="\+#,##0;\-#,##0;&quot;&quot;">
                  <c:v>-1</c:v>
                </c:pt>
                <c:pt idx="19">
                  <c:v>0</c:v>
                </c:pt>
                <c:pt idx="20" formatCode="\+#,##0;\-#,##0;&quot;&quot;">
                  <c:v>-1</c:v>
                </c:pt>
              </c:numCache>
            </c:numRef>
          </c:val>
          <c:extLst>
            <c:ext xmlns:c16="http://schemas.microsoft.com/office/drawing/2014/chart" uri="{C3380CC4-5D6E-409C-BE32-E72D297353CC}">
              <c16:uniqueId val="{00000001-934A-468B-9993-4F4D120B5297}"/>
            </c:ext>
          </c:extLst>
        </c:ser>
        <c:ser>
          <c:idx val="1"/>
          <c:order val="2"/>
          <c:tx>
            <c:strRef>
              <c:f>'12 by-elections summary Visual'!$E$65</c:f>
              <c:strCache>
                <c:ptCount val="1"/>
                <c:pt idx="0">
                  <c:v>LD</c:v>
                </c:pt>
              </c:strCache>
            </c:strRef>
          </c:tx>
          <c:spPr>
            <a:solidFill>
              <a:srgbClr val="FAA01A"/>
            </a:solidFill>
            <a:ln w="25400">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Visual'!$E$66:$E$87</c:f>
              <c:numCache>
                <c:formatCode>#,##0_);\(#,##0\)</c:formatCode>
                <c:ptCount val="22"/>
                <c:pt idx="0">
                  <c:v>1</c:v>
                </c:pt>
                <c:pt idx="1">
                  <c:v>1</c:v>
                </c:pt>
                <c:pt idx="2">
                  <c:v>1</c:v>
                </c:pt>
                <c:pt idx="3">
                  <c:v>0</c:v>
                </c:pt>
                <c:pt idx="4" formatCode="\+#,##0;\-#,##0;&quot;&quot;">
                  <c:v>1</c:v>
                </c:pt>
                <c:pt idx="5" formatCode="\+#,##0;\-#,##0;&quot;&quot;">
                  <c:v>2</c:v>
                </c:pt>
                <c:pt idx="6" formatCode="\+#,##0;\-#,##0;&quot;&quot;">
                  <c:v>2</c:v>
                </c:pt>
                <c:pt idx="7" formatCode="\+#,##0;\-#,##0;&quot;&quot;">
                  <c:v>4</c:v>
                </c:pt>
                <c:pt idx="8" formatCode="\+#,##0;\-#,##0;&quot;&quot;">
                  <c:v>3</c:v>
                </c:pt>
                <c:pt idx="9" formatCode="\+#,##0;\-#,##0;&quot;&quot;">
                  <c:v>4</c:v>
                </c:pt>
                <c:pt idx="10" formatCode="\+#,##0;\-#,##0;&quot;&quot;">
                  <c:v>4</c:v>
                </c:pt>
                <c:pt idx="11" formatCode="\+#,##0;\-#,##0;&quot;&quot;">
                  <c:v>1</c:v>
                </c:pt>
                <c:pt idx="12">
                  <c:v>0</c:v>
                </c:pt>
                <c:pt idx="13" formatCode="\+#,##0;\-#,##0;&quot;&quot;">
                  <c:v>5</c:v>
                </c:pt>
                <c:pt idx="14" formatCode="\+#,##0;\-#,##0;&quot;&quot;">
                  <c:v>1</c:v>
                </c:pt>
                <c:pt idx="15" formatCode="\+#,##0;\-#,##0;&quot;&quot;">
                  <c:v>1</c:v>
                </c:pt>
                <c:pt idx="16" formatCode="\+#,##0;\-#,##0;&quot;&quot;">
                  <c:v>1</c:v>
                </c:pt>
                <c:pt idx="17">
                  <c:v>0</c:v>
                </c:pt>
                <c:pt idx="18">
                  <c:v>0</c:v>
                </c:pt>
                <c:pt idx="19">
                  <c:v>0</c:v>
                </c:pt>
                <c:pt idx="20">
                  <c:v>0</c:v>
                </c:pt>
              </c:numCache>
            </c:numRef>
          </c:val>
          <c:extLst>
            <c:ext xmlns:c16="http://schemas.microsoft.com/office/drawing/2014/chart" uri="{C3380CC4-5D6E-409C-BE32-E72D297353CC}">
              <c16:uniqueId val="{00000002-934A-468B-9993-4F4D120B5297}"/>
            </c:ext>
          </c:extLst>
        </c:ser>
        <c:ser>
          <c:idx val="2"/>
          <c:order val="3"/>
          <c:tx>
            <c:strRef>
              <c:f>'12 by-elections summary Visual'!$F$65</c:f>
              <c:strCache>
                <c:ptCount val="1"/>
                <c:pt idx="0">
                  <c:v>SNP/PC</c:v>
                </c:pt>
              </c:strCache>
            </c:strRef>
          </c:tx>
          <c:spPr>
            <a:solidFill>
              <a:srgbClr val="FFF685"/>
            </a:solidFill>
            <a:ln w="25400">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Visual'!$F$66:$F$87</c:f>
              <c:numCache>
                <c:formatCode>#,##0_);\(#,##0\)</c:formatCode>
                <c:ptCount val="22"/>
                <c:pt idx="0">
                  <c:v>0</c:v>
                </c:pt>
                <c:pt idx="1">
                  <c:v>0</c:v>
                </c:pt>
                <c:pt idx="2">
                  <c:v>0</c:v>
                </c:pt>
                <c:pt idx="3">
                  <c:v>0</c:v>
                </c:pt>
                <c:pt idx="4">
                  <c:v>0</c:v>
                </c:pt>
                <c:pt idx="5">
                  <c:v>0</c:v>
                </c:pt>
                <c:pt idx="6">
                  <c:v>0</c:v>
                </c:pt>
                <c:pt idx="7" formatCode="\+#,##0;\-#,##0;&quot;&quot;">
                  <c:v>1</c:v>
                </c:pt>
                <c:pt idx="8" formatCode="\+#,##0;\-#,##0;&quot;&quot;">
                  <c:v>1</c:v>
                </c:pt>
                <c:pt idx="9">
                  <c:v>0</c:v>
                </c:pt>
                <c:pt idx="10">
                  <c:v>0</c:v>
                </c:pt>
                <c:pt idx="11">
                  <c:v>0</c:v>
                </c:pt>
                <c:pt idx="12">
                  <c:v>0</c:v>
                </c:pt>
                <c:pt idx="13" formatCode="\+#,##0;\-#,##0;&quot;&quot;">
                  <c:v>1</c:v>
                </c:pt>
                <c:pt idx="14" formatCode="\+#,##0;\-#,##0;&quot;&quot;">
                  <c:v>2</c:v>
                </c:pt>
                <c:pt idx="15">
                  <c:v>0</c:v>
                </c:pt>
                <c:pt idx="16">
                  <c:v>0</c:v>
                </c:pt>
                <c:pt idx="17">
                  <c:v>0</c:v>
                </c:pt>
                <c:pt idx="18">
                  <c:v>0</c:v>
                </c:pt>
                <c:pt idx="19">
                  <c:v>0</c:v>
                </c:pt>
                <c:pt idx="20">
                  <c:v>0</c:v>
                </c:pt>
              </c:numCache>
            </c:numRef>
          </c:val>
          <c:extLst>
            <c:ext xmlns:c16="http://schemas.microsoft.com/office/drawing/2014/chart" uri="{C3380CC4-5D6E-409C-BE32-E72D297353CC}">
              <c16:uniqueId val="{00000003-934A-468B-9993-4F4D120B5297}"/>
            </c:ext>
          </c:extLst>
        </c:ser>
        <c:ser>
          <c:idx val="3"/>
          <c:order val="4"/>
          <c:tx>
            <c:strRef>
              <c:f>'12 by-elections summary Visual'!$G$65</c:f>
              <c:strCache>
                <c:ptCount val="1"/>
                <c:pt idx="0">
                  <c:v>Other</c:v>
                </c:pt>
              </c:strCache>
            </c:strRef>
          </c:tx>
          <c:spPr>
            <a:solidFill>
              <a:srgbClr val="909090"/>
            </a:solidFill>
            <a:ln w="25400">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Visual'!$G$66:$G$87</c:f>
              <c:numCache>
                <c:formatCode>#,##0_);\(#,##0\)</c:formatCode>
                <c:ptCount val="22"/>
                <c:pt idx="0">
                  <c:v>0</c:v>
                </c:pt>
                <c:pt idx="1">
                  <c:v>0</c:v>
                </c:pt>
                <c:pt idx="2">
                  <c:v>0</c:v>
                </c:pt>
                <c:pt idx="3" formatCode="\+#,##0;\-#,##0;&quot;&quot;">
                  <c:v>3</c:v>
                </c:pt>
                <c:pt idx="4">
                  <c:v>0</c:v>
                </c:pt>
                <c:pt idx="5">
                  <c:v>0</c:v>
                </c:pt>
                <c:pt idx="6" formatCode="\+#,##0;\-#,##0;&quot;&quot;">
                  <c:v>-1</c:v>
                </c:pt>
                <c:pt idx="7">
                  <c:v>0</c:v>
                </c:pt>
                <c:pt idx="8">
                  <c:v>0</c:v>
                </c:pt>
                <c:pt idx="9">
                  <c:v>0</c:v>
                </c:pt>
                <c:pt idx="10" formatCode="\+#,##0;\-#,##0;&quot;&quot;">
                  <c:v>-2</c:v>
                </c:pt>
                <c:pt idx="11" formatCode="\+#,##0;\-#,##0;&quot;&quot;">
                  <c:v>-1</c:v>
                </c:pt>
                <c:pt idx="12">
                  <c:v>0</c:v>
                </c:pt>
                <c:pt idx="13" formatCode="\+#,##0;\-#,##0;&quot;&quot;">
                  <c:v>-1</c:v>
                </c:pt>
                <c:pt idx="14" formatCode="\+#,##0;\-#,##0;&quot;&quot;">
                  <c:v>1</c:v>
                </c:pt>
                <c:pt idx="15">
                  <c:v>0</c:v>
                </c:pt>
                <c:pt idx="16">
                  <c:v>0</c:v>
                </c:pt>
                <c:pt idx="17" formatCode="\+#,##0;\-#,##0;&quot;&quot;">
                  <c:v>-2</c:v>
                </c:pt>
                <c:pt idx="18">
                  <c:v>0</c:v>
                </c:pt>
                <c:pt idx="19">
                  <c:v>0</c:v>
                </c:pt>
                <c:pt idx="20" formatCode="\+#,##0;\-#,##0;&quot;&quot;">
                  <c:v>-3</c:v>
                </c:pt>
              </c:numCache>
            </c:numRef>
          </c:val>
          <c:extLst>
            <c:ext xmlns:c16="http://schemas.microsoft.com/office/drawing/2014/chart" uri="{C3380CC4-5D6E-409C-BE32-E72D297353CC}">
              <c16:uniqueId val="{00000004-934A-468B-9993-4F4D120B5297}"/>
            </c:ext>
          </c:extLst>
        </c:ser>
        <c:dLbls>
          <c:showLegendKey val="0"/>
          <c:showVal val="0"/>
          <c:showCatName val="0"/>
          <c:showSerName val="0"/>
          <c:showPercent val="0"/>
          <c:showBubbleSize val="0"/>
        </c:dLbls>
        <c:gapWidth val="50"/>
        <c:overlap val="100"/>
        <c:axId val="467199944"/>
        <c:axId val="467200336"/>
      </c:barChart>
      <c:catAx>
        <c:axId val="467199944"/>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67200336"/>
        <c:crosses val="autoZero"/>
        <c:auto val="1"/>
        <c:lblAlgn val="ctr"/>
        <c:lblOffset val="40"/>
        <c:tickLblSkip val="1"/>
        <c:noMultiLvlLbl val="0"/>
      </c:catAx>
      <c:valAx>
        <c:axId val="467200336"/>
        <c:scaling>
          <c:orientation val="minMax"/>
          <c:min val="-15"/>
        </c:scaling>
        <c:delete val="0"/>
        <c:axPos val="b"/>
        <c:numFmt formatCode="#,##0_);\(#,##0\)" sourceLinked="1"/>
        <c:majorTickMark val="out"/>
        <c:minorTickMark val="none"/>
        <c:tickLblPos val="nextTo"/>
        <c:spPr>
          <a:noFill/>
          <a:ln w="9525">
            <a:solidFill>
              <a:schemeClr val="tx1">
                <a:lumMod val="75000"/>
                <a:lumOff val="25000"/>
              </a:schemeClr>
            </a:solidFill>
          </a:ln>
          <a:effectLst/>
        </c:spPr>
        <c:txPr>
          <a:bodyPr rot="0" vert="horz"/>
          <a:lstStyle/>
          <a:p>
            <a:pPr>
              <a:defRPr/>
            </a:pPr>
            <a:endParaRPr lang="en-US"/>
          </a:p>
        </c:txPr>
        <c:crossAx val="467199944"/>
        <c:crosses val="autoZero"/>
        <c:crossBetween val="between"/>
        <c:majorUnit val="10"/>
      </c:valAx>
      <c:spPr>
        <a:noFill/>
        <a:ln w="25400">
          <a:noFill/>
        </a:ln>
      </c:spPr>
    </c:plotArea>
    <c:legend>
      <c:legendPos val="r"/>
      <c:layout>
        <c:manualLayout>
          <c:xMode val="edge"/>
          <c:yMode val="edge"/>
          <c:x val="0.71410256410256412"/>
          <c:y val="0.60171063919856416"/>
          <c:w val="0.27692307692307694"/>
          <c:h val="0.27311766639720964"/>
        </c:manualLayout>
      </c:layout>
      <c:overlay val="0"/>
      <c:spPr>
        <a:noFill/>
      </c:sp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003229435030293E-2"/>
          <c:y val="4.6538905713708875E-2"/>
          <c:w val="0.81312516038411153"/>
          <c:h val="0.74448727253347047"/>
        </c:manualLayout>
      </c:layout>
      <c:lineChart>
        <c:grouping val="standard"/>
        <c:varyColors val="0"/>
        <c:ser>
          <c:idx val="0"/>
          <c:order val="0"/>
          <c:spPr>
            <a:ln w="19050">
              <a:solidFill>
                <a:srgbClr val="00539F"/>
              </a:solidFill>
            </a:ln>
          </c:spPr>
          <c:marker>
            <c:symbol val="none"/>
          </c:marker>
          <c:cat>
            <c:strRef>
              <c:f>'Share Data'!$A$4:$A$30</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strCache>
            </c:strRef>
          </c:cat>
          <c:val>
            <c:numRef>
              <c:f>'Share Data'!$B$4:$B$30</c:f>
              <c:numCache>
                <c:formatCode>0.0%</c:formatCode>
                <c:ptCount val="27"/>
                <c:pt idx="0">
                  <c:v>0.38700000000000001</c:v>
                </c:pt>
                <c:pt idx="1">
                  <c:v>0.38500000000000001</c:v>
                </c:pt>
                <c:pt idx="2">
                  <c:v>0.38</c:v>
                </c:pt>
                <c:pt idx="3">
                  <c:v>0.46799999999999997</c:v>
                </c:pt>
                <c:pt idx="4">
                  <c:v>0.38100000000000001</c:v>
                </c:pt>
                <c:pt idx="5">
                  <c:v>0.6070000000000001</c:v>
                </c:pt>
                <c:pt idx="6">
                  <c:v>0.53300000000000003</c:v>
                </c:pt>
                <c:pt idx="7">
                  <c:v>0.39600000000000002</c:v>
                </c:pt>
                <c:pt idx="8">
                  <c:v>0.43419937295463329</c:v>
                </c:pt>
                <c:pt idx="9">
                  <c:v>0.47971443732075225</c:v>
                </c:pt>
                <c:pt idx="10">
                  <c:v>0.49742248884508511</c:v>
                </c:pt>
                <c:pt idx="11">
                  <c:v>0.49352355260367892</c:v>
                </c:pt>
                <c:pt idx="12">
                  <c:v>0.43397974368145265</c:v>
                </c:pt>
                <c:pt idx="13">
                  <c:v>0.41879922817548976</c:v>
                </c:pt>
                <c:pt idx="14">
                  <c:v>0.46375786484701709</c:v>
                </c:pt>
                <c:pt idx="15">
                  <c:v>0.37881680381869115</c:v>
                </c:pt>
                <c:pt idx="16">
                  <c:v>0.35844077296788557</c:v>
                </c:pt>
                <c:pt idx="17">
                  <c:v>0.43873560032390646</c:v>
                </c:pt>
                <c:pt idx="18">
                  <c:v>0.42425280810424471</c:v>
                </c:pt>
                <c:pt idx="19">
                  <c:v>0.42301756881076047</c:v>
                </c:pt>
                <c:pt idx="20">
                  <c:v>0.41925911747561451</c:v>
                </c:pt>
                <c:pt idx="21">
                  <c:v>0.3068738684338479</c:v>
                </c:pt>
                <c:pt idx="22">
                  <c:v>0.31620942434825633</c:v>
                </c:pt>
                <c:pt idx="23">
                  <c:v>0.32358737182998254</c:v>
                </c:pt>
                <c:pt idx="24">
                  <c:v>0.36054287169823473</c:v>
                </c:pt>
                <c:pt idx="25">
                  <c:v>0.36809512175258569</c:v>
                </c:pt>
                <c:pt idx="26">
                  <c:v>0.42344523333194956</c:v>
                </c:pt>
              </c:numCache>
            </c:numRef>
          </c:val>
          <c:smooth val="0"/>
          <c:extLst>
            <c:ext xmlns:c16="http://schemas.microsoft.com/office/drawing/2014/chart" uri="{C3380CC4-5D6E-409C-BE32-E72D297353CC}">
              <c16:uniqueId val="{00000000-BF8C-42EB-A834-4DD68EDDC118}"/>
            </c:ext>
          </c:extLst>
        </c:ser>
        <c:ser>
          <c:idx val="1"/>
          <c:order val="1"/>
          <c:spPr>
            <a:ln w="19050">
              <a:solidFill>
                <a:srgbClr val="D50000"/>
              </a:solidFill>
            </a:ln>
          </c:spPr>
          <c:marker>
            <c:symbol val="none"/>
          </c:marker>
          <c:cat>
            <c:strRef>
              <c:f>'Share Data'!$A$4:$A$30</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strCache>
            </c:strRef>
          </c:cat>
          <c:val>
            <c:numRef>
              <c:f>'Share Data'!$C$4:$C$30</c:f>
              <c:numCache>
                <c:formatCode>0.0%</c:formatCode>
                <c:ptCount val="27"/>
                <c:pt idx="0">
                  <c:v>0.20800000000000002</c:v>
                </c:pt>
                <c:pt idx="1">
                  <c:v>0.29699999999999999</c:v>
                </c:pt>
                <c:pt idx="2">
                  <c:v>0.307</c:v>
                </c:pt>
                <c:pt idx="3">
                  <c:v>0.33299999999999996</c:v>
                </c:pt>
                <c:pt idx="4">
                  <c:v>0.371</c:v>
                </c:pt>
                <c:pt idx="5">
                  <c:v>0.309</c:v>
                </c:pt>
                <c:pt idx="6">
                  <c:v>0.38</c:v>
                </c:pt>
                <c:pt idx="7">
                  <c:v>0.48</c:v>
                </c:pt>
                <c:pt idx="8">
                  <c:v>0.46109342130672404</c:v>
                </c:pt>
                <c:pt idx="9">
                  <c:v>0.48778127213331768</c:v>
                </c:pt>
                <c:pt idx="10">
                  <c:v>0.4635792088925863</c:v>
                </c:pt>
                <c:pt idx="11">
                  <c:v>0.43844254308599195</c:v>
                </c:pt>
                <c:pt idx="12">
                  <c:v>0.44132562041465734</c:v>
                </c:pt>
                <c:pt idx="13">
                  <c:v>0.48035028529698076</c:v>
                </c:pt>
                <c:pt idx="14">
                  <c:v>0.43072305542625494</c:v>
                </c:pt>
                <c:pt idx="15">
                  <c:v>0.37158761336332596</c:v>
                </c:pt>
                <c:pt idx="16">
                  <c:v>0.39251218536889654</c:v>
                </c:pt>
                <c:pt idx="17">
                  <c:v>0.36936947209413862</c:v>
                </c:pt>
                <c:pt idx="18">
                  <c:v>0.27572939340331598</c:v>
                </c:pt>
                <c:pt idx="19">
                  <c:v>0.30832883844973336</c:v>
                </c:pt>
                <c:pt idx="20">
                  <c:v>0.34391796721813606</c:v>
                </c:pt>
                <c:pt idx="21">
                  <c:v>0.43207966148999988</c:v>
                </c:pt>
                <c:pt idx="22">
                  <c:v>0.40675075717601555</c:v>
                </c:pt>
                <c:pt idx="23">
                  <c:v>0.35185857345393912</c:v>
                </c:pt>
                <c:pt idx="24">
                  <c:v>0.28990271495133119</c:v>
                </c:pt>
                <c:pt idx="25">
                  <c:v>0.30449710888508835</c:v>
                </c:pt>
                <c:pt idx="26">
                  <c:v>0.39988239400641062</c:v>
                </c:pt>
              </c:numCache>
            </c:numRef>
          </c:val>
          <c:smooth val="0"/>
          <c:extLst>
            <c:ext xmlns:c16="http://schemas.microsoft.com/office/drawing/2014/chart" uri="{C3380CC4-5D6E-409C-BE32-E72D297353CC}">
              <c16:uniqueId val="{00000001-BF8C-42EB-A834-4DD68EDDC118}"/>
            </c:ext>
          </c:extLst>
        </c:ser>
        <c:ser>
          <c:idx val="2"/>
          <c:order val="2"/>
          <c:spPr>
            <a:ln w="19050">
              <a:solidFill>
                <a:srgbClr val="FAA01A"/>
              </a:solidFill>
            </a:ln>
          </c:spPr>
          <c:marker>
            <c:symbol val="none"/>
          </c:marker>
          <c:cat>
            <c:strRef>
              <c:f>'Share Data'!$A$4:$A$30</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strCache>
            </c:strRef>
          </c:cat>
          <c:val>
            <c:numRef>
              <c:f>'Share Data'!$D$4:$D$30</c:f>
              <c:numCache>
                <c:formatCode>0.0%</c:formatCode>
                <c:ptCount val="27"/>
                <c:pt idx="0">
                  <c:v>0.25600000000000001</c:v>
                </c:pt>
                <c:pt idx="1">
                  <c:v>0.28799999999999998</c:v>
                </c:pt>
                <c:pt idx="2">
                  <c:v>0.29699999999999999</c:v>
                </c:pt>
                <c:pt idx="3">
                  <c:v>0.17800000000000002</c:v>
                </c:pt>
                <c:pt idx="4">
                  <c:v>0.23499999999999999</c:v>
                </c:pt>
                <c:pt idx="5">
                  <c:v>7.0000000000000007E-2</c:v>
                </c:pt>
                <c:pt idx="6">
                  <c:v>6.7000000000000004E-2</c:v>
                </c:pt>
                <c:pt idx="7">
                  <c:v>0.09</c:v>
                </c:pt>
                <c:pt idx="8">
                  <c:v>9.1115209819400869E-2</c:v>
                </c:pt>
                <c:pt idx="9">
                  <c:v>2.5546608802432907E-2</c:v>
                </c:pt>
                <c:pt idx="10">
                  <c:v>2.6995863822088781E-2</c:v>
                </c:pt>
                <c:pt idx="11">
                  <c:v>5.8887431103112509E-2</c:v>
                </c:pt>
                <c:pt idx="12">
                  <c:v>0.11206083143496937</c:v>
                </c:pt>
                <c:pt idx="13">
                  <c:v>8.5365068672744335E-2</c:v>
                </c:pt>
                <c:pt idx="14">
                  <c:v>7.4688660684757741E-2</c:v>
                </c:pt>
                <c:pt idx="15">
                  <c:v>0.19334676700139586</c:v>
                </c:pt>
                <c:pt idx="16">
                  <c:v>0.18317465311713577</c:v>
                </c:pt>
                <c:pt idx="17">
                  <c:v>0.13816834768451164</c:v>
                </c:pt>
                <c:pt idx="18">
                  <c:v>0.25368961704941034</c:v>
                </c:pt>
                <c:pt idx="19">
                  <c:v>0.22569100035666001</c:v>
                </c:pt>
                <c:pt idx="20">
                  <c:v>0.17848494056388403</c:v>
                </c:pt>
                <c:pt idx="21">
                  <c:v>0.16757972918739727</c:v>
                </c:pt>
                <c:pt idx="22">
                  <c:v>0.18258622784066209</c:v>
                </c:pt>
                <c:pt idx="23">
                  <c:v>0.2204708103685985</c:v>
                </c:pt>
                <c:pt idx="24">
                  <c:v>0.23027281016009241</c:v>
                </c:pt>
                <c:pt idx="25">
                  <c:v>7.8700219887612999E-2</c:v>
                </c:pt>
                <c:pt idx="26">
                  <c:v>7.3650807826235773E-2</c:v>
                </c:pt>
              </c:numCache>
            </c:numRef>
          </c:val>
          <c:smooth val="0"/>
          <c:extLst>
            <c:ext xmlns:c16="http://schemas.microsoft.com/office/drawing/2014/chart" uri="{C3380CC4-5D6E-409C-BE32-E72D297353CC}">
              <c16:uniqueId val="{00000002-BF8C-42EB-A834-4DD68EDDC118}"/>
            </c:ext>
          </c:extLst>
        </c:ser>
        <c:ser>
          <c:idx val="3"/>
          <c:order val="3"/>
          <c:spPr>
            <a:ln w="19050">
              <a:solidFill>
                <a:srgbClr val="008000"/>
              </a:solidFill>
            </a:ln>
          </c:spPr>
          <c:marker>
            <c:symbol val="none"/>
          </c:marker>
          <c:cat>
            <c:strRef>
              <c:f>'Share Data'!$A$4:$A$30</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strCache>
            </c:strRef>
          </c:cat>
          <c:val>
            <c:numRef>
              <c:f>'Share Data'!$E$4:$E$30</c:f>
              <c:numCache>
                <c:formatCode>0.0%</c:formatCode>
                <c:ptCount val="27"/>
                <c:pt idx="0">
                  <c:v>0</c:v>
                </c:pt>
                <c:pt idx="1">
                  <c:v>0</c:v>
                </c:pt>
                <c:pt idx="2">
                  <c:v>0</c:v>
                </c:pt>
                <c:pt idx="3">
                  <c:v>0</c:v>
                </c:pt>
                <c:pt idx="4">
                  <c:v>0</c:v>
                </c:pt>
                <c:pt idx="5">
                  <c:v>1E-3</c:v>
                </c:pt>
                <c:pt idx="6">
                  <c:v>1E-3</c:v>
                </c:pt>
                <c:pt idx="7">
                  <c:v>2E-3</c:v>
                </c:pt>
                <c:pt idx="8">
                  <c:v>9.4845095381049412E-4</c:v>
                </c:pt>
                <c:pt idx="9">
                  <c:v>6.371038453040946E-4</c:v>
                </c:pt>
                <c:pt idx="10">
                  <c:v>2.1386987887657607E-3</c:v>
                </c:pt>
                <c:pt idx="11">
                  <c:v>3.5642335840823766E-3</c:v>
                </c:pt>
                <c:pt idx="12">
                  <c:v>4.8288059202633623E-3</c:v>
                </c:pt>
                <c:pt idx="13">
                  <c:v>6.9520175631924992E-3</c:v>
                </c:pt>
                <c:pt idx="14">
                  <c:v>1.6998462998395684E-2</c:v>
                </c:pt>
                <c:pt idx="15">
                  <c:v>2.5671660535768769E-2</c:v>
                </c:pt>
                <c:pt idx="16">
                  <c:v>3.4462791321035413E-2</c:v>
                </c:pt>
                <c:pt idx="17">
                  <c:v>2.0396387575916771E-2</c:v>
                </c:pt>
                <c:pt idx="18">
                  <c:v>1.4909261433640363E-2</c:v>
                </c:pt>
                <c:pt idx="19">
                  <c:v>1.6602490201379189E-2</c:v>
                </c:pt>
                <c:pt idx="20">
                  <c:v>2.3338765780071765E-2</c:v>
                </c:pt>
                <c:pt idx="21">
                  <c:v>2.5013517105451064E-2</c:v>
                </c:pt>
                <c:pt idx="22">
                  <c:v>2.5038776127308503E-2</c:v>
                </c:pt>
                <c:pt idx="23">
                  <c:v>2.1625680378039164E-2</c:v>
                </c:pt>
                <c:pt idx="24">
                  <c:v>2.2123038288977444E-2</c:v>
                </c:pt>
                <c:pt idx="25">
                  <c:v>5.3297499796400354E-2</c:v>
                </c:pt>
                <c:pt idx="26">
                  <c:v>3.5462333865697589E-2</c:v>
                </c:pt>
              </c:numCache>
            </c:numRef>
          </c:val>
          <c:smooth val="0"/>
          <c:extLst>
            <c:ext xmlns:c16="http://schemas.microsoft.com/office/drawing/2014/chart" uri="{C3380CC4-5D6E-409C-BE32-E72D297353CC}">
              <c16:uniqueId val="{00000003-BF8C-42EB-A834-4DD68EDDC118}"/>
            </c:ext>
          </c:extLst>
        </c:ser>
        <c:ser>
          <c:idx val="4"/>
          <c:order val="4"/>
          <c:spPr>
            <a:ln w="19050">
              <a:solidFill>
                <a:srgbClr val="909090"/>
              </a:solidFill>
            </a:ln>
          </c:spPr>
          <c:marker>
            <c:symbol val="none"/>
          </c:marker>
          <c:cat>
            <c:strRef>
              <c:f>'Share Data'!$A$4:$A$30</c:f>
              <c:strCache>
                <c:ptCount val="27"/>
                <c:pt idx="0">
                  <c:v>1918</c:v>
                </c:pt>
                <c:pt idx="1">
                  <c:v>1922</c:v>
                </c:pt>
                <c:pt idx="2">
                  <c:v>1923</c:v>
                </c:pt>
                <c:pt idx="3">
                  <c:v>1924</c:v>
                </c:pt>
                <c:pt idx="4">
                  <c:v>1929</c:v>
                </c:pt>
                <c:pt idx="5">
                  <c:v>1931</c:v>
                </c:pt>
                <c:pt idx="6">
                  <c:v>1935</c:v>
                </c:pt>
                <c:pt idx="7">
                  <c:v>1945</c:v>
                </c:pt>
                <c:pt idx="8">
                  <c:v>1950</c:v>
                </c:pt>
                <c:pt idx="9">
                  <c:v>1951</c:v>
                </c:pt>
                <c:pt idx="10">
                  <c:v>1955</c:v>
                </c:pt>
                <c:pt idx="11">
                  <c:v>1959</c:v>
                </c:pt>
                <c:pt idx="12">
                  <c:v>1964</c:v>
                </c:pt>
                <c:pt idx="13">
                  <c:v>1966</c:v>
                </c:pt>
                <c:pt idx="14">
                  <c:v>1970</c:v>
                </c:pt>
                <c:pt idx="15">
                  <c:v>Feb 1974</c:v>
                </c:pt>
                <c:pt idx="16">
                  <c:v>Oct 1974</c:v>
                </c:pt>
                <c:pt idx="17">
                  <c:v>1979</c:v>
                </c:pt>
                <c:pt idx="18">
                  <c:v>1983</c:v>
                </c:pt>
                <c:pt idx="19">
                  <c:v>1987</c:v>
                </c:pt>
                <c:pt idx="20">
                  <c:v>1992</c:v>
                </c:pt>
                <c:pt idx="21">
                  <c:v>1997</c:v>
                </c:pt>
                <c:pt idx="22">
                  <c:v>2001</c:v>
                </c:pt>
                <c:pt idx="23">
                  <c:v>2005</c:v>
                </c:pt>
                <c:pt idx="24">
                  <c:v>2010</c:v>
                </c:pt>
                <c:pt idx="25">
                  <c:v>2015</c:v>
                </c:pt>
                <c:pt idx="26">
                  <c:v>2017</c:v>
                </c:pt>
              </c:strCache>
            </c:strRef>
          </c:cat>
          <c:val>
            <c:numRef>
              <c:f>'Share Data'!$F$4:$F$30</c:f>
              <c:numCache>
                <c:formatCode>0.0%</c:formatCode>
                <c:ptCount val="27"/>
                <c:pt idx="0">
                  <c:v>0.14900000000000002</c:v>
                </c:pt>
                <c:pt idx="1">
                  <c:v>3.0000000000000027E-2</c:v>
                </c:pt>
                <c:pt idx="2">
                  <c:v>1.6000000000000014E-2</c:v>
                </c:pt>
                <c:pt idx="3">
                  <c:v>2.1000000000000019E-2</c:v>
                </c:pt>
                <c:pt idx="4">
                  <c:v>1.3000000000000012E-2</c:v>
                </c:pt>
                <c:pt idx="5">
                  <c:v>1.299999999999979E-2</c:v>
                </c:pt>
                <c:pt idx="6">
                  <c:v>1.9000000000000017E-2</c:v>
                </c:pt>
                <c:pt idx="7">
                  <c:v>3.2000000000000028E-2</c:v>
                </c:pt>
                <c:pt idx="8">
                  <c:v>1.2643544965431297E-2</c:v>
                </c:pt>
                <c:pt idx="9">
                  <c:v>6.3205778981930694E-3</c:v>
                </c:pt>
                <c:pt idx="10">
                  <c:v>9.8637396514741349E-3</c:v>
                </c:pt>
                <c:pt idx="11">
                  <c:v>5.5822396231341997E-3</c:v>
                </c:pt>
                <c:pt idx="12">
                  <c:v>7.8049985486573492E-3</c:v>
                </c:pt>
                <c:pt idx="13">
                  <c:v>8.5334002915926632E-3</c:v>
                </c:pt>
                <c:pt idx="14">
                  <c:v>1.3831956043574567E-2</c:v>
                </c:pt>
                <c:pt idx="15">
                  <c:v>3.057715528081828E-2</c:v>
                </c:pt>
                <c:pt idx="16">
                  <c:v>3.140959722504677E-2</c:v>
                </c:pt>
                <c:pt idx="17">
                  <c:v>3.3330192321526564E-2</c:v>
                </c:pt>
                <c:pt idx="18">
                  <c:v>3.1418920009388618E-2</c:v>
                </c:pt>
                <c:pt idx="19">
                  <c:v>2.6360102181467004E-2</c:v>
                </c:pt>
                <c:pt idx="20">
                  <c:v>3.4999208962293582E-2</c:v>
                </c:pt>
                <c:pt idx="21">
                  <c:v>6.8453223783303874E-2</c:v>
                </c:pt>
                <c:pt idx="22">
                  <c:v>6.941481450775755E-2</c:v>
                </c:pt>
                <c:pt idx="23">
                  <c:v>8.2457563969440706E-2</c:v>
                </c:pt>
                <c:pt idx="24">
                  <c:v>9.7158564901364208E-2</c:v>
                </c:pt>
                <c:pt idx="25">
                  <c:v>0.19541004967831266</c:v>
                </c:pt>
                <c:pt idx="26">
                  <c:v>6.7559230969706396E-2</c:v>
                </c:pt>
              </c:numCache>
            </c:numRef>
          </c:val>
          <c:smooth val="0"/>
          <c:extLst>
            <c:ext xmlns:c16="http://schemas.microsoft.com/office/drawing/2014/chart" uri="{C3380CC4-5D6E-409C-BE32-E72D297353CC}">
              <c16:uniqueId val="{00000004-BF8C-42EB-A834-4DD68EDDC118}"/>
            </c:ext>
          </c:extLst>
        </c:ser>
        <c:dLbls>
          <c:showLegendKey val="0"/>
          <c:showVal val="0"/>
          <c:showCatName val="0"/>
          <c:showSerName val="0"/>
          <c:showPercent val="0"/>
          <c:showBubbleSize val="0"/>
        </c:dLbls>
        <c:smooth val="0"/>
        <c:axId val="461797648"/>
        <c:axId val="461798040"/>
      </c:lineChart>
      <c:dateAx>
        <c:axId val="461797648"/>
        <c:scaling>
          <c:orientation val="minMax"/>
        </c:scaling>
        <c:delete val="0"/>
        <c:axPos val="b"/>
        <c:numFmt formatCode="dd/mm/yyyy" sourceLinked="0"/>
        <c:majorTickMark val="out"/>
        <c:minorTickMark val="none"/>
        <c:tickLblPos val="nextTo"/>
        <c:spPr>
          <a:ln>
            <a:solidFill>
              <a:schemeClr val="tx1">
                <a:lumMod val="75000"/>
                <a:lumOff val="25000"/>
              </a:schemeClr>
            </a:solidFill>
          </a:ln>
        </c:spPr>
        <c:txPr>
          <a:bodyPr rot="-5400000" vert="horz"/>
          <a:lstStyle/>
          <a:p>
            <a:pPr>
              <a:defRPr/>
            </a:pPr>
            <a:endParaRPr lang="en-US"/>
          </a:p>
        </c:txPr>
        <c:crossAx val="461798040"/>
        <c:crosses val="autoZero"/>
        <c:auto val="0"/>
        <c:lblOffset val="100"/>
        <c:baseTimeUnit val="days"/>
        <c:majorUnit val="1"/>
      </c:dateAx>
      <c:valAx>
        <c:axId val="461798040"/>
        <c:scaling>
          <c:orientation val="minMax"/>
        </c:scaling>
        <c:delete val="0"/>
        <c:axPos val="l"/>
        <c:numFmt formatCode="0%" sourceLinked="0"/>
        <c:majorTickMark val="out"/>
        <c:minorTickMark val="none"/>
        <c:tickLblPos val="nextTo"/>
        <c:spPr>
          <a:ln>
            <a:solidFill>
              <a:schemeClr val="tx1">
                <a:lumMod val="75000"/>
                <a:lumOff val="25000"/>
              </a:schemeClr>
            </a:solidFill>
          </a:ln>
        </c:spPr>
        <c:txPr>
          <a:bodyPr rot="0" vert="horz"/>
          <a:lstStyle/>
          <a:p>
            <a:pPr>
              <a:defRPr/>
            </a:pPr>
            <a:endParaRPr lang="en-US"/>
          </a:p>
        </c:txPr>
        <c:crossAx val="461797648"/>
        <c:crosses val="autoZero"/>
        <c:crossBetween val="midCat"/>
      </c:valAx>
    </c:plotArea>
    <c:plotVisOnly val="1"/>
    <c:dispBlanksAs val="gap"/>
    <c:showDLblsOverMax val="0"/>
  </c:chart>
  <c:spPr>
    <a:ln>
      <a:noFill/>
    </a:ln>
  </c:spPr>
  <c:txPr>
    <a:bodyPr/>
    <a:lstStyle/>
    <a:p>
      <a:pPr>
        <a:defRPr sz="1000" b="0" i="0" u="none" strike="noStrike" baseline="0">
          <a:solidFill>
            <a:schemeClr val="tx1">
              <a:lumMod val="75000"/>
              <a:lumOff val="25000"/>
            </a:schemeClr>
          </a:solidFill>
          <a:latin typeface="Frutiger LT Std 45 Light" panose="020B04020202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293331226573269"/>
          <c:y val="7.2654879611261337E-3"/>
        </c:manualLayout>
      </c:layout>
      <c:overlay val="0"/>
      <c:txPr>
        <a:bodyPr/>
        <a:lstStyle/>
        <a:p>
          <a:pPr>
            <a:defRPr b="1"/>
          </a:pPr>
          <a:endParaRPr lang="en-US"/>
        </a:p>
      </c:txPr>
    </c:title>
    <c:autoTitleDeleted val="0"/>
    <c:plotArea>
      <c:layout>
        <c:manualLayout>
          <c:layoutTarget val="inner"/>
          <c:xMode val="edge"/>
          <c:yMode val="edge"/>
          <c:x val="3.5888844500002154E-2"/>
          <c:y val="3.1252603562687033E-2"/>
          <c:w val="0.91924093365941462"/>
          <c:h val="0.88551811178938233"/>
        </c:manualLayout>
      </c:layout>
      <c:barChart>
        <c:barDir val="bar"/>
        <c:grouping val="stacked"/>
        <c:varyColors val="0"/>
        <c:ser>
          <c:idx val="5"/>
          <c:order val="0"/>
          <c:tx>
            <c:strRef>
              <c:f>'12 by-elections summary Visual'!$H$65</c:f>
              <c:strCache>
                <c:ptCount val="1"/>
                <c:pt idx="0">
                  <c:v>No change</c:v>
                </c:pt>
              </c:strCache>
            </c:strRef>
          </c:tx>
          <c:spPr>
            <a:solidFill>
              <a:schemeClr val="accent1"/>
            </a:solidFill>
            <a:ln w="9525">
              <a:noFill/>
            </a:ln>
          </c:spPr>
          <c:invertIfNegative val="0"/>
          <c:cat>
            <c:strRef>
              <c:f>'12 by-elections summary Visual'!$B$66:$B$87</c:f>
              <c:strCache>
                <c:ptCount val="21"/>
                <c:pt idx="0">
                  <c:v>2019-21</c:v>
                </c:pt>
                <c:pt idx="1">
                  <c:v>2017-19</c:v>
                </c:pt>
                <c:pt idx="2">
                  <c:v>2015-17</c:v>
                </c:pt>
                <c:pt idx="3">
                  <c:v>2010-15</c:v>
                </c:pt>
                <c:pt idx="4">
                  <c:v>2005-10</c:v>
                </c:pt>
                <c:pt idx="5">
                  <c:v>2001-05</c:v>
                </c:pt>
                <c:pt idx="6">
                  <c:v>1997-2001</c:v>
                </c:pt>
                <c:pt idx="7">
                  <c:v>1992-97</c:v>
                </c:pt>
                <c:pt idx="8">
                  <c:v>1987-92</c:v>
                </c:pt>
                <c:pt idx="9">
                  <c:v>1983-87</c:v>
                </c:pt>
                <c:pt idx="10">
                  <c:v>1979-83</c:v>
                </c:pt>
                <c:pt idx="11">
                  <c:v>1974-79</c:v>
                </c:pt>
                <c:pt idx="12">
                  <c:v>1974</c:v>
                </c:pt>
                <c:pt idx="13">
                  <c:v>1970-74</c:v>
                </c:pt>
                <c:pt idx="14">
                  <c:v>1966-70</c:v>
                </c:pt>
                <c:pt idx="15">
                  <c:v>1964-66</c:v>
                </c:pt>
                <c:pt idx="16">
                  <c:v>1959-64</c:v>
                </c:pt>
                <c:pt idx="17">
                  <c:v>1955-59</c:v>
                </c:pt>
                <c:pt idx="18">
                  <c:v>1951-55</c:v>
                </c:pt>
                <c:pt idx="19">
                  <c:v>1950-51</c:v>
                </c:pt>
                <c:pt idx="20">
                  <c:v>1945-50</c:v>
                </c:pt>
              </c:strCache>
            </c:strRef>
          </c:cat>
          <c:val>
            <c:numRef>
              <c:f>'12 by-elections summary Visual'!$H$66:$H$87</c:f>
              <c:numCache>
                <c:formatCode>#,##0_);\(#,##0\)</c:formatCode>
                <c:ptCount val="22"/>
                <c:pt idx="0">
                  <c:v>3</c:v>
                </c:pt>
                <c:pt idx="1">
                  <c:v>3</c:v>
                </c:pt>
                <c:pt idx="2">
                  <c:v>8</c:v>
                </c:pt>
                <c:pt idx="3">
                  <c:v>13</c:v>
                </c:pt>
                <c:pt idx="4">
                  <c:v>9</c:v>
                </c:pt>
                <c:pt idx="5">
                  <c:v>4</c:v>
                </c:pt>
                <c:pt idx="6">
                  <c:v>14</c:v>
                </c:pt>
                <c:pt idx="7">
                  <c:v>9</c:v>
                </c:pt>
                <c:pt idx="8">
                  <c:v>15</c:v>
                </c:pt>
                <c:pt idx="9">
                  <c:v>11</c:v>
                </c:pt>
                <c:pt idx="10">
                  <c:v>11</c:v>
                </c:pt>
                <c:pt idx="11">
                  <c:v>23</c:v>
                </c:pt>
                <c:pt idx="12">
                  <c:v>1</c:v>
                </c:pt>
                <c:pt idx="13">
                  <c:v>20</c:v>
                </c:pt>
                <c:pt idx="14">
                  <c:v>22</c:v>
                </c:pt>
                <c:pt idx="15">
                  <c:v>11</c:v>
                </c:pt>
                <c:pt idx="16">
                  <c:v>54</c:v>
                </c:pt>
                <c:pt idx="17">
                  <c:v>34</c:v>
                </c:pt>
                <c:pt idx="18">
                  <c:v>43</c:v>
                </c:pt>
                <c:pt idx="19">
                  <c:v>14</c:v>
                </c:pt>
                <c:pt idx="20">
                  <c:v>45</c:v>
                </c:pt>
                <c:pt idx="21">
                  <c:v>0</c:v>
                </c:pt>
              </c:numCache>
            </c:numRef>
          </c:val>
          <c:extLst>
            <c:ext xmlns:c16="http://schemas.microsoft.com/office/drawing/2014/chart" uri="{C3380CC4-5D6E-409C-BE32-E72D297353CC}">
              <c16:uniqueId val="{00000000-ACB8-402B-BC60-FCA7F0647AD5}"/>
            </c:ext>
          </c:extLst>
        </c:ser>
        <c:dLbls>
          <c:showLegendKey val="0"/>
          <c:showVal val="0"/>
          <c:showCatName val="0"/>
          <c:showSerName val="0"/>
          <c:showPercent val="0"/>
          <c:showBubbleSize val="0"/>
        </c:dLbls>
        <c:gapWidth val="50"/>
        <c:overlap val="100"/>
        <c:axId val="467201120"/>
        <c:axId val="467201512"/>
      </c:barChart>
      <c:catAx>
        <c:axId val="467201120"/>
        <c:scaling>
          <c:orientation val="minMax"/>
        </c:scaling>
        <c:delete val="0"/>
        <c:axPos val="l"/>
        <c:numFmt formatCode="General" sourceLinked="1"/>
        <c:majorTickMark val="none"/>
        <c:minorTickMark val="none"/>
        <c:tickLblPos val="none"/>
        <c:spPr>
          <a:noFill/>
          <a:ln w="9525" cap="flat" cmpd="sng" algn="ctr">
            <a:solidFill>
              <a:schemeClr val="tx1">
                <a:alpha val="97000"/>
              </a:schemeClr>
            </a:solidFill>
            <a:round/>
          </a:ln>
          <a:effectLst/>
        </c:spPr>
        <c:crossAx val="467201512"/>
        <c:crosses val="autoZero"/>
        <c:auto val="1"/>
        <c:lblAlgn val="ctr"/>
        <c:lblOffset val="100"/>
        <c:tickLblSkip val="1"/>
        <c:noMultiLvlLbl val="0"/>
      </c:catAx>
      <c:valAx>
        <c:axId val="467201512"/>
        <c:scaling>
          <c:orientation val="minMax"/>
          <c:min val="0"/>
        </c:scaling>
        <c:delete val="0"/>
        <c:axPos val="b"/>
        <c:numFmt formatCode="#,##0_);\(#,##0\)" sourceLinked="1"/>
        <c:majorTickMark val="out"/>
        <c:minorTickMark val="none"/>
        <c:tickLblPos val="nextTo"/>
        <c:spPr>
          <a:noFill/>
          <a:ln w="9525">
            <a:solidFill>
              <a:schemeClr val="tx1">
                <a:lumMod val="75000"/>
                <a:lumOff val="25000"/>
              </a:schemeClr>
            </a:solidFill>
          </a:ln>
          <a:effectLst/>
        </c:spPr>
        <c:txPr>
          <a:bodyPr rot="0" vert="horz"/>
          <a:lstStyle/>
          <a:p>
            <a:pPr>
              <a:defRPr/>
            </a:pPr>
            <a:endParaRPr lang="en-US"/>
          </a:p>
        </c:txPr>
        <c:crossAx val="467201120"/>
        <c:crosses val="autoZero"/>
        <c:crossBetween val="between"/>
        <c:majorUnit val="10"/>
      </c:valAx>
      <c:spPr>
        <a:noFill/>
        <a:ln w="25400">
          <a:noFill/>
        </a:ln>
      </c:spPr>
    </c:plotArea>
    <c:plotVisOnly val="1"/>
    <c:dispBlanksAs val="gap"/>
    <c:showDLblsOverMax val="0"/>
  </c:chart>
  <c:spPr>
    <a:noFill/>
    <a:ln w="9525">
      <a:noFill/>
    </a:ln>
  </c:spPr>
  <c:txPr>
    <a:bodyPr/>
    <a:lstStyle/>
    <a:p>
      <a:pPr>
        <a:defRPr sz="105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239981155198041E-2"/>
          <c:y val="0.16565644023435078"/>
          <c:w val="0.97294367412936367"/>
          <c:h val="0.60188681879523187"/>
        </c:manualLayout>
      </c:layout>
      <c:barChart>
        <c:barDir val="col"/>
        <c:grouping val="stacked"/>
        <c:varyColors val="0"/>
        <c:ser>
          <c:idx val="5"/>
          <c:order val="0"/>
          <c:spPr>
            <a:solidFill>
              <a:schemeClr val="accent1"/>
            </a:solidFill>
            <a:ln w="25400">
              <a:noFill/>
            </a:ln>
          </c:spPr>
          <c:invertIfNegative val="0"/>
          <c:dLbls>
            <c:dLbl>
              <c:idx val="8"/>
              <c:layout>
                <c:manualLayout>
                  <c:x val="-7.0040578978218872E-17"/>
                  <c:y val="-4.2979404733182729E-2"/>
                </c:manualLayout>
              </c:layout>
              <c:spPr>
                <a:noFill/>
                <a:ln>
                  <a:noFill/>
                </a:ln>
                <a:effectLst/>
              </c:spPr>
              <c:txPr>
                <a:bodyPr/>
                <a:lstStyle/>
                <a:p>
                  <a:pPr>
                    <a:defRPr b="1">
                      <a:solidFill>
                        <a:sysClr val="windowText" lastClr="000000"/>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6E-41AA-ADD2-10912AA9CDA6}"/>
                </c:ext>
              </c:extLst>
            </c:dLbl>
            <c:dLbl>
              <c:idx val="15"/>
              <c:layout>
                <c:manualLayout>
                  <c:x val="0"/>
                  <c:y val="2.363647651635705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8D-4219-9E25-A381F746E3FA}"/>
                </c:ext>
              </c:extLst>
            </c:dLbl>
            <c:dLbl>
              <c:idx val="19"/>
              <c:layout>
                <c:manualLayout>
                  <c:x val="-1.9102196752626551E-3"/>
                  <c:y val="-4.2979404733182729E-2"/>
                </c:manualLayout>
              </c:layout>
              <c:spPr>
                <a:noFill/>
                <a:ln>
                  <a:noFill/>
                </a:ln>
                <a:effectLst/>
              </c:spPr>
              <c:txPr>
                <a:bodyPr/>
                <a:lstStyle/>
                <a:p>
                  <a:pPr>
                    <a:defRPr b="1">
                      <a:solidFill>
                        <a:sysClr val="windowText" lastClr="000000"/>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6E-41AA-ADD2-10912AA9CDA6}"/>
                </c:ext>
              </c:extLst>
            </c:dLbl>
            <c:dLbl>
              <c:idx val="20"/>
              <c:layout>
                <c:manualLayout>
                  <c:x val="-1.4528569705898164E-6"/>
                  <c:y val="-4.4482356372120155E-2"/>
                </c:manualLayout>
              </c:layout>
              <c:spPr>
                <a:noFill/>
                <a:ln>
                  <a:noFill/>
                </a:ln>
                <a:effectLst/>
              </c:spPr>
              <c:txPr>
                <a:bodyPr/>
                <a:lstStyle/>
                <a:p>
                  <a:pPr>
                    <a:defRPr b="1">
                      <a:solidFill>
                        <a:schemeClr val="tx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79-44BC-8C4D-EA46E4C5969D}"/>
                </c:ext>
              </c:extLst>
            </c:dLbl>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'12 by-elections summary'!$A$8:$A$28</c:f>
              <c:strCache>
                <c:ptCount val="21"/>
                <c:pt idx="0">
                  <c:v>1945-50</c:v>
                </c:pt>
                <c:pt idx="1">
                  <c:v>1950-51</c:v>
                </c:pt>
                <c:pt idx="2">
                  <c:v>1951-55</c:v>
                </c:pt>
                <c:pt idx="3">
                  <c:v>1955-59</c:v>
                </c:pt>
                <c:pt idx="4">
                  <c:v>1959-64</c:v>
                </c:pt>
                <c:pt idx="5">
                  <c:v>1964-66</c:v>
                </c:pt>
                <c:pt idx="6">
                  <c:v>1966-70</c:v>
                </c:pt>
                <c:pt idx="7">
                  <c:v>1970-74</c:v>
                </c:pt>
                <c:pt idx="8">
                  <c:v>1974</c:v>
                </c:pt>
                <c:pt idx="9">
                  <c:v>1974-79</c:v>
                </c:pt>
                <c:pt idx="10">
                  <c:v>1979-83</c:v>
                </c:pt>
                <c:pt idx="11">
                  <c:v>1983-87</c:v>
                </c:pt>
                <c:pt idx="12">
                  <c:v>1987-92</c:v>
                </c:pt>
                <c:pt idx="13">
                  <c:v>1992-97</c:v>
                </c:pt>
                <c:pt idx="14">
                  <c:v>1997-01</c:v>
                </c:pt>
                <c:pt idx="15">
                  <c:v>2001-05</c:v>
                </c:pt>
                <c:pt idx="16">
                  <c:v>2005-10</c:v>
                </c:pt>
                <c:pt idx="17">
                  <c:v>2010-15</c:v>
                </c:pt>
                <c:pt idx="18">
                  <c:v>2015-17</c:v>
                </c:pt>
                <c:pt idx="19">
                  <c:v>2017-19</c:v>
                </c:pt>
                <c:pt idx="20">
                  <c:v>2019-21</c:v>
                </c:pt>
              </c:strCache>
            </c:strRef>
          </c:cat>
          <c:val>
            <c:numRef>
              <c:f>'12 by-elections summary'!$B$8:$B$28</c:f>
              <c:numCache>
                <c:formatCode>#,##0_);\(#,##0\)</c:formatCode>
                <c:ptCount val="21"/>
                <c:pt idx="0">
                  <c:v>50</c:v>
                </c:pt>
                <c:pt idx="1">
                  <c:v>14</c:v>
                </c:pt>
                <c:pt idx="2">
                  <c:v>44</c:v>
                </c:pt>
                <c:pt idx="3">
                  <c:v>49</c:v>
                </c:pt>
                <c:pt idx="4">
                  <c:v>61</c:v>
                </c:pt>
                <c:pt idx="5">
                  <c:v>13</c:v>
                </c:pt>
                <c:pt idx="6">
                  <c:v>37</c:v>
                </c:pt>
                <c:pt idx="7">
                  <c:v>30</c:v>
                </c:pt>
                <c:pt idx="8">
                  <c:v>1</c:v>
                </c:pt>
                <c:pt idx="9">
                  <c:v>30</c:v>
                </c:pt>
                <c:pt idx="10">
                  <c:v>17</c:v>
                </c:pt>
                <c:pt idx="11">
                  <c:v>16</c:v>
                </c:pt>
                <c:pt idx="12">
                  <c:v>23</c:v>
                </c:pt>
                <c:pt idx="13">
                  <c:v>17</c:v>
                </c:pt>
                <c:pt idx="14">
                  <c:v>15</c:v>
                </c:pt>
                <c:pt idx="15">
                  <c:v>6</c:v>
                </c:pt>
                <c:pt idx="16">
                  <c:v>14</c:v>
                </c:pt>
                <c:pt idx="17">
                  <c:v>19</c:v>
                </c:pt>
                <c:pt idx="18">
                  <c:v>10</c:v>
                </c:pt>
                <c:pt idx="19">
                  <c:v>4</c:v>
                </c:pt>
                <c:pt idx="20">
                  <c:v>4</c:v>
                </c:pt>
              </c:numCache>
            </c:numRef>
          </c:val>
          <c:extLst>
            <c:ext xmlns:c16="http://schemas.microsoft.com/office/drawing/2014/chart" uri="{C3380CC4-5D6E-409C-BE32-E72D297353CC}">
              <c16:uniqueId val="{00000002-DD6E-41AA-ADD2-10912AA9CDA6}"/>
            </c:ext>
          </c:extLst>
        </c:ser>
        <c:dLbls>
          <c:dLblPos val="inEnd"/>
          <c:showLegendKey val="0"/>
          <c:showVal val="1"/>
          <c:showCatName val="0"/>
          <c:showSerName val="0"/>
          <c:showPercent val="0"/>
          <c:showBubbleSize val="0"/>
        </c:dLbls>
        <c:gapWidth val="30"/>
        <c:overlap val="100"/>
        <c:axId val="467202296"/>
        <c:axId val="467202688"/>
      </c:barChart>
      <c:catAx>
        <c:axId val="467202296"/>
        <c:scaling>
          <c:orientation val="minMax"/>
        </c:scaling>
        <c:delete val="0"/>
        <c:axPos val="b"/>
        <c:numFmt formatCode="General" sourceLinked="0"/>
        <c:majorTickMark val="out"/>
        <c:minorTickMark val="none"/>
        <c:tickLblPos val="low"/>
        <c:spPr>
          <a:noFill/>
          <a:ln w="9525" cap="flat" cmpd="sng" algn="ctr">
            <a:solidFill>
              <a:schemeClr val="tx1"/>
            </a:solidFill>
            <a:round/>
          </a:ln>
          <a:effectLst/>
        </c:spPr>
        <c:txPr>
          <a:bodyPr rot="-5400000" vert="horz"/>
          <a:lstStyle/>
          <a:p>
            <a:pPr>
              <a:defRPr/>
            </a:pPr>
            <a:endParaRPr lang="en-US"/>
          </a:p>
        </c:txPr>
        <c:crossAx val="467202688"/>
        <c:crosses val="autoZero"/>
        <c:auto val="1"/>
        <c:lblAlgn val="ctr"/>
        <c:lblOffset val="40"/>
        <c:tickLblSkip val="1"/>
        <c:noMultiLvlLbl val="0"/>
      </c:catAx>
      <c:valAx>
        <c:axId val="467202688"/>
        <c:scaling>
          <c:orientation val="minMax"/>
          <c:max val="65"/>
          <c:min val="0"/>
        </c:scaling>
        <c:delete val="1"/>
        <c:axPos val="l"/>
        <c:numFmt formatCode="#,##0_);\(#,##0\)" sourceLinked="1"/>
        <c:majorTickMark val="out"/>
        <c:minorTickMark val="none"/>
        <c:tickLblPos val="nextTo"/>
        <c:crossAx val="467202296"/>
        <c:crosses val="autoZero"/>
        <c:crossBetween val="between"/>
        <c:majorUnit val="5"/>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51940727979312"/>
          <c:y val="2.5458823842221763E-2"/>
          <c:w val="0.35655386916840254"/>
          <c:h val="0.57548601718973547"/>
        </c:manualLayout>
      </c:layout>
      <c:barChart>
        <c:barDir val="bar"/>
        <c:grouping val="stacked"/>
        <c:varyColors val="0"/>
        <c:ser>
          <c:idx val="1"/>
          <c:order val="0"/>
          <c:tx>
            <c:strRef>
              <c:f>'14a By elections NI '!$N$176</c:f>
              <c:strCache>
                <c:ptCount val="1"/>
                <c:pt idx="0">
                  <c:v>Anti-H Block</c:v>
                </c:pt>
              </c:strCache>
            </c:strRef>
          </c:tx>
          <c:spPr>
            <a:solidFill>
              <a:schemeClr val="accent3">
                <a:lumMod val="60000"/>
                <a:lumOff val="40000"/>
              </a:schemeClr>
            </a:solidFill>
            <a:ln>
              <a:noFill/>
            </a:ln>
            <a:effectLst/>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'!$N$177:$N$184</c:f>
              <c:numCache>
                <c:formatCode>General</c:formatCode>
                <c:ptCount val="8"/>
                <c:pt idx="0">
                  <c:v>1</c:v>
                </c:pt>
              </c:numCache>
            </c:numRef>
          </c:val>
          <c:extLst>
            <c:ext xmlns:c16="http://schemas.microsoft.com/office/drawing/2014/chart" uri="{C3380CC4-5D6E-409C-BE32-E72D297353CC}">
              <c16:uniqueId val="{00000000-154E-46F0-B2A1-F838392CF029}"/>
            </c:ext>
          </c:extLst>
        </c:ser>
        <c:ser>
          <c:idx val="2"/>
          <c:order val="1"/>
          <c:tx>
            <c:strRef>
              <c:f>'14a By elections NI '!$O$176</c:f>
              <c:strCache>
                <c:ptCount val="1"/>
                <c:pt idx="0">
                  <c:v>Social Democratic Labour Party </c:v>
                </c:pt>
              </c:strCache>
            </c:strRef>
          </c:tx>
          <c:spPr>
            <a:solidFill>
              <a:schemeClr val="accent6">
                <a:lumMod val="60000"/>
                <a:lumOff val="40000"/>
              </a:schemeClr>
            </a:solidFill>
            <a:ln>
              <a:noFill/>
            </a:ln>
            <a:effectLst/>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'!$O$177:$O$183</c:f>
              <c:numCache>
                <c:formatCode>General</c:formatCode>
                <c:ptCount val="7"/>
                <c:pt idx="1">
                  <c:v>1</c:v>
                </c:pt>
              </c:numCache>
            </c:numRef>
          </c:val>
          <c:extLst>
            <c:ext xmlns:c16="http://schemas.microsoft.com/office/drawing/2014/chart" uri="{C3380CC4-5D6E-409C-BE32-E72D297353CC}">
              <c16:uniqueId val="{00000001-154E-46F0-B2A1-F838392CF029}"/>
            </c:ext>
          </c:extLst>
        </c:ser>
        <c:ser>
          <c:idx val="3"/>
          <c:order val="2"/>
          <c:tx>
            <c:strRef>
              <c:f>'14a By elections NI '!$P$176</c:f>
              <c:strCache>
                <c:ptCount val="1"/>
                <c:pt idx="0">
                  <c:v>Ulster Unionist Party</c:v>
                </c:pt>
              </c:strCache>
            </c:strRef>
          </c:tx>
          <c:spPr>
            <a:solidFill>
              <a:srgbClr val="99CCFF"/>
            </a:solidFill>
            <a:ln w="25400">
              <a:noFill/>
            </a:ln>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'!$P$177:$P$183</c:f>
              <c:numCache>
                <c:formatCode>General</c:formatCode>
                <c:ptCount val="7"/>
                <c:pt idx="1">
                  <c:v>-1</c:v>
                </c:pt>
                <c:pt idx="4">
                  <c:v>-1</c:v>
                </c:pt>
              </c:numCache>
            </c:numRef>
          </c:val>
          <c:extLst>
            <c:ext xmlns:c16="http://schemas.microsoft.com/office/drawing/2014/chart" uri="{C3380CC4-5D6E-409C-BE32-E72D297353CC}">
              <c16:uniqueId val="{00000002-154E-46F0-B2A1-F838392CF029}"/>
            </c:ext>
          </c:extLst>
        </c:ser>
        <c:ser>
          <c:idx val="4"/>
          <c:order val="3"/>
          <c:tx>
            <c:strRef>
              <c:f>'14a By elections NI '!$Q$176</c:f>
              <c:strCache>
                <c:ptCount val="1"/>
                <c:pt idx="0">
                  <c:v>UK Unionist </c:v>
                </c:pt>
              </c:strCache>
            </c:strRef>
          </c:tx>
          <c:spPr>
            <a:solidFill>
              <a:srgbClr val="D60000"/>
            </a:solidFill>
            <a:ln w="25400">
              <a:noFill/>
            </a:ln>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'!$Q$177:$Q$183</c:f>
              <c:numCache>
                <c:formatCode>General</c:formatCode>
                <c:ptCount val="7"/>
                <c:pt idx="3">
                  <c:v>1</c:v>
                </c:pt>
              </c:numCache>
            </c:numRef>
          </c:val>
          <c:extLst>
            <c:ext xmlns:c16="http://schemas.microsoft.com/office/drawing/2014/chart" uri="{C3380CC4-5D6E-409C-BE32-E72D297353CC}">
              <c16:uniqueId val="{00000003-154E-46F0-B2A1-F838392CF029}"/>
            </c:ext>
          </c:extLst>
        </c:ser>
        <c:ser>
          <c:idx val="5"/>
          <c:order val="4"/>
          <c:tx>
            <c:strRef>
              <c:f>'14a By elections NI '!$R$176</c:f>
              <c:strCache>
                <c:ptCount val="1"/>
                <c:pt idx="0">
                  <c:v>Ulster Popular Unionist Party</c:v>
                </c:pt>
              </c:strCache>
            </c:strRef>
          </c:tx>
          <c:spPr>
            <a:solidFill>
              <a:srgbClr val="002392"/>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'!$R$177:$R$183</c:f>
              <c:numCache>
                <c:formatCode>General</c:formatCode>
                <c:ptCount val="7"/>
                <c:pt idx="3">
                  <c:v>-1</c:v>
                </c:pt>
              </c:numCache>
            </c:numRef>
          </c:val>
          <c:extLst>
            <c:ext xmlns:c16="http://schemas.microsoft.com/office/drawing/2014/chart" uri="{C3380CC4-5D6E-409C-BE32-E72D297353CC}">
              <c16:uniqueId val="{00000004-154E-46F0-B2A1-F838392CF029}"/>
            </c:ext>
          </c:extLst>
        </c:ser>
        <c:ser>
          <c:idx val="6"/>
          <c:order val="5"/>
          <c:tx>
            <c:strRef>
              <c:f>'14a By elections NI '!$S$176</c:f>
              <c:strCache>
                <c:ptCount val="1"/>
                <c:pt idx="0">
                  <c:v>Democratic Unionist </c:v>
                </c:pt>
              </c:strCache>
            </c:strRef>
          </c:tx>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'!$S$177:$S$183</c:f>
              <c:numCache>
                <c:formatCode>General</c:formatCode>
                <c:ptCount val="7"/>
                <c:pt idx="4">
                  <c:v>1</c:v>
                </c:pt>
              </c:numCache>
            </c:numRef>
          </c:val>
          <c:extLst>
            <c:ext xmlns:c16="http://schemas.microsoft.com/office/drawing/2014/chart" uri="{C3380CC4-5D6E-409C-BE32-E72D297353CC}">
              <c16:uniqueId val="{00000005-154E-46F0-B2A1-F838392CF029}"/>
            </c:ext>
          </c:extLst>
        </c:ser>
        <c:ser>
          <c:idx val="7"/>
          <c:order val="6"/>
          <c:tx>
            <c:strRef>
              <c:f>'14a By elections NI '!$T$176</c:f>
              <c:strCache>
                <c:ptCount val="1"/>
                <c:pt idx="0">
                  <c:v>Independent</c:v>
                </c:pt>
              </c:strCache>
            </c:strRef>
          </c:tx>
          <c:spPr>
            <a:solidFill>
              <a:srgbClr val="969696"/>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'!$T$177:$T$183</c:f>
              <c:numCache>
                <c:formatCode>#,##0_);\(#,##0\)</c:formatCode>
                <c:ptCount val="7"/>
                <c:pt idx="0">
                  <c:v>-1</c:v>
                </c:pt>
              </c:numCache>
            </c:numRef>
          </c:val>
          <c:extLst>
            <c:ext xmlns:c16="http://schemas.microsoft.com/office/drawing/2014/chart" uri="{C3380CC4-5D6E-409C-BE32-E72D297353CC}">
              <c16:uniqueId val="{00000006-154E-46F0-B2A1-F838392CF029}"/>
            </c:ext>
          </c:extLst>
        </c:ser>
        <c:dLbls>
          <c:showLegendKey val="0"/>
          <c:showVal val="0"/>
          <c:showCatName val="0"/>
          <c:showSerName val="0"/>
          <c:showPercent val="0"/>
          <c:showBubbleSize val="0"/>
        </c:dLbls>
        <c:gapWidth val="50"/>
        <c:overlap val="100"/>
        <c:axId val="471978600"/>
        <c:axId val="471978992"/>
      </c:barChart>
      <c:catAx>
        <c:axId val="471978600"/>
        <c:scaling>
          <c:orientation val="maxMin"/>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1978992"/>
        <c:crosses val="autoZero"/>
        <c:auto val="1"/>
        <c:lblAlgn val="ctr"/>
        <c:lblOffset val="100"/>
        <c:noMultiLvlLbl val="0"/>
      </c:catAx>
      <c:valAx>
        <c:axId val="471978992"/>
        <c:scaling>
          <c:orientation val="minMax"/>
          <c:max val="4"/>
          <c:min val="-4"/>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78600"/>
        <c:crosses val="max"/>
        <c:crossBetween val="between"/>
        <c:majorUnit val="2"/>
      </c:valAx>
      <c:spPr>
        <a:noFill/>
        <a:ln w="25400">
          <a:noFill/>
        </a:ln>
      </c:spPr>
    </c:plotArea>
    <c:legend>
      <c:legendPos val="r"/>
      <c:layout>
        <c:manualLayout>
          <c:xMode val="edge"/>
          <c:yMode val="edge"/>
          <c:x val="2.23463687150838E-2"/>
          <c:y val="0.74681734966691971"/>
          <c:w val="0.97641373040660417"/>
          <c:h val="0.24328465264574481"/>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031551825768514E-2"/>
          <c:y val="2.5382218589985947E-2"/>
          <c:w val="0.87772363225058703"/>
          <c:h val="0.8159978833547179"/>
        </c:manualLayout>
      </c:layout>
      <c:barChart>
        <c:barDir val="bar"/>
        <c:grouping val="stacked"/>
        <c:varyColors val="0"/>
        <c:ser>
          <c:idx val="0"/>
          <c:order val="0"/>
          <c:tx>
            <c:strRef>
              <c:f>'14a By elections NI '!$U$176</c:f>
              <c:strCache>
                <c:ptCount val="1"/>
                <c:pt idx="0">
                  <c:v>No change</c:v>
                </c:pt>
              </c:strCache>
            </c:strRef>
          </c:tx>
          <c:spPr>
            <a:solidFill>
              <a:schemeClr val="accent1"/>
            </a:solidFill>
            <a:ln w="9525">
              <a:noFill/>
            </a:ln>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'!$U$177:$U$184</c:f>
              <c:numCache>
                <c:formatCode>General</c:formatCode>
                <c:ptCount val="8"/>
                <c:pt idx="0">
                  <c:v>2</c:v>
                </c:pt>
                <c:pt idx="1">
                  <c:v>14</c:v>
                </c:pt>
                <c:pt idx="2">
                  <c:v>1</c:v>
                </c:pt>
                <c:pt idx="5">
                  <c:v>2</c:v>
                </c:pt>
                <c:pt idx="6" formatCode="#,##0_);\(#,##0\)">
                  <c:v>1</c:v>
                </c:pt>
              </c:numCache>
            </c:numRef>
          </c:val>
          <c:extLst>
            <c:ext xmlns:c16="http://schemas.microsoft.com/office/drawing/2014/chart" uri="{C3380CC4-5D6E-409C-BE32-E72D297353CC}">
              <c16:uniqueId val="{00000000-704D-4A04-B339-F7990042284E}"/>
            </c:ext>
          </c:extLst>
        </c:ser>
        <c:dLbls>
          <c:showLegendKey val="0"/>
          <c:showVal val="0"/>
          <c:showCatName val="0"/>
          <c:showSerName val="0"/>
          <c:showPercent val="0"/>
          <c:showBubbleSize val="0"/>
        </c:dLbls>
        <c:gapWidth val="50"/>
        <c:overlap val="100"/>
        <c:axId val="471979776"/>
        <c:axId val="471980168"/>
      </c:barChart>
      <c:catAx>
        <c:axId val="471979776"/>
        <c:scaling>
          <c:orientation val="maxMin"/>
        </c:scaling>
        <c:delete val="0"/>
        <c:axPos val="l"/>
        <c:numFmt formatCode="General" sourceLinked="1"/>
        <c:majorTickMark val="none"/>
        <c:minorTickMark val="none"/>
        <c:tickLblPos val="none"/>
        <c:spPr>
          <a:noFill/>
          <a:ln w="9525" cap="flat" cmpd="sng" algn="ctr">
            <a:solidFill>
              <a:schemeClr val="tx1"/>
            </a:solidFill>
            <a:round/>
          </a:ln>
          <a:effectLst/>
        </c:spPr>
        <c:crossAx val="471980168"/>
        <c:crosses val="autoZero"/>
        <c:auto val="1"/>
        <c:lblAlgn val="ctr"/>
        <c:lblOffset val="100"/>
        <c:noMultiLvlLbl val="0"/>
      </c:catAx>
      <c:valAx>
        <c:axId val="471980168"/>
        <c:scaling>
          <c:orientation val="minMax"/>
          <c:max val="14"/>
          <c:min val="0"/>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79776"/>
        <c:crosses val="max"/>
        <c:crossBetween val="between"/>
        <c:majorUnit val="2"/>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427714302205832E-2"/>
          <c:y val="4.2249594775035489E-2"/>
          <c:w val="0.87772363225058703"/>
          <c:h val="0.8159978833547179"/>
        </c:manualLayout>
      </c:layout>
      <c:barChart>
        <c:barDir val="bar"/>
        <c:grouping val="stacked"/>
        <c:varyColors val="0"/>
        <c:ser>
          <c:idx val="0"/>
          <c:order val="0"/>
          <c:tx>
            <c:strRef>
              <c:f>'14a By elections NI '!$N$176</c:f>
              <c:strCache>
                <c:ptCount val="1"/>
                <c:pt idx="0">
                  <c:v>Anti-H Block</c:v>
                </c:pt>
              </c:strCache>
            </c:strRef>
          </c:tx>
          <c:spPr>
            <a:solidFill>
              <a:schemeClr val="accent1"/>
            </a:solidFill>
            <a:ln w="9525">
              <a:noFill/>
            </a:ln>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'!$N$177:$N$183</c:f>
              <c:numCache>
                <c:formatCode>General</c:formatCode>
                <c:ptCount val="7"/>
                <c:pt idx="0">
                  <c:v>1</c:v>
                </c:pt>
              </c:numCache>
            </c:numRef>
          </c:val>
          <c:extLst>
            <c:ext xmlns:c16="http://schemas.microsoft.com/office/drawing/2014/chart" uri="{C3380CC4-5D6E-409C-BE32-E72D297353CC}">
              <c16:uniqueId val="{00000000-7178-4722-AB56-E47203053F19}"/>
            </c:ext>
          </c:extLst>
        </c:ser>
        <c:ser>
          <c:idx val="1"/>
          <c:order val="1"/>
          <c:tx>
            <c:strRef>
              <c:f>'14a By elections NI '!$O$176</c:f>
              <c:strCache>
                <c:ptCount val="1"/>
                <c:pt idx="0">
                  <c:v>Social Democratic Labour Party </c:v>
                </c:pt>
              </c:strCache>
            </c:strRef>
          </c:tx>
          <c:spPr>
            <a:solidFill>
              <a:schemeClr val="accent1"/>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'!$O$177:$O$183</c:f>
              <c:numCache>
                <c:formatCode>General</c:formatCode>
                <c:ptCount val="7"/>
                <c:pt idx="1">
                  <c:v>1</c:v>
                </c:pt>
              </c:numCache>
            </c:numRef>
          </c:val>
          <c:extLst>
            <c:ext xmlns:c16="http://schemas.microsoft.com/office/drawing/2014/chart" uri="{C3380CC4-5D6E-409C-BE32-E72D297353CC}">
              <c16:uniqueId val="{00000001-7178-4722-AB56-E47203053F19}"/>
            </c:ext>
          </c:extLst>
        </c:ser>
        <c:ser>
          <c:idx val="2"/>
          <c:order val="2"/>
          <c:tx>
            <c:strRef>
              <c:f>'14a By elections NI '!$P$176</c:f>
              <c:strCache>
                <c:ptCount val="1"/>
                <c:pt idx="0">
                  <c:v>Ulster Unionist Party</c:v>
                </c:pt>
              </c:strCache>
            </c:strRef>
          </c:tx>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'!$P$177:$P$183</c:f>
              <c:numCache>
                <c:formatCode>General</c:formatCode>
                <c:ptCount val="7"/>
                <c:pt idx="1">
                  <c:v>-1</c:v>
                </c:pt>
                <c:pt idx="4">
                  <c:v>-1</c:v>
                </c:pt>
              </c:numCache>
            </c:numRef>
          </c:val>
          <c:extLst>
            <c:ext xmlns:c16="http://schemas.microsoft.com/office/drawing/2014/chart" uri="{C3380CC4-5D6E-409C-BE32-E72D297353CC}">
              <c16:uniqueId val="{00000002-7178-4722-AB56-E47203053F19}"/>
            </c:ext>
          </c:extLst>
        </c:ser>
        <c:ser>
          <c:idx val="3"/>
          <c:order val="3"/>
          <c:tx>
            <c:strRef>
              <c:f>'14a By elections NI '!$Q$176</c:f>
              <c:strCache>
                <c:ptCount val="1"/>
                <c:pt idx="0">
                  <c:v>UK Unionist </c:v>
                </c:pt>
              </c:strCache>
            </c:strRef>
          </c:tx>
          <c:spPr>
            <a:solidFill>
              <a:schemeClr val="accent1"/>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'!$Q$177:$Q$183</c:f>
              <c:numCache>
                <c:formatCode>General</c:formatCode>
                <c:ptCount val="7"/>
                <c:pt idx="3">
                  <c:v>1</c:v>
                </c:pt>
              </c:numCache>
            </c:numRef>
          </c:val>
          <c:extLst>
            <c:ext xmlns:c16="http://schemas.microsoft.com/office/drawing/2014/chart" uri="{C3380CC4-5D6E-409C-BE32-E72D297353CC}">
              <c16:uniqueId val="{00000003-7178-4722-AB56-E47203053F19}"/>
            </c:ext>
          </c:extLst>
        </c:ser>
        <c:ser>
          <c:idx val="4"/>
          <c:order val="4"/>
          <c:tx>
            <c:strRef>
              <c:f>'14a By elections NI '!$R$176</c:f>
              <c:strCache>
                <c:ptCount val="1"/>
                <c:pt idx="0">
                  <c:v>Ulster Popular Unionist Party</c:v>
                </c:pt>
              </c:strCache>
            </c:strRef>
          </c:tx>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'!$R$177:$R$183</c:f>
              <c:numCache>
                <c:formatCode>General</c:formatCode>
                <c:ptCount val="7"/>
                <c:pt idx="3">
                  <c:v>-1</c:v>
                </c:pt>
              </c:numCache>
            </c:numRef>
          </c:val>
          <c:extLst>
            <c:ext xmlns:c16="http://schemas.microsoft.com/office/drawing/2014/chart" uri="{C3380CC4-5D6E-409C-BE32-E72D297353CC}">
              <c16:uniqueId val="{00000004-7178-4722-AB56-E47203053F19}"/>
            </c:ext>
          </c:extLst>
        </c:ser>
        <c:ser>
          <c:idx val="5"/>
          <c:order val="5"/>
          <c:tx>
            <c:strRef>
              <c:f>'14a By elections NI '!$S$176</c:f>
              <c:strCache>
                <c:ptCount val="1"/>
                <c:pt idx="0">
                  <c:v>Democratic Unionist </c:v>
                </c:pt>
              </c:strCache>
            </c:strRef>
          </c:tx>
          <c:spPr>
            <a:solidFill>
              <a:schemeClr val="accent1"/>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'!$S$177:$S$183</c:f>
              <c:numCache>
                <c:formatCode>General</c:formatCode>
                <c:ptCount val="7"/>
                <c:pt idx="4">
                  <c:v>1</c:v>
                </c:pt>
              </c:numCache>
            </c:numRef>
          </c:val>
          <c:extLst>
            <c:ext xmlns:c16="http://schemas.microsoft.com/office/drawing/2014/chart" uri="{C3380CC4-5D6E-409C-BE32-E72D297353CC}">
              <c16:uniqueId val="{00000005-7178-4722-AB56-E47203053F19}"/>
            </c:ext>
          </c:extLst>
        </c:ser>
        <c:ser>
          <c:idx val="6"/>
          <c:order val="6"/>
          <c:tx>
            <c:strRef>
              <c:f>'14a By elections NI '!$T$176</c:f>
              <c:strCache>
                <c:ptCount val="1"/>
                <c:pt idx="0">
                  <c:v>Independent</c:v>
                </c:pt>
              </c:strCache>
            </c:strRef>
          </c:tx>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'!$T$177:$T$183</c:f>
              <c:numCache>
                <c:formatCode>#,##0_);\(#,##0\)</c:formatCode>
                <c:ptCount val="7"/>
                <c:pt idx="0">
                  <c:v>-1</c:v>
                </c:pt>
              </c:numCache>
            </c:numRef>
          </c:val>
          <c:extLst>
            <c:ext xmlns:c16="http://schemas.microsoft.com/office/drawing/2014/chart" uri="{C3380CC4-5D6E-409C-BE32-E72D297353CC}">
              <c16:uniqueId val="{00000006-7178-4722-AB56-E47203053F19}"/>
            </c:ext>
          </c:extLst>
        </c:ser>
        <c:ser>
          <c:idx val="7"/>
          <c:order val="7"/>
          <c:tx>
            <c:strRef>
              <c:f>'14a By elections NI '!$U$176</c:f>
              <c:strCache>
                <c:ptCount val="1"/>
                <c:pt idx="0">
                  <c:v>No change</c:v>
                </c:pt>
              </c:strCache>
            </c:strRef>
          </c:tx>
          <c:spPr>
            <a:solidFill>
              <a:schemeClr val="accent1"/>
            </a:solidFill>
          </c:spPr>
          <c:invertIfNegative val="0"/>
          <c:cat>
            <c:strRef>
              <c:f>'14a By elections NI '!$M$177:$M$184</c:f>
              <c:strCache>
                <c:ptCount val="8"/>
                <c:pt idx="0">
                  <c:v>1979-83</c:v>
                </c:pt>
                <c:pt idx="1">
                  <c:v>1983-87</c:v>
                </c:pt>
                <c:pt idx="2">
                  <c:v>1987-92</c:v>
                </c:pt>
                <c:pt idx="3">
                  <c:v>1992-97</c:v>
                </c:pt>
                <c:pt idx="4">
                  <c:v>1997-2001</c:v>
                </c:pt>
                <c:pt idx="5">
                  <c:v>2010-15</c:v>
                </c:pt>
                <c:pt idx="6">
                  <c:v>2017 -19</c:v>
                </c:pt>
                <c:pt idx="7">
                  <c:v>2019-21</c:v>
                </c:pt>
              </c:strCache>
            </c:strRef>
          </c:cat>
          <c:val>
            <c:numRef>
              <c:f>'14a By elections NI '!$U$177:$U$184</c:f>
              <c:numCache>
                <c:formatCode>General</c:formatCode>
                <c:ptCount val="8"/>
                <c:pt idx="0">
                  <c:v>2</c:v>
                </c:pt>
                <c:pt idx="1">
                  <c:v>14</c:v>
                </c:pt>
                <c:pt idx="2">
                  <c:v>1</c:v>
                </c:pt>
                <c:pt idx="5">
                  <c:v>2</c:v>
                </c:pt>
                <c:pt idx="6" formatCode="#,##0_);\(#,##0\)">
                  <c:v>1</c:v>
                </c:pt>
              </c:numCache>
            </c:numRef>
          </c:val>
          <c:extLst>
            <c:ext xmlns:c16="http://schemas.microsoft.com/office/drawing/2014/chart" uri="{C3380CC4-5D6E-409C-BE32-E72D297353CC}">
              <c16:uniqueId val="{00000007-7178-4722-AB56-E47203053F19}"/>
            </c:ext>
          </c:extLst>
        </c:ser>
        <c:dLbls>
          <c:showLegendKey val="0"/>
          <c:showVal val="0"/>
          <c:showCatName val="0"/>
          <c:showSerName val="0"/>
          <c:showPercent val="0"/>
          <c:showBubbleSize val="0"/>
        </c:dLbls>
        <c:gapWidth val="50"/>
        <c:overlap val="100"/>
        <c:axId val="471980952"/>
        <c:axId val="471981344"/>
      </c:barChart>
      <c:catAx>
        <c:axId val="471980952"/>
        <c:scaling>
          <c:orientation val="maxMin"/>
        </c:scaling>
        <c:delete val="0"/>
        <c:axPos val="l"/>
        <c:numFmt formatCode="General" sourceLinked="1"/>
        <c:majorTickMark val="none"/>
        <c:minorTickMark val="none"/>
        <c:tickLblPos val="none"/>
        <c:spPr>
          <a:noFill/>
          <a:ln w="9525" cap="flat" cmpd="sng" algn="ctr">
            <a:solidFill>
              <a:schemeClr val="tx1"/>
            </a:solidFill>
            <a:round/>
          </a:ln>
          <a:effectLst/>
        </c:spPr>
        <c:crossAx val="471981344"/>
        <c:crosses val="autoZero"/>
        <c:auto val="1"/>
        <c:lblAlgn val="ctr"/>
        <c:lblOffset val="100"/>
        <c:noMultiLvlLbl val="0"/>
      </c:catAx>
      <c:valAx>
        <c:axId val="471981344"/>
        <c:scaling>
          <c:orientation val="minMax"/>
          <c:max val="16"/>
          <c:min val="0"/>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80952"/>
        <c:crosses val="max"/>
        <c:crossBetween val="between"/>
        <c:majorUnit val="2"/>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74918709832795"/>
          <c:y val="0.1111025466735394"/>
          <c:w val="0.62638437071640618"/>
          <c:h val="0.53986148824397018"/>
        </c:manualLayout>
      </c:layout>
      <c:barChart>
        <c:barDir val="bar"/>
        <c:grouping val="stacked"/>
        <c:varyColors val="0"/>
        <c:ser>
          <c:idx val="0"/>
          <c:order val="0"/>
          <c:tx>
            <c:strRef>
              <c:f>'15 MEPs Visual'!$A$14</c:f>
              <c:strCache>
                <c:ptCount val="1"/>
                <c:pt idx="0">
                  <c:v>Conservative</c:v>
                </c:pt>
              </c:strCache>
            </c:strRef>
          </c:tx>
          <c:spPr>
            <a:solidFill>
              <a:srgbClr val="00539F"/>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Visual'!$B$14:$J$14</c:f>
              <c:numCache>
                <c:formatCode>#,##0_);\(#,##0\)</c:formatCode>
                <c:ptCount val="9"/>
                <c:pt idx="0">
                  <c:v>4</c:v>
                </c:pt>
                <c:pt idx="1">
                  <c:v>19</c:v>
                </c:pt>
                <c:pt idx="2">
                  <c:v>25</c:v>
                </c:pt>
                <c:pt idx="3">
                  <c:v>27</c:v>
                </c:pt>
                <c:pt idx="4">
                  <c:v>36</c:v>
                </c:pt>
                <c:pt idx="5">
                  <c:v>18</c:v>
                </c:pt>
                <c:pt idx="6">
                  <c:v>32</c:v>
                </c:pt>
                <c:pt idx="7">
                  <c:v>45</c:v>
                </c:pt>
                <c:pt idx="8">
                  <c:v>60</c:v>
                </c:pt>
              </c:numCache>
            </c:numRef>
          </c:val>
          <c:extLst>
            <c:ext xmlns:c16="http://schemas.microsoft.com/office/drawing/2014/chart" uri="{C3380CC4-5D6E-409C-BE32-E72D297353CC}">
              <c16:uniqueId val="{00000000-6B40-47F9-81D5-71267D44BAD4}"/>
            </c:ext>
          </c:extLst>
        </c:ser>
        <c:ser>
          <c:idx val="1"/>
          <c:order val="1"/>
          <c:tx>
            <c:strRef>
              <c:f>'15 MEPs Visual'!$A$15</c:f>
              <c:strCache>
                <c:ptCount val="1"/>
                <c:pt idx="0">
                  <c:v>Labour            </c:v>
                </c:pt>
              </c:strCache>
            </c:strRef>
          </c:tx>
          <c:spPr>
            <a:solidFill>
              <a:srgbClr val="D50000"/>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Visual'!$B$15:$J$15</c:f>
              <c:numCache>
                <c:formatCode>#,##0_);\(#,##0\)</c:formatCode>
                <c:ptCount val="9"/>
                <c:pt idx="0">
                  <c:v>10</c:v>
                </c:pt>
                <c:pt idx="1">
                  <c:v>20</c:v>
                </c:pt>
                <c:pt idx="2">
                  <c:v>13</c:v>
                </c:pt>
                <c:pt idx="3">
                  <c:v>19</c:v>
                </c:pt>
                <c:pt idx="4">
                  <c:v>29</c:v>
                </c:pt>
                <c:pt idx="5">
                  <c:v>62</c:v>
                </c:pt>
                <c:pt idx="6">
                  <c:v>45</c:v>
                </c:pt>
                <c:pt idx="7">
                  <c:v>32</c:v>
                </c:pt>
                <c:pt idx="8">
                  <c:v>17</c:v>
                </c:pt>
              </c:numCache>
            </c:numRef>
          </c:val>
          <c:extLst>
            <c:ext xmlns:c16="http://schemas.microsoft.com/office/drawing/2014/chart" uri="{C3380CC4-5D6E-409C-BE32-E72D297353CC}">
              <c16:uniqueId val="{00000001-6B40-47F9-81D5-71267D44BAD4}"/>
            </c:ext>
          </c:extLst>
        </c:ser>
        <c:ser>
          <c:idx val="2"/>
          <c:order val="2"/>
          <c:tx>
            <c:strRef>
              <c:f>'15 MEPs Visual'!$A$16</c:f>
              <c:strCache>
                <c:ptCount val="1"/>
                <c:pt idx="0">
                  <c:v>Liberal Democrat</c:v>
                </c:pt>
              </c:strCache>
            </c:strRef>
          </c:tx>
          <c:spPr>
            <a:solidFill>
              <a:srgbClr val="FAA01A"/>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Visual'!$B$16:$J$16</c:f>
              <c:numCache>
                <c:formatCode>#,##0_);\(#,##0\)</c:formatCode>
                <c:ptCount val="9"/>
                <c:pt idx="0">
                  <c:v>16</c:v>
                </c:pt>
                <c:pt idx="1">
                  <c:v>1</c:v>
                </c:pt>
                <c:pt idx="2">
                  <c:v>11</c:v>
                </c:pt>
                <c:pt idx="3">
                  <c:v>12</c:v>
                </c:pt>
                <c:pt idx="4">
                  <c:v>10</c:v>
                </c:pt>
                <c:pt idx="5">
                  <c:v>2</c:v>
                </c:pt>
                <c:pt idx="6">
                  <c:v>0</c:v>
                </c:pt>
                <c:pt idx="7">
                  <c:v>0</c:v>
                </c:pt>
                <c:pt idx="8">
                  <c:v>0</c:v>
                </c:pt>
              </c:numCache>
            </c:numRef>
          </c:val>
          <c:extLst>
            <c:ext xmlns:c16="http://schemas.microsoft.com/office/drawing/2014/chart" uri="{C3380CC4-5D6E-409C-BE32-E72D297353CC}">
              <c16:uniqueId val="{00000002-6B40-47F9-81D5-71267D44BAD4}"/>
            </c:ext>
          </c:extLst>
        </c:ser>
        <c:ser>
          <c:idx val="3"/>
          <c:order val="3"/>
          <c:tx>
            <c:strRef>
              <c:f>'15 MEPs Visual'!$A$17</c:f>
              <c:strCache>
                <c:ptCount val="1"/>
                <c:pt idx="0">
                  <c:v>UKIP</c:v>
                </c:pt>
              </c:strCache>
            </c:strRef>
          </c:tx>
          <c:spPr>
            <a:solidFill>
              <a:srgbClr val="722889"/>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Visual'!$B$17:$J$17</c:f>
              <c:numCache>
                <c:formatCode>#,##0_);\(#,##0\)</c:formatCode>
                <c:ptCount val="9"/>
                <c:pt idx="0">
                  <c:v>0</c:v>
                </c:pt>
                <c:pt idx="1">
                  <c:v>24</c:v>
                </c:pt>
                <c:pt idx="2">
                  <c:v>13</c:v>
                </c:pt>
                <c:pt idx="3">
                  <c:v>12</c:v>
                </c:pt>
                <c:pt idx="4">
                  <c:v>3</c:v>
                </c:pt>
                <c:pt idx="5">
                  <c:v>0</c:v>
                </c:pt>
                <c:pt idx="6">
                  <c:v>0</c:v>
                </c:pt>
                <c:pt idx="7">
                  <c:v>0</c:v>
                </c:pt>
                <c:pt idx="8">
                  <c:v>0</c:v>
                </c:pt>
              </c:numCache>
            </c:numRef>
          </c:val>
          <c:extLst>
            <c:ext xmlns:c16="http://schemas.microsoft.com/office/drawing/2014/chart" uri="{C3380CC4-5D6E-409C-BE32-E72D297353CC}">
              <c16:uniqueId val="{00000003-6B40-47F9-81D5-71267D44BAD4}"/>
            </c:ext>
          </c:extLst>
        </c:ser>
        <c:ser>
          <c:idx val="4"/>
          <c:order val="4"/>
          <c:tx>
            <c:strRef>
              <c:f>'15 MEPs Visual'!$A$19</c:f>
              <c:strCache>
                <c:ptCount val="1"/>
                <c:pt idx="0">
                  <c:v>Scottish National</c:v>
                </c:pt>
              </c:strCache>
            </c:strRef>
          </c:tx>
          <c:spPr>
            <a:solidFill>
              <a:srgbClr val="FFF685"/>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Visual'!$B$19:$J$19</c:f>
              <c:numCache>
                <c:formatCode>#,##0_);\(#,##0\)</c:formatCode>
                <c:ptCount val="9"/>
                <c:pt idx="0">
                  <c:v>3</c:v>
                </c:pt>
                <c:pt idx="1">
                  <c:v>2</c:v>
                </c:pt>
                <c:pt idx="2">
                  <c:v>2</c:v>
                </c:pt>
                <c:pt idx="3">
                  <c:v>2</c:v>
                </c:pt>
                <c:pt idx="4">
                  <c:v>2</c:v>
                </c:pt>
                <c:pt idx="5">
                  <c:v>2</c:v>
                </c:pt>
                <c:pt idx="6">
                  <c:v>1</c:v>
                </c:pt>
                <c:pt idx="7">
                  <c:v>1</c:v>
                </c:pt>
                <c:pt idx="8">
                  <c:v>1</c:v>
                </c:pt>
              </c:numCache>
            </c:numRef>
          </c:val>
          <c:extLst>
            <c:ext xmlns:c16="http://schemas.microsoft.com/office/drawing/2014/chart" uri="{C3380CC4-5D6E-409C-BE32-E72D297353CC}">
              <c16:uniqueId val="{00000004-6B40-47F9-81D5-71267D44BAD4}"/>
            </c:ext>
          </c:extLst>
        </c:ser>
        <c:ser>
          <c:idx val="5"/>
          <c:order val="5"/>
          <c:tx>
            <c:strRef>
              <c:f>'15 MEPs Visual'!$A$20</c:f>
              <c:strCache>
                <c:ptCount val="1"/>
                <c:pt idx="0">
                  <c:v>Plaid Cymru</c:v>
                </c:pt>
              </c:strCache>
            </c:strRef>
          </c:tx>
          <c:spPr>
            <a:solidFill>
              <a:srgbClr val="348837"/>
            </a:solidFill>
            <a:ln w="25400">
              <a:noFill/>
            </a:ln>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Visual'!$B$20:$J$20</c:f>
              <c:numCache>
                <c:formatCode>#,##0_);\(#,##0\)</c:formatCode>
                <c:ptCount val="9"/>
                <c:pt idx="0">
                  <c:v>1</c:v>
                </c:pt>
                <c:pt idx="1">
                  <c:v>1</c:v>
                </c:pt>
                <c:pt idx="2">
                  <c:v>1</c:v>
                </c:pt>
                <c:pt idx="3">
                  <c:v>1</c:v>
                </c:pt>
                <c:pt idx="4">
                  <c:v>2</c:v>
                </c:pt>
                <c:pt idx="5">
                  <c:v>0</c:v>
                </c:pt>
                <c:pt idx="6">
                  <c:v>0</c:v>
                </c:pt>
                <c:pt idx="7">
                  <c:v>0</c:v>
                </c:pt>
                <c:pt idx="8">
                  <c:v>0</c:v>
                </c:pt>
              </c:numCache>
            </c:numRef>
          </c:val>
          <c:extLst>
            <c:ext xmlns:c16="http://schemas.microsoft.com/office/drawing/2014/chart" uri="{C3380CC4-5D6E-409C-BE32-E72D297353CC}">
              <c16:uniqueId val="{00000005-6B40-47F9-81D5-71267D44BAD4}"/>
            </c:ext>
          </c:extLst>
        </c:ser>
        <c:ser>
          <c:idx val="6"/>
          <c:order val="6"/>
          <c:tx>
            <c:strRef>
              <c:f>'15 MEPs Visual'!$A$21</c:f>
              <c:strCache>
                <c:ptCount val="1"/>
                <c:pt idx="0">
                  <c:v>Green</c:v>
                </c:pt>
              </c:strCache>
            </c:strRef>
          </c:tx>
          <c:spPr>
            <a:solidFill>
              <a:srgbClr val="4EAF2D"/>
            </a:solidFill>
            <a:ln>
              <a:noFill/>
            </a:ln>
            <a:effectLst/>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Visual'!$B$21:$J$21</c:f>
              <c:numCache>
                <c:formatCode>#,##0_);\(#,##0\)</c:formatCode>
                <c:ptCount val="9"/>
                <c:pt idx="0">
                  <c:v>7</c:v>
                </c:pt>
                <c:pt idx="1">
                  <c:v>3</c:v>
                </c:pt>
                <c:pt idx="2">
                  <c:v>2</c:v>
                </c:pt>
                <c:pt idx="3">
                  <c:v>2</c:v>
                </c:pt>
                <c:pt idx="4">
                  <c:v>2</c:v>
                </c:pt>
                <c:pt idx="5">
                  <c:v>0</c:v>
                </c:pt>
                <c:pt idx="6">
                  <c:v>0</c:v>
                </c:pt>
                <c:pt idx="7">
                  <c:v>0</c:v>
                </c:pt>
                <c:pt idx="8">
                  <c:v>0</c:v>
                </c:pt>
              </c:numCache>
            </c:numRef>
          </c:val>
          <c:extLst>
            <c:ext xmlns:c16="http://schemas.microsoft.com/office/drawing/2014/chart" uri="{C3380CC4-5D6E-409C-BE32-E72D297353CC}">
              <c16:uniqueId val="{00000006-6B40-47F9-81D5-71267D44BAD4}"/>
            </c:ext>
          </c:extLst>
        </c:ser>
        <c:ser>
          <c:idx val="7"/>
          <c:order val="7"/>
          <c:tx>
            <c:strRef>
              <c:f>'15 MEPs Visual'!$A$22</c:f>
              <c:strCache>
                <c:ptCount val="1"/>
                <c:pt idx="0">
                  <c:v>BNP</c:v>
                </c:pt>
              </c:strCache>
            </c:strRef>
          </c:tx>
          <c:spPr>
            <a:solidFill>
              <a:schemeClr val="bg1">
                <a:lumMod val="65000"/>
              </a:schemeClr>
            </a:solidFill>
            <a:ln>
              <a:noFill/>
            </a:ln>
            <a:effectLst/>
          </c:spPr>
          <c:invertIfNegative val="0"/>
          <c:cat>
            <c:numRef>
              <c:f>'15 MEPs Visual'!$B$10:$J$10</c:f>
              <c:numCache>
                <c:formatCode>0_ ;\-0\ </c:formatCode>
                <c:ptCount val="9"/>
                <c:pt idx="0" formatCode="General">
                  <c:v>2019</c:v>
                </c:pt>
                <c:pt idx="1">
                  <c:v>2014</c:v>
                </c:pt>
                <c:pt idx="2">
                  <c:v>2009</c:v>
                </c:pt>
                <c:pt idx="3">
                  <c:v>2004</c:v>
                </c:pt>
                <c:pt idx="4">
                  <c:v>1999</c:v>
                </c:pt>
                <c:pt idx="5">
                  <c:v>1994</c:v>
                </c:pt>
                <c:pt idx="6">
                  <c:v>1989</c:v>
                </c:pt>
                <c:pt idx="7">
                  <c:v>1984</c:v>
                </c:pt>
                <c:pt idx="8">
                  <c:v>1979</c:v>
                </c:pt>
              </c:numCache>
            </c:numRef>
          </c:cat>
          <c:val>
            <c:numRef>
              <c:f>'15 MEPs Visual'!$B$22:$J$22</c:f>
              <c:numCache>
                <c:formatCode>#,##0_);\(#,##0\)</c:formatCode>
                <c:ptCount val="9"/>
                <c:pt idx="0">
                  <c:v>0</c:v>
                </c:pt>
                <c:pt idx="1">
                  <c:v>0</c:v>
                </c:pt>
                <c:pt idx="2">
                  <c:v>2</c:v>
                </c:pt>
                <c:pt idx="3">
                  <c:v>0</c:v>
                </c:pt>
                <c:pt idx="4">
                  <c:v>0</c:v>
                </c:pt>
                <c:pt idx="5">
                  <c:v>0</c:v>
                </c:pt>
                <c:pt idx="6">
                  <c:v>0</c:v>
                </c:pt>
                <c:pt idx="7">
                  <c:v>0</c:v>
                </c:pt>
                <c:pt idx="8">
                  <c:v>0</c:v>
                </c:pt>
              </c:numCache>
            </c:numRef>
          </c:val>
          <c:extLst>
            <c:ext xmlns:c16="http://schemas.microsoft.com/office/drawing/2014/chart" uri="{C3380CC4-5D6E-409C-BE32-E72D297353CC}">
              <c16:uniqueId val="{00000007-6B40-47F9-81D5-71267D44BAD4}"/>
            </c:ext>
          </c:extLst>
        </c:ser>
        <c:ser>
          <c:idx val="8"/>
          <c:order val="8"/>
          <c:tx>
            <c:strRef>
              <c:f>'15 MEPs Visual'!$A$18</c:f>
              <c:strCache>
                <c:ptCount val="1"/>
                <c:pt idx="0">
                  <c:v>Brexit Party</c:v>
                </c:pt>
              </c:strCache>
            </c:strRef>
          </c:tx>
          <c:spPr>
            <a:solidFill>
              <a:srgbClr val="00B0F0"/>
            </a:solidFill>
            <a:ln>
              <a:noFill/>
            </a:ln>
          </c:spPr>
          <c:invertIfNegative val="0"/>
          <c:val>
            <c:numRef>
              <c:f>'15 MEPs Visual'!$B$18:$J$18</c:f>
              <c:numCache>
                <c:formatCode>#,##0_);\(#,##0\)</c:formatCode>
                <c:ptCount val="9"/>
                <c:pt idx="0">
                  <c:v>29</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C345-4EA5-B2AD-7AC0EF582E49}"/>
            </c:ext>
          </c:extLst>
        </c:ser>
        <c:dLbls>
          <c:showLegendKey val="0"/>
          <c:showVal val="0"/>
          <c:showCatName val="0"/>
          <c:showSerName val="0"/>
          <c:showPercent val="0"/>
          <c:showBubbleSize val="0"/>
        </c:dLbls>
        <c:gapWidth val="90"/>
        <c:overlap val="100"/>
        <c:axId val="471982128"/>
        <c:axId val="471982520"/>
      </c:barChart>
      <c:catAx>
        <c:axId val="471982128"/>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71982520"/>
        <c:crosses val="autoZero"/>
        <c:auto val="1"/>
        <c:lblAlgn val="ctr"/>
        <c:lblOffset val="100"/>
        <c:noMultiLvlLbl val="0"/>
      </c:catAx>
      <c:valAx>
        <c:axId val="471982520"/>
        <c:scaling>
          <c:orientation val="minMax"/>
        </c:scaling>
        <c:delete val="0"/>
        <c:axPos val="b"/>
        <c:numFmt formatCode="#,##0_);\(#,##0\)" sourceLinked="1"/>
        <c:majorTickMark val="out"/>
        <c:minorTickMark val="none"/>
        <c:tickLblPos val="nextTo"/>
        <c:spPr>
          <a:noFill/>
          <a:ln>
            <a:solidFill>
              <a:schemeClr val="tx1"/>
            </a:solidFill>
          </a:ln>
          <a:effectLst/>
        </c:spPr>
        <c:txPr>
          <a:bodyPr rot="0" vert="horz"/>
          <a:lstStyle/>
          <a:p>
            <a:pPr>
              <a:defRPr/>
            </a:pPr>
            <a:endParaRPr lang="en-US"/>
          </a:p>
        </c:txPr>
        <c:crossAx val="471982128"/>
        <c:crosses val="autoZero"/>
        <c:crossBetween val="between"/>
        <c:majorUnit val="25"/>
      </c:valAx>
      <c:spPr>
        <a:noFill/>
        <a:ln w="25400">
          <a:noFill/>
        </a:ln>
      </c:spPr>
    </c:plotArea>
    <c:legend>
      <c:legendPos val="r"/>
      <c:layout>
        <c:manualLayout>
          <c:xMode val="edge"/>
          <c:yMode val="edge"/>
          <c:x val="6.5036566261967285E-2"/>
          <c:y val="0.70193931933950526"/>
          <c:w val="0.84465867364144853"/>
          <c:h val="0.25837492872337764"/>
        </c:manualLayout>
      </c:layout>
      <c:overlay val="0"/>
      <c:spPr>
        <a:ln>
          <a:noFill/>
        </a:ln>
      </c:sp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orientation="portrait"/>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CONSERVATIVE</a:t>
            </a:r>
          </a:p>
        </c:rich>
      </c:tx>
      <c:layout>
        <c:manualLayout>
          <c:xMode val="edge"/>
          <c:yMode val="edge"/>
          <c:x val="0.31131997973187625"/>
          <c:y val="0.158400126387502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00539F"/>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NAW'!$U$12:$Z$12</c:f>
              <c:numCache>
                <c:formatCode>0.0%</c:formatCode>
                <c:ptCount val="6"/>
                <c:pt idx="0">
                  <c:v>0.16152848638753101</c:v>
                </c:pt>
                <c:pt idx="1">
                  <c:v>0.19551653080841783</c:v>
                </c:pt>
                <c:pt idx="2">
                  <c:v>0.21910431680832085</c:v>
                </c:pt>
                <c:pt idx="3">
                  <c:v>0.2376862414330653</c:v>
                </c:pt>
                <c:pt idx="4">
                  <c:v>0.1998124007250299</c:v>
                </c:pt>
                <c:pt idx="5">
                  <c:v>0.25600000000000001</c:v>
                </c:pt>
              </c:numCache>
            </c:numRef>
          </c:val>
          <c:extLst>
            <c:ext xmlns:c16="http://schemas.microsoft.com/office/drawing/2014/chart" uri="{C3380CC4-5D6E-409C-BE32-E72D297353CC}">
              <c16:uniqueId val="{00000000-86E2-47E1-BCA2-43541EC8503A}"/>
            </c:ext>
          </c:extLst>
        </c:ser>
        <c:ser>
          <c:idx val="1"/>
          <c:order val="1"/>
          <c:tx>
            <c:v>% Seats</c:v>
          </c:tx>
          <c:spPr>
            <a:solidFill>
              <a:srgbClr val="00539F">
                <a:alpha val="59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NAW'!$AB$12:$AG$12</c:f>
              <c:numCache>
                <c:formatCode>0.0%</c:formatCode>
                <c:ptCount val="6"/>
                <c:pt idx="0">
                  <c:v>0.15</c:v>
                </c:pt>
                <c:pt idx="1">
                  <c:v>0.18333333333333332</c:v>
                </c:pt>
                <c:pt idx="2">
                  <c:v>0.2</c:v>
                </c:pt>
                <c:pt idx="3">
                  <c:v>0.23333333333333334</c:v>
                </c:pt>
                <c:pt idx="4">
                  <c:v>0.18333333333333332</c:v>
                </c:pt>
                <c:pt idx="5">
                  <c:v>0.26666666666666666</c:v>
                </c:pt>
              </c:numCache>
            </c:numRef>
          </c:val>
          <c:extLst>
            <c:ext xmlns:c16="http://schemas.microsoft.com/office/drawing/2014/chart" uri="{C3380CC4-5D6E-409C-BE32-E72D297353CC}">
              <c16:uniqueId val="{00000002-86E2-47E1-BCA2-43541EC8503A}"/>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LABOUR</a:t>
            </a:r>
          </a:p>
        </c:rich>
      </c:tx>
      <c:layout>
        <c:manualLayout>
          <c:xMode val="edge"/>
          <c:yMode val="edge"/>
          <c:x val="0.40183718948575481"/>
          <c:y val="0.140337819227033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D50000"/>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NAW'!$U$10:$Z$10</c:f>
              <c:numCache>
                <c:formatCode>0.0%</c:formatCode>
                <c:ptCount val="6"/>
                <c:pt idx="0">
                  <c:v>0.36493793402726665</c:v>
                </c:pt>
                <c:pt idx="1">
                  <c:v>0.38283688485315259</c:v>
                </c:pt>
                <c:pt idx="2">
                  <c:v>0.3092256659146142</c:v>
                </c:pt>
                <c:pt idx="3">
                  <c:v>0.39597269117520772</c:v>
                </c:pt>
                <c:pt idx="4">
                  <c:v>0.33088510380149089</c:v>
                </c:pt>
                <c:pt idx="5">
                  <c:v>0.38009875710027557</c:v>
                </c:pt>
              </c:numCache>
            </c:numRef>
          </c:val>
          <c:extLst>
            <c:ext xmlns:c16="http://schemas.microsoft.com/office/drawing/2014/chart" uri="{C3380CC4-5D6E-409C-BE32-E72D297353CC}">
              <c16:uniqueId val="{00000000-FC85-4911-803C-48AE4A7F4C7C}"/>
            </c:ext>
          </c:extLst>
        </c:ser>
        <c:ser>
          <c:idx val="1"/>
          <c:order val="1"/>
          <c:tx>
            <c:v>% Seats</c:v>
          </c:tx>
          <c:spPr>
            <a:solidFill>
              <a:srgbClr val="D50000">
                <a:alpha val="50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NAW'!$AB$10:$AG$10</c:f>
              <c:numCache>
                <c:formatCode>0.0%</c:formatCode>
                <c:ptCount val="6"/>
                <c:pt idx="0">
                  <c:v>0.46666666666666667</c:v>
                </c:pt>
                <c:pt idx="1">
                  <c:v>0.5</c:v>
                </c:pt>
                <c:pt idx="2">
                  <c:v>0.43333333333333335</c:v>
                </c:pt>
                <c:pt idx="3">
                  <c:v>0.5</c:v>
                </c:pt>
                <c:pt idx="4">
                  <c:v>0.48333333333333334</c:v>
                </c:pt>
                <c:pt idx="5">
                  <c:v>0.5</c:v>
                </c:pt>
              </c:numCache>
            </c:numRef>
          </c:val>
          <c:extLst>
            <c:ext xmlns:c16="http://schemas.microsoft.com/office/drawing/2014/chart" uri="{C3380CC4-5D6E-409C-BE32-E72D297353CC}">
              <c16:uniqueId val="{00000001-FC85-4911-803C-48AE4A7F4C7C}"/>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717692580602243"/>
          <c:y val="0.24523254286978044"/>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LIBERAL</a:t>
            </a:r>
            <a:r>
              <a:rPr lang="en-GB" baseline="0"/>
              <a:t> DEMOCRATS</a:t>
            </a:r>
            <a:endParaRPr lang="en-GB"/>
          </a:p>
        </c:rich>
      </c:tx>
      <c:layout>
        <c:manualLayout>
          <c:xMode val="edge"/>
          <c:yMode val="edge"/>
          <c:x val="0.21074540841215639"/>
          <c:y val="0.14635862276252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FAA01A"/>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NAW'!$U$14:$Z$14</c:f>
              <c:numCache>
                <c:formatCode>0.0%</c:formatCode>
                <c:ptCount val="6"/>
                <c:pt idx="0">
                  <c:v>0.13000212216365895</c:v>
                </c:pt>
                <c:pt idx="1">
                  <c:v>0.13420364921233571</c:v>
                </c:pt>
                <c:pt idx="2">
                  <c:v>0.13257868643100082</c:v>
                </c:pt>
                <c:pt idx="3">
                  <c:v>9.3042613799501725E-2</c:v>
                </c:pt>
                <c:pt idx="4">
                  <c:v>7.0629455544232084E-2</c:v>
                </c:pt>
                <c:pt idx="5">
                  <c:v>4.6080197964119003E-2</c:v>
                </c:pt>
              </c:numCache>
            </c:numRef>
          </c:val>
          <c:extLst>
            <c:ext xmlns:c16="http://schemas.microsoft.com/office/drawing/2014/chart" uri="{C3380CC4-5D6E-409C-BE32-E72D297353CC}">
              <c16:uniqueId val="{00000000-DA26-4EF7-81F4-3B3895B2D384}"/>
            </c:ext>
          </c:extLst>
        </c:ser>
        <c:ser>
          <c:idx val="1"/>
          <c:order val="1"/>
          <c:tx>
            <c:v>% Seats</c:v>
          </c:tx>
          <c:spPr>
            <a:solidFill>
              <a:srgbClr val="FAA01A">
                <a:alpha val="50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NAW'!$AB$14:$AG$14</c:f>
              <c:numCache>
                <c:formatCode>0.0%</c:formatCode>
                <c:ptCount val="6"/>
                <c:pt idx="0">
                  <c:v>0.1</c:v>
                </c:pt>
                <c:pt idx="1">
                  <c:v>0.1</c:v>
                </c:pt>
                <c:pt idx="2">
                  <c:v>0.1</c:v>
                </c:pt>
                <c:pt idx="3">
                  <c:v>8.3333333333333329E-2</c:v>
                </c:pt>
                <c:pt idx="4">
                  <c:v>1.6666666666666666E-2</c:v>
                </c:pt>
                <c:pt idx="5">
                  <c:v>1.6666666666666666E-2</c:v>
                </c:pt>
              </c:numCache>
            </c:numRef>
          </c:val>
          <c:extLst>
            <c:ext xmlns:c16="http://schemas.microsoft.com/office/drawing/2014/chart" uri="{C3380CC4-5D6E-409C-BE32-E72D297353CC}">
              <c16:uniqueId val="{00000001-DA26-4EF7-81F4-3B3895B2D384}"/>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7214819472513829"/>
          <c:y val="0.26329495347625553"/>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PLAID CYMRU</a:t>
            </a:r>
          </a:p>
        </c:rich>
      </c:tx>
      <c:layout>
        <c:manualLayout>
          <c:xMode val="edge"/>
          <c:yMode val="edge"/>
          <c:x val="0.30126256786807143"/>
          <c:y val="0.15840022983350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Vote share</c:v>
          </c:tx>
          <c:spPr>
            <a:solidFill>
              <a:srgbClr val="4EA268"/>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NAW'!$U$11:$Z$11</c:f>
              <c:numCache>
                <c:formatCode>0.0%</c:formatCode>
                <c:ptCount val="6"/>
                <c:pt idx="0">
                  <c:v>0.29466789107089753</c:v>
                </c:pt>
                <c:pt idx="1">
                  <c:v>0.20450051883838993</c:v>
                </c:pt>
                <c:pt idx="2">
                  <c:v>0.21705298538874421</c:v>
                </c:pt>
                <c:pt idx="3">
                  <c:v>0.18581654366034978</c:v>
                </c:pt>
                <c:pt idx="4">
                  <c:v>0.20693045602453736</c:v>
                </c:pt>
                <c:pt idx="5">
                  <c:v>0.20495450199651313</c:v>
                </c:pt>
              </c:numCache>
            </c:numRef>
          </c:val>
          <c:extLst>
            <c:ext xmlns:c16="http://schemas.microsoft.com/office/drawing/2014/chart" uri="{C3380CC4-5D6E-409C-BE32-E72D297353CC}">
              <c16:uniqueId val="{00000000-43A3-429B-94F2-CABB6BBCE320}"/>
            </c:ext>
          </c:extLst>
        </c:ser>
        <c:ser>
          <c:idx val="1"/>
          <c:order val="1"/>
          <c:tx>
            <c:v>% Seats</c:v>
          </c:tx>
          <c:spPr>
            <a:solidFill>
              <a:srgbClr val="4EA268">
                <a:alpha val="50000"/>
              </a:srgbClr>
            </a:solidFill>
            <a:ln>
              <a:noFill/>
            </a:ln>
            <a:effectLst/>
          </c:spPr>
          <c:invertIfNegative val="0"/>
          <c:cat>
            <c:numRef>
              <c:f>'16 NAW'!$U$6:$Z$6</c:f>
              <c:numCache>
                <c:formatCode>0</c:formatCode>
                <c:ptCount val="6"/>
                <c:pt idx="0" formatCode="General">
                  <c:v>1999</c:v>
                </c:pt>
                <c:pt idx="1">
                  <c:v>2003</c:v>
                </c:pt>
                <c:pt idx="2">
                  <c:v>2007</c:v>
                </c:pt>
                <c:pt idx="3">
                  <c:v>2011</c:v>
                </c:pt>
                <c:pt idx="4">
                  <c:v>2016</c:v>
                </c:pt>
                <c:pt idx="5">
                  <c:v>2021</c:v>
                </c:pt>
              </c:numCache>
            </c:numRef>
          </c:cat>
          <c:val>
            <c:numRef>
              <c:f>'16 NAW'!$AB$11:$AG$11</c:f>
              <c:numCache>
                <c:formatCode>0.0%</c:formatCode>
                <c:ptCount val="6"/>
                <c:pt idx="0">
                  <c:v>0.28333333333333333</c:v>
                </c:pt>
                <c:pt idx="1">
                  <c:v>0.2</c:v>
                </c:pt>
                <c:pt idx="2">
                  <c:v>0.25</c:v>
                </c:pt>
                <c:pt idx="3">
                  <c:v>0.18333333333333332</c:v>
                </c:pt>
                <c:pt idx="4">
                  <c:v>0.2</c:v>
                </c:pt>
                <c:pt idx="5">
                  <c:v>0.21666666666666667</c:v>
                </c:pt>
              </c:numCache>
            </c:numRef>
          </c:val>
          <c:extLst>
            <c:ext xmlns:c16="http://schemas.microsoft.com/office/drawing/2014/chart" uri="{C3380CC4-5D6E-409C-BE32-E72D297353CC}">
              <c16:uniqueId val="{00000001-43A3-429B-94F2-CABB6BBCE320}"/>
            </c:ext>
          </c:extLst>
        </c:ser>
        <c:dLbls>
          <c:showLegendKey val="0"/>
          <c:showVal val="0"/>
          <c:showCatName val="0"/>
          <c:showSerName val="0"/>
          <c:showPercent val="0"/>
          <c:showBubbleSize val="0"/>
        </c:dLbls>
        <c:gapWidth val="230"/>
        <c:axId val="780231408"/>
        <c:axId val="780228456"/>
      </c:barChart>
      <c:catAx>
        <c:axId val="780231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8456"/>
        <c:crosses val="autoZero"/>
        <c:auto val="1"/>
        <c:lblAlgn val="ctr"/>
        <c:lblOffset val="100"/>
        <c:noMultiLvlLbl val="0"/>
      </c:catAx>
      <c:valAx>
        <c:axId val="780228456"/>
        <c:scaling>
          <c:orientation val="minMax"/>
          <c:max val="0.5"/>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408"/>
        <c:crosses val="autoZero"/>
        <c:crossBetween val="between"/>
        <c:majorUnit val="0.1"/>
      </c:valAx>
      <c:spPr>
        <a:solidFill>
          <a:schemeClr val="bg1"/>
        </a:solidFill>
        <a:ln>
          <a:noFill/>
        </a:ln>
        <a:effectLst/>
      </c:spPr>
    </c:plotArea>
    <c:legend>
      <c:legendPos val="t"/>
      <c:layout>
        <c:manualLayout>
          <c:xMode val="edge"/>
          <c:yMode val="edge"/>
          <c:x val="0.24197580823983325"/>
          <c:y val="0.27533656054723887"/>
          <c:w val="0.52658892063632845"/>
          <c:h val="0.10160177077995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codeName="Chart20"/>
  <sheetViews>
    <sheetView zoomScale="70"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3.xml.rels><?xml version="1.0" encoding="UTF-8" standalone="yes"?>
<Relationships xmlns="http://schemas.openxmlformats.org/package/2006/relationships"><Relationship Id="rId1" Type="http://schemas.openxmlformats.org/officeDocument/2006/relationships/chart" Target="../charts/chart139.xml"/></Relationships>
</file>

<file path=xl/drawings/_rels/drawing105.xml.rels><?xml version="1.0" encoding="UTF-8" standalone="yes"?>
<Relationships xmlns="http://schemas.openxmlformats.org/package/2006/relationships"><Relationship Id="rId2" Type="http://schemas.openxmlformats.org/officeDocument/2006/relationships/chart" Target="../charts/chart141.xml"/><Relationship Id="rId1" Type="http://schemas.openxmlformats.org/officeDocument/2006/relationships/chart" Target="../charts/chart140.xml"/></Relationships>
</file>

<file path=xl/drawings/_rels/drawing107.xml.rels><?xml version="1.0" encoding="UTF-8" standalone="yes"?>
<Relationships xmlns="http://schemas.openxmlformats.org/package/2006/relationships"><Relationship Id="rId1" Type="http://schemas.openxmlformats.org/officeDocument/2006/relationships/chart" Target="../charts/chart142.xml"/></Relationships>
</file>

<file path=xl/drawings/_rels/drawing109.xml.rels><?xml version="1.0" encoding="UTF-8" standalone="yes"?>
<Relationships xmlns="http://schemas.openxmlformats.org/package/2006/relationships"><Relationship Id="rId1" Type="http://schemas.openxmlformats.org/officeDocument/2006/relationships/chart" Target="../charts/chart14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1.xml.rels><?xml version="1.0" encoding="UTF-8" standalone="yes"?>
<Relationships xmlns="http://schemas.openxmlformats.org/package/2006/relationships"><Relationship Id="rId1" Type="http://schemas.openxmlformats.org/officeDocument/2006/relationships/chart" Target="../charts/chart144.xml"/></Relationships>
</file>

<file path=xl/drawings/_rels/drawing112.xml.rels><?xml version="1.0" encoding="UTF-8" standalone="yes"?>
<Relationships xmlns="http://schemas.openxmlformats.org/package/2006/relationships"><Relationship Id="rId1" Type="http://schemas.openxmlformats.org/officeDocument/2006/relationships/chart" Target="../charts/chart145.xml"/></Relationships>
</file>

<file path=xl/drawings/_rels/drawing113.xml.rels><?xml version="1.0" encoding="UTF-8" standalone="yes"?>
<Relationships xmlns="http://schemas.openxmlformats.org/package/2006/relationships"><Relationship Id="rId1" Type="http://schemas.openxmlformats.org/officeDocument/2006/relationships/chart" Target="../charts/chart146.xml"/></Relationships>
</file>

<file path=xl/drawings/_rels/drawing114.xml.rels><?xml version="1.0" encoding="UTF-8" standalone="yes"?>
<Relationships xmlns="http://schemas.openxmlformats.org/package/2006/relationships"><Relationship Id="rId1" Type="http://schemas.openxmlformats.org/officeDocument/2006/relationships/chart" Target="../charts/chart147.xml"/></Relationships>
</file>

<file path=xl/drawings/_rels/drawing115.xml.rels><?xml version="1.0" encoding="UTF-8" standalone="yes"?>
<Relationships xmlns="http://schemas.openxmlformats.org/package/2006/relationships"><Relationship Id="rId1" Type="http://schemas.openxmlformats.org/officeDocument/2006/relationships/chart" Target="../charts/chart148.xml"/></Relationships>
</file>

<file path=xl/drawings/_rels/drawing117.xml.rels><?xml version="1.0" encoding="UTF-8" standalone="yes"?>
<Relationships xmlns="http://schemas.openxmlformats.org/package/2006/relationships"><Relationship Id="rId1" Type="http://schemas.openxmlformats.org/officeDocument/2006/relationships/chart" Target="../charts/chart149.xml"/></Relationships>
</file>

<file path=xl/drawings/_rels/drawing119.xml.rels><?xml version="1.0" encoding="UTF-8" standalone="yes"?>
<Relationships xmlns="http://schemas.openxmlformats.org/package/2006/relationships"><Relationship Id="rId1" Type="http://schemas.openxmlformats.org/officeDocument/2006/relationships/chart" Target="../charts/chart150.xml"/></Relationships>
</file>

<file path=xl/drawings/_rels/drawing120.xml.rels><?xml version="1.0" encoding="UTF-8" standalone="yes"?>
<Relationships xmlns="http://schemas.openxmlformats.org/package/2006/relationships"><Relationship Id="rId1" Type="http://schemas.openxmlformats.org/officeDocument/2006/relationships/chart" Target="../charts/chart15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5.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4" Type="http://schemas.openxmlformats.org/officeDocument/2006/relationships/chart" Target="../charts/chart39.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4" Type="http://schemas.openxmlformats.org/officeDocument/2006/relationships/chart" Target="../charts/chart43.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51.xml"/><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38.xml.rels><?xml version="1.0" encoding="UTF-8" standalone="yes"?>
<Relationships xmlns="http://schemas.openxmlformats.org/package/2006/relationships"><Relationship Id="rId8" Type="http://schemas.openxmlformats.org/officeDocument/2006/relationships/chart" Target="../charts/chart59.xml"/><Relationship Id="rId3" Type="http://schemas.openxmlformats.org/officeDocument/2006/relationships/chart" Target="../charts/chart54.xml"/><Relationship Id="rId7" Type="http://schemas.openxmlformats.org/officeDocument/2006/relationships/chart" Target="../charts/chart58.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chart" Target="../charts/chart57.xml"/><Relationship Id="rId5" Type="http://schemas.openxmlformats.org/officeDocument/2006/relationships/chart" Target="../charts/chart56.xml"/><Relationship Id="rId4" Type="http://schemas.openxmlformats.org/officeDocument/2006/relationships/chart" Target="../charts/chart55.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48.xml.rels><?xml version="1.0" encoding="UTF-8" standalone="yes"?>
<Relationships xmlns="http://schemas.openxmlformats.org/package/2006/relationships"><Relationship Id="rId1" Type="http://schemas.openxmlformats.org/officeDocument/2006/relationships/image" Target="../media/image3.emf"/></Relationships>
</file>

<file path=xl/drawings/_rels/drawing49.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6" Type="http://schemas.openxmlformats.org/officeDocument/2006/relationships/chart" Target="../charts/chart69.xml"/><Relationship Id="rId5" Type="http://schemas.openxmlformats.org/officeDocument/2006/relationships/chart" Target="../charts/chart68.xml"/><Relationship Id="rId4" Type="http://schemas.openxmlformats.org/officeDocument/2006/relationships/chart" Target="../charts/chart6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67.xml.rels><?xml version="1.0" encoding="UTF-8" standalone="yes"?>
<Relationships xmlns="http://schemas.openxmlformats.org/package/2006/relationships"><Relationship Id="rId8" Type="http://schemas.openxmlformats.org/officeDocument/2006/relationships/chart" Target="../charts/chart81.xml"/><Relationship Id="rId3" Type="http://schemas.openxmlformats.org/officeDocument/2006/relationships/chart" Target="../charts/chart76.xml"/><Relationship Id="rId7" Type="http://schemas.openxmlformats.org/officeDocument/2006/relationships/chart" Target="../charts/chart80.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5" Type="http://schemas.openxmlformats.org/officeDocument/2006/relationships/chart" Target="../charts/chart78.xml"/><Relationship Id="rId10" Type="http://schemas.openxmlformats.org/officeDocument/2006/relationships/chart" Target="../charts/chart83.xml"/><Relationship Id="rId4" Type="http://schemas.openxmlformats.org/officeDocument/2006/relationships/chart" Target="../charts/chart77.xml"/><Relationship Id="rId9" Type="http://schemas.openxmlformats.org/officeDocument/2006/relationships/chart" Target="../charts/chart82.xml"/></Relationships>
</file>

<file path=xl/drawings/_rels/drawing68.xml.rels><?xml version="1.0" encoding="UTF-8" standalone="yes"?>
<Relationships xmlns="http://schemas.openxmlformats.org/package/2006/relationships"><Relationship Id="rId8" Type="http://schemas.openxmlformats.org/officeDocument/2006/relationships/chart" Target="../charts/chart91.xml"/><Relationship Id="rId3" Type="http://schemas.openxmlformats.org/officeDocument/2006/relationships/chart" Target="../charts/chart86.xml"/><Relationship Id="rId7" Type="http://schemas.openxmlformats.org/officeDocument/2006/relationships/chart" Target="../charts/chart90.xml"/><Relationship Id="rId2" Type="http://schemas.openxmlformats.org/officeDocument/2006/relationships/chart" Target="../charts/chart85.xml"/><Relationship Id="rId1" Type="http://schemas.openxmlformats.org/officeDocument/2006/relationships/chart" Target="../charts/chart84.xml"/><Relationship Id="rId6" Type="http://schemas.openxmlformats.org/officeDocument/2006/relationships/chart" Target="../charts/chart89.xml"/><Relationship Id="rId5" Type="http://schemas.openxmlformats.org/officeDocument/2006/relationships/chart" Target="../charts/chart88.xml"/><Relationship Id="rId4" Type="http://schemas.openxmlformats.org/officeDocument/2006/relationships/chart" Target="../charts/chart87.xml"/></Relationships>
</file>

<file path=xl/drawings/_rels/drawing76.xml.rels><?xml version="1.0" encoding="UTF-8" standalone="yes"?>
<Relationships xmlns="http://schemas.openxmlformats.org/package/2006/relationships"><Relationship Id="rId3" Type="http://schemas.openxmlformats.org/officeDocument/2006/relationships/chart" Target="../charts/chart94.xml"/><Relationship Id="rId2" Type="http://schemas.openxmlformats.org/officeDocument/2006/relationships/chart" Target="../charts/chart93.xml"/><Relationship Id="rId1" Type="http://schemas.openxmlformats.org/officeDocument/2006/relationships/chart" Target="../charts/chart92.xml"/></Relationships>
</file>

<file path=xl/drawings/_rels/drawing80.xml.rels><?xml version="1.0" encoding="UTF-8" standalone="yes"?>
<Relationships xmlns="http://schemas.openxmlformats.org/package/2006/relationships"><Relationship Id="rId1" Type="http://schemas.openxmlformats.org/officeDocument/2006/relationships/chart" Target="../charts/chart95.xml"/></Relationships>
</file>

<file path=xl/drawings/_rels/drawing82.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 Id="rId5" Type="http://schemas.openxmlformats.org/officeDocument/2006/relationships/chart" Target="../charts/chart100.xml"/><Relationship Id="rId4" Type="http://schemas.openxmlformats.org/officeDocument/2006/relationships/chart" Target="../charts/chart99.xml"/></Relationships>
</file>

<file path=xl/drawings/_rels/drawing83.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6" Type="http://schemas.openxmlformats.org/officeDocument/2006/relationships/chart" Target="../charts/chart106.xml"/><Relationship Id="rId5" Type="http://schemas.openxmlformats.org/officeDocument/2006/relationships/chart" Target="../charts/chart105.xml"/><Relationship Id="rId4" Type="http://schemas.openxmlformats.org/officeDocument/2006/relationships/chart" Target="../charts/chart104.xml"/></Relationships>
</file>

<file path=xl/drawings/_rels/drawing84.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chart" Target="../charts/chart107.xml"/><Relationship Id="rId5" Type="http://schemas.openxmlformats.org/officeDocument/2006/relationships/chart" Target="../charts/chart111.xml"/><Relationship Id="rId4" Type="http://schemas.openxmlformats.org/officeDocument/2006/relationships/chart" Target="../charts/chart110.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112.xml"/></Relationships>
</file>

<file path=xl/drawings/_rels/drawing87.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5" Type="http://schemas.openxmlformats.org/officeDocument/2006/relationships/chart" Target="../charts/chart117.xml"/><Relationship Id="rId4" Type="http://schemas.openxmlformats.org/officeDocument/2006/relationships/chart" Target="../charts/chart116.xml"/></Relationships>
</file>

<file path=xl/drawings/_rels/drawing88.xml.rels><?xml version="1.0" encoding="UTF-8" standalone="yes"?>
<Relationships xmlns="http://schemas.openxmlformats.org/package/2006/relationships"><Relationship Id="rId2" Type="http://schemas.openxmlformats.org/officeDocument/2006/relationships/chart" Target="../charts/chart119.xml"/><Relationship Id="rId1" Type="http://schemas.openxmlformats.org/officeDocument/2006/relationships/chart" Target="../charts/chart118.xml"/></Relationships>
</file>

<file path=xl/drawings/_rels/drawing91.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 Id="rId5" Type="http://schemas.openxmlformats.org/officeDocument/2006/relationships/chart" Target="../charts/chart124.xml"/><Relationship Id="rId4" Type="http://schemas.openxmlformats.org/officeDocument/2006/relationships/chart" Target="../charts/chart123.xml"/></Relationships>
</file>

<file path=xl/drawings/_rels/drawing92.xml.rels><?xml version="1.0" encoding="UTF-8" standalone="yes"?>
<Relationships xmlns="http://schemas.openxmlformats.org/package/2006/relationships"><Relationship Id="rId2" Type="http://schemas.openxmlformats.org/officeDocument/2006/relationships/chart" Target="../charts/chart126.xml"/><Relationship Id="rId1" Type="http://schemas.openxmlformats.org/officeDocument/2006/relationships/chart" Target="../charts/chart125.xml"/></Relationships>
</file>

<file path=xl/drawings/_rels/drawing94.xml.rels><?xml version="1.0" encoding="UTF-8" standalone="yes"?>
<Relationships xmlns="http://schemas.openxmlformats.org/package/2006/relationships"><Relationship Id="rId2" Type="http://schemas.openxmlformats.org/officeDocument/2006/relationships/chart" Target="../charts/chart128.xml"/><Relationship Id="rId1" Type="http://schemas.openxmlformats.org/officeDocument/2006/relationships/chart" Target="../charts/chart127.xml"/></Relationships>
</file>

<file path=xl/drawings/_rels/drawing95.xml.rels><?xml version="1.0" encoding="UTF-8" standalone="yes"?>
<Relationships xmlns="http://schemas.openxmlformats.org/package/2006/relationships"><Relationship Id="rId1" Type="http://schemas.openxmlformats.org/officeDocument/2006/relationships/chart" Target="../charts/chart129.xml"/></Relationships>
</file>

<file path=xl/drawings/_rels/drawing96.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98.xml.rels><?xml version="1.0" encoding="UTF-8" standalone="yes"?>
<Relationships xmlns="http://schemas.openxmlformats.org/package/2006/relationships"><Relationship Id="rId1" Type="http://schemas.openxmlformats.org/officeDocument/2006/relationships/chart" Target="../charts/chart131.xml"/></Relationships>
</file>

<file path=xl/drawings/_rels/drawing99.xml.rels><?xml version="1.0" encoding="UTF-8" standalone="yes"?>
<Relationships xmlns="http://schemas.openxmlformats.org/package/2006/relationships"><Relationship Id="rId3" Type="http://schemas.openxmlformats.org/officeDocument/2006/relationships/chart" Target="../charts/chart134.xml"/><Relationship Id="rId7" Type="http://schemas.openxmlformats.org/officeDocument/2006/relationships/chart" Target="../charts/chart138.xml"/><Relationship Id="rId2" Type="http://schemas.openxmlformats.org/officeDocument/2006/relationships/chart" Target="../charts/chart133.xml"/><Relationship Id="rId1" Type="http://schemas.openxmlformats.org/officeDocument/2006/relationships/chart" Target="../charts/chart132.xml"/><Relationship Id="rId6" Type="http://schemas.openxmlformats.org/officeDocument/2006/relationships/chart" Target="../charts/chart137.xml"/><Relationship Id="rId5" Type="http://schemas.openxmlformats.org/officeDocument/2006/relationships/chart" Target="../charts/chart136.xml"/><Relationship Id="rId4" Type="http://schemas.openxmlformats.org/officeDocument/2006/relationships/chart" Target="../charts/chart135.xml"/></Relationships>
</file>

<file path=xl/drawings/drawing1.xml><?xml version="1.0" encoding="utf-8"?>
<xdr:wsDr xmlns:xdr="http://schemas.openxmlformats.org/drawingml/2006/spreadsheetDrawing" xmlns:a="http://schemas.openxmlformats.org/drawingml/2006/main">
  <xdr:twoCellAnchor>
    <xdr:from>
      <xdr:col>0</xdr:col>
      <xdr:colOff>47625</xdr:colOff>
      <xdr:row>2</xdr:row>
      <xdr:rowOff>85725</xdr:rowOff>
    </xdr:from>
    <xdr:to>
      <xdr:col>11</xdr:col>
      <xdr:colOff>409575</xdr:colOff>
      <xdr:row>31</xdr:row>
      <xdr:rowOff>95250</xdr:rowOff>
    </xdr:to>
    <xdr:grpSp>
      <xdr:nvGrpSpPr>
        <xdr:cNvPr id="3214851" name="Group 1">
          <a:extLst>
            <a:ext uri="{FF2B5EF4-FFF2-40B4-BE49-F238E27FC236}">
              <a16:creationId xmlns:a16="http://schemas.microsoft.com/office/drawing/2014/main" id="{00000000-0008-0000-0200-0000030E3100}"/>
            </a:ext>
          </a:extLst>
        </xdr:cNvPr>
        <xdr:cNvGrpSpPr>
          <a:grpSpLocks/>
        </xdr:cNvGrpSpPr>
      </xdr:nvGrpSpPr>
      <xdr:grpSpPr bwMode="auto">
        <a:xfrm>
          <a:off x="47625" y="412296"/>
          <a:ext cx="5478236" cy="4454525"/>
          <a:chOff x="0" y="400050"/>
          <a:chExt cx="5143500" cy="4086227"/>
        </a:xfrm>
      </xdr:grpSpPr>
      <xdr:grpSp>
        <xdr:nvGrpSpPr>
          <xdr:cNvPr id="3214865" name="Group 1">
            <a:extLst>
              <a:ext uri="{FF2B5EF4-FFF2-40B4-BE49-F238E27FC236}">
                <a16:creationId xmlns:a16="http://schemas.microsoft.com/office/drawing/2014/main" id="{00000000-0008-0000-0200-0000110E3100}"/>
              </a:ext>
            </a:extLst>
          </xdr:cNvPr>
          <xdr:cNvGrpSpPr>
            <a:grpSpLocks/>
          </xdr:cNvGrpSpPr>
        </xdr:nvGrpSpPr>
        <xdr:grpSpPr bwMode="auto">
          <a:xfrm>
            <a:off x="0" y="447676"/>
            <a:ext cx="5143500" cy="3629024"/>
            <a:chOff x="1581150" y="3562351"/>
            <a:chExt cx="5448300" cy="4010024"/>
          </a:xfrm>
        </xdr:grpSpPr>
        <xdr:graphicFrame macro="">
          <xdr:nvGraphicFramePr>
            <xdr:cNvPr id="3214867" name="Chart 1">
              <a:extLst>
                <a:ext uri="{FF2B5EF4-FFF2-40B4-BE49-F238E27FC236}">
                  <a16:creationId xmlns:a16="http://schemas.microsoft.com/office/drawing/2014/main" id="{00000000-0008-0000-0200-0000130E3100}"/>
                </a:ext>
              </a:extLst>
            </xdr:cNvPr>
            <xdr:cNvGraphicFramePr>
              <a:graphicFrameLocks/>
            </xdr:cNvGraphicFramePr>
          </xdr:nvGraphicFramePr>
          <xdr:xfrm>
            <a:off x="4124324" y="3562351"/>
            <a:ext cx="1628775" cy="401002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14868" name="Chart 2">
              <a:extLst>
                <a:ext uri="{FF2B5EF4-FFF2-40B4-BE49-F238E27FC236}">
                  <a16:creationId xmlns:a16="http://schemas.microsoft.com/office/drawing/2014/main" id="{00000000-0008-0000-0200-0000140E3100}"/>
                </a:ext>
              </a:extLst>
            </xdr:cNvPr>
            <xdr:cNvGraphicFramePr>
              <a:graphicFrameLocks/>
            </xdr:cNvGraphicFramePr>
          </xdr:nvGraphicFramePr>
          <xdr:xfrm>
            <a:off x="1581150" y="3648074"/>
            <a:ext cx="1990726" cy="38290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14869" name="Chart 1">
              <a:extLst>
                <a:ext uri="{FF2B5EF4-FFF2-40B4-BE49-F238E27FC236}">
                  <a16:creationId xmlns:a16="http://schemas.microsoft.com/office/drawing/2014/main" id="{00000000-0008-0000-0200-0000150E3100}"/>
                </a:ext>
              </a:extLst>
            </xdr:cNvPr>
            <xdr:cNvGraphicFramePr>
              <a:graphicFrameLocks/>
            </xdr:cNvGraphicFramePr>
          </xdr:nvGraphicFramePr>
          <xdr:xfrm>
            <a:off x="5372101" y="3714750"/>
            <a:ext cx="1657349" cy="3819526"/>
          </xdr:xfrm>
          <a:graphic>
            <a:graphicData uri="http://schemas.openxmlformats.org/drawingml/2006/chart">
              <c:chart xmlns:c="http://schemas.openxmlformats.org/drawingml/2006/chart" xmlns:r="http://schemas.openxmlformats.org/officeDocument/2006/relationships" r:id="rId3"/>
            </a:graphicData>
          </a:graphic>
        </xdr:graphicFrame>
      </xdr:grpSp>
      <xdr:graphicFrame macro="">
        <xdr:nvGraphicFramePr>
          <xdr:cNvPr id="3214866" name="Chart 1">
            <a:extLst>
              <a:ext uri="{FF2B5EF4-FFF2-40B4-BE49-F238E27FC236}">
                <a16:creationId xmlns:a16="http://schemas.microsoft.com/office/drawing/2014/main" id="{00000000-0008-0000-0200-0000120E3100}"/>
              </a:ext>
            </a:extLst>
          </xdr:cNvPr>
          <xdr:cNvGraphicFramePr>
            <a:graphicFrameLocks/>
          </xdr:cNvGraphicFramePr>
        </xdr:nvGraphicFramePr>
        <xdr:xfrm>
          <a:off x="1238249" y="400050"/>
          <a:ext cx="1571626" cy="408622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28</xdr:row>
      <xdr:rowOff>161925</xdr:rowOff>
    </xdr:from>
    <xdr:to>
      <xdr:col>12</xdr:col>
      <xdr:colOff>28575</xdr:colOff>
      <xdr:row>30</xdr:row>
      <xdr:rowOff>12976</xdr:rowOff>
    </xdr:to>
    <xdr:sp macro="" textlink="">
      <xdr:nvSpPr>
        <xdr:cNvPr id="16" name="TextBox 1">
          <a:extLst>
            <a:ext uri="{FF2B5EF4-FFF2-40B4-BE49-F238E27FC236}">
              <a16:creationId xmlns:a16="http://schemas.microsoft.com/office/drawing/2014/main" id="{00000000-0008-0000-0200-000010000000}"/>
            </a:ext>
          </a:extLst>
        </xdr:cNvPr>
        <xdr:cNvSpPr txBox="1"/>
      </xdr:nvSpPr>
      <xdr:spPr>
        <a:xfrm>
          <a:off x="0" y="4067175"/>
          <a:ext cx="5238750" cy="184426"/>
        </a:xfrm>
        <a:prstGeom prst="rect">
          <a:avLst/>
        </a:prstGeom>
        <a:solidFill>
          <a:srgbClr val="36845B"/>
        </a:solidFill>
      </xdr:spPr>
      <xdr:txBody>
        <a:bodyPr wrap="square" lIns="0" tIns="0" rIns="0" b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GB" sz="1200" b="1">
              <a:solidFill>
                <a:schemeClr val="bg1"/>
              </a:solidFill>
              <a:latin typeface="Frutiger LT Std 45 Light" panose="020B0402020204020204" pitchFamily="34" charset="0"/>
              <a:cs typeface="Arial" pitchFamily="34" charset="0"/>
            </a:rPr>
            <a:t>                                                                                 @commonslibrary              </a:t>
          </a:r>
        </a:p>
      </xdr:txBody>
    </xdr:sp>
    <xdr:clientData/>
  </xdr:twoCellAnchor>
  <xdr:twoCellAnchor>
    <xdr:from>
      <xdr:col>27</xdr:col>
      <xdr:colOff>35379</xdr:colOff>
      <xdr:row>28</xdr:row>
      <xdr:rowOff>198664</xdr:rowOff>
    </xdr:from>
    <xdr:to>
      <xdr:col>36</xdr:col>
      <xdr:colOff>272058</xdr:colOff>
      <xdr:row>44</xdr:row>
      <xdr:rowOff>82961</xdr:rowOff>
    </xdr:to>
    <xdr:graphicFrame macro="">
      <xdr:nvGraphicFramePr>
        <xdr:cNvPr id="3214856" name="Chart 1">
          <a:extLst>
            <a:ext uri="{FF2B5EF4-FFF2-40B4-BE49-F238E27FC236}">
              <a16:creationId xmlns:a16="http://schemas.microsoft.com/office/drawing/2014/main" id="{00000000-0008-0000-0200-0000080E3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367393</xdr:colOff>
      <xdr:row>5</xdr:row>
      <xdr:rowOff>95251</xdr:rowOff>
    </xdr:from>
    <xdr:to>
      <xdr:col>37</xdr:col>
      <xdr:colOff>296436</xdr:colOff>
      <xdr:row>25</xdr:row>
      <xdr:rowOff>192295</xdr:rowOff>
    </xdr:to>
    <xdr:graphicFrame macro="">
      <xdr:nvGraphicFramePr>
        <xdr:cNvPr id="17" name="Chart 16">
          <a:extLst>
            <a:ext uri="{FF2B5EF4-FFF2-40B4-BE49-F238E27FC236}">
              <a16:creationId xmlns:a16="http://schemas.microsoft.com/office/drawing/2014/main" id="{B767D344-6A75-4EC1-8DE0-717D1C530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27</xdr:row>
      <xdr:rowOff>0</xdr:rowOff>
    </xdr:from>
    <xdr:to>
      <xdr:col>47</xdr:col>
      <xdr:colOff>304108</xdr:colOff>
      <xdr:row>49</xdr:row>
      <xdr:rowOff>86541</xdr:rowOff>
    </xdr:to>
    <xdr:graphicFrame macro="">
      <xdr:nvGraphicFramePr>
        <xdr:cNvPr id="15" name="Chart 4">
          <a:extLst>
            <a:ext uri="{FF2B5EF4-FFF2-40B4-BE49-F238E27FC236}">
              <a16:creationId xmlns:a16="http://schemas.microsoft.com/office/drawing/2014/main" id="{905E31B0-03B9-469C-88D0-26D8790A3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0</xdr:colOff>
      <xdr:row>51</xdr:row>
      <xdr:rowOff>0</xdr:rowOff>
    </xdr:from>
    <xdr:to>
      <xdr:col>37</xdr:col>
      <xdr:colOff>138314</xdr:colOff>
      <xdr:row>70</xdr:row>
      <xdr:rowOff>35674</xdr:rowOff>
    </xdr:to>
    <xdr:graphicFrame macro="">
      <xdr:nvGraphicFramePr>
        <xdr:cNvPr id="19" name="Chart 3">
          <a:extLst>
            <a:ext uri="{FF2B5EF4-FFF2-40B4-BE49-F238E27FC236}">
              <a16:creationId xmlns:a16="http://schemas.microsoft.com/office/drawing/2014/main" id="{33CE6FF9-9B03-405F-92E5-B28A3AFA5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0.30274</cdr:x>
      <cdr:y>0.06651</cdr:y>
    </cdr:from>
    <cdr:to>
      <cdr:x>0.53988</cdr:x>
      <cdr:y>0.10583</cdr:y>
    </cdr:to>
    <cdr:sp macro="" textlink="">
      <cdr:nvSpPr>
        <cdr:cNvPr id="2" name="TextBox 1"/>
        <cdr:cNvSpPr txBox="1"/>
      </cdr:nvSpPr>
      <cdr:spPr>
        <a:xfrm xmlns:a="http://schemas.openxmlformats.org/drawingml/2006/main" flipH="1" flipV="1">
          <a:off x="1705534" y="253814"/>
          <a:ext cx="1344706" cy="145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100.xml><?xml version="1.0" encoding="utf-8"?>
<c:userShapes xmlns:c="http://schemas.openxmlformats.org/drawingml/2006/chart">
  <cdr:relSizeAnchor xmlns:cdr="http://schemas.openxmlformats.org/drawingml/2006/chartDrawing">
    <cdr:from>
      <cdr:x>0</cdr:x>
      <cdr:y>0</cdr:y>
    </cdr:from>
    <cdr:to>
      <cdr:x>1</cdr:x>
      <cdr:y>0.12595</cdr:y>
    </cdr:to>
    <cdr:sp macro="" textlink="">
      <cdr:nvSpPr>
        <cdr:cNvPr id="2" name="TextBox 1"/>
        <cdr:cNvSpPr txBox="1"/>
      </cdr:nvSpPr>
      <cdr:spPr>
        <a:xfrm xmlns:a="http://schemas.openxmlformats.org/drawingml/2006/main">
          <a:off x="0" y="0"/>
          <a:ext cx="5476874" cy="207003"/>
        </a:xfrm>
        <a:prstGeom xmlns:a="http://schemas.openxmlformats.org/drawingml/2006/main" prst="rect">
          <a:avLst/>
        </a:prstGeom>
      </cdr:spPr>
      <cdr:txBody>
        <a:bodyPr xmlns:a="http://schemas.openxmlformats.org/drawingml/2006/main" wrap="none" tIns="18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GB" sz="1050" b="1" i="0" cap="all" baseline="0">
              <a:effectLst/>
              <a:latin typeface="Open Sans" panose="020B0606030504020204" pitchFamily="34" charset="0"/>
              <a:ea typeface="Open Sans" panose="020B0606030504020204" pitchFamily="34" charset="0"/>
              <a:cs typeface="Open Sans" panose="020B0606030504020204" pitchFamily="34" charset="0"/>
            </a:rPr>
            <a:t>Council control by party immediately AFTER election, WaLES</a:t>
          </a:r>
          <a:endParaRPr lang="en-GB" sz="800" b="1">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800" b="1">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0.99984</cdr:x>
      <cdr:y>0.12964</cdr:y>
    </cdr:to>
    <cdr:sp macro="" textlink="">
      <cdr:nvSpPr>
        <cdr:cNvPr id="2" name="TextBox 1"/>
        <cdr:cNvSpPr txBox="1"/>
      </cdr:nvSpPr>
      <cdr:spPr>
        <a:xfrm xmlns:a="http://schemas.openxmlformats.org/drawingml/2006/main">
          <a:off x="0" y="0"/>
          <a:ext cx="5476874" cy="207003"/>
        </a:xfrm>
        <a:prstGeom xmlns:a="http://schemas.openxmlformats.org/drawingml/2006/main" prst="rect">
          <a:avLst/>
        </a:prstGeom>
      </cdr:spPr>
      <cdr:txBody>
        <a:bodyPr xmlns:a="http://schemas.openxmlformats.org/drawingml/2006/main" wrap="none" tIns="18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GB" sz="1050" b="1" i="0" cap="all" baseline="0">
              <a:effectLst/>
              <a:latin typeface="Open Sans" panose="020B0606030504020204" pitchFamily="34" charset="0"/>
              <a:ea typeface="Open Sans" panose="020B0606030504020204" pitchFamily="34" charset="0"/>
              <a:cs typeface="Open Sans" panose="020B0606030504020204" pitchFamily="34" charset="0"/>
            </a:rPr>
            <a:t>Council control by party immediately AFTER election, SCOTLAND</a:t>
          </a:r>
          <a:endParaRPr lang="en-GB" sz="800" b="1">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800" b="1">
            <a:latin typeface="Arial" pitchFamily="34" charset="0"/>
            <a:cs typeface="Arial" pitchFamily="34" charset="0"/>
          </a:endParaRPr>
        </a:p>
      </cdr:txBody>
    </cdr:sp>
  </cdr:relSizeAnchor>
</c:userShapes>
</file>

<file path=xl/drawings/drawing102.xml><?xml version="1.0" encoding="utf-8"?>
<c:userShapes xmlns:c="http://schemas.openxmlformats.org/drawingml/2006/chart">
  <cdr:relSizeAnchor xmlns:cdr="http://schemas.openxmlformats.org/drawingml/2006/chartDrawing">
    <cdr:from>
      <cdr:x>0</cdr:x>
      <cdr:y>0</cdr:y>
    </cdr:from>
    <cdr:to>
      <cdr:x>1</cdr:x>
      <cdr:y>0.12825</cdr:y>
    </cdr:to>
    <cdr:sp macro="" textlink="">
      <cdr:nvSpPr>
        <cdr:cNvPr id="2" name="TextBox 1"/>
        <cdr:cNvSpPr txBox="1"/>
      </cdr:nvSpPr>
      <cdr:spPr>
        <a:xfrm xmlns:a="http://schemas.openxmlformats.org/drawingml/2006/main">
          <a:off x="0" y="0"/>
          <a:ext cx="5315816" cy="207003"/>
        </a:xfrm>
        <a:prstGeom xmlns:a="http://schemas.openxmlformats.org/drawingml/2006/main" prst="rect">
          <a:avLst/>
        </a:prstGeom>
      </cdr:spPr>
      <cdr:txBody>
        <a:bodyPr xmlns:a="http://schemas.openxmlformats.org/drawingml/2006/main" vertOverflow="clip" wrap="none" tIns="18000"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GB" sz="1050" b="1" i="0" cap="all" baseline="0">
              <a:effectLst/>
              <a:latin typeface="Open Sans" panose="020B0606030504020204" pitchFamily="34" charset="0"/>
              <a:ea typeface="Open Sans" panose="020B0606030504020204" pitchFamily="34" charset="0"/>
              <a:cs typeface="Open Sans" panose="020B0606030504020204" pitchFamily="34" charset="0"/>
            </a:rPr>
            <a:t>Council control by party immediately AFTER election, England</a:t>
          </a:r>
          <a:endParaRPr lang="en-GB" sz="800" b="1">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800" b="1">
            <a:latin typeface="Arial" pitchFamily="34" charset="0"/>
            <a:cs typeface="Arial" pitchFamily="34" charset="0"/>
          </a:endParaRPr>
        </a:p>
      </cdr:txBody>
    </cdr:sp>
  </cdr:relSizeAnchor>
</c:userShapes>
</file>

<file path=xl/drawings/drawing103.xml><?xml version="1.0" encoding="utf-8"?>
<xdr:wsDr xmlns:xdr="http://schemas.openxmlformats.org/drawingml/2006/spreadsheetDrawing" xmlns:a="http://schemas.openxmlformats.org/drawingml/2006/main">
  <xdr:twoCellAnchor>
    <xdr:from>
      <xdr:col>9</xdr:col>
      <xdr:colOff>422013</xdr:colOff>
      <xdr:row>0</xdr:row>
      <xdr:rowOff>149485</xdr:rowOff>
    </xdr:from>
    <xdr:to>
      <xdr:col>15</xdr:col>
      <xdr:colOff>402180</xdr:colOff>
      <xdr:row>72</xdr:row>
      <xdr:rowOff>221203</xdr:rowOff>
    </xdr:to>
    <xdr:graphicFrame macro="">
      <xdr:nvGraphicFramePr>
        <xdr:cNvPr id="61250000" name="Chart 2">
          <a:extLst>
            <a:ext uri="{FF2B5EF4-FFF2-40B4-BE49-F238E27FC236}">
              <a16:creationId xmlns:a16="http://schemas.microsoft.com/office/drawing/2014/main" id="{00000000-0008-0000-4B00-0000D099A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4.xml><?xml version="1.0" encoding="utf-8"?>
<c:userShapes xmlns:c="http://schemas.openxmlformats.org/drawingml/2006/chart">
  <cdr:relSizeAnchor xmlns:cdr="http://schemas.openxmlformats.org/drawingml/2006/chartDrawing">
    <cdr:from>
      <cdr:x>0.24356</cdr:x>
      <cdr:y>0.01</cdr:y>
    </cdr:from>
    <cdr:to>
      <cdr:x>1</cdr:x>
      <cdr:y>0.03866</cdr:y>
    </cdr:to>
    <cdr:sp macro="" textlink="">
      <cdr:nvSpPr>
        <cdr:cNvPr id="2" name="TextBox 1"/>
        <cdr:cNvSpPr txBox="1"/>
      </cdr:nvSpPr>
      <cdr:spPr>
        <a:xfrm xmlns:a="http://schemas.openxmlformats.org/drawingml/2006/main">
          <a:off x="926277" y="112059"/>
          <a:ext cx="2876775" cy="3211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200" b="1" i="0" cap="none" baseline="0">
              <a:effectLst/>
              <a:latin typeface="Open Sans" panose="020B0606030504020204" pitchFamily="34" charset="0"/>
              <a:ea typeface="Open Sans" panose="020B0606030504020204" pitchFamily="34" charset="0"/>
              <a:cs typeface="Open Sans" panose="020B0606030504020204" pitchFamily="34" charset="0"/>
            </a:rPr>
            <a:t>Mayoral referendum of votes  </a:t>
          </a:r>
          <a:endParaRPr lang="en-GB" sz="1000" b="1"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1000" b="1">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105.xml><?xml version="1.0" encoding="utf-8"?>
<xdr:wsDr xmlns:xdr="http://schemas.openxmlformats.org/drawingml/2006/spreadsheetDrawing" xmlns:a="http://schemas.openxmlformats.org/drawingml/2006/main">
  <xdr:twoCellAnchor>
    <xdr:from>
      <xdr:col>11</xdr:col>
      <xdr:colOff>548639</xdr:colOff>
      <xdr:row>1</xdr:row>
      <xdr:rowOff>78922</xdr:rowOff>
    </xdr:from>
    <xdr:to>
      <xdr:col>16</xdr:col>
      <xdr:colOff>418826</xdr:colOff>
      <xdr:row>72</xdr:row>
      <xdr:rowOff>92529</xdr:rowOff>
    </xdr:to>
    <xdr:graphicFrame macro="">
      <xdr:nvGraphicFramePr>
        <xdr:cNvPr id="32922684" name="Chart 2">
          <a:extLst>
            <a:ext uri="{FF2B5EF4-FFF2-40B4-BE49-F238E27FC236}">
              <a16:creationId xmlns:a16="http://schemas.microsoft.com/office/drawing/2014/main" id="{00000000-0008-0000-4C00-00003C5CF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xdr:colOff>
      <xdr:row>1</xdr:row>
      <xdr:rowOff>9525</xdr:rowOff>
    </xdr:from>
    <xdr:to>
      <xdr:col>22</xdr:col>
      <xdr:colOff>0</xdr:colOff>
      <xdr:row>78</xdr:row>
      <xdr:rowOff>152400</xdr:rowOff>
    </xdr:to>
    <xdr:graphicFrame macro="">
      <xdr:nvGraphicFramePr>
        <xdr:cNvPr id="32922685" name="Chart 2">
          <a:extLst>
            <a:ext uri="{FF2B5EF4-FFF2-40B4-BE49-F238E27FC236}">
              <a16:creationId xmlns:a16="http://schemas.microsoft.com/office/drawing/2014/main" id="{00000000-0008-0000-4C00-00003D5CF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6.xml><?xml version="1.0" encoding="utf-8"?>
<xdr:wsDr xmlns:xdr="http://schemas.openxmlformats.org/drawingml/2006/spreadsheetDrawing" xmlns:a="http://schemas.openxmlformats.org/drawingml/2006/main">
  <xdr:twoCellAnchor>
    <xdr:from>
      <xdr:col>5</xdr:col>
      <xdr:colOff>0</xdr:colOff>
      <xdr:row>19</xdr:row>
      <xdr:rowOff>0</xdr:rowOff>
    </xdr:from>
    <xdr:to>
      <xdr:col>16</xdr:col>
      <xdr:colOff>395654</xdr:colOff>
      <xdr:row>37</xdr:row>
      <xdr:rowOff>73269</xdr:rowOff>
    </xdr:to>
    <xdr:sp macro="" textlink="">
      <xdr:nvSpPr>
        <xdr:cNvPr id="2" name="Text Box 2">
          <a:extLst>
            <a:ext uri="{FF2B5EF4-FFF2-40B4-BE49-F238E27FC236}">
              <a16:creationId xmlns:a16="http://schemas.microsoft.com/office/drawing/2014/main" id="{00000000-0008-0000-4F00-000002000000}"/>
            </a:ext>
          </a:extLst>
        </xdr:cNvPr>
        <xdr:cNvSpPr txBox="1">
          <a:spLocks noChangeArrowheads="1"/>
        </xdr:cNvSpPr>
      </xdr:nvSpPr>
      <xdr:spPr bwMode="auto">
        <a:xfrm>
          <a:off x="5465885" y="2828192"/>
          <a:ext cx="6279173" cy="2974731"/>
        </a:xfrm>
        <a:prstGeom prst="rect">
          <a:avLst/>
        </a:prstGeom>
        <a:solidFill>
          <a:srgbClr val="FFFFFF"/>
        </a:solidFill>
        <a:ln w="9525">
          <a:solidFill>
            <a:srgbClr val="009900"/>
          </a:solidFill>
          <a:miter lim="800000"/>
          <a:headEnd/>
          <a:tailEnd/>
        </a:ln>
      </xdr:spPr>
      <xdr:txBody>
        <a:bodyPr rot="0" vert="horz" wrap="square" lIns="91440" tIns="45720" rIns="91440" bIns="45720" anchor="t" anchorCtr="0">
          <a:noAutofit/>
        </a:bodyPr>
        <a:lstStyle/>
        <a:p>
          <a:pPr>
            <a:spcAft>
              <a:spcPts val="0"/>
            </a:spcAft>
          </a:pPr>
          <a:r>
            <a:rPr lang="en-GB" sz="8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Notes Tables 28a, 28b &amp; 28c</a:t>
          </a:r>
          <a:endParaRPr lang="en-GB" sz="11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1. Turnout is as reported by local authority and may include spoilt ballots </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2. In 2017, the first elections for six elected mayors of combined authorities known as ‘Metro-mayors” took place.</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a:p>
          <a:pPr>
            <a:spcBef>
              <a:spcPts val="600"/>
            </a:spcBef>
            <a:spcAft>
              <a:spcPts val="0"/>
            </a:spcAft>
          </a:pPr>
          <a:r>
            <a:rPr lang="en-GB" sz="8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Party descriptions:</a:t>
          </a:r>
          <a:endParaRPr lang="en-GB" sz="11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tabLst>
              <a:tab pos="450215" algn="l"/>
            </a:tabLs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A		Aspire			M4S	Mayor 4 Stoke</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B1st	Bristol 1st 			MIF	Mansfield Independent Forum</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BBI	Better Bedford Independent		NF	National Front</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BP	The Birthday Party			PATH	People's Alliance of Tower Hamlets</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CAP	Community Action Party - Exposing Political Fraud	PBP	People Before Profit</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CG	Community Group 			SA	Socialist Alliance</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CPA	Christian People's Alliance 		SGS	Supporting Green Shoots</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CPB	Communist Party of Britain 		SYNHS	South Yorkshire Save Our NHS</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CWP	Communities Welfare Party 		THF 	Tower Hamlets First </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D&amp;V	Democrats and Veterans		TRP 	The Respect Party</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ED	English Democrats			TUSC	Trade Unionist and Socialist Coalition</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FCP	Fat Cat Party 			UPS	Unity For Peace and Socialism</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LEAP	Local Education Action by Parents		V4T	Voice 4 Torbay</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LIP	Liverpool Independent Party		WEP	Women's Equality Party</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LLH	Local Man, Local Issues, Hartlepool First		YP	The Yorkshire Party</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Times New Roman" panose="02020603050405020304" pitchFamily="18" charset="0"/>
              <a:cs typeface="Times New Roman" panose="02020603050405020304" pitchFamily="18" charset="0"/>
            </a:rPr>
            <a:t>LPA	Lewisham People's Alliance		</a:t>
          </a:r>
          <a:endParaRPr lang="en-GB" sz="10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Bef>
              <a:spcPts val="600"/>
            </a:spcBef>
            <a:spcAft>
              <a:spcPts val="0"/>
            </a:spcAft>
          </a:pPr>
          <a:r>
            <a:rPr lang="en-GB" sz="8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Sources Tables 28b &amp; 28c:</a:t>
          </a:r>
          <a:endParaRPr lang="en-GB" sz="11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1. House of Commons Library, Local Elections research papers, various years</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2. BBC Political Research</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3. Local authority websites</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700">
              <a:effectLst/>
              <a:latin typeface="Frutiger LT Std 45 Light" panose="020B0402020204020204" pitchFamily="34" charset="0"/>
              <a:ea typeface="Calibri" panose="020F0502020204030204" pitchFamily="34" charset="0"/>
              <a:cs typeface="Times New Roman" panose="02020603050405020304" pitchFamily="18" charset="0"/>
            </a:rPr>
            <a:t>4. Colin Rallings and Michael Thrasher, Local Elections Handbook, various years</a:t>
          </a:r>
          <a:endParaRPr lang="en-GB" sz="1100">
            <a:effectLst/>
            <a:latin typeface="Frutiger LT Std 45 Light" panose="020B0402020204020204" pitchFamily="34" charset="0"/>
            <a:ea typeface="Calibri" panose="020F0502020204030204" pitchFamily="34" charset="0"/>
            <a:cs typeface="Times New Roman" panose="02020603050405020304" pitchFamily="18" charset="0"/>
          </a:endParaRPr>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13</xdr:col>
      <xdr:colOff>175846</xdr:colOff>
      <xdr:row>27</xdr:row>
      <xdr:rowOff>6595</xdr:rowOff>
    </xdr:from>
    <xdr:to>
      <xdr:col>17</xdr:col>
      <xdr:colOff>356821</xdr:colOff>
      <xdr:row>42</xdr:row>
      <xdr:rowOff>87923</xdr:rowOff>
    </xdr:to>
    <xdr:graphicFrame macro="">
      <xdr:nvGraphicFramePr>
        <xdr:cNvPr id="2" name="Chart 1">
          <a:extLst>
            <a:ext uri="{FF2B5EF4-FFF2-40B4-BE49-F238E27FC236}">
              <a16:creationId xmlns:a16="http://schemas.microsoft.com/office/drawing/2014/main" id="{00000000-0008-0000-5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8.xml><?xml version="1.0" encoding="utf-8"?>
<c:userShapes xmlns:c="http://schemas.openxmlformats.org/drawingml/2006/chart">
  <cdr:relSizeAnchor xmlns:cdr="http://schemas.openxmlformats.org/drawingml/2006/chartDrawing">
    <cdr:from>
      <cdr:x>0.09035</cdr:x>
      <cdr:y>0</cdr:y>
    </cdr:from>
    <cdr:to>
      <cdr:x>0.94491</cdr:x>
      <cdr:y>0.13531</cdr:y>
    </cdr:to>
    <cdr:sp macro="" textlink="">
      <cdr:nvSpPr>
        <cdr:cNvPr id="2" name="TextBox 1"/>
        <cdr:cNvSpPr txBox="1"/>
      </cdr:nvSpPr>
      <cdr:spPr>
        <a:xfrm xmlns:a="http://schemas.openxmlformats.org/drawingml/2006/main">
          <a:off x="216292" y="0"/>
          <a:ext cx="2045823" cy="387005"/>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solidFill>
                <a:sysClr val="windowText" lastClr="000000"/>
              </a:solidFill>
              <a:effectLst/>
              <a:latin typeface="Open Sans" panose="020B0606030504020204" pitchFamily="34" charset="0"/>
              <a:ea typeface="Open Sans" panose="020B0606030504020204" pitchFamily="34" charset="0"/>
              <a:cs typeface="Open Sans" panose="020B0606030504020204" pitchFamily="34" charset="0"/>
            </a:rPr>
            <a:t>Average PCC election turnout by country</a:t>
          </a:r>
          <a:endParaRPr lang="en-GB" sz="1100" b="1" cap="none">
            <a:solidFill>
              <a:sysClr val="windowText" lastClr="000000"/>
            </a:solidFill>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solidFill>
              <a:sysClr val="windowText" lastClr="000000"/>
            </a:solidFill>
            <a:latin typeface="Arial" pitchFamily="34" charset="0"/>
            <a:cs typeface="Arial" pitchFamily="34" charset="0"/>
          </a:endParaRPr>
        </a:p>
      </cdr:txBody>
    </cdr:sp>
  </cdr:relSizeAnchor>
</c:userShapes>
</file>

<file path=xl/drawings/drawing109.xml><?xml version="1.0" encoding="utf-8"?>
<xdr:wsDr xmlns:xdr="http://schemas.openxmlformats.org/drawingml/2006/spreadsheetDrawing" xmlns:a="http://schemas.openxmlformats.org/drawingml/2006/main">
  <xdr:twoCellAnchor>
    <xdr:from>
      <xdr:col>12</xdr:col>
      <xdr:colOff>99392</xdr:colOff>
      <xdr:row>5</xdr:row>
      <xdr:rowOff>186278</xdr:rowOff>
    </xdr:from>
    <xdr:to>
      <xdr:col>15</xdr:col>
      <xdr:colOff>272664</xdr:colOff>
      <xdr:row>20</xdr:row>
      <xdr:rowOff>178658</xdr:rowOff>
    </xdr:to>
    <xdr:graphicFrame macro="">
      <xdr:nvGraphicFramePr>
        <xdr:cNvPr id="4547615" name="Chart 2">
          <a:extLst>
            <a:ext uri="{FF2B5EF4-FFF2-40B4-BE49-F238E27FC236}">
              <a16:creationId xmlns:a16="http://schemas.microsoft.com/office/drawing/2014/main" id="{00000000-0008-0000-5300-00001F64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104775</xdr:colOff>
      <xdr:row>7</xdr:row>
      <xdr:rowOff>142875</xdr:rowOff>
    </xdr:from>
    <xdr:to>
      <xdr:col>18</xdr:col>
      <xdr:colOff>247650</xdr:colOff>
      <xdr:row>22</xdr:row>
      <xdr:rowOff>66675</xdr:rowOff>
    </xdr:to>
    <xdr:cxnSp macro="">
      <xdr:nvCxnSpPr>
        <xdr:cNvPr id="3" name="Straight Connector 2">
          <a:extLst>
            <a:ext uri="{FF2B5EF4-FFF2-40B4-BE49-F238E27FC236}">
              <a16:creationId xmlns:a16="http://schemas.microsoft.com/office/drawing/2014/main" id="{00000000-0008-0000-5300-000003000000}"/>
            </a:ext>
          </a:extLst>
        </xdr:cNvPr>
        <xdr:cNvCxnSpPr/>
      </xdr:nvCxnSpPr>
      <xdr:spPr bwMode="auto">
        <a:xfrm flipV="1">
          <a:off x="9944100" y="1809750"/>
          <a:ext cx="1362075" cy="2647950"/>
        </a:xfrm>
        <a:prstGeom prst="line">
          <a:avLst/>
        </a:prstGeom>
        <a:noFill/>
        <a:ln w="1" cap="flat" cmpd="sng" algn="ctr">
          <a:noFill/>
          <a:prstDash val="solid"/>
          <a:round/>
          <a:headEnd type="none" w="med" len="med"/>
          <a:tailEnd type="none" w="med" len="med"/>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372718</xdr:colOff>
      <xdr:row>9</xdr:row>
      <xdr:rowOff>24848</xdr:rowOff>
    </xdr:from>
    <xdr:to>
      <xdr:col>18</xdr:col>
      <xdr:colOff>338204</xdr:colOff>
      <xdr:row>27</xdr:row>
      <xdr:rowOff>136800</xdr:rowOff>
    </xdr:to>
    <xdr:graphicFrame macro="">
      <xdr:nvGraphicFramePr>
        <xdr:cNvPr id="3" name="Chart 2">
          <a:extLst>
            <a:ext uri="{FF2B5EF4-FFF2-40B4-BE49-F238E27FC236}">
              <a16:creationId xmlns:a16="http://schemas.microsoft.com/office/drawing/2014/main" id="{31804D03-9096-44C9-AB7F-722F96F43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0.xml><?xml version="1.0" encoding="utf-8"?>
<c:userShapes xmlns:c="http://schemas.openxmlformats.org/drawingml/2006/chart">
  <cdr:relSizeAnchor xmlns:cdr="http://schemas.openxmlformats.org/drawingml/2006/chartDrawing">
    <cdr:from>
      <cdr:x>1</cdr:x>
      <cdr:y>0.27649</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AC5996D3-360F-4FFC-829A-1E9AC3D9F28F}"/>
            </a:ext>
          </a:extLst>
        </cdr:cNvPr>
        <cdr:cNvCxnSpPr/>
      </cdr:nvCxnSpPr>
      <cdr:spPr bwMode="auto">
        <a:xfrm xmlns:a="http://schemas.openxmlformats.org/drawingml/2006/main">
          <a:off x="11318875" y="1831975"/>
          <a:ext cx="0" cy="2667000"/>
        </a:xfrm>
        <a:prstGeom xmlns:a="http://schemas.openxmlformats.org/drawingml/2006/main" prst="line">
          <a:avLst/>
        </a:prstGeom>
        <a:ln xmlns:a="http://schemas.openxmlformats.org/drawingml/2006/main" w="12700">
          <a:solidFill>
            <a:srgbClr val="909090"/>
          </a:solidFill>
          <a:prstDash val="dash"/>
          <a:headEnd type="none" w="med" len="med"/>
          <a:tailEnd type="none"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0.12876</cdr:x>
      <cdr:y>0.0376</cdr:y>
    </cdr:from>
    <cdr:to>
      <cdr:x>0.95906</cdr:x>
      <cdr:y>0.12511</cdr:y>
    </cdr:to>
    <cdr:sp macro="" textlink="">
      <cdr:nvSpPr>
        <cdr:cNvPr id="3" name="TextBox 2"/>
        <cdr:cNvSpPr txBox="1"/>
      </cdr:nvSpPr>
      <cdr:spPr>
        <a:xfrm xmlns:a="http://schemas.openxmlformats.org/drawingml/2006/main">
          <a:off x="324971" y="120497"/>
          <a:ext cx="2095500" cy="2804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effectLst/>
              <a:latin typeface="Open Sans" panose="020B0606030504020204" pitchFamily="34" charset="0"/>
              <a:ea typeface="Open Sans" panose="020B0606030504020204" pitchFamily="34" charset="0"/>
              <a:cs typeface="Open Sans" panose="020B0606030504020204" pitchFamily="34" charset="0"/>
            </a:rPr>
            <a:t>EU Referendum, UK  2016</a:t>
          </a:r>
          <a:endParaRPr lang="en-GB" sz="900"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latin typeface="Arial" pitchFamily="34" charset="0"/>
            <a:cs typeface="Arial" pitchFamily="34" charset="0"/>
          </a:endParaRPr>
        </a:p>
      </cdr:txBody>
    </cdr:sp>
  </cdr:relSizeAnchor>
  <cdr:relSizeAnchor xmlns:cdr="http://schemas.openxmlformats.org/drawingml/2006/chartDrawing">
    <cdr:from>
      <cdr:x>0.69838</cdr:x>
      <cdr:y>0.23115</cdr:y>
    </cdr:from>
    <cdr:to>
      <cdr:x>0.69838</cdr:x>
      <cdr:y>0.93253</cdr:y>
    </cdr:to>
    <cdr:cxnSp macro="">
      <cdr:nvCxnSpPr>
        <cdr:cNvPr id="5" name="Straight Connector 4">
          <a:extLst xmlns:a="http://schemas.openxmlformats.org/drawingml/2006/main">
            <a:ext uri="{FF2B5EF4-FFF2-40B4-BE49-F238E27FC236}">
              <a16:creationId xmlns:a16="http://schemas.microsoft.com/office/drawing/2014/main" id="{3C2487C9-1436-46A5-AA92-1495FDC85F2A}"/>
            </a:ext>
          </a:extLst>
        </cdr:cNvPr>
        <cdr:cNvCxnSpPr/>
      </cdr:nvCxnSpPr>
      <cdr:spPr bwMode="auto">
        <a:xfrm xmlns:a="http://schemas.openxmlformats.org/drawingml/2006/main" flipH="1" flipV="1">
          <a:off x="2062370" y="745186"/>
          <a:ext cx="1" cy="2261152"/>
        </a:xfrm>
        <a:prstGeom xmlns:a="http://schemas.openxmlformats.org/drawingml/2006/main" prst="line">
          <a:avLst/>
        </a:prstGeom>
        <a:ln xmlns:a="http://schemas.openxmlformats.org/drawingml/2006/main" w="12700">
          <a:solidFill>
            <a:schemeClr val="bg1">
              <a:lumMod val="50000"/>
            </a:schemeClr>
          </a:solidFill>
          <a:prstDash val="dash"/>
          <a:headEnd type="none" w="med" len="med"/>
          <a:tailEnd type="none"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111.xml><?xml version="1.0" encoding="utf-8"?>
<xdr:wsDr xmlns:xdr="http://schemas.openxmlformats.org/drawingml/2006/spreadsheetDrawing" xmlns:a="http://schemas.openxmlformats.org/drawingml/2006/main">
  <xdr:twoCellAnchor>
    <xdr:from>
      <xdr:col>16</xdr:col>
      <xdr:colOff>66675</xdr:colOff>
      <xdr:row>4</xdr:row>
      <xdr:rowOff>66675</xdr:rowOff>
    </xdr:from>
    <xdr:to>
      <xdr:col>19</xdr:col>
      <xdr:colOff>476250</xdr:colOff>
      <xdr:row>15</xdr:row>
      <xdr:rowOff>142875</xdr:rowOff>
    </xdr:to>
    <xdr:graphicFrame macro="">
      <xdr:nvGraphicFramePr>
        <xdr:cNvPr id="2" name="Chart 1">
          <a:extLst>
            <a:ext uri="{FF2B5EF4-FFF2-40B4-BE49-F238E27FC236}">
              <a16:creationId xmlns:a16="http://schemas.microsoft.com/office/drawing/2014/main" id="{00000000-0008-0000-5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19050</xdr:colOff>
      <xdr:row>3</xdr:row>
      <xdr:rowOff>28575</xdr:rowOff>
    </xdr:from>
    <xdr:to>
      <xdr:col>10</xdr:col>
      <xdr:colOff>428625</xdr:colOff>
      <xdr:row>15</xdr:row>
      <xdr:rowOff>38100</xdr:rowOff>
    </xdr:to>
    <xdr:graphicFrame macro="">
      <xdr:nvGraphicFramePr>
        <xdr:cNvPr id="34192119" name="Chart 1">
          <a:extLst>
            <a:ext uri="{FF2B5EF4-FFF2-40B4-BE49-F238E27FC236}">
              <a16:creationId xmlns:a16="http://schemas.microsoft.com/office/drawing/2014/main" id="{00000000-0008-0000-5600-0000F7BA0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3.xml><?xml version="1.0" encoding="utf-8"?>
<xdr:wsDr xmlns:xdr="http://schemas.openxmlformats.org/drawingml/2006/spreadsheetDrawing" xmlns:a="http://schemas.openxmlformats.org/drawingml/2006/main">
  <xdr:twoCellAnchor>
    <xdr:from>
      <xdr:col>18</xdr:col>
      <xdr:colOff>516255</xdr:colOff>
      <xdr:row>3</xdr:row>
      <xdr:rowOff>190500</xdr:rowOff>
    </xdr:from>
    <xdr:to>
      <xdr:col>23</xdr:col>
      <xdr:colOff>334272</xdr:colOff>
      <xdr:row>26</xdr:row>
      <xdr:rowOff>448235</xdr:rowOff>
    </xdr:to>
    <xdr:graphicFrame macro="">
      <xdr:nvGraphicFramePr>
        <xdr:cNvPr id="2" name="Chart 1">
          <a:extLst>
            <a:ext uri="{FF2B5EF4-FFF2-40B4-BE49-F238E27FC236}">
              <a16:creationId xmlns:a16="http://schemas.microsoft.com/office/drawing/2014/main" id="{00000000-0008-0000-5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4.xml><?xml version="1.0" encoding="utf-8"?>
<xdr:wsDr xmlns:xdr="http://schemas.openxmlformats.org/drawingml/2006/spreadsheetDrawing" xmlns:a="http://schemas.openxmlformats.org/drawingml/2006/main">
  <xdr:twoCellAnchor>
    <xdr:from>
      <xdr:col>13</xdr:col>
      <xdr:colOff>108857</xdr:colOff>
      <xdr:row>10</xdr:row>
      <xdr:rowOff>96883</xdr:rowOff>
    </xdr:from>
    <xdr:to>
      <xdr:col>16</xdr:col>
      <xdr:colOff>652054</xdr:colOff>
      <xdr:row>26</xdr:row>
      <xdr:rowOff>104502</xdr:rowOff>
    </xdr:to>
    <xdr:graphicFrame macro="">
      <xdr:nvGraphicFramePr>
        <xdr:cNvPr id="2" name="Chart 1">
          <a:extLst>
            <a:ext uri="{FF2B5EF4-FFF2-40B4-BE49-F238E27FC236}">
              <a16:creationId xmlns:a16="http://schemas.microsoft.com/office/drawing/2014/main" id="{00000000-0008-0000-5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5.xml><?xml version="1.0" encoding="utf-8"?>
<xdr:wsDr xmlns:xdr="http://schemas.openxmlformats.org/drawingml/2006/spreadsheetDrawing" xmlns:a="http://schemas.openxmlformats.org/drawingml/2006/main">
  <xdr:twoCellAnchor>
    <xdr:from>
      <xdr:col>12</xdr:col>
      <xdr:colOff>266700</xdr:colOff>
      <xdr:row>3</xdr:row>
      <xdr:rowOff>142875</xdr:rowOff>
    </xdr:from>
    <xdr:to>
      <xdr:col>16</xdr:col>
      <xdr:colOff>428625</xdr:colOff>
      <xdr:row>33</xdr:row>
      <xdr:rowOff>104775</xdr:rowOff>
    </xdr:to>
    <xdr:graphicFrame macro="">
      <xdr:nvGraphicFramePr>
        <xdr:cNvPr id="5495546" name="Chart 2">
          <a:extLst>
            <a:ext uri="{FF2B5EF4-FFF2-40B4-BE49-F238E27FC236}">
              <a16:creationId xmlns:a16="http://schemas.microsoft.com/office/drawing/2014/main" id="{00000000-0008-0000-5A00-0000FADA5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6.xml><?xml version="1.0" encoding="utf-8"?>
<c:userShapes xmlns:c="http://schemas.openxmlformats.org/drawingml/2006/chart">
  <cdr:relSizeAnchor xmlns:cdr="http://schemas.openxmlformats.org/drawingml/2006/chartDrawing">
    <cdr:from>
      <cdr:x>0.13739</cdr:x>
      <cdr:y>0.01955</cdr:y>
    </cdr:from>
    <cdr:to>
      <cdr:x>0.95372</cdr:x>
      <cdr:y>0.07194</cdr:y>
    </cdr:to>
    <cdr:sp macro="" textlink="">
      <cdr:nvSpPr>
        <cdr:cNvPr id="2" name="TextBox 1"/>
        <cdr:cNvSpPr txBox="1"/>
      </cdr:nvSpPr>
      <cdr:spPr>
        <a:xfrm xmlns:a="http://schemas.openxmlformats.org/drawingml/2006/main">
          <a:off x="373224" y="98865"/>
          <a:ext cx="2217576" cy="2649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effectLst/>
              <a:latin typeface="Open Sans" panose="020B0606030504020204" pitchFamily="34" charset="0"/>
              <a:ea typeface="Open Sans" panose="020B0606030504020204" pitchFamily="34" charset="0"/>
              <a:cs typeface="Open Sans" panose="020B0606030504020204" pitchFamily="34" charset="0"/>
            </a:rPr>
            <a:t>Referendum in Wales 2011 </a:t>
          </a:r>
          <a:endParaRPr lang="en-GB" sz="900" cap="none" baseline="0">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117.xml><?xml version="1.0" encoding="utf-8"?>
<xdr:wsDr xmlns:xdr="http://schemas.openxmlformats.org/drawingml/2006/spreadsheetDrawing" xmlns:a="http://schemas.openxmlformats.org/drawingml/2006/main">
  <xdr:twoCellAnchor>
    <xdr:from>
      <xdr:col>7</xdr:col>
      <xdr:colOff>0</xdr:colOff>
      <xdr:row>11</xdr:row>
      <xdr:rowOff>0</xdr:rowOff>
    </xdr:from>
    <xdr:to>
      <xdr:col>11</xdr:col>
      <xdr:colOff>161925</xdr:colOff>
      <xdr:row>45</xdr:row>
      <xdr:rowOff>76200</xdr:rowOff>
    </xdr:to>
    <xdr:graphicFrame macro="">
      <xdr:nvGraphicFramePr>
        <xdr:cNvPr id="3" name="Chart 2">
          <a:extLst>
            <a:ext uri="{FF2B5EF4-FFF2-40B4-BE49-F238E27FC236}">
              <a16:creationId xmlns:a16="http://schemas.microsoft.com/office/drawing/2014/main" id="{00000000-0008-0000-5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8.xml><?xml version="1.0" encoding="utf-8"?>
<c:userShapes xmlns:c="http://schemas.openxmlformats.org/drawingml/2006/chart">
  <cdr:relSizeAnchor xmlns:cdr="http://schemas.openxmlformats.org/drawingml/2006/chartDrawing">
    <cdr:from>
      <cdr:x>0.00415</cdr:x>
      <cdr:y>0.02708</cdr:y>
    </cdr:from>
    <cdr:to>
      <cdr:x>1</cdr:x>
      <cdr:y>0.08303</cdr:y>
    </cdr:to>
    <cdr:sp macro="" textlink="">
      <cdr:nvSpPr>
        <cdr:cNvPr id="2" name="TextBox 1"/>
        <cdr:cNvSpPr txBox="1"/>
      </cdr:nvSpPr>
      <cdr:spPr>
        <a:xfrm xmlns:a="http://schemas.openxmlformats.org/drawingml/2006/main">
          <a:off x="9525" y="142875"/>
          <a:ext cx="228600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all" baseline="0">
              <a:effectLst/>
              <a:latin typeface="Open Sans" panose="020B0606030504020204" pitchFamily="34" charset="0"/>
              <a:ea typeface="Open Sans" panose="020B0606030504020204" pitchFamily="34" charset="0"/>
              <a:cs typeface="Open Sans" panose="020B0606030504020204" pitchFamily="34" charset="0"/>
            </a:rPr>
            <a:t>Referendum in Wales 2011 </a:t>
          </a:r>
          <a:endParaRPr lang="en-GB" sz="900">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119.xml><?xml version="1.0" encoding="utf-8"?>
<xdr:wsDr xmlns:xdr="http://schemas.openxmlformats.org/drawingml/2006/spreadsheetDrawing" xmlns:a="http://schemas.openxmlformats.org/drawingml/2006/main">
  <xdr:twoCellAnchor>
    <xdr:from>
      <xdr:col>24</xdr:col>
      <xdr:colOff>114300</xdr:colOff>
      <xdr:row>6</xdr:row>
      <xdr:rowOff>177165</xdr:rowOff>
    </xdr:from>
    <xdr:to>
      <xdr:col>27</xdr:col>
      <xdr:colOff>626745</xdr:colOff>
      <xdr:row>34</xdr:row>
      <xdr:rowOff>9525</xdr:rowOff>
    </xdr:to>
    <xdr:graphicFrame macro="">
      <xdr:nvGraphicFramePr>
        <xdr:cNvPr id="2" name="Chart 1">
          <a:extLst>
            <a:ext uri="{FF2B5EF4-FFF2-40B4-BE49-F238E27FC236}">
              <a16:creationId xmlns:a16="http://schemas.microsoft.com/office/drawing/2014/main" id="{00000000-0008-0000-5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0.92028</cdr:x>
      <cdr:y>0.297</cdr:y>
    </cdr:from>
    <cdr:to>
      <cdr:x>0.92053</cdr:x>
      <cdr:y>0.297</cdr:y>
    </cdr:to>
    <cdr:sp macro="" textlink="">
      <cdr:nvSpPr>
        <cdr:cNvPr id="2" name="TextBox 1"/>
        <cdr:cNvSpPr txBox="1"/>
      </cdr:nvSpPr>
      <cdr:spPr>
        <a:xfrm xmlns:a="http://schemas.openxmlformats.org/drawingml/2006/main">
          <a:off x="5273802" y="876301"/>
          <a:ext cx="486198" cy="191398"/>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rgbClr val="0000FF"/>
              </a:solidFill>
              <a:latin typeface="Frutiger LT Std 45 Light" panose="020B0402020204020204" pitchFamily="34" charset="0"/>
              <a:cs typeface="Arial" pitchFamily="34" charset="0"/>
            </a:rPr>
            <a:t>CON</a:t>
          </a:r>
        </a:p>
      </cdr:txBody>
    </cdr:sp>
  </cdr:relSizeAnchor>
  <cdr:relSizeAnchor xmlns:cdr="http://schemas.openxmlformats.org/drawingml/2006/chartDrawing">
    <cdr:from>
      <cdr:x>0.91703</cdr:x>
      <cdr:y>0.34675</cdr:y>
    </cdr:from>
    <cdr:to>
      <cdr:x>0.91728</cdr:x>
      <cdr:y>0.34675</cdr:y>
    </cdr:to>
    <cdr:sp macro="" textlink="">
      <cdr:nvSpPr>
        <cdr:cNvPr id="3" name="TextBox 2"/>
        <cdr:cNvSpPr txBox="1"/>
      </cdr:nvSpPr>
      <cdr:spPr>
        <a:xfrm xmlns:a="http://schemas.openxmlformats.org/drawingml/2006/main">
          <a:off x="5257800" y="1014074"/>
          <a:ext cx="502200" cy="195601"/>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rgbClr val="FF0000"/>
              </a:solidFill>
              <a:latin typeface="Frutiger LT Std 45 Light" panose="020B0402020204020204" pitchFamily="34" charset="0"/>
              <a:cs typeface="Arial" pitchFamily="34" charset="0"/>
            </a:rPr>
            <a:t>LAB</a:t>
          </a:r>
        </a:p>
      </cdr:txBody>
    </cdr:sp>
  </cdr:relSizeAnchor>
  <cdr:relSizeAnchor xmlns:cdr="http://schemas.openxmlformats.org/drawingml/2006/chartDrawing">
    <cdr:from>
      <cdr:x>0.89699</cdr:x>
      <cdr:y>0.5955</cdr:y>
    </cdr:from>
    <cdr:to>
      <cdr:x>0.97833</cdr:x>
      <cdr:y>0.6777</cdr:y>
    </cdr:to>
    <cdr:sp macro="" textlink="">
      <cdr:nvSpPr>
        <cdr:cNvPr id="4" name="TextBox 3"/>
        <cdr:cNvSpPr txBox="1"/>
      </cdr:nvSpPr>
      <cdr:spPr>
        <a:xfrm xmlns:a="http://schemas.openxmlformats.org/drawingml/2006/main">
          <a:off x="5138775" y="1728636"/>
          <a:ext cx="465989" cy="238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rgbClr val="FAA01A"/>
              </a:solidFill>
              <a:latin typeface="Open Sans" panose="020B0606030504020204" pitchFamily="34" charset="0"/>
              <a:ea typeface="Open Sans" panose="020B0606030504020204" pitchFamily="34" charset="0"/>
              <a:cs typeface="Open Sans" panose="020B0606030504020204" pitchFamily="34" charset="0"/>
            </a:rPr>
            <a:t>LD</a:t>
          </a:r>
        </a:p>
      </cdr:txBody>
    </cdr:sp>
  </cdr:relSizeAnchor>
  <cdr:relSizeAnchor xmlns:cdr="http://schemas.openxmlformats.org/drawingml/2006/chartDrawing">
    <cdr:from>
      <cdr:x>0.90828</cdr:x>
      <cdr:y>0.6295</cdr:y>
    </cdr:from>
    <cdr:to>
      <cdr:x>0.90853</cdr:x>
      <cdr:y>0.6295</cdr:y>
    </cdr:to>
    <cdr:sp macro="" textlink="">
      <cdr:nvSpPr>
        <cdr:cNvPr id="5" name="TextBox 4"/>
        <cdr:cNvSpPr txBox="1"/>
      </cdr:nvSpPr>
      <cdr:spPr>
        <a:xfrm xmlns:a="http://schemas.openxmlformats.org/drawingml/2006/main">
          <a:off x="5208250" y="1800491"/>
          <a:ext cx="551750" cy="176976"/>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chemeClr val="bg1">
                  <a:lumMod val="50000"/>
                </a:schemeClr>
              </a:solidFill>
              <a:latin typeface="Frutiger LT Std 45 Light" panose="020B0402020204020204" pitchFamily="34" charset="0"/>
              <a:cs typeface="Arial" pitchFamily="34" charset="0"/>
            </a:rPr>
            <a:t>Other</a:t>
          </a:r>
        </a:p>
      </cdr:txBody>
    </cdr:sp>
  </cdr:relSizeAnchor>
  <cdr:relSizeAnchor xmlns:cdr="http://schemas.openxmlformats.org/drawingml/2006/chartDrawing">
    <cdr:from>
      <cdr:x>0.92378</cdr:x>
      <cdr:y>0.71875</cdr:y>
    </cdr:from>
    <cdr:to>
      <cdr:x>0.92403</cdr:x>
      <cdr:y>0.71875</cdr:y>
    </cdr:to>
    <cdr:sp macro="" textlink="">
      <cdr:nvSpPr>
        <cdr:cNvPr id="6" name="TextBox 5"/>
        <cdr:cNvSpPr txBox="1"/>
      </cdr:nvSpPr>
      <cdr:spPr>
        <a:xfrm xmlns:a="http://schemas.openxmlformats.org/drawingml/2006/main">
          <a:off x="5296801" y="2047221"/>
          <a:ext cx="463199" cy="362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900" b="1">
              <a:solidFill>
                <a:schemeClr val="accent3">
                  <a:lumMod val="75000"/>
                </a:schemeClr>
              </a:solidFill>
              <a:latin typeface="Frutiger LT Std 45 Light" panose="020B0402020204020204" pitchFamily="34" charset="0"/>
              <a:cs typeface="Arial" pitchFamily="34" charset="0"/>
            </a:rPr>
            <a:t>PC/</a:t>
          </a:r>
        </a:p>
        <a:p xmlns:a="http://schemas.openxmlformats.org/drawingml/2006/main">
          <a:pPr algn="l"/>
          <a:r>
            <a:rPr lang="en-GB" sz="900" b="1">
              <a:solidFill>
                <a:schemeClr val="accent3">
                  <a:lumMod val="75000"/>
                </a:schemeClr>
              </a:solidFill>
              <a:latin typeface="Frutiger LT Std 45 Light" panose="020B0402020204020204" pitchFamily="34" charset="0"/>
              <a:cs typeface="Arial" pitchFamily="34" charset="0"/>
            </a:rPr>
            <a:t>SNP</a:t>
          </a:r>
        </a:p>
      </cdr:txBody>
    </cdr:sp>
  </cdr:relSizeAnchor>
  <cdr:relSizeAnchor xmlns:cdr="http://schemas.openxmlformats.org/drawingml/2006/chartDrawing">
    <cdr:from>
      <cdr:x>0.00074</cdr:x>
      <cdr:y>0.87539</cdr:y>
    </cdr:from>
    <cdr:to>
      <cdr:x>0.99975</cdr:x>
      <cdr:y>0.99733</cdr:y>
    </cdr:to>
    <cdr:sp macro="" textlink="">
      <cdr:nvSpPr>
        <cdr:cNvPr id="7" name="TextBox 6"/>
        <cdr:cNvSpPr txBox="1"/>
      </cdr:nvSpPr>
      <cdr:spPr>
        <a:xfrm xmlns:a="http://schemas.openxmlformats.org/drawingml/2006/main">
          <a:off x="0" y="3124200"/>
          <a:ext cx="524827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0.49107</cdr:x>
      <cdr:y>0.07938</cdr:y>
    </cdr:from>
    <cdr:to>
      <cdr:x>0.64933</cdr:x>
      <cdr:y>0.39688</cdr:y>
    </cdr:to>
    <cdr:sp macro="" textlink="">
      <cdr:nvSpPr>
        <cdr:cNvPr id="8" name="TextBox 7"/>
        <cdr:cNvSpPr txBox="1"/>
      </cdr:nvSpPr>
      <cdr:spPr>
        <a:xfrm xmlns:a="http://schemas.openxmlformats.org/drawingml/2006/main">
          <a:off x="2838450" y="228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0.52934</cdr:x>
      <cdr:y>0.15214</cdr:y>
    </cdr:from>
    <cdr:to>
      <cdr:x>0.68711</cdr:x>
      <cdr:y>0.46964</cdr:y>
    </cdr:to>
    <cdr:sp macro="" textlink="">
      <cdr:nvSpPr>
        <cdr:cNvPr id="9" name="TextBox 8"/>
        <cdr:cNvSpPr txBox="1"/>
      </cdr:nvSpPr>
      <cdr:spPr>
        <a:xfrm xmlns:a="http://schemas.openxmlformats.org/drawingml/2006/main">
          <a:off x="3057525" y="438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cdr:x>
      <cdr:y>0</cdr:y>
    </cdr:from>
    <cdr:to>
      <cdr:x>1</cdr:x>
      <cdr:y>0.11146</cdr:y>
    </cdr:to>
    <cdr:sp macro="" textlink="">
      <cdr:nvSpPr>
        <cdr:cNvPr id="10" name="TextBox 9"/>
        <cdr:cNvSpPr txBox="1"/>
      </cdr:nvSpPr>
      <cdr:spPr>
        <a:xfrm xmlns:a="http://schemas.openxmlformats.org/drawingml/2006/main">
          <a:off x="0" y="0"/>
          <a:ext cx="5796443" cy="323849"/>
        </a:xfrm>
        <a:prstGeom xmlns:a="http://schemas.openxmlformats.org/drawingml/2006/main" prst="rect">
          <a:avLst/>
        </a:prstGeom>
        <a:solidFill xmlns:a="http://schemas.openxmlformats.org/drawingml/2006/main">
          <a:srgbClr val="36845B"/>
        </a:solidFill>
      </cdr:spPr>
      <cdr:txBody>
        <a:bodyPr xmlns:a="http://schemas.openxmlformats.org/drawingml/2006/main" vertOverflow="clip" wrap="none" rtlCol="0" anchor="t"/>
        <a:lstStyle xmlns:a="http://schemas.openxmlformats.org/drawingml/2006/main"/>
        <a:p xmlns:a="http://schemas.openxmlformats.org/drawingml/2006/main">
          <a:pPr algn="l"/>
          <a:r>
            <a:rPr lang="en-GB" sz="1400" b="0" u="none" strike="noStrike" cap="none" baseline="0">
              <a:solidFill>
                <a:schemeClr val="bg1"/>
              </a:solidFill>
              <a:latin typeface="National-LFSN Semibd" panose="020B0704030502020203" pitchFamily="34" charset="0"/>
              <a:ea typeface="Open Sans" panose="020B0606030504020204" pitchFamily="34" charset="0"/>
              <a:cs typeface="Open Sans" panose="020B0606030504020204" pitchFamily="34" charset="0"/>
            </a:rPr>
            <a:t> Share of the vote by party: UK General Elections, 1918-2019</a:t>
          </a:r>
        </a:p>
      </cdr:txBody>
    </cdr:sp>
  </cdr:relSizeAnchor>
  <cdr:relSizeAnchor xmlns:cdr="http://schemas.openxmlformats.org/drawingml/2006/chartDrawing">
    <cdr:from>
      <cdr:x>0.91527</cdr:x>
      <cdr:y>0.64193</cdr:y>
    </cdr:from>
    <cdr:to>
      <cdr:x>0.9926</cdr:x>
      <cdr:y>0.72413</cdr:y>
    </cdr:to>
    <cdr:sp macro="" textlink="">
      <cdr:nvSpPr>
        <cdr:cNvPr id="11" name="TextBox 1"/>
        <cdr:cNvSpPr txBox="1"/>
      </cdr:nvSpPr>
      <cdr:spPr>
        <a:xfrm xmlns:a="http://schemas.openxmlformats.org/drawingml/2006/main">
          <a:off x="5243508" y="1863394"/>
          <a:ext cx="443016" cy="23861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909090"/>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0.92622</cdr:x>
      <cdr:y>0.69066</cdr:y>
    </cdr:from>
    <cdr:to>
      <cdr:x>1</cdr:x>
      <cdr:y>0.7547</cdr:y>
    </cdr:to>
    <cdr:sp macro="" textlink="">
      <cdr:nvSpPr>
        <cdr:cNvPr id="12" name="TextBox 1"/>
        <cdr:cNvSpPr txBox="1"/>
      </cdr:nvSpPr>
      <cdr:spPr>
        <a:xfrm xmlns:a="http://schemas.openxmlformats.org/drawingml/2006/main">
          <a:off x="5306195" y="2004868"/>
          <a:ext cx="422707" cy="18588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348837"/>
              </a:solidFill>
              <a:latin typeface="Open Sans" panose="020B0606030504020204" pitchFamily="34" charset="0"/>
              <a:ea typeface="Open Sans" panose="020B0606030504020204" pitchFamily="34" charset="0"/>
              <a:cs typeface="Open Sans" panose="020B0606030504020204" pitchFamily="34" charset="0"/>
            </a:rPr>
            <a:t>PC/SNP</a:t>
          </a:r>
        </a:p>
      </cdr:txBody>
    </cdr:sp>
  </cdr:relSizeAnchor>
  <cdr:relSizeAnchor xmlns:cdr="http://schemas.openxmlformats.org/drawingml/2006/chartDrawing">
    <cdr:from>
      <cdr:x>0.90484</cdr:x>
      <cdr:y>0.44014</cdr:y>
    </cdr:from>
    <cdr:to>
      <cdr:x>0.98168</cdr:x>
      <cdr:y>0.52235</cdr:y>
    </cdr:to>
    <cdr:sp macro="" textlink="">
      <cdr:nvSpPr>
        <cdr:cNvPr id="13" name="TextBox 1"/>
        <cdr:cNvSpPr txBox="1"/>
      </cdr:nvSpPr>
      <cdr:spPr>
        <a:xfrm xmlns:a="http://schemas.openxmlformats.org/drawingml/2006/main">
          <a:off x="5183713" y="1277634"/>
          <a:ext cx="440209" cy="238640"/>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D50000"/>
              </a:solidFill>
              <a:latin typeface="Open Sans" panose="020B0606030504020204" pitchFamily="34" charset="0"/>
              <a:ea typeface="Open Sans" panose="020B0606030504020204" pitchFamily="34" charset="0"/>
              <a:cs typeface="Open Sans" panose="020B0606030504020204" pitchFamily="34" charset="0"/>
            </a:rPr>
            <a:t>LAB</a:t>
          </a:r>
        </a:p>
      </cdr:txBody>
    </cdr:sp>
  </cdr:relSizeAnchor>
  <cdr:relSizeAnchor xmlns:cdr="http://schemas.openxmlformats.org/drawingml/2006/chartDrawing">
    <cdr:from>
      <cdr:x>0.90832</cdr:x>
      <cdr:y>0.33652</cdr:y>
    </cdr:from>
    <cdr:to>
      <cdr:x>0.9854</cdr:x>
      <cdr:y>0.41872</cdr:y>
    </cdr:to>
    <cdr:sp macro="" textlink="">
      <cdr:nvSpPr>
        <cdr:cNvPr id="14" name="TextBox 1"/>
        <cdr:cNvSpPr txBox="1"/>
      </cdr:nvSpPr>
      <cdr:spPr>
        <a:xfrm xmlns:a="http://schemas.openxmlformats.org/drawingml/2006/main">
          <a:off x="5203658" y="976865"/>
          <a:ext cx="441584" cy="23861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00539F"/>
              </a:solidFill>
              <a:latin typeface="Open Sans" panose="020B0606030504020204" pitchFamily="34" charset="0"/>
              <a:ea typeface="Open Sans" panose="020B0606030504020204" pitchFamily="34" charset="0"/>
              <a:cs typeface="Open Sans" panose="020B0606030504020204" pitchFamily="34" charset="0"/>
            </a:rPr>
            <a:t>CON</a:t>
          </a:r>
        </a:p>
      </cdr:txBody>
    </cdr:sp>
  </cdr:relSizeAnchor>
</c:userShapes>
</file>

<file path=xl/drawings/drawing120.xml><?xml version="1.0" encoding="utf-8"?>
<xdr:wsDr xmlns:xdr="http://schemas.openxmlformats.org/drawingml/2006/spreadsheetDrawing" xmlns:a="http://schemas.openxmlformats.org/drawingml/2006/main">
  <xdr:twoCellAnchor>
    <xdr:from>
      <xdr:col>7</xdr:col>
      <xdr:colOff>409575</xdr:colOff>
      <xdr:row>3</xdr:row>
      <xdr:rowOff>85725</xdr:rowOff>
    </xdr:from>
    <xdr:to>
      <xdr:col>11</xdr:col>
      <xdr:colOff>285750</xdr:colOff>
      <xdr:row>16</xdr:row>
      <xdr:rowOff>0</xdr:rowOff>
    </xdr:to>
    <xdr:graphicFrame macro="">
      <xdr:nvGraphicFramePr>
        <xdr:cNvPr id="34262774" name="Chart 1">
          <a:extLst>
            <a:ext uri="{FF2B5EF4-FFF2-40B4-BE49-F238E27FC236}">
              <a16:creationId xmlns:a16="http://schemas.microsoft.com/office/drawing/2014/main" id="{00000000-0008-0000-5D00-0000F6CE0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12</xdr:col>
      <xdr:colOff>15241</xdr:colOff>
      <xdr:row>4</xdr:row>
      <xdr:rowOff>84045</xdr:rowOff>
    </xdr:from>
    <xdr:to>
      <xdr:col>20</xdr:col>
      <xdr:colOff>130662</xdr:colOff>
      <xdr:row>21</xdr:row>
      <xdr:rowOff>118335</xdr:rowOff>
    </xdr:to>
    <xdr:graphicFrame macro="">
      <xdr:nvGraphicFramePr>
        <xdr:cNvPr id="18148412" name="Chart 2">
          <a:extLst>
            <a:ext uri="{FF2B5EF4-FFF2-40B4-BE49-F238E27FC236}">
              <a16:creationId xmlns:a16="http://schemas.microsoft.com/office/drawing/2014/main" id="{00000000-0008-0000-0600-00003CEC14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248098</xdr:colOff>
      <xdr:row>4</xdr:row>
      <xdr:rowOff>48411</xdr:rowOff>
    </xdr:from>
    <xdr:to>
      <xdr:col>23</xdr:col>
      <xdr:colOff>288103</xdr:colOff>
      <xdr:row>21</xdr:row>
      <xdr:rowOff>8295</xdr:rowOff>
    </xdr:to>
    <xdr:graphicFrame macro="">
      <xdr:nvGraphicFramePr>
        <xdr:cNvPr id="18148413" name="Chart 2">
          <a:extLst>
            <a:ext uri="{FF2B5EF4-FFF2-40B4-BE49-F238E27FC236}">
              <a16:creationId xmlns:a16="http://schemas.microsoft.com/office/drawing/2014/main" id="{00000000-0008-0000-0600-00003DEC14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2" name="TextBox 1"/>
        <cdr:cNvSpPr txBox="1"/>
      </cdr:nvSpPr>
      <cdr:spPr>
        <a:xfrm xmlns:a="http://schemas.openxmlformats.org/drawingml/2006/main">
          <a:off x="0" y="3257549"/>
          <a:ext cx="5886424"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 not just Northern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3" name="TextBox 1"/>
        <cdr:cNvSpPr txBox="1"/>
      </cdr:nvSpPr>
      <cdr:spPr>
        <a:xfrm xmlns:a="http://schemas.openxmlformats.org/drawingml/2006/main">
          <a:off x="9525" y="3286125"/>
          <a:ext cx="5248243" cy="3038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vote share includes votes for Liberal/SDP alliance (1983-87) and Liberal Democrats from 1992.  Figures for 1918 include all Ireland, not just Northern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4" name="TextBox 1"/>
        <cdr:cNvSpPr txBox="1"/>
      </cdr:nvSpPr>
      <cdr:spPr>
        <a:xfrm xmlns:a="http://schemas.openxmlformats.org/drawingml/2006/main">
          <a:off x="0" y="3086100"/>
          <a:ext cx="5248275" cy="3038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5" name="TextBox 4"/>
        <cdr:cNvSpPr txBox="1"/>
      </cdr:nvSpPr>
      <cdr:spPr>
        <a:xfrm xmlns:a="http://schemas.openxmlformats.org/drawingml/2006/main">
          <a:off x="0" y="2838449"/>
          <a:ext cx="5257800" cy="3048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a:t>
          </a:r>
          <a:endParaRPr lang="en-GB" sz="7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2" name="TextBox 1"/>
        <cdr:cNvSpPr txBox="1"/>
      </cdr:nvSpPr>
      <cdr:spPr>
        <a:xfrm xmlns:a="http://schemas.openxmlformats.org/drawingml/2006/main">
          <a:off x="0" y="3257549"/>
          <a:ext cx="5886424"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 not just Northern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3" name="TextBox 1"/>
        <cdr:cNvSpPr txBox="1"/>
      </cdr:nvSpPr>
      <cdr:spPr>
        <a:xfrm xmlns:a="http://schemas.openxmlformats.org/drawingml/2006/main">
          <a:off x="9525" y="3286125"/>
          <a:ext cx="5248243" cy="3038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vote share includes votes for Liberal/SDP alliance (1983-87) and Liberal Democrats from 1992.  Figures for 1918 include all Ireland, not just Northern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4" name="TextBox 1"/>
        <cdr:cNvSpPr txBox="1"/>
      </cdr:nvSpPr>
      <cdr:spPr>
        <a:xfrm xmlns:a="http://schemas.openxmlformats.org/drawingml/2006/main">
          <a:off x="0" y="3086100"/>
          <a:ext cx="5248275" cy="3038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a:t>
          </a:r>
          <a:endParaRPr lang="en-GB" sz="700">
            <a:latin typeface="Arial" pitchFamily="34" charset="0"/>
            <a:cs typeface="Arial" pitchFamily="34" charset="0"/>
          </a:endParaRPr>
        </a:p>
      </cdr:txBody>
    </cdr:sp>
  </cdr:relSizeAnchor>
  <cdr:relSizeAnchor xmlns:cdr="http://schemas.openxmlformats.org/drawingml/2006/chartDrawing">
    <cdr:from>
      <cdr:x>0</cdr:x>
      <cdr:y>1</cdr:y>
    </cdr:from>
    <cdr:to>
      <cdr:x>0</cdr:x>
      <cdr:y>1</cdr:y>
    </cdr:to>
    <cdr:sp macro="" textlink="">
      <cdr:nvSpPr>
        <cdr:cNvPr id="5" name="TextBox 4"/>
        <cdr:cNvSpPr txBox="1"/>
      </cdr:nvSpPr>
      <cdr:spPr>
        <a:xfrm xmlns:a="http://schemas.openxmlformats.org/drawingml/2006/main">
          <a:off x="0" y="2838449"/>
          <a:ext cx="5257800" cy="3048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00">
              <a:latin typeface="Arial" pitchFamily="34" charset="0"/>
              <a:cs typeface="Arial" pitchFamily="34" charset="0"/>
            </a:rPr>
            <a:t>Note: Liberal</a:t>
          </a:r>
          <a:r>
            <a:rPr lang="en-GB" sz="700" baseline="0">
              <a:latin typeface="Arial" pitchFamily="34" charset="0"/>
              <a:cs typeface="Arial" pitchFamily="34" charset="0"/>
            </a:rPr>
            <a:t> seats include seats won by Liberal/SDP alliance (1983-87) and Liberal Democrats from 1992. Figures for 1918 include all Ireland.</a:t>
          </a:r>
          <a:endParaRPr lang="en-GB" sz="700">
            <a:latin typeface="Arial" pitchFamily="34" charset="0"/>
            <a:cs typeface="Arial" pitchFamily="34" charset="0"/>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12</xdr:col>
      <xdr:colOff>485775</xdr:colOff>
      <xdr:row>5</xdr:row>
      <xdr:rowOff>95250</xdr:rowOff>
    </xdr:from>
    <xdr:to>
      <xdr:col>16</xdr:col>
      <xdr:colOff>314325</xdr:colOff>
      <xdr:row>26</xdr:row>
      <xdr:rowOff>76200</xdr:rowOff>
    </xdr:to>
    <xdr:graphicFrame macro="">
      <xdr:nvGraphicFramePr>
        <xdr:cNvPr id="34751758" name="Chart 3">
          <a:extLst>
            <a:ext uri="{FF2B5EF4-FFF2-40B4-BE49-F238E27FC236}">
              <a16:creationId xmlns:a16="http://schemas.microsoft.com/office/drawing/2014/main" id="{00000000-0008-0000-0700-00000E45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504825</xdr:colOff>
      <xdr:row>5</xdr:row>
      <xdr:rowOff>47625</xdr:rowOff>
    </xdr:from>
    <xdr:to>
      <xdr:col>20</xdr:col>
      <xdr:colOff>323850</xdr:colOff>
      <xdr:row>26</xdr:row>
      <xdr:rowOff>114300</xdr:rowOff>
    </xdr:to>
    <xdr:graphicFrame macro="">
      <xdr:nvGraphicFramePr>
        <xdr:cNvPr id="34751759" name="Chart 4">
          <a:extLst>
            <a:ext uri="{FF2B5EF4-FFF2-40B4-BE49-F238E27FC236}">
              <a16:creationId xmlns:a16="http://schemas.microsoft.com/office/drawing/2014/main" id="{00000000-0008-0000-0700-00000F45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28574</xdr:colOff>
      <xdr:row>4</xdr:row>
      <xdr:rowOff>133350</xdr:rowOff>
    </xdr:from>
    <xdr:to>
      <xdr:col>28</xdr:col>
      <xdr:colOff>390524</xdr:colOff>
      <xdr:row>27</xdr:row>
      <xdr:rowOff>133350</xdr:rowOff>
    </xdr:to>
    <xdr:graphicFrame macro="">
      <xdr:nvGraphicFramePr>
        <xdr:cNvPr id="34751760" name="Chart 6">
          <a:extLst>
            <a:ext uri="{FF2B5EF4-FFF2-40B4-BE49-F238E27FC236}">
              <a16:creationId xmlns:a16="http://schemas.microsoft.com/office/drawing/2014/main" id="{00000000-0008-0000-0700-00001045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482111</xdr:colOff>
      <xdr:row>4</xdr:row>
      <xdr:rowOff>64478</xdr:rowOff>
    </xdr:from>
    <xdr:to>
      <xdr:col>24</xdr:col>
      <xdr:colOff>158261</xdr:colOff>
      <xdr:row>28</xdr:row>
      <xdr:rowOff>92517</xdr:rowOff>
    </xdr:to>
    <xdr:grpSp>
      <xdr:nvGrpSpPr>
        <xdr:cNvPr id="34751761" name="Group 9">
          <a:extLst>
            <a:ext uri="{FF2B5EF4-FFF2-40B4-BE49-F238E27FC236}">
              <a16:creationId xmlns:a16="http://schemas.microsoft.com/office/drawing/2014/main" id="{00000000-0008-0000-0700-000011451202}"/>
            </a:ext>
          </a:extLst>
        </xdr:cNvPr>
        <xdr:cNvGrpSpPr>
          <a:grpSpLocks/>
        </xdr:cNvGrpSpPr>
      </xdr:nvGrpSpPr>
      <xdr:grpSpPr bwMode="auto">
        <a:xfrm>
          <a:off x="12009803" y="728786"/>
          <a:ext cx="1981689" cy="4013885"/>
          <a:chOff x="10606342" y="-136565"/>
          <a:chExt cx="1809750" cy="5316857"/>
        </a:xfrm>
      </xdr:grpSpPr>
      <xdr:graphicFrame macro="">
        <xdr:nvGraphicFramePr>
          <xdr:cNvPr id="34751765" name="Chart 5">
            <a:extLst>
              <a:ext uri="{FF2B5EF4-FFF2-40B4-BE49-F238E27FC236}">
                <a16:creationId xmlns:a16="http://schemas.microsoft.com/office/drawing/2014/main" id="{00000000-0008-0000-0700-000015451202}"/>
              </a:ext>
            </a:extLst>
          </xdr:cNvPr>
          <xdr:cNvGraphicFramePr>
            <a:graphicFrameLocks/>
          </xdr:cNvGraphicFramePr>
        </xdr:nvGraphicFramePr>
        <xdr:xfrm>
          <a:off x="10606342" y="-136565"/>
          <a:ext cx="1809750" cy="525780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0687051" y="4560207"/>
            <a:ext cx="1647825" cy="620085"/>
          </a:xfrm>
          <a:prstGeom prst="rect">
            <a:avLst/>
          </a:prstGeom>
        </xdr:spPr>
        <xdr:txBody>
          <a:bodyPr vertOverflow="clip" horzOverflow="clip" wrap="square" rtlCol="0" anchor="t"/>
          <a:lstStyle/>
          <a:p>
            <a:r>
              <a:rPr lang="en-GB" sz="700" b="1">
                <a:latin typeface="Arial" pitchFamily="34" charset="0"/>
                <a:cs typeface="Arial" pitchFamily="34" charset="0"/>
              </a:rPr>
              <a:t>Note:</a:t>
            </a:r>
            <a:r>
              <a:rPr lang="en-GB" sz="700" b="1" baseline="0">
                <a:latin typeface="Arial" pitchFamily="34" charset="0"/>
                <a:cs typeface="Arial" pitchFamily="34" charset="0"/>
              </a:rPr>
              <a:t> </a:t>
            </a:r>
          </a:p>
          <a:p>
            <a:r>
              <a:rPr lang="en-GB" sz="700" baseline="0">
                <a:latin typeface="Arial" pitchFamily="34" charset="0"/>
                <a:cs typeface="Arial" pitchFamily="34" charset="0"/>
              </a:rPr>
              <a:t>Horizontal axis range is 0 - 10%</a:t>
            </a:r>
            <a:endParaRPr lang="en-GB" sz="700">
              <a:latin typeface="Arial" pitchFamily="34" charset="0"/>
              <a:cs typeface="Arial" pitchFamily="34" charset="0"/>
            </a:endParaRPr>
          </a:p>
        </xdr:txBody>
      </xdr:sp>
    </xdr:grpSp>
    <xdr:clientData/>
  </xdr:twoCellAnchor>
  <xdr:twoCellAnchor>
    <xdr:from>
      <xdr:col>8</xdr:col>
      <xdr:colOff>381000</xdr:colOff>
      <xdr:row>5</xdr:row>
      <xdr:rowOff>19050</xdr:rowOff>
    </xdr:from>
    <xdr:to>
      <xdr:col>12</xdr:col>
      <xdr:colOff>209550</xdr:colOff>
      <xdr:row>26</xdr:row>
      <xdr:rowOff>19050</xdr:rowOff>
    </xdr:to>
    <xdr:grpSp>
      <xdr:nvGrpSpPr>
        <xdr:cNvPr id="34751762" name="Group 3">
          <a:extLst>
            <a:ext uri="{FF2B5EF4-FFF2-40B4-BE49-F238E27FC236}">
              <a16:creationId xmlns:a16="http://schemas.microsoft.com/office/drawing/2014/main" id="{00000000-0008-0000-0700-000012451202}"/>
            </a:ext>
          </a:extLst>
        </xdr:cNvPr>
        <xdr:cNvGrpSpPr>
          <a:grpSpLocks/>
        </xdr:cNvGrpSpPr>
      </xdr:nvGrpSpPr>
      <xdr:grpSpPr bwMode="auto">
        <a:xfrm>
          <a:off x="4992077" y="849435"/>
          <a:ext cx="2134088" cy="3487615"/>
          <a:chOff x="4770398" y="67356"/>
          <a:chExt cx="1962150" cy="3400425"/>
        </a:xfrm>
      </xdr:grpSpPr>
      <xdr:graphicFrame macro="">
        <xdr:nvGraphicFramePr>
          <xdr:cNvPr id="34751763" name="Chart 2">
            <a:extLst>
              <a:ext uri="{FF2B5EF4-FFF2-40B4-BE49-F238E27FC236}">
                <a16:creationId xmlns:a16="http://schemas.microsoft.com/office/drawing/2014/main" id="{00000000-0008-0000-0700-000013451202}"/>
              </a:ext>
            </a:extLst>
          </xdr:cNvPr>
          <xdr:cNvGraphicFramePr>
            <a:graphicFrameLocks/>
          </xdr:cNvGraphicFramePr>
        </xdr:nvGraphicFramePr>
        <xdr:xfrm>
          <a:off x="4770398" y="67356"/>
          <a:ext cx="1962150" cy="3400425"/>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34751764" name="Straight Connector 2">
            <a:extLst>
              <a:ext uri="{FF2B5EF4-FFF2-40B4-BE49-F238E27FC236}">
                <a16:creationId xmlns:a16="http://schemas.microsoft.com/office/drawing/2014/main" id="{00000000-0008-0000-0700-000014451202}"/>
              </a:ext>
            </a:extLst>
          </xdr:cNvPr>
          <xdr:cNvCxnSpPr>
            <a:cxnSpLocks noChangeShapeType="1"/>
          </xdr:cNvCxnSpPr>
        </xdr:nvCxnSpPr>
        <xdr:spPr bwMode="auto">
          <a:xfrm flipH="1">
            <a:off x="5883220" y="500928"/>
            <a:ext cx="9525" cy="2762250"/>
          </a:xfrm>
          <a:prstGeom prst="line">
            <a:avLst/>
          </a:prstGeom>
          <a:noFill/>
          <a:ln w="1" algn="ctr">
            <a:solidFill>
              <a:srgbClr val="000000"/>
            </a:solidFill>
            <a:prstDash val="dash"/>
            <a:round/>
            <a:headEnd/>
            <a:tailEnd/>
          </a:ln>
          <a:extLst>
            <a:ext uri="{909E8E84-426E-40DD-AFC4-6F175D3DCCD1}">
              <a14:hiddenFill xmlns:a14="http://schemas.microsoft.com/office/drawing/2010/main">
                <a:noFill/>
              </a14:hiddenFill>
            </a:ext>
          </a:extLst>
        </xdr:spPr>
      </xdr:cxnSp>
    </xdr:grpSp>
    <xdr:clientData/>
  </xdr:twoCellAnchor>
</xdr:wsDr>
</file>

<file path=xl/drawings/drawing17.xml><?xml version="1.0" encoding="utf-8"?>
<c:userShapes xmlns:c="http://schemas.openxmlformats.org/drawingml/2006/chart">
  <cdr:relSizeAnchor xmlns:cdr="http://schemas.openxmlformats.org/drawingml/2006/chartDrawing">
    <cdr:from>
      <cdr:x>0.57071</cdr:x>
      <cdr:y>0.11277</cdr:y>
    </cdr:from>
    <cdr:to>
      <cdr:x>0.57556</cdr:x>
      <cdr:y>0.92747</cdr:y>
    </cdr:to>
    <cdr:cxnSp macro="">
      <cdr:nvCxnSpPr>
        <cdr:cNvPr id="2" name="Straight Connector 1">
          <a:extLst xmlns:a="http://schemas.openxmlformats.org/drawingml/2006/main">
            <a:ext uri="{FF2B5EF4-FFF2-40B4-BE49-F238E27FC236}">
              <a16:creationId xmlns:a16="http://schemas.microsoft.com/office/drawing/2014/main" id="{5C91B659-FD35-4A13-AEB0-C7EAC5D55C09}"/>
            </a:ext>
          </a:extLst>
        </cdr:cNvPr>
        <cdr:cNvCxnSpPr/>
      </cdr:nvCxnSpPr>
      <cdr:spPr bwMode="auto">
        <a:xfrm xmlns:a="http://schemas.openxmlformats.org/drawingml/2006/main" flipH="1">
          <a:off x="1293773" y="392596"/>
          <a:ext cx="10995" cy="2836286"/>
        </a:xfrm>
        <a:prstGeom xmlns:a="http://schemas.openxmlformats.org/drawingml/2006/main" prst="line">
          <a:avLst/>
        </a:prstGeom>
        <a:noFill xmlns:a="http://schemas.openxmlformats.org/drawingml/2006/main"/>
        <a:ln xmlns:a="http://schemas.openxmlformats.org/drawingml/2006/main" w="1" cap="flat" cmpd="sng" algn="ctr">
          <a:solidFill>
            <a:schemeClr val="tx1"/>
          </a:solidFill>
          <a:prstDash val="lgDash"/>
          <a:round/>
          <a:headEnd type="none" w="med" len="med"/>
          <a:tailEnd type="none" w="med" len="med"/>
        </a:ln>
        <a:effectLst xmlns:a="http://schemas.openxmlformats.org/drawingml/2006/main"/>
      </cdr:spPr>
    </cdr:cxnSp>
  </cdr:relSizeAnchor>
</c:userShapes>
</file>

<file path=xl/drawings/drawing18.xml><?xml version="1.0" encoding="utf-8"?>
<c:userShapes xmlns:c="http://schemas.openxmlformats.org/drawingml/2006/chart">
  <cdr:relSizeAnchor xmlns:cdr="http://schemas.openxmlformats.org/drawingml/2006/chartDrawing">
    <cdr:from>
      <cdr:x>0.56178</cdr:x>
      <cdr:y>0.13508</cdr:y>
    </cdr:from>
    <cdr:to>
      <cdr:x>0.57335</cdr:x>
      <cdr:y>0.93115</cdr:y>
    </cdr:to>
    <cdr:cxnSp macro="">
      <cdr:nvCxnSpPr>
        <cdr:cNvPr id="2" name="Straight Connector 1">
          <a:extLst xmlns:a="http://schemas.openxmlformats.org/drawingml/2006/main">
            <a:ext uri="{FF2B5EF4-FFF2-40B4-BE49-F238E27FC236}">
              <a16:creationId xmlns:a16="http://schemas.microsoft.com/office/drawing/2014/main" id="{95A9D8AB-1A35-4326-A74F-C2F85E32FC45}"/>
            </a:ext>
          </a:extLst>
        </cdr:cNvPr>
        <cdr:cNvCxnSpPr/>
      </cdr:nvCxnSpPr>
      <cdr:spPr bwMode="auto">
        <a:xfrm xmlns:a="http://schemas.openxmlformats.org/drawingml/2006/main">
          <a:off x="1268175" y="481845"/>
          <a:ext cx="26119" cy="2839671"/>
        </a:xfrm>
        <a:prstGeom xmlns:a="http://schemas.openxmlformats.org/drawingml/2006/main" prst="line">
          <a:avLst/>
        </a:prstGeom>
        <a:noFill xmlns:a="http://schemas.openxmlformats.org/drawingml/2006/main"/>
        <a:ln xmlns:a="http://schemas.openxmlformats.org/drawingml/2006/main" w="1" cap="flat" cmpd="sng" algn="ctr">
          <a:solidFill>
            <a:schemeClr val="tx1"/>
          </a:solidFill>
          <a:prstDash val="lgDash"/>
          <a:round/>
          <a:headEnd type="none" w="med" len="med"/>
          <a:tailEnd type="none" w="med" len="med"/>
        </a:ln>
        <a:effectLst xmlns:a="http://schemas.openxmlformats.org/drawingml/2006/main"/>
      </cdr:spPr>
    </cdr:cxnSp>
  </cdr:relSizeAnchor>
</c:userShapes>
</file>

<file path=xl/drawings/drawing19.xml><?xml version="1.0" encoding="utf-8"?>
<c:userShapes xmlns:c="http://schemas.openxmlformats.org/drawingml/2006/chart">
  <cdr:relSizeAnchor xmlns:cdr="http://schemas.openxmlformats.org/drawingml/2006/chartDrawing">
    <cdr:from>
      <cdr:x>0.09243</cdr:x>
      <cdr:y>0.90605</cdr:y>
    </cdr:from>
    <cdr:to>
      <cdr:x>0.95711</cdr:x>
      <cdr:y>0.99655</cdr:y>
    </cdr:to>
    <cdr:sp macro="" textlink="">
      <cdr:nvSpPr>
        <cdr:cNvPr id="2" name="TextBox 8"/>
        <cdr:cNvSpPr txBox="1"/>
      </cdr:nvSpPr>
      <cdr:spPr>
        <a:xfrm xmlns:a="http://schemas.openxmlformats.org/drawingml/2006/main">
          <a:off x="182600" y="3269287"/>
          <a:ext cx="1708259" cy="326551"/>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700" b="1">
              <a:latin typeface="Arial" pitchFamily="34" charset="0"/>
              <a:cs typeface="Arial" pitchFamily="34" charset="0"/>
            </a:rPr>
            <a:t>Note:</a:t>
          </a:r>
          <a:r>
            <a:rPr lang="en-GB" sz="700" b="1" baseline="0">
              <a:latin typeface="Arial" pitchFamily="34" charset="0"/>
              <a:cs typeface="Arial" pitchFamily="34" charset="0"/>
            </a:rPr>
            <a:t> </a:t>
          </a:r>
        </a:p>
        <a:p xmlns:a="http://schemas.openxmlformats.org/drawingml/2006/main">
          <a:pPr>
            <a:lnSpc>
              <a:spcPts val="700"/>
            </a:lnSpc>
          </a:pPr>
          <a:r>
            <a:rPr lang="en-GB" sz="700" baseline="0">
              <a:latin typeface="Arial" pitchFamily="34" charset="0"/>
              <a:cs typeface="Arial" pitchFamily="34" charset="0"/>
            </a:rPr>
            <a:t>Horizontal axis range is 0 - 30%</a:t>
          </a:r>
          <a:endParaRPr lang="en-GB" sz="700">
            <a:latin typeface="Arial" pitchFamily="34" charset="0"/>
            <a:cs typeface="Arial"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Box 1"/>
        <cdr:cNvSpPr txBox="1"/>
      </cdr:nvSpPr>
      <cdr:spPr>
        <a:xfrm xmlns:a="http://schemas.openxmlformats.org/drawingml/2006/main">
          <a:off x="0" y="0"/>
          <a:ext cx="5040000" cy="247355"/>
        </a:xfrm>
        <a:prstGeom xmlns:a="http://schemas.openxmlformats.org/drawingml/2006/main" prst="rect">
          <a:avLst/>
        </a:prstGeom>
        <a:solidFill xmlns:a="http://schemas.openxmlformats.org/drawingml/2006/main">
          <a:srgbClr val="36845B"/>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bg1"/>
              </a:solidFill>
              <a:latin typeface="Frutiger LT Std 45 Light" panose="020B0402020204020204" pitchFamily="34" charset="0"/>
              <a:cs typeface="Arial" pitchFamily="34" charset="0"/>
            </a:rPr>
            <a:t>Northen Ireland Assembly elcetion</a:t>
          </a:r>
          <a:r>
            <a:rPr lang="en-GB" sz="1400" b="1" baseline="0">
              <a:solidFill>
                <a:schemeClr val="bg1"/>
              </a:solidFill>
              <a:latin typeface="Frutiger LT Std 45 Light" panose="020B0402020204020204" pitchFamily="34" charset="0"/>
              <a:cs typeface="Arial" pitchFamily="34" charset="0"/>
            </a:rPr>
            <a:t> since 1998</a:t>
          </a:r>
          <a:endParaRPr lang="en-GB" sz="1400" b="1">
            <a:solidFill>
              <a:schemeClr val="bg1"/>
            </a:solidFill>
            <a:latin typeface="Frutiger LT Std 45 Light" panose="020B0402020204020204" pitchFamily="34" charset="0"/>
            <a:cs typeface="Arial" pitchFamily="34" charset="0"/>
          </a:endParaRPr>
        </a:p>
      </cdr:txBody>
    </cdr:sp>
  </cdr:relSizeAnchor>
  <cdr:relSizeAnchor xmlns:cdr="http://schemas.openxmlformats.org/drawingml/2006/chartDrawing">
    <cdr:from>
      <cdr:x>0</cdr:x>
      <cdr:y>0.9815</cdr:y>
    </cdr:from>
    <cdr:to>
      <cdr:x>0</cdr:x>
      <cdr:y>0.9815</cdr:y>
    </cdr:to>
    <cdr:sp macro="" textlink="">
      <cdr:nvSpPr>
        <cdr:cNvPr id="3" name="TextBox 1"/>
        <cdr:cNvSpPr txBox="1"/>
      </cdr:nvSpPr>
      <cdr:spPr>
        <a:xfrm xmlns:a="http://schemas.openxmlformats.org/drawingml/2006/main">
          <a:off x="50800" y="2386586"/>
          <a:ext cx="5040000" cy="184214"/>
        </a:xfrm>
        <a:prstGeom xmlns:a="http://schemas.openxmlformats.org/drawingml/2006/main" prst="rect">
          <a:avLst/>
        </a:prstGeom>
        <a:solidFill xmlns:a="http://schemas.openxmlformats.org/drawingml/2006/main">
          <a:srgbClr val="36845B"/>
        </a:solidFill>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b="1">
              <a:solidFill>
                <a:schemeClr val="bg1"/>
              </a:solidFill>
              <a:latin typeface="Frutiger LT Std 45 Light" panose="020B0402020204020204" pitchFamily="34" charset="0"/>
              <a:cs typeface="Arial" pitchFamily="34" charset="0"/>
            </a:rPr>
            <a:t>@commonslibrary  </a:t>
          </a:r>
        </a:p>
      </cdr:txBody>
    </cdr:sp>
  </cdr:relSizeAnchor>
  <cdr:relSizeAnchor xmlns:cdr="http://schemas.openxmlformats.org/drawingml/2006/chartDrawing">
    <cdr:from>
      <cdr:x>0.00747</cdr:x>
      <cdr:y>0.11394</cdr:y>
    </cdr:from>
    <cdr:to>
      <cdr:x>0.06582</cdr:x>
      <cdr:y>0.21173</cdr:y>
    </cdr:to>
    <cdr:sp macro="" textlink="">
      <cdr:nvSpPr>
        <cdr:cNvPr id="4" name="TextBox 3"/>
        <cdr:cNvSpPr txBox="1"/>
      </cdr:nvSpPr>
      <cdr:spPr>
        <a:xfrm xmlns:a="http://schemas.openxmlformats.org/drawingml/2006/main">
          <a:off x="41276" y="287732"/>
          <a:ext cx="190500" cy="247650"/>
        </a:xfrm>
        <a:prstGeom xmlns:a="http://schemas.openxmlformats.org/drawingml/2006/main" prst="rect">
          <a:avLst/>
        </a:prstGeom>
      </cdr:spPr>
      <cdr:txBody>
        <a:bodyPr xmlns:a="http://schemas.openxmlformats.org/drawingml/2006/main" wrap="none" l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1100">
            <a:latin typeface="Frutiger LT Std 45 Light" panose="020B0402020204020204" pitchFamily="34" charset="0"/>
            <a:cs typeface="Arial" pitchFamily="34" charset="0"/>
          </a:endParaRPr>
        </a:p>
      </cdr:txBody>
    </cdr:sp>
  </cdr:relSizeAnchor>
  <cdr:relSizeAnchor xmlns:cdr="http://schemas.openxmlformats.org/drawingml/2006/chartDrawing">
    <cdr:from>
      <cdr:x>0</cdr:x>
      <cdr:y>0</cdr:y>
    </cdr:from>
    <cdr:to>
      <cdr:x>1</cdr:x>
      <cdr:y>0.12551</cdr:y>
    </cdr:to>
    <cdr:sp macro="" textlink="">
      <cdr:nvSpPr>
        <cdr:cNvPr id="5" name="TextBox 1"/>
        <cdr:cNvSpPr txBox="1"/>
      </cdr:nvSpPr>
      <cdr:spPr>
        <a:xfrm xmlns:a="http://schemas.openxmlformats.org/drawingml/2006/main">
          <a:off x="0" y="0"/>
          <a:ext cx="5010150" cy="316800"/>
        </a:xfrm>
        <a:prstGeom xmlns:a="http://schemas.openxmlformats.org/drawingml/2006/main" prst="rect">
          <a:avLst/>
        </a:prstGeom>
        <a:solidFill xmlns:a="http://schemas.openxmlformats.org/drawingml/2006/main">
          <a:srgbClr val="36845B"/>
        </a:solidFill>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cap="none">
              <a:solidFill>
                <a:schemeClr val="bg1"/>
              </a:solidFill>
              <a:latin typeface="Open Sans" panose="020B0606030504020204" pitchFamily="34" charset="0"/>
              <a:ea typeface="Open Sans" panose="020B0606030504020204" pitchFamily="34" charset="0"/>
              <a:cs typeface="Open Sans" panose="020B0606030504020204" pitchFamily="34" charset="0"/>
            </a:rPr>
            <a:t>Northern Ireland</a:t>
          </a:r>
          <a:r>
            <a:rPr lang="en-GB" sz="1200" b="1" cap="none" baseline="0">
              <a:solidFill>
                <a:schemeClr val="bg1"/>
              </a:solidFill>
              <a:latin typeface="Open Sans" panose="020B0606030504020204" pitchFamily="34" charset="0"/>
              <a:ea typeface="Open Sans" panose="020B0606030504020204" pitchFamily="34" charset="0"/>
              <a:cs typeface="Open Sans" panose="020B0606030504020204" pitchFamily="34" charset="0"/>
            </a:rPr>
            <a:t> Assembly elections since 1998 </a:t>
          </a:r>
          <a:r>
            <a:rPr lang="en-GB" sz="1200" b="0" cap="none" baseline="0">
              <a:solidFill>
                <a:schemeClr val="bg1"/>
              </a:solidFill>
              <a:latin typeface="Open Sans" panose="020B0606030504020204" pitchFamily="34" charset="0"/>
              <a:ea typeface="Open Sans" panose="020B0606030504020204" pitchFamily="34" charset="0"/>
              <a:cs typeface="Open Sans" panose="020B0606030504020204" pitchFamily="34" charset="0"/>
            </a:rPr>
            <a:t>(seats by party) </a:t>
          </a:r>
          <a:endParaRPr lang="en-GB" sz="1200" b="0" cap="none">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20.xml><?xml version="1.0" encoding="utf-8"?>
<xdr:wsDr xmlns:xdr="http://schemas.openxmlformats.org/drawingml/2006/spreadsheetDrawing" xmlns:a="http://schemas.openxmlformats.org/drawingml/2006/main">
  <xdr:twoCellAnchor>
    <xdr:from>
      <xdr:col>22</xdr:col>
      <xdr:colOff>190500</xdr:colOff>
      <xdr:row>63</xdr:row>
      <xdr:rowOff>95250</xdr:rowOff>
    </xdr:from>
    <xdr:to>
      <xdr:col>32</xdr:col>
      <xdr:colOff>466725</xdr:colOff>
      <xdr:row>94</xdr:row>
      <xdr:rowOff>47624</xdr:rowOff>
    </xdr:to>
    <xdr:graphicFrame macro="">
      <xdr:nvGraphicFramePr>
        <xdr:cNvPr id="40756133" name="Chart 3">
          <a:extLst>
            <a:ext uri="{FF2B5EF4-FFF2-40B4-BE49-F238E27FC236}">
              <a16:creationId xmlns:a16="http://schemas.microsoft.com/office/drawing/2014/main" id="{00000000-0008-0000-0900-0000A5E36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428625</xdr:colOff>
      <xdr:row>63</xdr:row>
      <xdr:rowOff>95250</xdr:rowOff>
    </xdr:from>
    <xdr:to>
      <xdr:col>42</xdr:col>
      <xdr:colOff>523875</xdr:colOff>
      <xdr:row>94</xdr:row>
      <xdr:rowOff>47624</xdr:rowOff>
    </xdr:to>
    <xdr:graphicFrame macro="">
      <xdr:nvGraphicFramePr>
        <xdr:cNvPr id="9" name="Chart 3">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577112</xdr:colOff>
      <xdr:row>63</xdr:row>
      <xdr:rowOff>40796</xdr:rowOff>
    </xdr:from>
    <xdr:to>
      <xdr:col>19</xdr:col>
      <xdr:colOff>362831</xdr:colOff>
      <xdr:row>94</xdr:row>
      <xdr:rowOff>21536</xdr:rowOff>
    </xdr:to>
    <xdr:graphicFrame macro="">
      <xdr:nvGraphicFramePr>
        <xdr:cNvPr id="5" name="Chart 3">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0.30274</cdr:x>
      <cdr:y>0.06651</cdr:y>
    </cdr:from>
    <cdr:to>
      <cdr:x>0.53988</cdr:x>
      <cdr:y>0.10583</cdr:y>
    </cdr:to>
    <cdr:sp macro="" textlink="">
      <cdr:nvSpPr>
        <cdr:cNvPr id="2" name="TextBox 1"/>
        <cdr:cNvSpPr txBox="1"/>
      </cdr:nvSpPr>
      <cdr:spPr>
        <a:xfrm xmlns:a="http://schemas.openxmlformats.org/drawingml/2006/main" flipH="1" flipV="1">
          <a:off x="1705534" y="253814"/>
          <a:ext cx="1344706" cy="145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0.24835</cdr:x>
      <cdr:y>0.0994</cdr:y>
    </cdr:from>
    <cdr:to>
      <cdr:x>0.65075</cdr:x>
      <cdr:y>0.95695</cdr:y>
    </cdr:to>
    <cdr:grpSp>
      <cdr:nvGrpSpPr>
        <cdr:cNvPr id="32" name="Group 31">
          <a:extLst xmlns:a="http://schemas.openxmlformats.org/drawingml/2006/main">
            <a:ext uri="{FF2B5EF4-FFF2-40B4-BE49-F238E27FC236}">
              <a16:creationId xmlns:a16="http://schemas.microsoft.com/office/drawing/2014/main" id="{BAD3A0F1-08F9-42C0-B420-4475384A381A}"/>
            </a:ext>
          </a:extLst>
        </cdr:cNvPr>
        <cdr:cNvGrpSpPr/>
      </cdr:nvGrpSpPr>
      <cdr:grpSpPr>
        <a:xfrm xmlns:a="http://schemas.openxmlformats.org/drawingml/2006/main">
          <a:off x="1649334" y="528139"/>
          <a:ext cx="2672405" cy="4556393"/>
          <a:chOff x="1428083" y="374994"/>
          <a:chExt cx="2232533" cy="3342605"/>
        </a:xfrm>
      </cdr:grpSpPr>
      <cdr:sp macro="" textlink="">
        <cdr:nvSpPr>
          <cdr:cNvPr id="3" name="TextBox 2"/>
          <cdr:cNvSpPr txBox="1"/>
        </cdr:nvSpPr>
        <cdr:spPr>
          <a:xfrm xmlns:a="http://schemas.openxmlformats.org/drawingml/2006/main">
            <a:off x="1430245" y="374994"/>
            <a:ext cx="921984" cy="1977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1979-1990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4" name="TextBox 1"/>
          <cdr:cNvSpPr txBox="1"/>
        </cdr:nvSpPr>
        <cdr:spPr>
          <a:xfrm xmlns:a="http://schemas.openxmlformats.org/drawingml/2006/main">
            <a:off x="1433687" y="548487"/>
            <a:ext cx="921984" cy="184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1997-2007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5" name="TextBox 1"/>
          <cdr:cNvSpPr txBox="1"/>
        </cdr:nvSpPr>
        <cdr:spPr>
          <a:xfrm xmlns:a="http://schemas.openxmlformats.org/drawingml/2006/main">
            <a:off x="1431561" y="729131"/>
            <a:ext cx="2229055" cy="2095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1940-1945 &amp; 1951-1955</a:t>
            </a:r>
            <a:endParaRPr lang="en-GB" sz="800" b="1">
              <a:solidFill>
                <a:schemeClr val="bg1"/>
              </a:solidFill>
              <a:latin typeface="Frutiger LT Std 45 Light" panose="020B0402020204020204" pitchFamily="34" charset="0"/>
              <a:cs typeface="Arial" pitchFamily="34" charset="0"/>
            </a:endParaRPr>
          </a:p>
        </cdr:txBody>
      </cdr:sp>
      <cdr:sp macro="" textlink="">
        <cdr:nvSpPr>
          <cdr:cNvPr id="6" name="TextBox 1"/>
          <cdr:cNvSpPr txBox="1"/>
        </cdr:nvSpPr>
        <cdr:spPr>
          <a:xfrm xmlns:a="http://schemas.openxmlformats.org/drawingml/2006/main">
            <a:off x="1431561" y="886809"/>
            <a:ext cx="1662534" cy="278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1964-1970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1974-1976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7" name="TextBox 1"/>
          <cdr:cNvSpPr txBox="1"/>
        </cdr:nvSpPr>
        <cdr:spPr>
          <a:xfrm xmlns:a="http://schemas.openxmlformats.org/drawingml/2006/main">
            <a:off x="1428083" y="1059704"/>
            <a:ext cx="2106864" cy="2442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1923, 1924-1929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1935-1937</a:t>
            </a:r>
            <a:r>
              <a:rPr lang="en-GB" sz="900" b="1">
                <a:solidFill>
                  <a:schemeClr val="bg1"/>
                </a:solidFill>
                <a:latin typeface="Frutiger LT Std 45 Light" panose="020B0402020204020204" pitchFamily="34" charset="0"/>
                <a:cs typeface="Arial" pitchFamily="34" charset="0"/>
              </a:rPr>
              <a:t> </a:t>
            </a:r>
            <a:endParaRPr lang="en-GB" sz="800" b="1">
              <a:solidFill>
                <a:schemeClr val="bg1"/>
              </a:solidFill>
              <a:latin typeface="Frutiger LT Std 45 Light" panose="020B0402020204020204" pitchFamily="34" charset="0"/>
              <a:cs typeface="Arial" pitchFamily="34" charset="0"/>
            </a:endParaRPr>
          </a:p>
        </cdr:txBody>
      </cdr:sp>
      <cdr:sp macro="" textlink="">
        <cdr:nvSpPr>
          <cdr:cNvPr id="8" name="TextBox 1"/>
          <cdr:cNvSpPr txBox="1"/>
        </cdr:nvSpPr>
        <cdr:spPr>
          <a:xfrm xmlns:a="http://schemas.openxmlformats.org/drawingml/2006/main">
            <a:off x="1438910" y="1236767"/>
            <a:ext cx="1395936" cy="2095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1924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1929-1935</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9" name="TextBox 1"/>
          <cdr:cNvSpPr txBox="1"/>
        </cdr:nvSpPr>
        <cdr:spPr>
          <a:xfrm xmlns:a="http://schemas.openxmlformats.org/drawingml/2006/main">
            <a:off x="1434939" y="1411873"/>
            <a:ext cx="921984" cy="2326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1957-1963</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0" name="TextBox 1"/>
          <cdr:cNvSpPr txBox="1"/>
        </cdr:nvSpPr>
        <cdr:spPr>
          <a:xfrm xmlns:a="http://schemas.openxmlformats.org/drawingml/2006/main">
            <a:off x="1442670" y="1581226"/>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1990-1997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1" name="TextBox 1"/>
          <cdr:cNvSpPr txBox="1"/>
        </cdr:nvSpPr>
        <cdr:spPr>
          <a:xfrm xmlns:a="http://schemas.openxmlformats.org/drawingml/2006/main">
            <a:off x="1431181" y="1751249"/>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1945-1951</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2" name="TextBox 1"/>
          <cdr:cNvSpPr txBox="1"/>
        </cdr:nvSpPr>
        <cdr:spPr>
          <a:xfrm xmlns:a="http://schemas.openxmlformats.org/drawingml/2006/main">
            <a:off x="1444796" y="2095818"/>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1916-1922</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3" name="TextBox 1"/>
          <cdr:cNvSpPr txBox="1"/>
        </cdr:nvSpPr>
        <cdr:spPr>
          <a:xfrm xmlns:a="http://schemas.openxmlformats.org/drawingml/2006/main">
            <a:off x="1449038" y="1920316"/>
            <a:ext cx="921984" cy="2008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2010-2016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4" name="TextBox 1"/>
          <cdr:cNvSpPr txBox="1"/>
        </cdr:nvSpPr>
        <cdr:spPr>
          <a:xfrm xmlns:a="http://schemas.openxmlformats.org/drawingml/2006/main">
            <a:off x="1450427" y="2265588"/>
            <a:ext cx="921984"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1970-1974</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5" name="TextBox 1"/>
          <cdr:cNvSpPr txBox="1"/>
        </cdr:nvSpPr>
        <cdr:spPr>
          <a:xfrm xmlns:a="http://schemas.openxmlformats.org/drawingml/2006/main">
            <a:off x="1450441" y="2434327"/>
            <a:ext cx="921984" cy="1905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1976-1979</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6" name="TextBox 1"/>
          <cdr:cNvSpPr txBox="1"/>
        </cdr:nvSpPr>
        <cdr:spPr>
          <a:xfrm xmlns:a="http://schemas.openxmlformats.org/drawingml/2006/main">
            <a:off x="1457632" y="2610172"/>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1937-1940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7" name="TextBox 1"/>
          <cdr:cNvSpPr txBox="1"/>
        </cdr:nvSpPr>
        <cdr:spPr>
          <a:xfrm xmlns:a="http://schemas.openxmlformats.org/drawingml/2006/main">
            <a:off x="1460093" y="2778468"/>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2007-2010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8" name="TextBox 1"/>
          <cdr:cNvSpPr txBox="1"/>
        </cdr:nvSpPr>
        <cdr:spPr>
          <a:xfrm xmlns:a="http://schemas.openxmlformats.org/drawingml/2006/main">
            <a:off x="1841766" y="3106029"/>
            <a:ext cx="921984" cy="2108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1955-1957</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9" name="TextBox 1"/>
          <cdr:cNvSpPr txBox="1"/>
        </cdr:nvSpPr>
        <cdr:spPr>
          <a:xfrm xmlns:a="http://schemas.openxmlformats.org/drawingml/2006/main">
            <a:off x="1665984" y="3285243"/>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1963-1964</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20" name="TextBox 1"/>
          <cdr:cNvSpPr txBox="1"/>
        </cdr:nvSpPr>
        <cdr:spPr>
          <a:xfrm xmlns:a="http://schemas.openxmlformats.org/drawingml/2006/main">
            <a:off x="1537526" y="3463170"/>
            <a:ext cx="921985" cy="2544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1922-1923</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grpSp>
  </cdr:relSizeAnchor>
  <cdr:relSizeAnchor xmlns:cdr="http://schemas.openxmlformats.org/drawingml/2006/chartDrawing">
    <cdr:from>
      <cdr:x>0.35371</cdr:x>
      <cdr:y>0.76301</cdr:y>
    </cdr:from>
    <cdr:to>
      <cdr:x>0.53311</cdr:x>
      <cdr:y>0.8171</cdr:y>
    </cdr:to>
    <cdr:sp macro="" textlink="">
      <cdr:nvSpPr>
        <cdr:cNvPr id="34" name="TextBox 1"/>
        <cdr:cNvSpPr txBox="1"/>
      </cdr:nvSpPr>
      <cdr:spPr>
        <a:xfrm xmlns:a="http://schemas.openxmlformats.org/drawingml/2006/main">
          <a:off x="1984380" y="3859123"/>
          <a:ext cx="1006470" cy="2735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Frutiger LT Std 45 Light" panose="020B0402020204020204" pitchFamily="34" charset="0"/>
              <a:cs typeface="Arial" pitchFamily="34" charset="0"/>
            </a:rPr>
            <a:t>2016- present</a:t>
          </a:r>
        </a:p>
      </cdr:txBody>
    </cdr:sp>
  </cdr:relSizeAnchor>
  <cdr:relSizeAnchor xmlns:cdr="http://schemas.openxmlformats.org/drawingml/2006/chartDrawing">
    <cdr:from>
      <cdr:x>0</cdr:x>
      <cdr:y>0</cdr:y>
    </cdr:from>
    <cdr:to>
      <cdr:x>0.89643</cdr:x>
      <cdr:y>0.19085</cdr:y>
    </cdr:to>
    <cdr:sp macro="" textlink="">
      <cdr:nvSpPr>
        <cdr:cNvPr id="21" name="TextBox 20"/>
        <cdr:cNvSpPr txBox="1"/>
      </cdr:nvSpPr>
      <cdr:spPr>
        <a:xfrm xmlns:a="http://schemas.openxmlformats.org/drawingml/2006/main">
          <a:off x="0" y="0"/>
          <a:ext cx="5029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900">
            <a:latin typeface="Arial" pitchFamily="34" charset="0"/>
            <a:cs typeface="Arial" pitchFamily="34" charset="0"/>
          </a:endParaRPr>
        </a:p>
      </cdr:txBody>
    </cdr:sp>
  </cdr:relSizeAnchor>
  <cdr:relSizeAnchor xmlns:cdr="http://schemas.openxmlformats.org/drawingml/2006/chartDrawing">
    <cdr:from>
      <cdr:x>0</cdr:x>
      <cdr:y>0</cdr:y>
    </cdr:from>
    <cdr:to>
      <cdr:x>0.87097</cdr:x>
      <cdr:y>0.09387</cdr:y>
    </cdr:to>
    <cdr:sp macro="" textlink="">
      <cdr:nvSpPr>
        <cdr:cNvPr id="22" name="TextBox 21"/>
        <cdr:cNvSpPr txBox="1"/>
      </cdr:nvSpPr>
      <cdr:spPr>
        <a:xfrm xmlns:a="http://schemas.openxmlformats.org/drawingml/2006/main">
          <a:off x="0" y="0"/>
          <a:ext cx="4886324" cy="46672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tIns="0" rtlCol="0"/>
        <a:lstStyle xmlns:a="http://schemas.openxmlformats.org/drawingml/2006/main"/>
        <a:p xmlns:a="http://schemas.openxmlformats.org/drawingml/2006/main">
          <a:r>
            <a:rPr lang="en-GB" sz="1300" b="1"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Years spent in office by Prime Ministers 1916-2018</a:t>
          </a:r>
        </a:p>
        <a:p xmlns:a="http://schemas.openxmlformats.org/drawingml/2006/main">
          <a:r>
            <a:rPr lang="en-GB" sz="1100" b="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Shaded based on government composition, as at December 2018</a:t>
          </a:r>
          <a:endParaRPr lang="en-GB" sz="1050" b="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1300"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0.68138</cdr:x>
      <cdr:y>0.43879</cdr:y>
    </cdr:from>
    <cdr:to>
      <cdr:x>0.90549</cdr:x>
      <cdr:y>0.60138</cdr:y>
    </cdr:to>
    <cdr:pic>
      <cdr:nvPicPr>
        <cdr:cNvPr id="26" name="Picture 25">
          <a:extLst xmlns:a="http://schemas.openxmlformats.org/drawingml/2006/main">
            <a:ext uri="{FF2B5EF4-FFF2-40B4-BE49-F238E27FC236}">
              <a16:creationId xmlns:a16="http://schemas.microsoft.com/office/drawing/2014/main" id="{A5EFA895-28AC-4AC5-8606-14C1208D53B2}"/>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20062"/>
        <a:stretch xmlns:a="http://schemas.openxmlformats.org/drawingml/2006/main"/>
      </cdr:blipFill>
      <cdr:spPr bwMode="auto">
        <a:xfrm xmlns:a="http://schemas.openxmlformats.org/drawingml/2006/main">
          <a:off x="3822700" y="2219324"/>
          <a:ext cx="1257300" cy="822325"/>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22.xml><?xml version="1.0" encoding="utf-8"?>
<c:userShapes xmlns:c="http://schemas.openxmlformats.org/drawingml/2006/chart">
  <cdr:relSizeAnchor xmlns:cdr="http://schemas.openxmlformats.org/drawingml/2006/chartDrawing">
    <cdr:from>
      <cdr:x>0.30274</cdr:x>
      <cdr:y>0.06651</cdr:y>
    </cdr:from>
    <cdr:to>
      <cdr:x>0.53988</cdr:x>
      <cdr:y>0.10583</cdr:y>
    </cdr:to>
    <cdr:sp macro="" textlink="">
      <cdr:nvSpPr>
        <cdr:cNvPr id="2" name="TextBox 1"/>
        <cdr:cNvSpPr txBox="1"/>
      </cdr:nvSpPr>
      <cdr:spPr>
        <a:xfrm xmlns:a="http://schemas.openxmlformats.org/drawingml/2006/main" flipH="1" flipV="1">
          <a:off x="1705534" y="253814"/>
          <a:ext cx="1344706" cy="145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0.24835</cdr:x>
      <cdr:y>0.0994</cdr:y>
    </cdr:from>
    <cdr:to>
      <cdr:x>0.65075</cdr:x>
      <cdr:y>0.95695</cdr:y>
    </cdr:to>
    <cdr:grpSp>
      <cdr:nvGrpSpPr>
        <cdr:cNvPr id="32" name="Group 31">
          <a:extLst xmlns:a="http://schemas.openxmlformats.org/drawingml/2006/main">
            <a:ext uri="{FF2B5EF4-FFF2-40B4-BE49-F238E27FC236}">
              <a16:creationId xmlns:a16="http://schemas.microsoft.com/office/drawing/2014/main" id="{F589EB4C-BAC7-49B6-96AB-69304A336010}"/>
            </a:ext>
          </a:extLst>
        </cdr:cNvPr>
        <cdr:cNvGrpSpPr/>
      </cdr:nvGrpSpPr>
      <cdr:grpSpPr>
        <a:xfrm xmlns:a="http://schemas.openxmlformats.org/drawingml/2006/main">
          <a:off x="1657822" y="528139"/>
          <a:ext cx="2686158" cy="4556393"/>
          <a:chOff x="1428083" y="374994"/>
          <a:chExt cx="2232533" cy="3342605"/>
        </a:xfrm>
      </cdr:grpSpPr>
      <cdr:sp macro="" textlink="">
        <cdr:nvSpPr>
          <cdr:cNvPr id="3" name="TextBox 2"/>
          <cdr:cNvSpPr txBox="1"/>
        </cdr:nvSpPr>
        <cdr:spPr>
          <a:xfrm xmlns:a="http://schemas.openxmlformats.org/drawingml/2006/main">
            <a:off x="1430245" y="374994"/>
            <a:ext cx="921984" cy="1977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1979-1990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4" name="TextBox 1"/>
          <cdr:cNvSpPr txBox="1"/>
        </cdr:nvSpPr>
        <cdr:spPr>
          <a:xfrm xmlns:a="http://schemas.openxmlformats.org/drawingml/2006/main">
            <a:off x="1433687" y="548487"/>
            <a:ext cx="921984" cy="184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1997-2007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5" name="TextBox 1"/>
          <cdr:cNvSpPr txBox="1"/>
        </cdr:nvSpPr>
        <cdr:spPr>
          <a:xfrm xmlns:a="http://schemas.openxmlformats.org/drawingml/2006/main">
            <a:off x="1431561" y="729131"/>
            <a:ext cx="2229055" cy="2095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1940-1945 &amp; 1951-1955</a:t>
            </a:r>
            <a:endParaRPr lang="en-GB" sz="800" b="1">
              <a:solidFill>
                <a:schemeClr val="bg1"/>
              </a:solidFill>
              <a:latin typeface="Frutiger LT Std 45 Light" panose="020B0402020204020204" pitchFamily="34" charset="0"/>
              <a:cs typeface="Arial" pitchFamily="34" charset="0"/>
            </a:endParaRPr>
          </a:p>
        </cdr:txBody>
      </cdr:sp>
      <cdr:sp macro="" textlink="">
        <cdr:nvSpPr>
          <cdr:cNvPr id="6" name="TextBox 1"/>
          <cdr:cNvSpPr txBox="1"/>
        </cdr:nvSpPr>
        <cdr:spPr>
          <a:xfrm xmlns:a="http://schemas.openxmlformats.org/drawingml/2006/main">
            <a:off x="1431561" y="886809"/>
            <a:ext cx="1662534" cy="278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1964-1970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1974-1976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7" name="TextBox 1"/>
          <cdr:cNvSpPr txBox="1"/>
        </cdr:nvSpPr>
        <cdr:spPr>
          <a:xfrm xmlns:a="http://schemas.openxmlformats.org/drawingml/2006/main">
            <a:off x="1428083" y="1059704"/>
            <a:ext cx="2106864" cy="2442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1923, 1924-1929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1935-1937</a:t>
            </a:r>
            <a:r>
              <a:rPr lang="en-GB" sz="900" b="1">
                <a:solidFill>
                  <a:schemeClr val="bg1"/>
                </a:solidFill>
                <a:latin typeface="Frutiger LT Std 45 Light" panose="020B0402020204020204" pitchFamily="34" charset="0"/>
                <a:cs typeface="Arial" pitchFamily="34" charset="0"/>
              </a:rPr>
              <a:t> </a:t>
            </a:r>
            <a:endParaRPr lang="en-GB" sz="800" b="1">
              <a:solidFill>
                <a:schemeClr val="bg1"/>
              </a:solidFill>
              <a:latin typeface="Frutiger LT Std 45 Light" panose="020B0402020204020204" pitchFamily="34" charset="0"/>
              <a:cs typeface="Arial" pitchFamily="34" charset="0"/>
            </a:endParaRPr>
          </a:p>
        </cdr:txBody>
      </cdr:sp>
      <cdr:sp macro="" textlink="">
        <cdr:nvSpPr>
          <cdr:cNvPr id="8" name="TextBox 1"/>
          <cdr:cNvSpPr txBox="1"/>
        </cdr:nvSpPr>
        <cdr:spPr>
          <a:xfrm xmlns:a="http://schemas.openxmlformats.org/drawingml/2006/main">
            <a:off x="1438910" y="1236767"/>
            <a:ext cx="1395936" cy="2095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Frutiger LT Std 45 Light" panose="020B0402020204020204" pitchFamily="34" charset="0"/>
                <a:cs typeface="Arial" pitchFamily="34" charset="0"/>
              </a:rPr>
              <a:t>1924 &amp; </a:t>
            </a: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1929-1935</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9" name="TextBox 1"/>
          <cdr:cNvSpPr txBox="1"/>
        </cdr:nvSpPr>
        <cdr:spPr>
          <a:xfrm xmlns:a="http://schemas.openxmlformats.org/drawingml/2006/main">
            <a:off x="1434939" y="1411873"/>
            <a:ext cx="921984" cy="2326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1957-1963</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0" name="TextBox 1"/>
          <cdr:cNvSpPr txBox="1"/>
        </cdr:nvSpPr>
        <cdr:spPr>
          <a:xfrm xmlns:a="http://schemas.openxmlformats.org/drawingml/2006/main">
            <a:off x="1442670" y="1581226"/>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1990-1997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1" name="TextBox 1"/>
          <cdr:cNvSpPr txBox="1"/>
        </cdr:nvSpPr>
        <cdr:spPr>
          <a:xfrm xmlns:a="http://schemas.openxmlformats.org/drawingml/2006/main">
            <a:off x="1431181" y="1751249"/>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1945-1951</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2" name="TextBox 1"/>
          <cdr:cNvSpPr txBox="1"/>
        </cdr:nvSpPr>
        <cdr:spPr>
          <a:xfrm xmlns:a="http://schemas.openxmlformats.org/drawingml/2006/main">
            <a:off x="1444796" y="2095818"/>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1916-1922</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3" name="TextBox 1"/>
          <cdr:cNvSpPr txBox="1"/>
        </cdr:nvSpPr>
        <cdr:spPr>
          <a:xfrm xmlns:a="http://schemas.openxmlformats.org/drawingml/2006/main">
            <a:off x="1449038" y="1920316"/>
            <a:ext cx="921984" cy="2008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2010-2016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4" name="TextBox 1"/>
          <cdr:cNvSpPr txBox="1"/>
        </cdr:nvSpPr>
        <cdr:spPr>
          <a:xfrm xmlns:a="http://schemas.openxmlformats.org/drawingml/2006/main">
            <a:off x="1450427" y="2265588"/>
            <a:ext cx="921984"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1970-1974</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5" name="TextBox 1"/>
          <cdr:cNvSpPr txBox="1"/>
        </cdr:nvSpPr>
        <cdr:spPr>
          <a:xfrm xmlns:a="http://schemas.openxmlformats.org/drawingml/2006/main">
            <a:off x="1450441" y="2434327"/>
            <a:ext cx="921984" cy="1905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1976-1979</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6" name="TextBox 1"/>
          <cdr:cNvSpPr txBox="1"/>
        </cdr:nvSpPr>
        <cdr:spPr>
          <a:xfrm xmlns:a="http://schemas.openxmlformats.org/drawingml/2006/main">
            <a:off x="1457632" y="2610172"/>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1937-1940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7" name="TextBox 1"/>
          <cdr:cNvSpPr txBox="1"/>
        </cdr:nvSpPr>
        <cdr:spPr>
          <a:xfrm xmlns:a="http://schemas.openxmlformats.org/drawingml/2006/main">
            <a:off x="1460093" y="2778468"/>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2007-2010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8" name="TextBox 1"/>
          <cdr:cNvSpPr txBox="1"/>
        </cdr:nvSpPr>
        <cdr:spPr>
          <a:xfrm xmlns:a="http://schemas.openxmlformats.org/drawingml/2006/main">
            <a:off x="1841766" y="3106029"/>
            <a:ext cx="921984" cy="2108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1955-1957</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9" name="TextBox 1"/>
          <cdr:cNvSpPr txBox="1"/>
        </cdr:nvSpPr>
        <cdr:spPr>
          <a:xfrm xmlns:a="http://schemas.openxmlformats.org/drawingml/2006/main">
            <a:off x="1665984" y="3285243"/>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1963-1964</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20" name="TextBox 1"/>
          <cdr:cNvSpPr txBox="1"/>
        </cdr:nvSpPr>
        <cdr:spPr>
          <a:xfrm xmlns:a="http://schemas.openxmlformats.org/drawingml/2006/main">
            <a:off x="1537526" y="3463170"/>
            <a:ext cx="921985" cy="2544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1922-1923</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grpSp>
  </cdr:relSizeAnchor>
  <cdr:relSizeAnchor xmlns:cdr="http://schemas.openxmlformats.org/drawingml/2006/chartDrawing">
    <cdr:from>
      <cdr:x>0.35371</cdr:x>
      <cdr:y>0.75736</cdr:y>
    </cdr:from>
    <cdr:to>
      <cdr:x>0.53311</cdr:x>
      <cdr:y>0.81145</cdr:y>
    </cdr:to>
    <cdr:sp macro="" textlink="">
      <cdr:nvSpPr>
        <cdr:cNvPr id="34" name="TextBox 1"/>
        <cdr:cNvSpPr txBox="1"/>
      </cdr:nvSpPr>
      <cdr:spPr>
        <a:xfrm xmlns:a="http://schemas.openxmlformats.org/drawingml/2006/main">
          <a:off x="1984380" y="3628561"/>
          <a:ext cx="1006470" cy="2591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Frutiger LT Std 45 Light" panose="020B0402020204020204" pitchFamily="34" charset="0"/>
              <a:cs typeface="Arial" pitchFamily="34" charset="0"/>
            </a:rPr>
            <a:t>2016- </a:t>
          </a:r>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present</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cdr:x>
      <cdr:y>0</cdr:y>
    </cdr:from>
    <cdr:to>
      <cdr:x>0.89643</cdr:x>
      <cdr:y>0.19085</cdr:y>
    </cdr:to>
    <cdr:sp macro="" textlink="">
      <cdr:nvSpPr>
        <cdr:cNvPr id="21" name="TextBox 20"/>
        <cdr:cNvSpPr txBox="1"/>
      </cdr:nvSpPr>
      <cdr:spPr>
        <a:xfrm xmlns:a="http://schemas.openxmlformats.org/drawingml/2006/main">
          <a:off x="0" y="0"/>
          <a:ext cx="5029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900">
            <a:latin typeface="Arial" pitchFamily="34" charset="0"/>
            <a:cs typeface="Arial" pitchFamily="34" charset="0"/>
          </a:endParaRPr>
        </a:p>
      </cdr:txBody>
    </cdr:sp>
  </cdr:relSizeAnchor>
  <cdr:relSizeAnchor xmlns:cdr="http://schemas.openxmlformats.org/drawingml/2006/chartDrawing">
    <cdr:from>
      <cdr:x>0</cdr:x>
      <cdr:y>0</cdr:y>
    </cdr:from>
    <cdr:to>
      <cdr:x>0.87097</cdr:x>
      <cdr:y>0.09387</cdr:y>
    </cdr:to>
    <cdr:sp macro="" textlink="">
      <cdr:nvSpPr>
        <cdr:cNvPr id="22" name="TextBox 21"/>
        <cdr:cNvSpPr txBox="1"/>
      </cdr:nvSpPr>
      <cdr:spPr>
        <a:xfrm xmlns:a="http://schemas.openxmlformats.org/drawingml/2006/main">
          <a:off x="0" y="0"/>
          <a:ext cx="4886324" cy="46672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tIns="0" rtlCol="0"/>
        <a:lstStyle xmlns:a="http://schemas.openxmlformats.org/drawingml/2006/main"/>
        <a:p xmlns:a="http://schemas.openxmlformats.org/drawingml/2006/main">
          <a:r>
            <a:rPr lang="en-GB" sz="1300" b="1"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Years spent in office by Prime Ministers 1916-2018</a:t>
          </a:r>
        </a:p>
        <a:p xmlns:a="http://schemas.openxmlformats.org/drawingml/2006/main">
          <a:r>
            <a:rPr lang="en-GB" sz="1100" b="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Shaded based on party of the Prime Minister, as at December 2018</a:t>
          </a:r>
          <a:endParaRPr lang="en-GB" sz="1050" b="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1300"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0.70175</cdr:x>
      <cdr:y>0.42938</cdr:y>
    </cdr:from>
    <cdr:to>
      <cdr:x>0.92586</cdr:x>
      <cdr:y>0.54991</cdr:y>
    </cdr:to>
    <cdr:pic>
      <cdr:nvPicPr>
        <cdr:cNvPr id="25" name="Picture 24">
          <a:extLst xmlns:a="http://schemas.openxmlformats.org/drawingml/2006/main">
            <a:ext uri="{FF2B5EF4-FFF2-40B4-BE49-F238E27FC236}">
              <a16:creationId xmlns:a16="http://schemas.microsoft.com/office/drawing/2014/main" id="{AC180498-1E7C-41D6-887A-65781EEB1D86}"/>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16794" b="33592"/>
        <a:stretch xmlns:a="http://schemas.openxmlformats.org/drawingml/2006/main"/>
      </cdr:blipFill>
      <cdr:spPr bwMode="auto">
        <a:xfrm xmlns:a="http://schemas.openxmlformats.org/drawingml/2006/main">
          <a:off x="3936975" y="2171701"/>
          <a:ext cx="1257308" cy="609600"/>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23.xml><?xml version="1.0" encoding="utf-8"?>
<c:userShapes xmlns:c="http://schemas.openxmlformats.org/drawingml/2006/chart">
  <cdr:relSizeAnchor xmlns:cdr="http://schemas.openxmlformats.org/drawingml/2006/chartDrawing">
    <cdr:from>
      <cdr:x>0.30274</cdr:x>
      <cdr:y>0.06651</cdr:y>
    </cdr:from>
    <cdr:to>
      <cdr:x>0.53988</cdr:x>
      <cdr:y>0.10583</cdr:y>
    </cdr:to>
    <cdr:sp macro="" textlink="">
      <cdr:nvSpPr>
        <cdr:cNvPr id="2" name="TextBox 1"/>
        <cdr:cNvSpPr txBox="1"/>
      </cdr:nvSpPr>
      <cdr:spPr>
        <a:xfrm xmlns:a="http://schemas.openxmlformats.org/drawingml/2006/main" flipH="1" flipV="1">
          <a:off x="1705534" y="253814"/>
          <a:ext cx="1344706" cy="145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0.25215</cdr:x>
      <cdr:y>0.10075</cdr:y>
    </cdr:from>
    <cdr:to>
      <cdr:x>0.65671</cdr:x>
      <cdr:y>0.93967</cdr:y>
    </cdr:to>
    <cdr:grpSp>
      <cdr:nvGrpSpPr>
        <cdr:cNvPr id="32" name="Group 31">
          <a:extLst xmlns:a="http://schemas.openxmlformats.org/drawingml/2006/main">
            <a:ext uri="{FF2B5EF4-FFF2-40B4-BE49-F238E27FC236}">
              <a16:creationId xmlns:a16="http://schemas.microsoft.com/office/drawing/2014/main" id="{0D31E218-B540-4620-807A-6C2B8FF1202C}"/>
            </a:ext>
          </a:extLst>
        </cdr:cNvPr>
        <cdr:cNvGrpSpPr/>
      </cdr:nvGrpSpPr>
      <cdr:grpSpPr>
        <a:xfrm xmlns:a="http://schemas.openxmlformats.org/drawingml/2006/main">
          <a:off x="1449875" y="503848"/>
          <a:ext cx="2326240" cy="4195419"/>
          <a:chOff x="1392625" y="374994"/>
          <a:chExt cx="2244553" cy="3157627"/>
        </a:xfrm>
      </cdr:grpSpPr>
      <cdr:sp macro="" textlink="">
        <cdr:nvSpPr>
          <cdr:cNvPr id="3" name="TextBox 2"/>
          <cdr:cNvSpPr txBox="1"/>
        </cdr:nvSpPr>
        <cdr:spPr>
          <a:xfrm xmlns:a="http://schemas.openxmlformats.org/drawingml/2006/main">
            <a:off x="1395086" y="374994"/>
            <a:ext cx="921984" cy="1977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1979-1990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4" name="TextBox 1"/>
          <cdr:cNvSpPr txBox="1"/>
        </cdr:nvSpPr>
        <cdr:spPr>
          <a:xfrm xmlns:a="http://schemas.openxmlformats.org/drawingml/2006/main">
            <a:off x="1404388" y="527421"/>
            <a:ext cx="921984" cy="184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1997-2007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5" name="TextBox 1"/>
          <cdr:cNvSpPr txBox="1"/>
        </cdr:nvSpPr>
        <cdr:spPr>
          <a:xfrm xmlns:a="http://schemas.openxmlformats.org/drawingml/2006/main">
            <a:off x="1408124" y="683748"/>
            <a:ext cx="2229054" cy="2095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1940-1945 &amp; 1951-1955</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6" name="TextBox 1"/>
          <cdr:cNvSpPr txBox="1"/>
        </cdr:nvSpPr>
        <cdr:spPr>
          <a:xfrm xmlns:a="http://schemas.openxmlformats.org/drawingml/2006/main">
            <a:off x="1413100" y="846537"/>
            <a:ext cx="1662534" cy="278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1964-1970 &amp; 1974-1976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7" name="TextBox 1"/>
          <cdr:cNvSpPr txBox="1"/>
        </cdr:nvSpPr>
        <cdr:spPr>
          <a:xfrm xmlns:a="http://schemas.openxmlformats.org/drawingml/2006/main">
            <a:off x="1394082" y="1002284"/>
            <a:ext cx="2106864" cy="2442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1923, 1924-1929 &amp; 1935-1937 </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8" name="TextBox 1"/>
          <cdr:cNvSpPr txBox="1"/>
        </cdr:nvSpPr>
        <cdr:spPr>
          <a:xfrm xmlns:a="http://schemas.openxmlformats.org/drawingml/2006/main">
            <a:off x="1415471" y="1157263"/>
            <a:ext cx="1395936" cy="2095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1924 &amp; 1929-1935</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9" name="TextBox 1"/>
          <cdr:cNvSpPr txBox="1"/>
        </cdr:nvSpPr>
        <cdr:spPr>
          <a:xfrm xmlns:a="http://schemas.openxmlformats.org/drawingml/2006/main">
            <a:off x="1423220" y="1314701"/>
            <a:ext cx="921984" cy="2326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1957-1963</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0" name="TextBox 1"/>
          <cdr:cNvSpPr txBox="1"/>
        </cdr:nvSpPr>
        <cdr:spPr>
          <a:xfrm xmlns:a="http://schemas.openxmlformats.org/drawingml/2006/main">
            <a:off x="1419230" y="1475221"/>
            <a:ext cx="921985" cy="1775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1990-1997</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1" name="TextBox 1"/>
          <cdr:cNvSpPr txBox="1"/>
        </cdr:nvSpPr>
        <cdr:spPr>
          <a:xfrm xmlns:a="http://schemas.openxmlformats.org/drawingml/2006/main">
            <a:off x="1419461" y="1623159"/>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1945-1951</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2" name="TextBox 1"/>
          <cdr:cNvSpPr txBox="1"/>
        </cdr:nvSpPr>
        <cdr:spPr>
          <a:xfrm xmlns:a="http://schemas.openxmlformats.org/drawingml/2006/main">
            <a:off x="1409638" y="1945643"/>
            <a:ext cx="921984" cy="232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1916-1922</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3" name="TextBox 1"/>
          <cdr:cNvSpPr txBox="1"/>
        </cdr:nvSpPr>
        <cdr:spPr>
          <a:xfrm xmlns:a="http://schemas.openxmlformats.org/drawingml/2006/main">
            <a:off x="1419738" y="1787809"/>
            <a:ext cx="921984" cy="2008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2010-2016</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4" name="TextBox 1"/>
          <cdr:cNvSpPr txBox="1"/>
        </cdr:nvSpPr>
        <cdr:spPr>
          <a:xfrm xmlns:a="http://schemas.openxmlformats.org/drawingml/2006/main">
            <a:off x="1409409" y="2102164"/>
            <a:ext cx="921984"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1970-1974</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5" name="TextBox 1"/>
          <cdr:cNvSpPr txBox="1"/>
        </cdr:nvSpPr>
        <cdr:spPr>
          <a:xfrm xmlns:a="http://schemas.openxmlformats.org/drawingml/2006/main">
            <a:off x="1397703" y="2261549"/>
            <a:ext cx="921984" cy="1905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1976-1979</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6" name="TextBox 1"/>
          <cdr:cNvSpPr txBox="1"/>
        </cdr:nvSpPr>
        <cdr:spPr>
          <a:xfrm xmlns:a="http://schemas.openxmlformats.org/drawingml/2006/main">
            <a:off x="1393173" y="2577203"/>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1937-1940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7" name="TextBox 1"/>
          <cdr:cNvSpPr txBox="1"/>
        </cdr:nvSpPr>
        <cdr:spPr>
          <a:xfrm xmlns:a="http://schemas.openxmlformats.org/drawingml/2006/main">
            <a:off x="1392625" y="2740312"/>
            <a:ext cx="921986" cy="1832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2007-2010</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8" name="TextBox 1"/>
          <cdr:cNvSpPr txBox="1"/>
        </cdr:nvSpPr>
        <cdr:spPr>
          <a:xfrm xmlns:a="http://schemas.openxmlformats.org/drawingml/2006/main">
            <a:off x="1799401" y="3040617"/>
            <a:ext cx="921984" cy="2108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1955-1957</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19" name="TextBox 1"/>
          <cdr:cNvSpPr txBox="1"/>
        </cdr:nvSpPr>
        <cdr:spPr>
          <a:xfrm xmlns:a="http://schemas.openxmlformats.org/drawingml/2006/main">
            <a:off x="1604464" y="3202752"/>
            <a:ext cx="921985" cy="254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1963-1964</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sp macro="" textlink="">
        <cdr:nvSpPr>
          <cdr:cNvPr id="20" name="TextBox 1"/>
          <cdr:cNvSpPr txBox="1"/>
        </cdr:nvSpPr>
        <cdr:spPr>
          <a:xfrm xmlns:a="http://schemas.openxmlformats.org/drawingml/2006/main">
            <a:off x="1510032" y="3368660"/>
            <a:ext cx="921985" cy="1639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1922-1923</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grpSp>
  </cdr:relSizeAnchor>
  <cdr:relSizeAnchor xmlns:cdr="http://schemas.openxmlformats.org/drawingml/2006/chartDrawing">
    <cdr:from>
      <cdr:x>0.25404</cdr:x>
      <cdr:y>0.64339</cdr:y>
    </cdr:from>
    <cdr:to>
      <cdr:x>0.43344</cdr:x>
      <cdr:y>0.69748</cdr:y>
    </cdr:to>
    <cdr:sp macro="" textlink="">
      <cdr:nvSpPr>
        <cdr:cNvPr id="34" name="TextBox 1"/>
        <cdr:cNvSpPr txBox="1"/>
      </cdr:nvSpPr>
      <cdr:spPr>
        <a:xfrm xmlns:a="http://schemas.openxmlformats.org/drawingml/2006/main">
          <a:off x="1431852" y="3263935"/>
          <a:ext cx="1011173" cy="2744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2016- 2019</a:t>
          </a:r>
          <a:endParaRPr lang="en-GB" sz="800" b="1">
            <a:solidFill>
              <a:schemeClr val="bg1"/>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cdr:x>
      <cdr:y>0</cdr:y>
    </cdr:from>
    <cdr:to>
      <cdr:x>0.89643</cdr:x>
      <cdr:y>0.19085</cdr:y>
    </cdr:to>
    <cdr:sp macro="" textlink="">
      <cdr:nvSpPr>
        <cdr:cNvPr id="21" name="TextBox 20"/>
        <cdr:cNvSpPr txBox="1"/>
      </cdr:nvSpPr>
      <cdr:spPr>
        <a:xfrm xmlns:a="http://schemas.openxmlformats.org/drawingml/2006/main">
          <a:off x="0" y="0"/>
          <a:ext cx="5029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900">
            <a:latin typeface="Arial" pitchFamily="34" charset="0"/>
            <a:cs typeface="Arial" pitchFamily="34" charset="0"/>
          </a:endParaRPr>
        </a:p>
      </cdr:txBody>
    </cdr:sp>
  </cdr:relSizeAnchor>
  <cdr:relSizeAnchor xmlns:cdr="http://schemas.openxmlformats.org/drawingml/2006/chartDrawing">
    <cdr:from>
      <cdr:x>0</cdr:x>
      <cdr:y>0</cdr:y>
    </cdr:from>
    <cdr:to>
      <cdr:x>0.87097</cdr:x>
      <cdr:y>0.09387</cdr:y>
    </cdr:to>
    <cdr:sp macro="" textlink="">
      <cdr:nvSpPr>
        <cdr:cNvPr id="22" name="TextBox 21"/>
        <cdr:cNvSpPr txBox="1"/>
      </cdr:nvSpPr>
      <cdr:spPr>
        <a:xfrm xmlns:a="http://schemas.openxmlformats.org/drawingml/2006/main">
          <a:off x="0" y="0"/>
          <a:ext cx="4886324" cy="46672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tIns="0" rtlCol="0" anchor="ctr"/>
        <a:lstStyle xmlns:a="http://schemas.openxmlformats.org/drawingml/2006/main"/>
        <a:p xmlns:a="http://schemas.openxmlformats.org/drawingml/2006/main">
          <a:r>
            <a:rPr lang="en-GB" sz="1300" b="1"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Years spent in office by Prime Ministers </a:t>
          </a:r>
          <a:r>
            <a:rPr lang="en-GB" sz="1300" b="1"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1916-2021</a:t>
          </a:r>
        </a:p>
        <a:p xmlns:a="http://schemas.openxmlformats.org/drawingml/2006/main">
          <a:r>
            <a:rPr lang="en-GB" sz="1100" b="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As at 22 July 2021</a:t>
          </a:r>
          <a:endParaRPr lang="en-GB" sz="1300"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0.34109</cdr:x>
      <cdr:y>0.77064</cdr:y>
    </cdr:from>
    <cdr:to>
      <cdr:x>0.63953</cdr:x>
      <cdr:y>0.83824</cdr:y>
    </cdr:to>
    <cdr:sp macro="" textlink="">
      <cdr:nvSpPr>
        <cdr:cNvPr id="25" name="TextBox 1">
          <a:extLst xmlns:a="http://schemas.openxmlformats.org/drawingml/2006/main">
            <a:ext uri="{FF2B5EF4-FFF2-40B4-BE49-F238E27FC236}">
              <a16:creationId xmlns:a16="http://schemas.microsoft.com/office/drawing/2014/main" id="{11B23964-F4C6-4B57-AFCD-D41E83E7DC94}"/>
            </a:ext>
          </a:extLst>
        </cdr:cNvPr>
        <cdr:cNvSpPr txBox="1"/>
      </cdr:nvSpPr>
      <cdr:spPr>
        <a:xfrm xmlns:a="http://schemas.openxmlformats.org/drawingml/2006/main">
          <a:off x="2315032" y="4116502"/>
          <a:ext cx="2025558" cy="361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PM since July</a:t>
          </a:r>
          <a:r>
            <a:rPr lang="en-GB" sz="900" b="1"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 2019</a:t>
          </a:r>
          <a:endParaRPr lang="en-GB" sz="8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19</xdr:col>
      <xdr:colOff>160692</xdr:colOff>
      <xdr:row>14</xdr:row>
      <xdr:rowOff>147580</xdr:rowOff>
    </xdr:from>
    <xdr:to>
      <xdr:col>22</xdr:col>
      <xdr:colOff>680197</xdr:colOff>
      <xdr:row>78</xdr:row>
      <xdr:rowOff>138167</xdr:rowOff>
    </xdr:to>
    <xdr:grpSp>
      <xdr:nvGrpSpPr>
        <xdr:cNvPr id="5" name="Group 4">
          <a:extLst>
            <a:ext uri="{FF2B5EF4-FFF2-40B4-BE49-F238E27FC236}">
              <a16:creationId xmlns:a16="http://schemas.microsoft.com/office/drawing/2014/main" id="{6B2A1471-6BB3-424F-AFFD-38B418784007}"/>
            </a:ext>
          </a:extLst>
        </xdr:cNvPr>
        <xdr:cNvGrpSpPr>
          <a:grpSpLocks/>
        </xdr:cNvGrpSpPr>
      </xdr:nvGrpSpPr>
      <xdr:grpSpPr bwMode="auto">
        <a:xfrm>
          <a:off x="11754563" y="2052580"/>
          <a:ext cx="2158215" cy="9638490"/>
          <a:chOff x="7899587" y="392206"/>
          <a:chExt cx="2004172" cy="9234207"/>
        </a:xfrm>
      </xdr:grpSpPr>
      <xdr:graphicFrame macro="">
        <xdr:nvGraphicFramePr>
          <xdr:cNvPr id="6" name="Chart 4">
            <a:extLst>
              <a:ext uri="{FF2B5EF4-FFF2-40B4-BE49-F238E27FC236}">
                <a16:creationId xmlns:a16="http://schemas.microsoft.com/office/drawing/2014/main" id="{00F6E9CE-B787-4811-BE8C-0B367E336010}"/>
              </a:ext>
            </a:extLst>
          </xdr:cNvPr>
          <xdr:cNvGraphicFramePr>
            <a:graphicFrameLocks/>
          </xdr:cNvGraphicFramePr>
        </xdr:nvGraphicFramePr>
        <xdr:xfrm>
          <a:off x="7899587" y="4973731"/>
          <a:ext cx="1994647" cy="465268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1">
            <a:extLst>
              <a:ext uri="{FF2B5EF4-FFF2-40B4-BE49-F238E27FC236}">
                <a16:creationId xmlns:a16="http://schemas.microsoft.com/office/drawing/2014/main" id="{3A554F63-F468-449F-847C-4F1C0F7291FF}"/>
              </a:ext>
            </a:extLst>
          </xdr:cNvPr>
          <xdr:cNvGraphicFramePr>
            <a:graphicFrameLocks/>
          </xdr:cNvGraphicFramePr>
        </xdr:nvGraphicFramePr>
        <xdr:xfrm>
          <a:off x="7899587" y="392206"/>
          <a:ext cx="2004172" cy="46672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23</xdr:col>
      <xdr:colOff>33617</xdr:colOff>
      <xdr:row>15</xdr:row>
      <xdr:rowOff>11207</xdr:rowOff>
    </xdr:from>
    <xdr:to>
      <xdr:col>26</xdr:col>
      <xdr:colOff>36082</xdr:colOff>
      <xdr:row>78</xdr:row>
      <xdr:rowOff>162486</xdr:rowOff>
    </xdr:to>
    <xdr:grpSp>
      <xdr:nvGrpSpPr>
        <xdr:cNvPr id="11" name="Group 2">
          <a:extLst>
            <a:ext uri="{FF2B5EF4-FFF2-40B4-BE49-F238E27FC236}">
              <a16:creationId xmlns:a16="http://schemas.microsoft.com/office/drawing/2014/main" id="{CE1D07DF-F25B-42B1-94B9-8B3F1971767D}"/>
            </a:ext>
          </a:extLst>
        </xdr:cNvPr>
        <xdr:cNvGrpSpPr>
          <a:grpSpLocks/>
        </xdr:cNvGrpSpPr>
      </xdr:nvGrpSpPr>
      <xdr:grpSpPr bwMode="auto">
        <a:xfrm>
          <a:off x="14126520" y="2059594"/>
          <a:ext cx="2235207" cy="9655795"/>
          <a:chOff x="9951384" y="399826"/>
          <a:chExt cx="2001820" cy="9226587"/>
        </a:xfrm>
      </xdr:grpSpPr>
      <xdr:graphicFrame macro="">
        <xdr:nvGraphicFramePr>
          <xdr:cNvPr id="12" name="Chart 2">
            <a:extLst>
              <a:ext uri="{FF2B5EF4-FFF2-40B4-BE49-F238E27FC236}">
                <a16:creationId xmlns:a16="http://schemas.microsoft.com/office/drawing/2014/main" id="{A34B20E5-E173-4A11-A5ED-1187DDE7659F}"/>
              </a:ext>
            </a:extLst>
          </xdr:cNvPr>
          <xdr:cNvGraphicFramePr>
            <a:graphicFrameLocks/>
          </xdr:cNvGraphicFramePr>
        </xdr:nvGraphicFramePr>
        <xdr:xfrm>
          <a:off x="9966401" y="399826"/>
          <a:ext cx="1986803" cy="466558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5">
            <a:extLst>
              <a:ext uri="{FF2B5EF4-FFF2-40B4-BE49-F238E27FC236}">
                <a16:creationId xmlns:a16="http://schemas.microsoft.com/office/drawing/2014/main" id="{F5505ED7-A4FA-4F25-9391-254CF816DDA2}"/>
              </a:ext>
            </a:extLst>
          </xdr:cNvPr>
          <xdr:cNvGraphicFramePr>
            <a:graphicFrameLocks/>
          </xdr:cNvGraphicFramePr>
        </xdr:nvGraphicFramePr>
        <xdr:xfrm>
          <a:off x="9951384" y="5088031"/>
          <a:ext cx="1996328" cy="453838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285255</xdr:colOff>
      <xdr:row>12</xdr:row>
      <xdr:rowOff>112059</xdr:rowOff>
    </xdr:from>
    <xdr:to>
      <xdr:col>21</xdr:col>
      <xdr:colOff>433285</xdr:colOff>
      <xdr:row>75</xdr:row>
      <xdr:rowOff>368001</xdr:rowOff>
    </xdr:to>
    <xdr:grpSp>
      <xdr:nvGrpSpPr>
        <xdr:cNvPr id="2" name="Group 1">
          <a:extLst>
            <a:ext uri="{FF2B5EF4-FFF2-40B4-BE49-F238E27FC236}">
              <a16:creationId xmlns:a16="http://schemas.microsoft.com/office/drawing/2014/main" id="{56D109F2-1B25-4923-9DAE-CFD612788057}"/>
            </a:ext>
          </a:extLst>
        </xdr:cNvPr>
        <xdr:cNvGrpSpPr>
          <a:grpSpLocks/>
        </xdr:cNvGrpSpPr>
      </xdr:nvGrpSpPr>
      <xdr:grpSpPr bwMode="auto">
        <a:xfrm>
          <a:off x="10626684" y="1980773"/>
          <a:ext cx="2180030" cy="9341885"/>
          <a:chOff x="7899587" y="392206"/>
          <a:chExt cx="2004172" cy="9234207"/>
        </a:xfrm>
      </xdr:grpSpPr>
      <xdr:graphicFrame macro="">
        <xdr:nvGraphicFramePr>
          <xdr:cNvPr id="3" name="Chart 4">
            <a:extLst>
              <a:ext uri="{FF2B5EF4-FFF2-40B4-BE49-F238E27FC236}">
                <a16:creationId xmlns:a16="http://schemas.microsoft.com/office/drawing/2014/main" id="{C63A3E71-23BC-4328-BFC8-11291814EACD}"/>
              </a:ext>
            </a:extLst>
          </xdr:cNvPr>
          <xdr:cNvGraphicFramePr>
            <a:graphicFrameLocks/>
          </xdr:cNvGraphicFramePr>
        </xdr:nvGraphicFramePr>
        <xdr:xfrm>
          <a:off x="7899587" y="4973731"/>
          <a:ext cx="1994647" cy="465268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1">
            <a:extLst>
              <a:ext uri="{FF2B5EF4-FFF2-40B4-BE49-F238E27FC236}">
                <a16:creationId xmlns:a16="http://schemas.microsoft.com/office/drawing/2014/main" id="{85286E5A-430D-4815-A92A-A7D5CB407532}"/>
              </a:ext>
            </a:extLst>
          </xdr:cNvPr>
          <xdr:cNvGraphicFramePr>
            <a:graphicFrameLocks/>
          </xdr:cNvGraphicFramePr>
        </xdr:nvGraphicFramePr>
        <xdr:xfrm>
          <a:off x="7899587" y="392206"/>
          <a:ext cx="2004172" cy="46672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432997</xdr:colOff>
      <xdr:row>13</xdr:row>
      <xdr:rowOff>34963</xdr:rowOff>
    </xdr:from>
    <xdr:to>
      <xdr:col>25</xdr:col>
      <xdr:colOff>265693</xdr:colOff>
      <xdr:row>75</xdr:row>
      <xdr:rowOff>436357</xdr:rowOff>
    </xdr:to>
    <xdr:grpSp>
      <xdr:nvGrpSpPr>
        <xdr:cNvPr id="5" name="Group 2">
          <a:extLst>
            <a:ext uri="{FF2B5EF4-FFF2-40B4-BE49-F238E27FC236}">
              <a16:creationId xmlns:a16="http://schemas.microsoft.com/office/drawing/2014/main" id="{C11D5526-C00A-46AE-BE8D-7E32CE9403BD}"/>
            </a:ext>
          </a:extLst>
        </xdr:cNvPr>
        <xdr:cNvGrpSpPr>
          <a:grpSpLocks/>
        </xdr:cNvGrpSpPr>
      </xdr:nvGrpSpPr>
      <xdr:grpSpPr bwMode="auto">
        <a:xfrm>
          <a:off x="12806426" y="2048820"/>
          <a:ext cx="2245696" cy="9278694"/>
          <a:chOff x="9951384" y="399826"/>
          <a:chExt cx="2001820" cy="9226587"/>
        </a:xfrm>
      </xdr:grpSpPr>
      <xdr:graphicFrame macro="">
        <xdr:nvGraphicFramePr>
          <xdr:cNvPr id="6" name="Chart 2">
            <a:extLst>
              <a:ext uri="{FF2B5EF4-FFF2-40B4-BE49-F238E27FC236}">
                <a16:creationId xmlns:a16="http://schemas.microsoft.com/office/drawing/2014/main" id="{ACA26E93-330A-4AA7-8B1E-6C8D4DF2DB1B}"/>
              </a:ext>
            </a:extLst>
          </xdr:cNvPr>
          <xdr:cNvGraphicFramePr>
            <a:graphicFrameLocks/>
          </xdr:cNvGraphicFramePr>
        </xdr:nvGraphicFramePr>
        <xdr:xfrm>
          <a:off x="9966401" y="399826"/>
          <a:ext cx="1986803" cy="466558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5">
            <a:extLst>
              <a:ext uri="{FF2B5EF4-FFF2-40B4-BE49-F238E27FC236}">
                <a16:creationId xmlns:a16="http://schemas.microsoft.com/office/drawing/2014/main" id="{F5EA1DE5-68F8-4FE8-A891-57403D9185D9}"/>
              </a:ext>
            </a:extLst>
          </xdr:cNvPr>
          <xdr:cNvGraphicFramePr>
            <a:graphicFrameLocks/>
          </xdr:cNvGraphicFramePr>
        </xdr:nvGraphicFramePr>
        <xdr:xfrm>
          <a:off x="9951384" y="5088031"/>
          <a:ext cx="1996328" cy="453838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287543</xdr:colOff>
      <xdr:row>11</xdr:row>
      <xdr:rowOff>112058</xdr:rowOff>
    </xdr:from>
    <xdr:to>
      <xdr:col>18</xdr:col>
      <xdr:colOff>472440</xdr:colOff>
      <xdr:row>75</xdr:row>
      <xdr:rowOff>147581</xdr:rowOff>
    </xdr:to>
    <xdr:grpSp>
      <xdr:nvGrpSpPr>
        <xdr:cNvPr id="2" name="Group 1">
          <a:extLst>
            <a:ext uri="{FF2B5EF4-FFF2-40B4-BE49-F238E27FC236}">
              <a16:creationId xmlns:a16="http://schemas.microsoft.com/office/drawing/2014/main" id="{C57B9805-92F7-440C-8A62-D5027D080531}"/>
            </a:ext>
          </a:extLst>
        </xdr:cNvPr>
        <xdr:cNvGrpSpPr>
          <a:grpSpLocks/>
        </xdr:cNvGrpSpPr>
      </xdr:nvGrpSpPr>
      <xdr:grpSpPr bwMode="auto">
        <a:xfrm>
          <a:off x="10356829" y="1817487"/>
          <a:ext cx="2126182" cy="9560523"/>
          <a:chOff x="7439025" y="676275"/>
          <a:chExt cx="1990725" cy="9505950"/>
        </a:xfrm>
      </xdr:grpSpPr>
      <xdr:graphicFrame macro="">
        <xdr:nvGraphicFramePr>
          <xdr:cNvPr id="3" name="Chart 33">
            <a:extLst>
              <a:ext uri="{FF2B5EF4-FFF2-40B4-BE49-F238E27FC236}">
                <a16:creationId xmlns:a16="http://schemas.microsoft.com/office/drawing/2014/main" id="{6DDBE51D-2222-4FB8-BB52-39F4F2EFE53E}"/>
              </a:ext>
            </a:extLst>
          </xdr:cNvPr>
          <xdr:cNvGraphicFramePr>
            <a:graphicFrameLocks/>
          </xdr:cNvGraphicFramePr>
        </xdr:nvGraphicFramePr>
        <xdr:xfrm>
          <a:off x="7439025" y="5391150"/>
          <a:ext cx="1990725" cy="47910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4">
            <a:extLst>
              <a:ext uri="{FF2B5EF4-FFF2-40B4-BE49-F238E27FC236}">
                <a16:creationId xmlns:a16="http://schemas.microsoft.com/office/drawing/2014/main" id="{F906A510-77F8-40E4-8DFA-42382E4C62B9}"/>
              </a:ext>
            </a:extLst>
          </xdr:cNvPr>
          <xdr:cNvGraphicFramePr>
            <a:graphicFrameLocks/>
          </xdr:cNvGraphicFramePr>
        </xdr:nvGraphicFramePr>
        <xdr:xfrm>
          <a:off x="7448550" y="676275"/>
          <a:ext cx="1981200" cy="4800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18</xdr:col>
      <xdr:colOff>383260</xdr:colOff>
      <xdr:row>12</xdr:row>
      <xdr:rowOff>54168</xdr:rowOff>
    </xdr:from>
    <xdr:to>
      <xdr:col>21</xdr:col>
      <xdr:colOff>477790</xdr:colOff>
      <xdr:row>75</xdr:row>
      <xdr:rowOff>160692</xdr:rowOff>
    </xdr:to>
    <xdr:grpSp>
      <xdr:nvGrpSpPr>
        <xdr:cNvPr id="5" name="Group 2">
          <a:extLst>
            <a:ext uri="{FF2B5EF4-FFF2-40B4-BE49-F238E27FC236}">
              <a16:creationId xmlns:a16="http://schemas.microsoft.com/office/drawing/2014/main" id="{C4B97488-DB44-49E1-8601-C0F2DC4F8B4D}"/>
            </a:ext>
          </a:extLst>
        </xdr:cNvPr>
        <xdr:cNvGrpSpPr>
          <a:grpSpLocks/>
        </xdr:cNvGrpSpPr>
      </xdr:nvGrpSpPr>
      <xdr:grpSpPr bwMode="auto">
        <a:xfrm>
          <a:off x="12393831" y="1904739"/>
          <a:ext cx="2289816" cy="9486382"/>
          <a:chOff x="9486900" y="690823"/>
          <a:chExt cx="2009775" cy="9491402"/>
        </a:xfrm>
      </xdr:grpSpPr>
      <xdr:graphicFrame macro="">
        <xdr:nvGraphicFramePr>
          <xdr:cNvPr id="6" name="Chart 35">
            <a:extLst>
              <a:ext uri="{FF2B5EF4-FFF2-40B4-BE49-F238E27FC236}">
                <a16:creationId xmlns:a16="http://schemas.microsoft.com/office/drawing/2014/main" id="{EB05C3DE-AF46-47D8-8FCD-EBADE71E9EB5}"/>
              </a:ext>
            </a:extLst>
          </xdr:cNvPr>
          <xdr:cNvGraphicFramePr>
            <a:graphicFrameLocks/>
          </xdr:cNvGraphicFramePr>
        </xdr:nvGraphicFramePr>
        <xdr:xfrm>
          <a:off x="9515475" y="690823"/>
          <a:ext cx="1981200" cy="477652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36">
            <a:extLst>
              <a:ext uri="{FF2B5EF4-FFF2-40B4-BE49-F238E27FC236}">
                <a16:creationId xmlns:a16="http://schemas.microsoft.com/office/drawing/2014/main" id="{368874B4-F25C-4719-BBEE-BECA6530EFE9}"/>
              </a:ext>
            </a:extLst>
          </xdr:cNvPr>
          <xdr:cNvGraphicFramePr>
            <a:graphicFrameLocks/>
          </xdr:cNvGraphicFramePr>
        </xdr:nvGraphicFramePr>
        <xdr:xfrm>
          <a:off x="9486900" y="5505450"/>
          <a:ext cx="1981200" cy="467677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7.xml><?xml version="1.0" encoding="utf-8"?>
<xdr:wsDr xmlns:xdr="http://schemas.openxmlformats.org/drawingml/2006/spreadsheetDrawing" xmlns:a="http://schemas.openxmlformats.org/drawingml/2006/main">
  <xdr:twoCellAnchor>
    <xdr:from>
      <xdr:col>18</xdr:col>
      <xdr:colOff>69140</xdr:colOff>
      <xdr:row>13</xdr:row>
      <xdr:rowOff>9301</xdr:rowOff>
    </xdr:from>
    <xdr:to>
      <xdr:col>21</xdr:col>
      <xdr:colOff>459665</xdr:colOff>
      <xdr:row>71</xdr:row>
      <xdr:rowOff>289336</xdr:rowOff>
    </xdr:to>
    <xdr:grpSp>
      <xdr:nvGrpSpPr>
        <xdr:cNvPr id="2" name="Group 1">
          <a:extLst>
            <a:ext uri="{FF2B5EF4-FFF2-40B4-BE49-F238E27FC236}">
              <a16:creationId xmlns:a16="http://schemas.microsoft.com/office/drawing/2014/main" id="{BF4F96BE-FCAB-43CD-A970-17EA4FE2091D}"/>
            </a:ext>
          </a:extLst>
        </xdr:cNvPr>
        <xdr:cNvGrpSpPr>
          <a:grpSpLocks/>
        </xdr:cNvGrpSpPr>
      </xdr:nvGrpSpPr>
      <xdr:grpSpPr bwMode="auto">
        <a:xfrm>
          <a:off x="10557846" y="2071183"/>
          <a:ext cx="2183466" cy="8998212"/>
          <a:chOff x="8677275" y="676275"/>
          <a:chExt cx="1990725" cy="9505950"/>
        </a:xfrm>
      </xdr:grpSpPr>
      <xdr:graphicFrame macro="">
        <xdr:nvGraphicFramePr>
          <xdr:cNvPr id="3" name="Chart 1">
            <a:extLst>
              <a:ext uri="{FF2B5EF4-FFF2-40B4-BE49-F238E27FC236}">
                <a16:creationId xmlns:a16="http://schemas.microsoft.com/office/drawing/2014/main" id="{110BEC70-F3AB-4A75-BBAC-94CE573D1A06}"/>
              </a:ext>
            </a:extLst>
          </xdr:cNvPr>
          <xdr:cNvGraphicFramePr>
            <a:graphicFrameLocks/>
          </xdr:cNvGraphicFramePr>
        </xdr:nvGraphicFramePr>
        <xdr:xfrm>
          <a:off x="8677275" y="5391150"/>
          <a:ext cx="1990725" cy="47910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2">
            <a:extLst>
              <a:ext uri="{FF2B5EF4-FFF2-40B4-BE49-F238E27FC236}">
                <a16:creationId xmlns:a16="http://schemas.microsoft.com/office/drawing/2014/main" id="{C06F15DD-378D-4961-9789-0A2D9929912F}"/>
              </a:ext>
            </a:extLst>
          </xdr:cNvPr>
          <xdr:cNvGraphicFramePr>
            <a:graphicFrameLocks/>
          </xdr:cNvGraphicFramePr>
        </xdr:nvGraphicFramePr>
        <xdr:xfrm>
          <a:off x="8686800" y="676275"/>
          <a:ext cx="1981200" cy="4800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501572</xdr:colOff>
      <xdr:row>13</xdr:row>
      <xdr:rowOff>106748</xdr:rowOff>
    </xdr:from>
    <xdr:to>
      <xdr:col>25</xdr:col>
      <xdr:colOff>364413</xdr:colOff>
      <xdr:row>71</xdr:row>
      <xdr:rowOff>306480</xdr:rowOff>
    </xdr:to>
    <xdr:grpSp>
      <xdr:nvGrpSpPr>
        <xdr:cNvPr id="5" name="Group 2">
          <a:extLst>
            <a:ext uri="{FF2B5EF4-FFF2-40B4-BE49-F238E27FC236}">
              <a16:creationId xmlns:a16="http://schemas.microsoft.com/office/drawing/2014/main" id="{1C7352D0-F717-436C-8DDE-5E328E8F3523}"/>
            </a:ext>
          </a:extLst>
        </xdr:cNvPr>
        <xdr:cNvGrpSpPr>
          <a:grpSpLocks/>
        </xdr:cNvGrpSpPr>
      </xdr:nvGrpSpPr>
      <xdr:grpSpPr bwMode="auto">
        <a:xfrm>
          <a:off x="12783219" y="2168630"/>
          <a:ext cx="2253429" cy="8905209"/>
          <a:chOff x="10708994" y="769265"/>
          <a:chExt cx="1997356" cy="9422485"/>
        </a:xfrm>
      </xdr:grpSpPr>
      <xdr:graphicFrame macro="">
        <xdr:nvGraphicFramePr>
          <xdr:cNvPr id="6" name="Chart 3">
            <a:extLst>
              <a:ext uri="{FF2B5EF4-FFF2-40B4-BE49-F238E27FC236}">
                <a16:creationId xmlns:a16="http://schemas.microsoft.com/office/drawing/2014/main" id="{5BECAA5E-D263-4813-8CA7-F764B0516F80}"/>
              </a:ext>
            </a:extLst>
          </xdr:cNvPr>
          <xdr:cNvGraphicFramePr>
            <a:graphicFrameLocks/>
          </xdr:cNvGraphicFramePr>
        </xdr:nvGraphicFramePr>
        <xdr:xfrm>
          <a:off x="10708994" y="769265"/>
          <a:ext cx="1975215" cy="470951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4">
            <a:extLst>
              <a:ext uri="{FF2B5EF4-FFF2-40B4-BE49-F238E27FC236}">
                <a16:creationId xmlns:a16="http://schemas.microsoft.com/office/drawing/2014/main" id="{48CD2414-6370-40AC-A6B8-3E84ABDCD644}"/>
              </a:ext>
            </a:extLst>
          </xdr:cNvPr>
          <xdr:cNvGraphicFramePr>
            <a:graphicFrameLocks/>
          </xdr:cNvGraphicFramePr>
        </xdr:nvGraphicFramePr>
        <xdr:xfrm>
          <a:off x="10725150" y="5514975"/>
          <a:ext cx="1981200" cy="467677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0</xdr:colOff>
      <xdr:row>13</xdr:row>
      <xdr:rowOff>0</xdr:rowOff>
    </xdr:from>
    <xdr:to>
      <xdr:col>22</xdr:col>
      <xdr:colOff>388551</xdr:colOff>
      <xdr:row>76</xdr:row>
      <xdr:rowOff>10186</xdr:rowOff>
    </xdr:to>
    <xdr:grpSp>
      <xdr:nvGrpSpPr>
        <xdr:cNvPr id="2" name="Group 1">
          <a:extLst>
            <a:ext uri="{FF2B5EF4-FFF2-40B4-BE49-F238E27FC236}">
              <a16:creationId xmlns:a16="http://schemas.microsoft.com/office/drawing/2014/main" id="{DAA87DD1-3C2E-4C8A-8E31-79D758B05F7C}"/>
            </a:ext>
          </a:extLst>
        </xdr:cNvPr>
        <xdr:cNvGrpSpPr>
          <a:grpSpLocks/>
        </xdr:cNvGrpSpPr>
      </xdr:nvGrpSpPr>
      <xdr:grpSpPr bwMode="auto">
        <a:xfrm>
          <a:off x="10305143" y="2032000"/>
          <a:ext cx="2184694" cy="9226757"/>
          <a:chOff x="8705022" y="585015"/>
          <a:chExt cx="1980786" cy="9808002"/>
        </a:xfrm>
      </xdr:grpSpPr>
      <xdr:graphicFrame macro="">
        <xdr:nvGraphicFramePr>
          <xdr:cNvPr id="3" name="Chart 1">
            <a:extLst>
              <a:ext uri="{FF2B5EF4-FFF2-40B4-BE49-F238E27FC236}">
                <a16:creationId xmlns:a16="http://schemas.microsoft.com/office/drawing/2014/main" id="{48BAAE2F-B280-46FE-B4B4-E6A8D2D061DB}"/>
              </a:ext>
            </a:extLst>
          </xdr:cNvPr>
          <xdr:cNvGraphicFramePr>
            <a:graphicFrameLocks/>
          </xdr:cNvGraphicFramePr>
        </xdr:nvGraphicFramePr>
        <xdr:xfrm>
          <a:off x="8705022" y="5499652"/>
          <a:ext cx="1980786" cy="48933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2">
            <a:extLst>
              <a:ext uri="{FF2B5EF4-FFF2-40B4-BE49-F238E27FC236}">
                <a16:creationId xmlns:a16="http://schemas.microsoft.com/office/drawing/2014/main" id="{A97EEA65-6437-4288-BBEB-8145CC61C669}"/>
              </a:ext>
            </a:extLst>
          </xdr:cNvPr>
          <xdr:cNvGraphicFramePr>
            <a:graphicFrameLocks/>
          </xdr:cNvGraphicFramePr>
        </xdr:nvGraphicFramePr>
        <xdr:xfrm>
          <a:off x="8714547" y="585015"/>
          <a:ext cx="1971261" cy="500036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23</xdr:col>
      <xdr:colOff>307649</xdr:colOff>
      <xdr:row>13</xdr:row>
      <xdr:rowOff>124247</xdr:rowOff>
    </xdr:from>
    <xdr:to>
      <xdr:col>27</xdr:col>
      <xdr:colOff>159724</xdr:colOff>
      <xdr:row>76</xdr:row>
      <xdr:rowOff>28357</xdr:rowOff>
    </xdr:to>
    <xdr:grpSp>
      <xdr:nvGrpSpPr>
        <xdr:cNvPr id="5" name="Group 2">
          <a:extLst>
            <a:ext uri="{FF2B5EF4-FFF2-40B4-BE49-F238E27FC236}">
              <a16:creationId xmlns:a16="http://schemas.microsoft.com/office/drawing/2014/main" id="{0397B41D-D801-45BC-A4A9-0B7D411E4DC2}"/>
            </a:ext>
          </a:extLst>
        </xdr:cNvPr>
        <xdr:cNvGrpSpPr>
          <a:grpSpLocks/>
        </xdr:cNvGrpSpPr>
      </xdr:nvGrpSpPr>
      <xdr:grpSpPr bwMode="auto">
        <a:xfrm>
          <a:off x="13007649" y="2156247"/>
          <a:ext cx="2301361" cy="9120681"/>
          <a:chOff x="10734410" y="691593"/>
          <a:chExt cx="1976495" cy="9701424"/>
        </a:xfrm>
      </xdr:grpSpPr>
      <xdr:graphicFrame macro="">
        <xdr:nvGraphicFramePr>
          <xdr:cNvPr id="6" name="Chart 3">
            <a:extLst>
              <a:ext uri="{FF2B5EF4-FFF2-40B4-BE49-F238E27FC236}">
                <a16:creationId xmlns:a16="http://schemas.microsoft.com/office/drawing/2014/main" id="{181A0C60-EC82-4820-B219-86557348AC94}"/>
              </a:ext>
            </a:extLst>
          </xdr:cNvPr>
          <xdr:cNvGraphicFramePr>
            <a:graphicFrameLocks/>
          </xdr:cNvGraphicFramePr>
        </xdr:nvGraphicFramePr>
        <xdr:xfrm>
          <a:off x="10734410" y="691593"/>
          <a:ext cx="1967947" cy="488501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4">
            <a:extLst>
              <a:ext uri="{FF2B5EF4-FFF2-40B4-BE49-F238E27FC236}">
                <a16:creationId xmlns:a16="http://schemas.microsoft.com/office/drawing/2014/main" id="{1F2BC78F-62C0-4C98-9C80-BF1E180E1C10}"/>
              </a:ext>
            </a:extLst>
          </xdr:cNvPr>
          <xdr:cNvGraphicFramePr>
            <a:graphicFrameLocks/>
          </xdr:cNvGraphicFramePr>
        </xdr:nvGraphicFramePr>
        <xdr:xfrm>
          <a:off x="10742958" y="5613952"/>
          <a:ext cx="1967947" cy="477906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9.xml><?xml version="1.0" encoding="utf-8"?>
<xdr:wsDr xmlns:xdr="http://schemas.openxmlformats.org/drawingml/2006/spreadsheetDrawing" xmlns:a="http://schemas.openxmlformats.org/drawingml/2006/main">
  <xdr:twoCellAnchor>
    <xdr:from>
      <xdr:col>19</xdr:col>
      <xdr:colOff>173181</xdr:colOff>
      <xdr:row>22</xdr:row>
      <xdr:rowOff>69272</xdr:rowOff>
    </xdr:from>
    <xdr:to>
      <xdr:col>23</xdr:col>
      <xdr:colOff>220810</xdr:colOff>
      <xdr:row>93</xdr:row>
      <xdr:rowOff>40258</xdr:rowOff>
    </xdr:to>
    <xdr:grpSp>
      <xdr:nvGrpSpPr>
        <xdr:cNvPr id="16" name="Group 15">
          <a:extLst>
            <a:ext uri="{FF2B5EF4-FFF2-40B4-BE49-F238E27FC236}">
              <a16:creationId xmlns:a16="http://schemas.microsoft.com/office/drawing/2014/main" id="{D4DAA817-3B00-4187-B48E-9D46192B284C}"/>
            </a:ext>
          </a:extLst>
        </xdr:cNvPr>
        <xdr:cNvGrpSpPr/>
      </xdr:nvGrpSpPr>
      <xdr:grpSpPr>
        <a:xfrm>
          <a:off x="12927610" y="3135415"/>
          <a:ext cx="2188486" cy="10003986"/>
          <a:chOff x="13374460" y="582386"/>
          <a:chExt cx="1983950" cy="10616607"/>
        </a:xfrm>
      </xdr:grpSpPr>
      <xdr:grpSp>
        <xdr:nvGrpSpPr>
          <xdr:cNvPr id="17" name="Group 16">
            <a:extLst>
              <a:ext uri="{FF2B5EF4-FFF2-40B4-BE49-F238E27FC236}">
                <a16:creationId xmlns:a16="http://schemas.microsoft.com/office/drawing/2014/main" id="{09611B77-A59B-4600-BA3D-EE318811477A}"/>
              </a:ext>
            </a:extLst>
          </xdr:cNvPr>
          <xdr:cNvGrpSpPr/>
        </xdr:nvGrpSpPr>
        <xdr:grpSpPr>
          <a:xfrm>
            <a:off x="13374460" y="582386"/>
            <a:ext cx="1960816" cy="5522093"/>
            <a:chOff x="13277849" y="581025"/>
            <a:chExt cx="1971702" cy="5481272"/>
          </a:xfrm>
        </xdr:grpSpPr>
        <xdr:graphicFrame macro="">
          <xdr:nvGraphicFramePr>
            <xdr:cNvPr id="21" name="Chart 2">
              <a:extLst>
                <a:ext uri="{FF2B5EF4-FFF2-40B4-BE49-F238E27FC236}">
                  <a16:creationId xmlns:a16="http://schemas.microsoft.com/office/drawing/2014/main" id="{39EE4744-F9BE-4D02-BEFD-902A20246765}"/>
                </a:ext>
              </a:extLst>
            </xdr:cNvPr>
            <xdr:cNvGraphicFramePr>
              <a:graphicFrameLocks/>
            </xdr:cNvGraphicFramePr>
          </xdr:nvGraphicFramePr>
          <xdr:xfrm>
            <a:off x="13277850" y="581025"/>
            <a:ext cx="1971701" cy="35528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
              <a:extLst>
                <a:ext uri="{FF2B5EF4-FFF2-40B4-BE49-F238E27FC236}">
                  <a16:creationId xmlns:a16="http://schemas.microsoft.com/office/drawing/2014/main" id="{9D62AFE4-4544-4957-9CB8-9B57159368D1}"/>
                </a:ext>
              </a:extLst>
            </xdr:cNvPr>
            <xdr:cNvGraphicFramePr>
              <a:graphicFrameLocks/>
            </xdr:cNvGraphicFramePr>
          </xdr:nvGraphicFramePr>
          <xdr:xfrm>
            <a:off x="13277849" y="3724275"/>
            <a:ext cx="1971701" cy="2338022"/>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8" name="Group 17">
            <a:extLst>
              <a:ext uri="{FF2B5EF4-FFF2-40B4-BE49-F238E27FC236}">
                <a16:creationId xmlns:a16="http://schemas.microsoft.com/office/drawing/2014/main" id="{ABCFBB21-279C-4A8A-8DCF-B156520F80B7}"/>
              </a:ext>
            </a:extLst>
          </xdr:cNvPr>
          <xdr:cNvGrpSpPr/>
        </xdr:nvGrpSpPr>
        <xdr:grpSpPr>
          <a:xfrm>
            <a:off x="13397595" y="5744938"/>
            <a:ext cx="1960815" cy="5454055"/>
            <a:chOff x="13300984" y="5704365"/>
            <a:chExt cx="1971701" cy="5404328"/>
          </a:xfrm>
        </xdr:grpSpPr>
        <xdr:graphicFrame macro="">
          <xdr:nvGraphicFramePr>
            <xdr:cNvPr id="19" name="Chart 2">
              <a:extLst>
                <a:ext uri="{FF2B5EF4-FFF2-40B4-BE49-F238E27FC236}">
                  <a16:creationId xmlns:a16="http://schemas.microsoft.com/office/drawing/2014/main" id="{78FE9C55-A3F4-4678-A781-7345AF78A3B1}"/>
                </a:ext>
              </a:extLst>
            </xdr:cNvPr>
            <xdr:cNvGraphicFramePr>
              <a:graphicFrameLocks/>
            </xdr:cNvGraphicFramePr>
          </xdr:nvGraphicFramePr>
          <xdr:xfrm>
            <a:off x="13300984" y="5704365"/>
            <a:ext cx="1971701" cy="35473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2">
              <a:extLst>
                <a:ext uri="{FF2B5EF4-FFF2-40B4-BE49-F238E27FC236}">
                  <a16:creationId xmlns:a16="http://schemas.microsoft.com/office/drawing/2014/main" id="{FF0739C5-CD24-4124-A976-1BBDE3A24B42}"/>
                </a:ext>
              </a:extLst>
            </xdr:cNvPr>
            <xdr:cNvGraphicFramePr>
              <a:graphicFrameLocks/>
            </xdr:cNvGraphicFramePr>
          </xdr:nvGraphicFramePr>
          <xdr:xfrm>
            <a:off x="13300984" y="8773393"/>
            <a:ext cx="1971701" cy="233530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xdr:from>
      <xdr:col>24</xdr:col>
      <xdr:colOff>57651</xdr:colOff>
      <xdr:row>22</xdr:row>
      <xdr:rowOff>99891</xdr:rowOff>
    </xdr:from>
    <xdr:to>
      <xdr:col>27</xdr:col>
      <xdr:colOff>191871</xdr:colOff>
      <xdr:row>93</xdr:row>
      <xdr:rowOff>14465</xdr:rowOff>
    </xdr:to>
    <xdr:grpSp>
      <xdr:nvGrpSpPr>
        <xdr:cNvPr id="23" name="Group 22">
          <a:extLst>
            <a:ext uri="{FF2B5EF4-FFF2-40B4-BE49-F238E27FC236}">
              <a16:creationId xmlns:a16="http://schemas.microsoft.com/office/drawing/2014/main" id="{9DE2F4E9-BB32-49DE-ACD5-839B7A7B4BB9}"/>
            </a:ext>
          </a:extLst>
        </xdr:cNvPr>
        <xdr:cNvGrpSpPr/>
      </xdr:nvGrpSpPr>
      <xdr:grpSpPr>
        <a:xfrm>
          <a:off x="15696794" y="3166034"/>
          <a:ext cx="2202506" cy="9947574"/>
          <a:chOff x="13360907" y="570598"/>
          <a:chExt cx="1981634" cy="10531555"/>
        </a:xfrm>
      </xdr:grpSpPr>
      <xdr:grpSp>
        <xdr:nvGrpSpPr>
          <xdr:cNvPr id="24" name="Group 23">
            <a:extLst>
              <a:ext uri="{FF2B5EF4-FFF2-40B4-BE49-F238E27FC236}">
                <a16:creationId xmlns:a16="http://schemas.microsoft.com/office/drawing/2014/main" id="{715C196E-0AE6-4287-A672-52E095E4DF9B}"/>
              </a:ext>
            </a:extLst>
          </xdr:cNvPr>
          <xdr:cNvGrpSpPr/>
        </xdr:nvGrpSpPr>
        <xdr:grpSpPr>
          <a:xfrm>
            <a:off x="13381722" y="570598"/>
            <a:ext cx="1960819" cy="5440536"/>
            <a:chOff x="13285151" y="569325"/>
            <a:chExt cx="1971705" cy="5400318"/>
          </a:xfrm>
        </xdr:grpSpPr>
        <xdr:graphicFrame macro="">
          <xdr:nvGraphicFramePr>
            <xdr:cNvPr id="28" name="Chart 2">
              <a:extLst>
                <a:ext uri="{FF2B5EF4-FFF2-40B4-BE49-F238E27FC236}">
                  <a16:creationId xmlns:a16="http://schemas.microsoft.com/office/drawing/2014/main" id="{C6DA8D3D-367C-4ECB-80DB-8455C8A61C09}"/>
                </a:ext>
              </a:extLst>
            </xdr:cNvPr>
            <xdr:cNvGraphicFramePr>
              <a:graphicFrameLocks/>
            </xdr:cNvGraphicFramePr>
          </xdr:nvGraphicFramePr>
          <xdr:xfrm>
            <a:off x="13285155" y="569325"/>
            <a:ext cx="1971701" cy="363821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 name="Chart 2">
              <a:extLst>
                <a:ext uri="{FF2B5EF4-FFF2-40B4-BE49-F238E27FC236}">
                  <a16:creationId xmlns:a16="http://schemas.microsoft.com/office/drawing/2014/main" id="{ADE8173F-CA13-474D-B957-D741394C209B}"/>
                </a:ext>
              </a:extLst>
            </xdr:cNvPr>
            <xdr:cNvGraphicFramePr>
              <a:graphicFrameLocks/>
            </xdr:cNvGraphicFramePr>
          </xdr:nvGraphicFramePr>
          <xdr:xfrm>
            <a:off x="13285151" y="3692437"/>
            <a:ext cx="1971701" cy="2277206"/>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25" name="Group 24">
            <a:extLst>
              <a:ext uri="{FF2B5EF4-FFF2-40B4-BE49-F238E27FC236}">
                <a16:creationId xmlns:a16="http://schemas.microsoft.com/office/drawing/2014/main" id="{D743DA8B-24B9-4C3D-853E-03D0501A47D5}"/>
              </a:ext>
            </a:extLst>
          </xdr:cNvPr>
          <xdr:cNvGrpSpPr/>
        </xdr:nvGrpSpPr>
        <xdr:grpSpPr>
          <a:xfrm>
            <a:off x="13360907" y="5786817"/>
            <a:ext cx="1960816" cy="5315336"/>
            <a:chOff x="13264093" y="5745865"/>
            <a:chExt cx="1971702" cy="5266875"/>
          </a:xfrm>
        </xdr:grpSpPr>
        <xdr:graphicFrame macro="">
          <xdr:nvGraphicFramePr>
            <xdr:cNvPr id="26" name="Chart 2">
              <a:extLst>
                <a:ext uri="{FF2B5EF4-FFF2-40B4-BE49-F238E27FC236}">
                  <a16:creationId xmlns:a16="http://schemas.microsoft.com/office/drawing/2014/main" id="{4F3097EE-9B4D-4D36-B5FC-5BFBD373EA70}"/>
                </a:ext>
              </a:extLst>
            </xdr:cNvPr>
            <xdr:cNvGraphicFramePr>
              <a:graphicFrameLocks/>
            </xdr:cNvGraphicFramePr>
          </xdr:nvGraphicFramePr>
          <xdr:xfrm>
            <a:off x="13264093" y="5745865"/>
            <a:ext cx="1971701" cy="337935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7" name="Chart 2">
              <a:extLst>
                <a:ext uri="{FF2B5EF4-FFF2-40B4-BE49-F238E27FC236}">
                  <a16:creationId xmlns:a16="http://schemas.microsoft.com/office/drawing/2014/main" id="{EDA986B6-87AA-4FAD-B9AF-FF15EE4E6283}"/>
                </a:ext>
              </a:extLst>
            </xdr:cNvPr>
            <xdr:cNvGraphicFramePr>
              <a:graphicFrameLocks/>
            </xdr:cNvGraphicFramePr>
          </xdr:nvGraphicFramePr>
          <xdr:xfrm>
            <a:off x="13264094" y="8677440"/>
            <a:ext cx="1971701" cy="2335300"/>
          </xdr:xfrm>
          <a:graphic>
            <a:graphicData uri="http://schemas.openxmlformats.org/drawingml/2006/chart">
              <c:chart xmlns:c="http://schemas.openxmlformats.org/drawingml/2006/chart" xmlns:r="http://schemas.openxmlformats.org/officeDocument/2006/relationships" r:id="rId8"/>
            </a:graphicData>
          </a:graphic>
        </xdr:graphicFrame>
      </xdr:grpSp>
    </xdr:grpSp>
    <xdr:clientData/>
  </xdr:twoCellAnchor>
</xdr:wsDr>
</file>

<file path=xl/drawings/drawing3.xml><?xml version="1.0" encoding="utf-8"?>
<c:userShapes xmlns:c="http://schemas.openxmlformats.org/drawingml/2006/chart">
  <cdr:relSizeAnchor xmlns:cdr="http://schemas.openxmlformats.org/drawingml/2006/chartDrawing">
    <cdr:from>
      <cdr:x>0.92028</cdr:x>
      <cdr:y>0.297</cdr:y>
    </cdr:from>
    <cdr:to>
      <cdr:x>0.92053</cdr:x>
      <cdr:y>0.297</cdr:y>
    </cdr:to>
    <cdr:sp macro="" textlink="">
      <cdr:nvSpPr>
        <cdr:cNvPr id="2" name="TextBox 1"/>
        <cdr:cNvSpPr txBox="1"/>
      </cdr:nvSpPr>
      <cdr:spPr>
        <a:xfrm xmlns:a="http://schemas.openxmlformats.org/drawingml/2006/main">
          <a:off x="5273802" y="876301"/>
          <a:ext cx="486198" cy="191398"/>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rgbClr val="0000FF"/>
              </a:solidFill>
              <a:latin typeface="Frutiger LT Std 45 Light" panose="020B0402020204020204" pitchFamily="34" charset="0"/>
              <a:cs typeface="Arial" pitchFamily="34" charset="0"/>
            </a:rPr>
            <a:t>CON</a:t>
          </a:r>
        </a:p>
      </cdr:txBody>
    </cdr:sp>
  </cdr:relSizeAnchor>
  <cdr:relSizeAnchor xmlns:cdr="http://schemas.openxmlformats.org/drawingml/2006/chartDrawing">
    <cdr:from>
      <cdr:x>0.91703</cdr:x>
      <cdr:y>0.34675</cdr:y>
    </cdr:from>
    <cdr:to>
      <cdr:x>0.91728</cdr:x>
      <cdr:y>0.34675</cdr:y>
    </cdr:to>
    <cdr:sp macro="" textlink="">
      <cdr:nvSpPr>
        <cdr:cNvPr id="3" name="TextBox 2"/>
        <cdr:cNvSpPr txBox="1"/>
      </cdr:nvSpPr>
      <cdr:spPr>
        <a:xfrm xmlns:a="http://schemas.openxmlformats.org/drawingml/2006/main">
          <a:off x="5257800" y="1014074"/>
          <a:ext cx="502200" cy="195601"/>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rgbClr val="FF0000"/>
              </a:solidFill>
              <a:latin typeface="Frutiger LT Std 45 Light" panose="020B0402020204020204" pitchFamily="34" charset="0"/>
              <a:cs typeface="Arial" pitchFamily="34" charset="0"/>
            </a:rPr>
            <a:t>LAB</a:t>
          </a:r>
        </a:p>
      </cdr:txBody>
    </cdr:sp>
  </cdr:relSizeAnchor>
  <cdr:relSizeAnchor xmlns:cdr="http://schemas.openxmlformats.org/drawingml/2006/chartDrawing">
    <cdr:from>
      <cdr:x>0.89699</cdr:x>
      <cdr:y>0.5955</cdr:y>
    </cdr:from>
    <cdr:to>
      <cdr:x>0.97833</cdr:x>
      <cdr:y>0.6777</cdr:y>
    </cdr:to>
    <cdr:sp macro="" textlink="">
      <cdr:nvSpPr>
        <cdr:cNvPr id="4" name="TextBox 3"/>
        <cdr:cNvSpPr txBox="1"/>
      </cdr:nvSpPr>
      <cdr:spPr>
        <a:xfrm xmlns:a="http://schemas.openxmlformats.org/drawingml/2006/main">
          <a:off x="5138775" y="1728636"/>
          <a:ext cx="465989" cy="238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rgbClr val="FAA01A"/>
              </a:solidFill>
              <a:latin typeface="Open Sans" panose="020B0606030504020204" pitchFamily="34" charset="0"/>
              <a:ea typeface="Open Sans" panose="020B0606030504020204" pitchFamily="34" charset="0"/>
              <a:cs typeface="Open Sans" panose="020B0606030504020204" pitchFamily="34" charset="0"/>
            </a:rPr>
            <a:t>LD</a:t>
          </a:r>
        </a:p>
      </cdr:txBody>
    </cdr:sp>
  </cdr:relSizeAnchor>
  <cdr:relSizeAnchor xmlns:cdr="http://schemas.openxmlformats.org/drawingml/2006/chartDrawing">
    <cdr:from>
      <cdr:x>0.90828</cdr:x>
      <cdr:y>0.6295</cdr:y>
    </cdr:from>
    <cdr:to>
      <cdr:x>0.90853</cdr:x>
      <cdr:y>0.6295</cdr:y>
    </cdr:to>
    <cdr:sp macro="" textlink="">
      <cdr:nvSpPr>
        <cdr:cNvPr id="5" name="TextBox 4"/>
        <cdr:cNvSpPr txBox="1"/>
      </cdr:nvSpPr>
      <cdr:spPr>
        <a:xfrm xmlns:a="http://schemas.openxmlformats.org/drawingml/2006/main">
          <a:off x="5208250" y="1800491"/>
          <a:ext cx="551750" cy="176976"/>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pPr algn="ctr"/>
          <a:r>
            <a:rPr lang="en-GB" sz="900" b="1">
              <a:solidFill>
                <a:schemeClr val="bg1">
                  <a:lumMod val="50000"/>
                </a:schemeClr>
              </a:solidFill>
              <a:latin typeface="Frutiger LT Std 45 Light" panose="020B0402020204020204" pitchFamily="34" charset="0"/>
              <a:cs typeface="Arial" pitchFamily="34" charset="0"/>
            </a:rPr>
            <a:t>Other</a:t>
          </a:r>
        </a:p>
      </cdr:txBody>
    </cdr:sp>
  </cdr:relSizeAnchor>
  <cdr:relSizeAnchor xmlns:cdr="http://schemas.openxmlformats.org/drawingml/2006/chartDrawing">
    <cdr:from>
      <cdr:x>0.92378</cdr:x>
      <cdr:y>0.71875</cdr:y>
    </cdr:from>
    <cdr:to>
      <cdr:x>0.92403</cdr:x>
      <cdr:y>0.71875</cdr:y>
    </cdr:to>
    <cdr:sp macro="" textlink="">
      <cdr:nvSpPr>
        <cdr:cNvPr id="6" name="TextBox 5"/>
        <cdr:cNvSpPr txBox="1"/>
      </cdr:nvSpPr>
      <cdr:spPr>
        <a:xfrm xmlns:a="http://schemas.openxmlformats.org/drawingml/2006/main">
          <a:off x="5296801" y="2047221"/>
          <a:ext cx="463199" cy="362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900" b="1">
              <a:solidFill>
                <a:schemeClr val="accent3">
                  <a:lumMod val="75000"/>
                </a:schemeClr>
              </a:solidFill>
              <a:latin typeface="Frutiger LT Std 45 Light" panose="020B0402020204020204" pitchFamily="34" charset="0"/>
              <a:cs typeface="Arial" pitchFamily="34" charset="0"/>
            </a:rPr>
            <a:t>PC/</a:t>
          </a:r>
        </a:p>
        <a:p xmlns:a="http://schemas.openxmlformats.org/drawingml/2006/main">
          <a:pPr algn="l"/>
          <a:r>
            <a:rPr lang="en-GB" sz="900" b="1">
              <a:solidFill>
                <a:schemeClr val="accent3">
                  <a:lumMod val="75000"/>
                </a:schemeClr>
              </a:solidFill>
              <a:latin typeface="Frutiger LT Std 45 Light" panose="020B0402020204020204" pitchFamily="34" charset="0"/>
              <a:cs typeface="Arial" pitchFamily="34" charset="0"/>
            </a:rPr>
            <a:t>SNP</a:t>
          </a:r>
        </a:p>
      </cdr:txBody>
    </cdr:sp>
  </cdr:relSizeAnchor>
  <cdr:relSizeAnchor xmlns:cdr="http://schemas.openxmlformats.org/drawingml/2006/chartDrawing">
    <cdr:from>
      <cdr:x>0.00074</cdr:x>
      <cdr:y>0.87539</cdr:y>
    </cdr:from>
    <cdr:to>
      <cdr:x>0.99975</cdr:x>
      <cdr:y>0.99733</cdr:y>
    </cdr:to>
    <cdr:sp macro="" textlink="">
      <cdr:nvSpPr>
        <cdr:cNvPr id="7" name="TextBox 6"/>
        <cdr:cNvSpPr txBox="1"/>
      </cdr:nvSpPr>
      <cdr:spPr>
        <a:xfrm xmlns:a="http://schemas.openxmlformats.org/drawingml/2006/main">
          <a:off x="0" y="3124200"/>
          <a:ext cx="524827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0.49107</cdr:x>
      <cdr:y>0.07938</cdr:y>
    </cdr:from>
    <cdr:to>
      <cdr:x>0.64933</cdr:x>
      <cdr:y>0.39688</cdr:y>
    </cdr:to>
    <cdr:sp macro="" textlink="">
      <cdr:nvSpPr>
        <cdr:cNvPr id="8" name="TextBox 7"/>
        <cdr:cNvSpPr txBox="1"/>
      </cdr:nvSpPr>
      <cdr:spPr>
        <a:xfrm xmlns:a="http://schemas.openxmlformats.org/drawingml/2006/main">
          <a:off x="2838450" y="228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0.52934</cdr:x>
      <cdr:y>0.15214</cdr:y>
    </cdr:from>
    <cdr:to>
      <cdr:x>0.68711</cdr:x>
      <cdr:y>0.46964</cdr:y>
    </cdr:to>
    <cdr:sp macro="" textlink="">
      <cdr:nvSpPr>
        <cdr:cNvPr id="9" name="TextBox 8"/>
        <cdr:cNvSpPr txBox="1"/>
      </cdr:nvSpPr>
      <cdr:spPr>
        <a:xfrm xmlns:a="http://schemas.openxmlformats.org/drawingml/2006/main">
          <a:off x="3057525" y="438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cdr:x>
      <cdr:y>0</cdr:y>
    </cdr:from>
    <cdr:to>
      <cdr:x>1</cdr:x>
      <cdr:y>0.11146</cdr:y>
    </cdr:to>
    <cdr:sp macro="" textlink="">
      <cdr:nvSpPr>
        <cdr:cNvPr id="10" name="TextBox 9"/>
        <cdr:cNvSpPr txBox="1"/>
      </cdr:nvSpPr>
      <cdr:spPr>
        <a:xfrm xmlns:a="http://schemas.openxmlformats.org/drawingml/2006/main">
          <a:off x="0" y="0"/>
          <a:ext cx="5796443" cy="323849"/>
        </a:xfrm>
        <a:prstGeom xmlns:a="http://schemas.openxmlformats.org/drawingml/2006/main" prst="rect">
          <a:avLst/>
        </a:prstGeom>
        <a:solidFill xmlns:a="http://schemas.openxmlformats.org/drawingml/2006/main">
          <a:srgbClr val="36845B"/>
        </a:solidFill>
      </cdr:spPr>
      <cdr:txBody>
        <a:bodyPr xmlns:a="http://schemas.openxmlformats.org/drawingml/2006/main" vertOverflow="clip" wrap="none" rtlCol="0" anchor="t"/>
        <a:lstStyle xmlns:a="http://schemas.openxmlformats.org/drawingml/2006/main"/>
        <a:p xmlns:a="http://schemas.openxmlformats.org/drawingml/2006/main">
          <a:pPr algn="l"/>
          <a:r>
            <a:rPr lang="en-GB" sz="1400" b="1" cap="none" baseline="0">
              <a:solidFill>
                <a:schemeClr val="bg1"/>
              </a:solidFill>
              <a:latin typeface="Open Sans" panose="020B0606030504020204" pitchFamily="34" charset="0"/>
              <a:ea typeface="Open Sans" panose="020B0606030504020204" pitchFamily="34" charset="0"/>
              <a:cs typeface="Open Sans" panose="020B0606030504020204" pitchFamily="34" charset="0"/>
            </a:rPr>
            <a:t> Share of the vote by party: UK General Elections</a:t>
          </a:r>
        </a:p>
      </cdr:txBody>
    </cdr:sp>
  </cdr:relSizeAnchor>
  <cdr:relSizeAnchor xmlns:cdr="http://schemas.openxmlformats.org/drawingml/2006/chartDrawing">
    <cdr:from>
      <cdr:x>0.91527</cdr:x>
      <cdr:y>0.64193</cdr:y>
    </cdr:from>
    <cdr:to>
      <cdr:x>0.9926</cdr:x>
      <cdr:y>0.72413</cdr:y>
    </cdr:to>
    <cdr:sp macro="" textlink="">
      <cdr:nvSpPr>
        <cdr:cNvPr id="11" name="TextBox 1"/>
        <cdr:cNvSpPr txBox="1"/>
      </cdr:nvSpPr>
      <cdr:spPr>
        <a:xfrm xmlns:a="http://schemas.openxmlformats.org/drawingml/2006/main">
          <a:off x="5243508" y="1863394"/>
          <a:ext cx="443016" cy="23861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909090"/>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0.92622</cdr:x>
      <cdr:y>0.69066</cdr:y>
    </cdr:from>
    <cdr:to>
      <cdr:x>1</cdr:x>
      <cdr:y>0.7547</cdr:y>
    </cdr:to>
    <cdr:sp macro="" textlink="">
      <cdr:nvSpPr>
        <cdr:cNvPr id="12" name="TextBox 1"/>
        <cdr:cNvSpPr txBox="1"/>
      </cdr:nvSpPr>
      <cdr:spPr>
        <a:xfrm xmlns:a="http://schemas.openxmlformats.org/drawingml/2006/main">
          <a:off x="5306195" y="2004868"/>
          <a:ext cx="422707" cy="18588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348837"/>
              </a:solidFill>
              <a:latin typeface="Open Sans" panose="020B0606030504020204" pitchFamily="34" charset="0"/>
              <a:ea typeface="Open Sans" panose="020B0606030504020204" pitchFamily="34" charset="0"/>
              <a:cs typeface="Open Sans" panose="020B0606030504020204" pitchFamily="34" charset="0"/>
            </a:rPr>
            <a:t>PC/SNP</a:t>
          </a:r>
        </a:p>
      </cdr:txBody>
    </cdr:sp>
  </cdr:relSizeAnchor>
  <cdr:relSizeAnchor xmlns:cdr="http://schemas.openxmlformats.org/drawingml/2006/chartDrawing">
    <cdr:from>
      <cdr:x>0.90484</cdr:x>
      <cdr:y>0.44014</cdr:y>
    </cdr:from>
    <cdr:to>
      <cdr:x>0.98168</cdr:x>
      <cdr:y>0.52235</cdr:y>
    </cdr:to>
    <cdr:sp macro="" textlink="">
      <cdr:nvSpPr>
        <cdr:cNvPr id="13" name="TextBox 1"/>
        <cdr:cNvSpPr txBox="1"/>
      </cdr:nvSpPr>
      <cdr:spPr>
        <a:xfrm xmlns:a="http://schemas.openxmlformats.org/drawingml/2006/main">
          <a:off x="5183713" y="1277634"/>
          <a:ext cx="440209" cy="238640"/>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D50000"/>
              </a:solidFill>
              <a:latin typeface="Open Sans" panose="020B0606030504020204" pitchFamily="34" charset="0"/>
              <a:ea typeface="Open Sans" panose="020B0606030504020204" pitchFamily="34" charset="0"/>
              <a:cs typeface="Open Sans" panose="020B0606030504020204" pitchFamily="34" charset="0"/>
            </a:rPr>
            <a:t>LAB</a:t>
          </a:r>
        </a:p>
      </cdr:txBody>
    </cdr:sp>
  </cdr:relSizeAnchor>
  <cdr:relSizeAnchor xmlns:cdr="http://schemas.openxmlformats.org/drawingml/2006/chartDrawing">
    <cdr:from>
      <cdr:x>0.90832</cdr:x>
      <cdr:y>0.33652</cdr:y>
    </cdr:from>
    <cdr:to>
      <cdr:x>0.9854</cdr:x>
      <cdr:y>0.41872</cdr:y>
    </cdr:to>
    <cdr:sp macro="" textlink="">
      <cdr:nvSpPr>
        <cdr:cNvPr id="14" name="TextBox 1"/>
        <cdr:cNvSpPr txBox="1"/>
      </cdr:nvSpPr>
      <cdr:spPr>
        <a:xfrm xmlns:a="http://schemas.openxmlformats.org/drawingml/2006/main">
          <a:off x="5203658" y="976865"/>
          <a:ext cx="441584" cy="238611"/>
        </a:xfrm>
        <a:prstGeom xmlns:a="http://schemas.openxmlformats.org/drawingml/2006/main" prst="rect">
          <a:avLst/>
        </a:prstGeom>
      </cdr:spPr>
      <cdr:txBody>
        <a:bodyPr xmlns:a="http://schemas.openxmlformats.org/drawingml/2006/main" wrap="square" l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solidFill>
                <a:srgbClr val="00539F"/>
              </a:solidFill>
              <a:latin typeface="Open Sans" panose="020B0606030504020204" pitchFamily="34" charset="0"/>
              <a:ea typeface="Open Sans" panose="020B0606030504020204" pitchFamily="34" charset="0"/>
              <a:cs typeface="Open Sans" panose="020B0606030504020204" pitchFamily="34" charset="0"/>
            </a:rPr>
            <a:t>CON</a:t>
          </a:r>
        </a:p>
      </cdr:txBody>
    </cdr:sp>
  </cdr:relSizeAnchor>
</c:userShapes>
</file>

<file path=xl/drawings/drawing30.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1.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5.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25</xdr:col>
      <xdr:colOff>155328</xdr:colOff>
      <xdr:row>0</xdr:row>
      <xdr:rowOff>111962</xdr:rowOff>
    </xdr:from>
    <xdr:to>
      <xdr:col>28</xdr:col>
      <xdr:colOff>532002</xdr:colOff>
      <xdr:row>68</xdr:row>
      <xdr:rowOff>82948</xdr:rowOff>
    </xdr:to>
    <xdr:grpSp>
      <xdr:nvGrpSpPr>
        <xdr:cNvPr id="2" name="Group 1">
          <a:extLst>
            <a:ext uri="{FF2B5EF4-FFF2-40B4-BE49-F238E27FC236}">
              <a16:creationId xmlns:a16="http://schemas.microsoft.com/office/drawing/2014/main" id="{69986FAE-06DD-487B-BCC1-16B1EFAFCB5D}"/>
            </a:ext>
          </a:extLst>
        </xdr:cNvPr>
        <xdr:cNvGrpSpPr/>
      </xdr:nvGrpSpPr>
      <xdr:grpSpPr>
        <a:xfrm>
          <a:off x="15372237" y="111962"/>
          <a:ext cx="2177765" cy="10754441"/>
          <a:chOff x="13374460" y="582386"/>
          <a:chExt cx="1983950" cy="10616607"/>
        </a:xfrm>
      </xdr:grpSpPr>
      <xdr:grpSp>
        <xdr:nvGrpSpPr>
          <xdr:cNvPr id="3" name="Group 2">
            <a:extLst>
              <a:ext uri="{FF2B5EF4-FFF2-40B4-BE49-F238E27FC236}">
                <a16:creationId xmlns:a16="http://schemas.microsoft.com/office/drawing/2014/main" id="{8B90ADD2-B43E-40CB-961B-4D31FB7B80AE}"/>
              </a:ext>
            </a:extLst>
          </xdr:cNvPr>
          <xdr:cNvGrpSpPr/>
        </xdr:nvGrpSpPr>
        <xdr:grpSpPr>
          <a:xfrm>
            <a:off x="13374460" y="582386"/>
            <a:ext cx="1960816" cy="5522093"/>
            <a:chOff x="13277849" y="581025"/>
            <a:chExt cx="1971702" cy="5481272"/>
          </a:xfrm>
        </xdr:grpSpPr>
        <xdr:graphicFrame macro="">
          <xdr:nvGraphicFramePr>
            <xdr:cNvPr id="7" name="Chart 2">
              <a:extLst>
                <a:ext uri="{FF2B5EF4-FFF2-40B4-BE49-F238E27FC236}">
                  <a16:creationId xmlns:a16="http://schemas.microsoft.com/office/drawing/2014/main" id="{5F3F3918-1A96-420D-B81C-13400F184A27}"/>
                </a:ext>
              </a:extLst>
            </xdr:cNvPr>
            <xdr:cNvGraphicFramePr>
              <a:graphicFrameLocks/>
            </xdr:cNvGraphicFramePr>
          </xdr:nvGraphicFramePr>
          <xdr:xfrm>
            <a:off x="13277850" y="581025"/>
            <a:ext cx="1971701" cy="35528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2">
              <a:extLst>
                <a:ext uri="{FF2B5EF4-FFF2-40B4-BE49-F238E27FC236}">
                  <a16:creationId xmlns:a16="http://schemas.microsoft.com/office/drawing/2014/main" id="{AEAE8825-C2B5-4F53-99B6-67C64C165F77}"/>
                </a:ext>
              </a:extLst>
            </xdr:cNvPr>
            <xdr:cNvGraphicFramePr>
              <a:graphicFrameLocks/>
            </xdr:cNvGraphicFramePr>
          </xdr:nvGraphicFramePr>
          <xdr:xfrm>
            <a:off x="13277849" y="3724275"/>
            <a:ext cx="1971701" cy="2338022"/>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 name="Group 3">
            <a:extLst>
              <a:ext uri="{FF2B5EF4-FFF2-40B4-BE49-F238E27FC236}">
                <a16:creationId xmlns:a16="http://schemas.microsoft.com/office/drawing/2014/main" id="{3872E3D2-CA5A-464A-9F65-7BB9C556EC01}"/>
              </a:ext>
            </a:extLst>
          </xdr:cNvPr>
          <xdr:cNvGrpSpPr/>
        </xdr:nvGrpSpPr>
        <xdr:grpSpPr>
          <a:xfrm>
            <a:off x="13397595" y="5744938"/>
            <a:ext cx="1960815" cy="5454055"/>
            <a:chOff x="13300984" y="5704365"/>
            <a:chExt cx="1971701" cy="5404328"/>
          </a:xfrm>
        </xdr:grpSpPr>
        <xdr:graphicFrame macro="">
          <xdr:nvGraphicFramePr>
            <xdr:cNvPr id="5" name="Chart 2">
              <a:extLst>
                <a:ext uri="{FF2B5EF4-FFF2-40B4-BE49-F238E27FC236}">
                  <a16:creationId xmlns:a16="http://schemas.microsoft.com/office/drawing/2014/main" id="{FF1579F8-91B1-4FAD-BA16-7E6FB4AF016A}"/>
                </a:ext>
              </a:extLst>
            </xdr:cNvPr>
            <xdr:cNvGraphicFramePr>
              <a:graphicFrameLocks/>
            </xdr:cNvGraphicFramePr>
          </xdr:nvGraphicFramePr>
          <xdr:xfrm>
            <a:off x="13300984" y="5704365"/>
            <a:ext cx="1971701" cy="35473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2">
              <a:extLst>
                <a:ext uri="{FF2B5EF4-FFF2-40B4-BE49-F238E27FC236}">
                  <a16:creationId xmlns:a16="http://schemas.microsoft.com/office/drawing/2014/main" id="{AAF5E2B1-0200-402F-A383-D487E9C4424E}"/>
                </a:ext>
              </a:extLst>
            </xdr:cNvPr>
            <xdr:cNvGraphicFramePr>
              <a:graphicFrameLocks/>
            </xdr:cNvGraphicFramePr>
          </xdr:nvGraphicFramePr>
          <xdr:xfrm>
            <a:off x="13300984" y="8773393"/>
            <a:ext cx="1971701" cy="233530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xdr:from>
      <xdr:col>29</xdr:col>
      <xdr:colOff>507389</xdr:colOff>
      <xdr:row>0</xdr:row>
      <xdr:rowOff>142581</xdr:rowOff>
    </xdr:from>
    <xdr:to>
      <xdr:col>33</xdr:col>
      <xdr:colOff>364518</xdr:colOff>
      <xdr:row>68</xdr:row>
      <xdr:rowOff>57155</xdr:rowOff>
    </xdr:to>
    <xdr:grpSp>
      <xdr:nvGrpSpPr>
        <xdr:cNvPr id="9" name="Group 8">
          <a:extLst>
            <a:ext uri="{FF2B5EF4-FFF2-40B4-BE49-F238E27FC236}">
              <a16:creationId xmlns:a16="http://schemas.microsoft.com/office/drawing/2014/main" id="{141A10D2-4189-4F5B-B533-DC6E0E56B4BF}"/>
            </a:ext>
          </a:extLst>
        </xdr:cNvPr>
        <xdr:cNvGrpSpPr/>
      </xdr:nvGrpSpPr>
      <xdr:grpSpPr>
        <a:xfrm>
          <a:off x="18125753" y="142581"/>
          <a:ext cx="2258583" cy="10698029"/>
          <a:chOff x="13360907" y="570598"/>
          <a:chExt cx="1981634" cy="10531555"/>
        </a:xfrm>
      </xdr:grpSpPr>
      <xdr:grpSp>
        <xdr:nvGrpSpPr>
          <xdr:cNvPr id="10" name="Group 9">
            <a:extLst>
              <a:ext uri="{FF2B5EF4-FFF2-40B4-BE49-F238E27FC236}">
                <a16:creationId xmlns:a16="http://schemas.microsoft.com/office/drawing/2014/main" id="{FF463989-5231-46F3-8BB6-5DD883F0C7FB}"/>
              </a:ext>
            </a:extLst>
          </xdr:cNvPr>
          <xdr:cNvGrpSpPr/>
        </xdr:nvGrpSpPr>
        <xdr:grpSpPr>
          <a:xfrm>
            <a:off x="13381722" y="570598"/>
            <a:ext cx="1960819" cy="5440536"/>
            <a:chOff x="13285151" y="569325"/>
            <a:chExt cx="1971705" cy="5400318"/>
          </a:xfrm>
        </xdr:grpSpPr>
        <xdr:graphicFrame macro="">
          <xdr:nvGraphicFramePr>
            <xdr:cNvPr id="14" name="Chart 2">
              <a:extLst>
                <a:ext uri="{FF2B5EF4-FFF2-40B4-BE49-F238E27FC236}">
                  <a16:creationId xmlns:a16="http://schemas.microsoft.com/office/drawing/2014/main" id="{C8878818-FEC0-4562-90B7-27143DEEDDFE}"/>
                </a:ext>
              </a:extLst>
            </xdr:cNvPr>
            <xdr:cNvGraphicFramePr>
              <a:graphicFrameLocks/>
            </xdr:cNvGraphicFramePr>
          </xdr:nvGraphicFramePr>
          <xdr:xfrm>
            <a:off x="13285155" y="569325"/>
            <a:ext cx="1971701" cy="363821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2">
              <a:extLst>
                <a:ext uri="{FF2B5EF4-FFF2-40B4-BE49-F238E27FC236}">
                  <a16:creationId xmlns:a16="http://schemas.microsoft.com/office/drawing/2014/main" id="{87F16431-4FDA-4C0F-98AF-A3113F96EA18}"/>
                </a:ext>
              </a:extLst>
            </xdr:cNvPr>
            <xdr:cNvGraphicFramePr>
              <a:graphicFrameLocks/>
            </xdr:cNvGraphicFramePr>
          </xdr:nvGraphicFramePr>
          <xdr:xfrm>
            <a:off x="13285151" y="3692437"/>
            <a:ext cx="1971701" cy="2277206"/>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11" name="Group 10">
            <a:extLst>
              <a:ext uri="{FF2B5EF4-FFF2-40B4-BE49-F238E27FC236}">
                <a16:creationId xmlns:a16="http://schemas.microsoft.com/office/drawing/2014/main" id="{A0428BEA-9DE1-47CF-BF76-FCAE4B428553}"/>
              </a:ext>
            </a:extLst>
          </xdr:cNvPr>
          <xdr:cNvGrpSpPr/>
        </xdr:nvGrpSpPr>
        <xdr:grpSpPr>
          <a:xfrm>
            <a:off x="13360907" y="5786817"/>
            <a:ext cx="1960816" cy="5315336"/>
            <a:chOff x="13264093" y="5745865"/>
            <a:chExt cx="1971702" cy="5266875"/>
          </a:xfrm>
        </xdr:grpSpPr>
        <xdr:graphicFrame macro="">
          <xdr:nvGraphicFramePr>
            <xdr:cNvPr id="12" name="Chart 2">
              <a:extLst>
                <a:ext uri="{FF2B5EF4-FFF2-40B4-BE49-F238E27FC236}">
                  <a16:creationId xmlns:a16="http://schemas.microsoft.com/office/drawing/2014/main" id="{DAD3A346-EF14-4941-A284-763932000767}"/>
                </a:ext>
              </a:extLst>
            </xdr:cNvPr>
            <xdr:cNvGraphicFramePr>
              <a:graphicFrameLocks/>
            </xdr:cNvGraphicFramePr>
          </xdr:nvGraphicFramePr>
          <xdr:xfrm>
            <a:off x="13264093" y="5745865"/>
            <a:ext cx="1971701" cy="337935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3" name="Chart 2">
              <a:extLst>
                <a:ext uri="{FF2B5EF4-FFF2-40B4-BE49-F238E27FC236}">
                  <a16:creationId xmlns:a16="http://schemas.microsoft.com/office/drawing/2014/main" id="{BECF6FD1-EBFF-47A2-898E-005311E49D83}"/>
                </a:ext>
              </a:extLst>
            </xdr:cNvPr>
            <xdr:cNvGraphicFramePr>
              <a:graphicFrameLocks/>
            </xdr:cNvGraphicFramePr>
          </xdr:nvGraphicFramePr>
          <xdr:xfrm>
            <a:off x="13264094" y="8677440"/>
            <a:ext cx="1971701" cy="2335300"/>
          </xdr:xfrm>
          <a:graphic>
            <a:graphicData uri="http://schemas.openxmlformats.org/drawingml/2006/chart">
              <c:chart xmlns:c="http://schemas.openxmlformats.org/drawingml/2006/chart" xmlns:r="http://schemas.openxmlformats.org/officeDocument/2006/relationships" r:id="rId8"/>
            </a:graphicData>
          </a:graphic>
        </xdr:graphicFrame>
      </xdr:grpSp>
    </xdr:grpSp>
    <xdr:clientData/>
  </xdr:twoCellAnchor>
</xdr:wsDr>
</file>

<file path=xl/drawings/drawing39.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2.65521E-7</cdr:y>
    </cdr:from>
    <cdr:to>
      <cdr:x>1</cdr:x>
      <cdr:y>0.08859</cdr:y>
    </cdr:to>
    <cdr:sp macro="" textlink="">
      <cdr:nvSpPr>
        <cdr:cNvPr id="2" name="TextBox 1"/>
        <cdr:cNvSpPr txBox="1"/>
      </cdr:nvSpPr>
      <cdr:spPr>
        <a:xfrm xmlns:a="http://schemas.openxmlformats.org/drawingml/2006/main">
          <a:off x="0" y="1"/>
          <a:ext cx="6073140" cy="33364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rtlCol="0"/>
        <a:lstStyle xmlns:a="http://schemas.openxmlformats.org/drawingml/2006/main"/>
        <a:p xmlns:a="http://schemas.openxmlformats.org/drawingml/2006/main">
          <a:pPr rtl="0"/>
          <a:r>
            <a:rPr lang="en-GB" sz="1400" b="1" i="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London Assembly seats won by party</a:t>
          </a:r>
          <a:endParaRPr lang="en-GB" sz="140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2.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3.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6.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47.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0.10125</cdr:x>
      <cdr:y>0</cdr:y>
    </cdr:from>
    <cdr:to>
      <cdr:x>0.81425</cdr:x>
      <cdr:y>1</cdr:y>
    </cdr:to>
    <cdr:pic>
      <cdr:nvPicPr>
        <cdr:cNvPr id="83969" name="Picture 1">
          <a:extLst xmlns:a="http://schemas.openxmlformats.org/drawingml/2006/main">
            <a:ext uri="{FF2B5EF4-FFF2-40B4-BE49-F238E27FC236}">
              <a16:creationId xmlns:a16="http://schemas.microsoft.com/office/drawing/2014/main" id="{19204855-13A1-4823-8A94-8981BEA29A82}"/>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32581" y="0"/>
          <a:ext cx="6567211" cy="56197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49.xml><?xml version="1.0" encoding="utf-8"?>
<xdr:wsDr xmlns:xdr="http://schemas.openxmlformats.org/drawingml/2006/spreadsheetDrawing" xmlns:a="http://schemas.openxmlformats.org/drawingml/2006/main">
  <xdr:twoCellAnchor>
    <xdr:from>
      <xdr:col>4</xdr:col>
      <xdr:colOff>352425</xdr:colOff>
      <xdr:row>47</xdr:row>
      <xdr:rowOff>47625</xdr:rowOff>
    </xdr:from>
    <xdr:to>
      <xdr:col>14</xdr:col>
      <xdr:colOff>542925</xdr:colOff>
      <xdr:row>63</xdr:row>
      <xdr:rowOff>123825</xdr:rowOff>
    </xdr:to>
    <xdr:graphicFrame macro="">
      <xdr:nvGraphicFramePr>
        <xdr:cNvPr id="4291615" name="Chart 1">
          <a:extLst>
            <a:ext uri="{FF2B5EF4-FFF2-40B4-BE49-F238E27FC236}">
              <a16:creationId xmlns:a16="http://schemas.microsoft.com/office/drawing/2014/main" id="{00000000-0008-0000-1800-00001F7C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255816</xdr:colOff>
      <xdr:row>5</xdr:row>
      <xdr:rowOff>212912</xdr:rowOff>
    </xdr:from>
    <xdr:to>
      <xdr:col>29</xdr:col>
      <xdr:colOff>619783</xdr:colOff>
      <xdr:row>40</xdr:row>
      <xdr:rowOff>65555</xdr:rowOff>
    </xdr:to>
    <xdr:graphicFrame macro="">
      <xdr:nvGraphicFramePr>
        <xdr:cNvPr id="3" name="Chart 3">
          <a:extLst>
            <a:ext uri="{FF2B5EF4-FFF2-40B4-BE49-F238E27FC236}">
              <a16:creationId xmlns:a16="http://schemas.microsoft.com/office/drawing/2014/main" id="{E650D73F-8985-4599-956D-18A9F35C4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0.89034</cdr:x>
      <cdr:y>0.30609</cdr:y>
    </cdr:from>
    <cdr:to>
      <cdr:x>0.99726</cdr:x>
      <cdr:y>0.38726</cdr:y>
    </cdr:to>
    <cdr:sp macro="" textlink="">
      <cdr:nvSpPr>
        <cdr:cNvPr id="2" name="TextBox 1"/>
        <cdr:cNvSpPr txBox="1"/>
      </cdr:nvSpPr>
      <cdr:spPr>
        <a:xfrm xmlns:a="http://schemas.openxmlformats.org/drawingml/2006/main">
          <a:off x="5391034" y="944237"/>
          <a:ext cx="647401" cy="2503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00539F"/>
              </a:solidFill>
              <a:latin typeface="Open Sans" panose="020B0606030504020204" pitchFamily="34" charset="0"/>
              <a:ea typeface="Open Sans" panose="020B0606030504020204" pitchFamily="34" charset="0"/>
              <a:cs typeface="Open Sans" panose="020B0606030504020204" pitchFamily="34" charset="0"/>
            </a:rPr>
            <a:t>CON</a:t>
          </a:r>
        </a:p>
      </cdr:txBody>
    </cdr:sp>
  </cdr:relSizeAnchor>
  <cdr:relSizeAnchor xmlns:cdr="http://schemas.openxmlformats.org/drawingml/2006/chartDrawing">
    <cdr:from>
      <cdr:x>0.89645</cdr:x>
      <cdr:y>0.54565</cdr:y>
    </cdr:from>
    <cdr:to>
      <cdr:x>0.99179</cdr:x>
      <cdr:y>0.61101</cdr:y>
    </cdr:to>
    <cdr:sp macro="" textlink="">
      <cdr:nvSpPr>
        <cdr:cNvPr id="3" name="TextBox 2"/>
        <cdr:cNvSpPr txBox="1"/>
      </cdr:nvSpPr>
      <cdr:spPr>
        <a:xfrm xmlns:a="http://schemas.openxmlformats.org/drawingml/2006/main">
          <a:off x="5293984" y="1609995"/>
          <a:ext cx="563030" cy="1928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D50000"/>
              </a:solidFill>
              <a:latin typeface="Open Sans" panose="020B0606030504020204" pitchFamily="34" charset="0"/>
              <a:ea typeface="Open Sans" panose="020B0606030504020204" pitchFamily="34" charset="0"/>
              <a:cs typeface="Open Sans" panose="020B0606030504020204" pitchFamily="34" charset="0"/>
            </a:rPr>
            <a:t>LAB</a:t>
          </a:r>
        </a:p>
      </cdr:txBody>
    </cdr:sp>
  </cdr:relSizeAnchor>
  <cdr:relSizeAnchor xmlns:cdr="http://schemas.openxmlformats.org/drawingml/2006/chartDrawing">
    <cdr:from>
      <cdr:x>0.90602</cdr:x>
      <cdr:y>0.78609</cdr:y>
    </cdr:from>
    <cdr:to>
      <cdr:x>0.99042</cdr:x>
      <cdr:y>0.88061</cdr:y>
    </cdr:to>
    <cdr:sp macro="" textlink="">
      <cdr:nvSpPr>
        <cdr:cNvPr id="4" name="TextBox 3"/>
        <cdr:cNvSpPr txBox="1"/>
      </cdr:nvSpPr>
      <cdr:spPr>
        <a:xfrm xmlns:a="http://schemas.openxmlformats.org/drawingml/2006/main">
          <a:off x="5485981" y="2424987"/>
          <a:ext cx="511042" cy="291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FFC000"/>
              </a:solidFill>
              <a:latin typeface="Open Sans" panose="020B0606030504020204" pitchFamily="34" charset="0"/>
              <a:ea typeface="Open Sans" panose="020B0606030504020204" pitchFamily="34" charset="0"/>
              <a:cs typeface="Open Sans" panose="020B0606030504020204" pitchFamily="34" charset="0"/>
            </a:rPr>
            <a:t>LD</a:t>
          </a:r>
        </a:p>
      </cdr:txBody>
    </cdr:sp>
  </cdr:relSizeAnchor>
  <cdr:relSizeAnchor xmlns:cdr="http://schemas.openxmlformats.org/drawingml/2006/chartDrawing">
    <cdr:from>
      <cdr:x>0.85464</cdr:x>
      <cdr:y>0.6872</cdr:y>
    </cdr:from>
    <cdr:to>
      <cdr:x>0.98301</cdr:x>
      <cdr:y>0.74551</cdr:y>
    </cdr:to>
    <cdr:sp macro="" textlink="">
      <cdr:nvSpPr>
        <cdr:cNvPr id="5" name="TextBox 4"/>
        <cdr:cNvSpPr txBox="1"/>
      </cdr:nvSpPr>
      <cdr:spPr>
        <a:xfrm xmlns:a="http://schemas.openxmlformats.org/drawingml/2006/main">
          <a:off x="4200046" y="2193907"/>
          <a:ext cx="630880" cy="1861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909090"/>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0.77687</cdr:x>
      <cdr:y>0.79067</cdr:y>
    </cdr:from>
    <cdr:to>
      <cdr:x>0.91991</cdr:x>
      <cdr:y>0.85833</cdr:y>
    </cdr:to>
    <cdr:sp macro="" textlink="">
      <cdr:nvSpPr>
        <cdr:cNvPr id="6" name="TextBox 5"/>
        <cdr:cNvSpPr txBox="1"/>
      </cdr:nvSpPr>
      <cdr:spPr>
        <a:xfrm xmlns:a="http://schemas.openxmlformats.org/drawingml/2006/main">
          <a:off x="4703927" y="2439115"/>
          <a:ext cx="866107" cy="2087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solidFill>
                <a:schemeClr val="accent3">
                  <a:lumMod val="75000"/>
                </a:schemeClr>
              </a:solidFill>
              <a:latin typeface="Open Sans" panose="020B0606030504020204" pitchFamily="34" charset="0"/>
              <a:ea typeface="Open Sans" panose="020B0606030504020204" pitchFamily="34" charset="0"/>
              <a:cs typeface="Open Sans" panose="020B0606030504020204" pitchFamily="34" charset="0"/>
            </a:rPr>
            <a:t>PC/SNP</a:t>
          </a:r>
        </a:p>
      </cdr:txBody>
    </cdr:sp>
  </cdr:relSizeAnchor>
  <cdr:relSizeAnchor xmlns:cdr="http://schemas.openxmlformats.org/drawingml/2006/chartDrawing">
    <cdr:from>
      <cdr:x>0</cdr:x>
      <cdr:y>0</cdr:y>
    </cdr:from>
    <cdr:to>
      <cdr:x>1</cdr:x>
      <cdr:y>0.08837</cdr:y>
    </cdr:to>
    <cdr:sp macro="" textlink="">
      <cdr:nvSpPr>
        <cdr:cNvPr id="7" name="TextBox 6"/>
        <cdr:cNvSpPr txBox="1"/>
      </cdr:nvSpPr>
      <cdr:spPr>
        <a:xfrm xmlns:a="http://schemas.openxmlformats.org/drawingml/2006/main">
          <a:off x="0" y="0"/>
          <a:ext cx="5905498" cy="260736"/>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rtlCol="0" anchor="ctr"/>
        <a:lstStyle xmlns:a="http://schemas.openxmlformats.org/drawingml/2006/main"/>
        <a:p xmlns:a="http://schemas.openxmlformats.org/drawingml/2006/main">
          <a:pPr algn="l" rtl="0"/>
          <a:r>
            <a:rPr lang="en-GB" sz="1400" b="1" i="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Party affiliation of councillors Great Britain (000's)</a:t>
          </a:r>
          <a:endParaRPr lang="en-GB" sz="900" cap="none" baseline="0">
            <a:solidFill>
              <a:schemeClr val="bg1"/>
            </a:solidFill>
            <a:latin typeface="Arial" pitchFamily="34" charset="0"/>
            <a:cs typeface="Arial" pitchFamily="34" charset="0"/>
          </a:endParaRPr>
        </a:p>
      </cdr:txBody>
    </cdr:sp>
  </cdr:relSizeAnchor>
  <cdr:relSizeAnchor xmlns:cdr="http://schemas.openxmlformats.org/drawingml/2006/chartDrawing">
    <cdr:from>
      <cdr:x>0.06333</cdr:x>
      <cdr:y>0.10611</cdr:y>
    </cdr:from>
    <cdr:to>
      <cdr:x>0.21434</cdr:x>
      <cdr:y>0.40253</cdr:y>
    </cdr:to>
    <cdr:sp macro="" textlink="">
      <cdr:nvSpPr>
        <cdr:cNvPr id="8" name="TextBox 7"/>
        <cdr:cNvSpPr txBox="1"/>
      </cdr:nvSpPr>
      <cdr:spPr>
        <a:xfrm xmlns:a="http://schemas.openxmlformats.org/drawingml/2006/main">
          <a:off x="374008" y="313076"/>
          <a:ext cx="891789" cy="8746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latin typeface="Open Sans" panose="020B0606030504020204" pitchFamily="34" charset="0"/>
              <a:ea typeface="Open Sans" panose="020B0606030504020204" pitchFamily="34" charset="0"/>
              <a:cs typeface="Open Sans" panose="020B0606030504020204" pitchFamily="34" charset="0"/>
            </a:rPr>
            <a:t>Thousands</a:t>
          </a:r>
        </a:p>
      </cdr:txBody>
    </cdr:sp>
  </cdr:relSizeAnchor>
</c:userShapes>
</file>

<file path=xl/drawings/drawing50.xml><?xml version="1.0" encoding="utf-8"?>
<xdr:wsDr xmlns:xdr="http://schemas.openxmlformats.org/drawingml/2006/spreadsheetDrawing" xmlns:a="http://schemas.openxmlformats.org/drawingml/2006/main">
  <xdr:twoCellAnchor>
    <xdr:from>
      <xdr:col>13</xdr:col>
      <xdr:colOff>85725</xdr:colOff>
      <xdr:row>2</xdr:row>
      <xdr:rowOff>123825</xdr:rowOff>
    </xdr:from>
    <xdr:to>
      <xdr:col>14</xdr:col>
      <xdr:colOff>268605</xdr:colOff>
      <xdr:row>16</xdr:row>
      <xdr:rowOff>110490</xdr:rowOff>
    </xdr:to>
    <xdr:sp macro="" textlink="">
      <xdr:nvSpPr>
        <xdr:cNvPr id="4" name="Text Box 9">
          <a:extLst>
            <a:ext uri="{FF2B5EF4-FFF2-40B4-BE49-F238E27FC236}">
              <a16:creationId xmlns:a16="http://schemas.microsoft.com/office/drawing/2014/main" id="{3140495B-D8AA-4C19-8F0B-82CF79217C6E}"/>
            </a:ext>
          </a:extLst>
        </xdr:cNvPr>
        <xdr:cNvSpPr txBox="1">
          <a:spLocks noChangeArrowheads="1"/>
        </xdr:cNvSpPr>
      </xdr:nvSpPr>
      <xdr:spPr bwMode="auto">
        <a:xfrm>
          <a:off x="7810500" y="409575"/>
          <a:ext cx="1649730" cy="2491740"/>
        </a:xfrm>
        <a:prstGeom prst="rect">
          <a:avLst/>
        </a:prstGeom>
        <a:solidFill>
          <a:srgbClr val="FFFFFF"/>
        </a:solidFill>
        <a:ln w="9525">
          <a:solidFill>
            <a:schemeClr val="accent1"/>
          </a:solidFill>
          <a:miter lim="800000"/>
          <a:headEnd/>
          <a:tailEnd/>
        </a:ln>
      </xdr:spPr>
      <xdr:txBody>
        <a:bodyPr rot="0" vert="horz" wrap="square" lIns="91440" tIns="45720" rIns="91440" bIns="45720" anchor="t" anchorCtr="0">
          <a:noAutofit/>
        </a:bodyPr>
        <a:lstStyle/>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Data on spoilt ballots for the 2019 General Election is based on information collected by the House of Commons Library and is subject to revision. (</a:t>
          </a: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CBP-8749</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 publishes a breakdown of spoilt ballots by category. This data is yet to be released for the General Election 2019 (as at 22 July</a:t>
          </a:r>
          <a:r>
            <a:rPr lang="en-GB" sz="900" baseline="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2021</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(as at 22 July 2021)</a:t>
          </a:r>
          <a:endParaRPr lang="en-GB" sz="1100">
            <a:effectLst/>
            <a:latin typeface="Frutiger LT Std 45 Light"/>
            <a:ea typeface="Calibri" panose="020F0502020204030204" pitchFamily="34" charset="0"/>
            <a:cs typeface="Times New Roman" panose="02020603050405020304" pitchFamily="18" charset="0"/>
          </a:endParaRP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8</xdr:col>
      <xdr:colOff>542925</xdr:colOff>
      <xdr:row>7</xdr:row>
      <xdr:rowOff>95250</xdr:rowOff>
    </xdr:from>
    <xdr:to>
      <xdr:col>10</xdr:col>
      <xdr:colOff>523875</xdr:colOff>
      <xdr:row>11</xdr:row>
      <xdr:rowOff>53340</xdr:rowOff>
    </xdr:to>
    <xdr:sp macro="" textlink="">
      <xdr:nvSpPr>
        <xdr:cNvPr id="2" name="Text Box 9">
          <a:extLst>
            <a:ext uri="{FF2B5EF4-FFF2-40B4-BE49-F238E27FC236}">
              <a16:creationId xmlns:a16="http://schemas.microsoft.com/office/drawing/2014/main" id="{00000000-0008-0000-1B00-000002000000}"/>
            </a:ext>
          </a:extLst>
        </xdr:cNvPr>
        <xdr:cNvSpPr txBox="1">
          <a:spLocks noChangeArrowheads="1"/>
        </xdr:cNvSpPr>
      </xdr:nvSpPr>
      <xdr:spPr bwMode="auto">
        <a:xfrm>
          <a:off x="6379845" y="1360170"/>
          <a:ext cx="2053590" cy="567690"/>
        </a:xfrm>
        <a:prstGeom prst="rect">
          <a:avLst/>
        </a:prstGeom>
        <a:solidFill>
          <a:srgbClr val="FFFFFF"/>
        </a:solidFill>
        <a:ln w="9525">
          <a:solidFill>
            <a:schemeClr val="accent1"/>
          </a:solidFill>
          <a:miter lim="800000"/>
          <a:headEnd/>
          <a:tailEnd/>
        </a:ln>
      </xdr:spPr>
      <xdr:txBody>
        <a:bodyPr rot="0" vert="horz" wrap="square" lIns="91440" tIns="45720" rIns="91440" bIns="45720" anchor="t" anchorCtr="0">
          <a:noAutofit/>
        </a:bodyPr>
        <a:lstStyle/>
        <a:p>
          <a:pPr>
            <a:spcAft>
              <a:spcPts val="0"/>
            </a:spcAft>
          </a:pPr>
          <a:r>
            <a:rPr lang="en-GB" sz="900">
              <a:solidFill>
                <a:srgbClr val="000000"/>
              </a:solidFill>
              <a:effectLst/>
              <a:latin typeface="Arial" panose="020B0604020202020204" pitchFamily="34" charset="0"/>
              <a:ea typeface="Calibri" panose="020F0502020204030204" pitchFamily="34" charset="0"/>
            </a:rPr>
            <a:t>The </a:t>
          </a:r>
          <a:r>
            <a:rPr lang="en-GB" sz="900" b="1">
              <a:solidFill>
                <a:srgbClr val="000000"/>
              </a:solidFill>
              <a:effectLst/>
              <a:latin typeface="Arial" panose="020B0604020202020204" pitchFamily="34" charset="0"/>
              <a:ea typeface="Calibri" panose="020F0502020204030204" pitchFamily="34" charset="0"/>
            </a:rPr>
            <a:t>Electoral Commission</a:t>
          </a:r>
          <a:r>
            <a:rPr lang="en-GB" sz="900">
              <a:solidFill>
                <a:srgbClr val="000000"/>
              </a:solidFill>
              <a:effectLst/>
              <a:latin typeface="Arial" panose="020B0604020202020204" pitchFamily="34" charset="0"/>
              <a:ea typeface="Calibri" panose="020F0502020204030204" pitchFamily="34" charset="0"/>
            </a:rPr>
            <a:t> publishes data on spoilt ballots and postal votes. </a:t>
          </a:r>
        </a:p>
      </xdr:txBody>
    </xdr:sp>
    <xdr:clientData/>
  </xdr:twoCellAnchor>
  <xdr:twoCellAnchor>
    <xdr:from>
      <xdr:col>12</xdr:col>
      <xdr:colOff>316230</xdr:colOff>
      <xdr:row>9</xdr:row>
      <xdr:rowOff>114300</xdr:rowOff>
    </xdr:from>
    <xdr:to>
      <xdr:col>16</xdr:col>
      <xdr:colOff>20955</xdr:colOff>
      <xdr:row>34</xdr:row>
      <xdr:rowOff>85725</xdr:rowOff>
    </xdr:to>
    <xdr:graphicFrame macro="">
      <xdr:nvGraphicFramePr>
        <xdr:cNvPr id="3" name="Chart 5">
          <a:extLst>
            <a:ext uri="{FF2B5EF4-FFF2-40B4-BE49-F238E27FC236}">
              <a16:creationId xmlns:a16="http://schemas.microsoft.com/office/drawing/2014/main" id="{C9F5F793-EE59-40FE-ABB3-2D7EE9B3E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0.0381</cdr:x>
      <cdr:y>0</cdr:y>
    </cdr:from>
    <cdr:to>
      <cdr:x>0.86114</cdr:x>
      <cdr:y>0.12731</cdr:y>
    </cdr:to>
    <cdr:sp macro="" textlink="">
      <cdr:nvSpPr>
        <cdr:cNvPr id="2" name="TextBox 1"/>
        <cdr:cNvSpPr txBox="1"/>
      </cdr:nvSpPr>
      <cdr:spPr>
        <a:xfrm xmlns:a="http://schemas.openxmlformats.org/drawingml/2006/main">
          <a:off x="85726" y="0"/>
          <a:ext cx="1851660" cy="5071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effectLst/>
              <a:latin typeface="Open Sans" panose="020B0606030504020204" pitchFamily="34" charset="0"/>
              <a:ea typeface="Open Sans" panose="020B0606030504020204" pitchFamily="34" charset="0"/>
              <a:cs typeface="Open Sans" panose="020B0606030504020204" pitchFamily="34" charset="0"/>
            </a:rPr>
            <a:t>Postal votes at UK General Elections</a:t>
          </a:r>
          <a:endParaRPr lang="en-GB" sz="900" b="1"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latin typeface="Arial" pitchFamily="34" charset="0"/>
            <a:cs typeface="Arial" pitchFamily="34" charset="0"/>
          </a:endParaRPr>
        </a:p>
      </cdr:txBody>
    </cdr:sp>
  </cdr:relSizeAnchor>
</c:userShapes>
</file>

<file path=xl/drawings/drawing53.xml><?xml version="1.0" encoding="utf-8"?>
<xdr:wsDr xmlns:xdr="http://schemas.openxmlformats.org/drawingml/2006/spreadsheetDrawing" xmlns:a="http://schemas.openxmlformats.org/drawingml/2006/main">
  <xdr:twoCellAnchor editAs="absolute">
    <xdr:from>
      <xdr:col>19</xdr:col>
      <xdr:colOff>211567</xdr:colOff>
      <xdr:row>34</xdr:row>
      <xdr:rowOff>36979</xdr:rowOff>
    </xdr:from>
    <xdr:to>
      <xdr:col>25</xdr:col>
      <xdr:colOff>95362</xdr:colOff>
      <xdr:row>41</xdr:row>
      <xdr:rowOff>337</xdr:rowOff>
    </xdr:to>
    <xdr:graphicFrame macro="">
      <xdr:nvGraphicFramePr>
        <xdr:cNvPr id="37107895" name="Chart 5">
          <a:extLst>
            <a:ext uri="{FF2B5EF4-FFF2-40B4-BE49-F238E27FC236}">
              <a16:creationId xmlns:a16="http://schemas.microsoft.com/office/drawing/2014/main" id="{00000000-0008-0000-1E00-0000B73836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78441</xdr:colOff>
      <xdr:row>0</xdr:row>
      <xdr:rowOff>78441</xdr:rowOff>
    </xdr:from>
    <xdr:to>
      <xdr:col>29</xdr:col>
      <xdr:colOff>169881</xdr:colOff>
      <xdr:row>3</xdr:row>
      <xdr:rowOff>135591</xdr:rowOff>
    </xdr:to>
    <xdr:sp macro="" textlink="">
      <xdr:nvSpPr>
        <xdr:cNvPr id="9" name="TextBox 7">
          <a:extLst>
            <a:ext uri="{FF2B5EF4-FFF2-40B4-BE49-F238E27FC236}">
              <a16:creationId xmlns:a16="http://schemas.microsoft.com/office/drawing/2014/main" id="{00000000-0008-0000-1E00-000009000000}"/>
            </a:ext>
          </a:extLst>
        </xdr:cNvPr>
        <xdr:cNvSpPr txBox="1"/>
      </xdr:nvSpPr>
      <xdr:spPr>
        <a:xfrm>
          <a:off x="10242176" y="78441"/>
          <a:ext cx="1615440" cy="628650"/>
        </a:xfrm>
        <a:prstGeom prst="rect">
          <a:avLst/>
        </a:prstGeom>
      </xdr:spPr>
      <xdr:txBody>
        <a:bodyPr wrap="square" rtlCol="0" anchor="t">
          <a:noAutofit/>
        </a:bodyPr>
        <a:lstStyle/>
        <a:p>
          <a:pPr>
            <a:spcAft>
              <a:spcPts val="0"/>
            </a:spcAft>
          </a:pPr>
          <a:r>
            <a:rPr lang="en-GB" sz="1100" b="1">
              <a:effectLst/>
              <a:latin typeface="Calibri" panose="020F0502020204030204" pitchFamily="34" charset="0"/>
              <a:ea typeface="Times New Roman" panose="02020603050405020304" pitchFamily="18" charset="0"/>
              <a:cs typeface="Times New Roman" panose="02020603050405020304" pitchFamily="18" charset="0"/>
            </a:rPr>
            <a:t>Proportion of Women MPs of total seats won by party 1918-2017</a:t>
          </a:r>
          <a:r>
            <a:rPr lang="en-GB" sz="900">
              <a:effectLst/>
              <a:latin typeface="Calibri" panose="020F050202020403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403413</xdr:colOff>
      <xdr:row>7</xdr:row>
      <xdr:rowOff>112059</xdr:rowOff>
    </xdr:from>
    <xdr:to>
      <xdr:col>51</xdr:col>
      <xdr:colOff>67424</xdr:colOff>
      <xdr:row>35</xdr:row>
      <xdr:rowOff>31459</xdr:rowOff>
    </xdr:to>
    <xdr:graphicFrame macro="">
      <xdr:nvGraphicFramePr>
        <xdr:cNvPr id="8" name="Chart 3">
          <a:extLst>
            <a:ext uri="{FF2B5EF4-FFF2-40B4-BE49-F238E27FC236}">
              <a16:creationId xmlns:a16="http://schemas.microsoft.com/office/drawing/2014/main" id="{00000000-0008-0000-1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28</xdr:col>
      <xdr:colOff>292249</xdr:colOff>
      <xdr:row>1</xdr:row>
      <xdr:rowOff>22412</xdr:rowOff>
    </xdr:from>
    <xdr:to>
      <xdr:col>34</xdr:col>
      <xdr:colOff>364639</xdr:colOff>
      <xdr:row>12</xdr:row>
      <xdr:rowOff>59840</xdr:rowOff>
    </xdr:to>
    <xdr:graphicFrame macro="">
      <xdr:nvGraphicFramePr>
        <xdr:cNvPr id="10" name="Chart 2">
          <a:extLst>
            <a:ext uri="{FF2B5EF4-FFF2-40B4-BE49-F238E27FC236}">
              <a16:creationId xmlns:a16="http://schemas.microsoft.com/office/drawing/2014/main" id="{707B6F9A-242A-4369-9C3F-E40616E6663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28</xdr:col>
      <xdr:colOff>307042</xdr:colOff>
      <xdr:row>12</xdr:row>
      <xdr:rowOff>80459</xdr:rowOff>
    </xdr:from>
    <xdr:to>
      <xdr:col>34</xdr:col>
      <xdr:colOff>343237</xdr:colOff>
      <xdr:row>23</xdr:row>
      <xdr:rowOff>116429</xdr:rowOff>
    </xdr:to>
    <xdr:graphicFrame macro="">
      <xdr:nvGraphicFramePr>
        <xdr:cNvPr id="11" name="Chart 3">
          <a:extLst>
            <a:ext uri="{FF2B5EF4-FFF2-40B4-BE49-F238E27FC236}">
              <a16:creationId xmlns:a16="http://schemas.microsoft.com/office/drawing/2014/main" id="{906DE099-A56D-480D-81FD-903DB1D929E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28</xdr:col>
      <xdr:colOff>282501</xdr:colOff>
      <xdr:row>23</xdr:row>
      <xdr:rowOff>151169</xdr:rowOff>
    </xdr:from>
    <xdr:to>
      <xdr:col>34</xdr:col>
      <xdr:colOff>354891</xdr:colOff>
      <xdr:row>35</xdr:row>
      <xdr:rowOff>303119</xdr:rowOff>
    </xdr:to>
    <xdr:graphicFrame macro="">
      <xdr:nvGraphicFramePr>
        <xdr:cNvPr id="12" name="Chart 4">
          <a:extLst>
            <a:ext uri="{FF2B5EF4-FFF2-40B4-BE49-F238E27FC236}">
              <a16:creationId xmlns:a16="http://schemas.microsoft.com/office/drawing/2014/main" id="{BA346FDD-9A37-40BA-99C9-FBE52654755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28</xdr:col>
      <xdr:colOff>274656</xdr:colOff>
      <xdr:row>35</xdr:row>
      <xdr:rowOff>377190</xdr:rowOff>
    </xdr:from>
    <xdr:to>
      <xdr:col>34</xdr:col>
      <xdr:colOff>356571</xdr:colOff>
      <xdr:row>44</xdr:row>
      <xdr:rowOff>160472</xdr:rowOff>
    </xdr:to>
    <xdr:graphicFrame macro="">
      <xdr:nvGraphicFramePr>
        <xdr:cNvPr id="13" name="Chart 6">
          <a:extLst>
            <a:ext uri="{FF2B5EF4-FFF2-40B4-BE49-F238E27FC236}">
              <a16:creationId xmlns:a16="http://schemas.microsoft.com/office/drawing/2014/main" id="{33B17607-E35A-4F25-B02B-A40BAF7352E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0.48695</cdr:x>
      <cdr:y>0.08404</cdr:y>
    </cdr:from>
    <cdr:to>
      <cdr:x>0.90605</cdr:x>
      <cdr:y>0.20996</cdr:y>
    </cdr:to>
    <cdr:sp macro="" textlink="">
      <cdr:nvSpPr>
        <cdr:cNvPr id="3"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0.50062</cdr:x>
      <cdr:y>0.08404</cdr:y>
    </cdr:from>
    <cdr:to>
      <cdr:x>0.94215</cdr:x>
      <cdr:y>0.23734</cdr:y>
    </cdr:to>
    <cdr:sp macro="" textlink="">
      <cdr:nvSpPr>
        <cdr:cNvPr id="4" name="TextBox 1"/>
        <cdr:cNvSpPr txBox="1"/>
      </cdr:nvSpPr>
      <cdr:spPr>
        <a:xfrm xmlns:a="http://schemas.openxmlformats.org/drawingml/2006/main">
          <a:off x="1171575" y="144350"/>
          <a:ext cx="1038225" cy="2747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chemeClr val="bg1">
                  <a:lumMod val="50000"/>
                </a:schemeClr>
              </a:solidFill>
              <a:latin typeface="Frutiger LT Std 55 Roman" panose="020B0602020204020204" pitchFamily="34" charset="0"/>
              <a:cs typeface="Arial" pitchFamily="34" charset="0"/>
            </a:rPr>
            <a:t>(Other)</a:t>
          </a:r>
        </a:p>
      </cdr:txBody>
    </cdr:sp>
  </cdr:relSizeAnchor>
  <cdr:relSizeAnchor xmlns:cdr="http://schemas.openxmlformats.org/drawingml/2006/chartDrawing">
    <cdr:from>
      <cdr:x>0.48695</cdr:x>
      <cdr:y>0.08404</cdr:y>
    </cdr:from>
    <cdr:to>
      <cdr:x>0.90605</cdr:x>
      <cdr:y>0.20996</cdr:y>
    </cdr:to>
    <cdr:sp macro="" textlink="">
      <cdr:nvSpPr>
        <cdr:cNvPr id="5"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55.xml><?xml version="1.0" encoding="utf-8"?>
<c:userShapes xmlns:c="http://schemas.openxmlformats.org/drawingml/2006/chart">
  <cdr:relSizeAnchor xmlns:cdr="http://schemas.openxmlformats.org/drawingml/2006/chartDrawing">
    <cdr:from>
      <cdr:x>0.30274</cdr:x>
      <cdr:y>0.06651</cdr:y>
    </cdr:from>
    <cdr:to>
      <cdr:x>0.53988</cdr:x>
      <cdr:y>0.10583</cdr:y>
    </cdr:to>
    <cdr:sp macro="" textlink="">
      <cdr:nvSpPr>
        <cdr:cNvPr id="2" name="TextBox 1"/>
        <cdr:cNvSpPr txBox="1"/>
      </cdr:nvSpPr>
      <cdr:spPr>
        <a:xfrm xmlns:a="http://schemas.openxmlformats.org/drawingml/2006/main" flipH="1" flipV="1">
          <a:off x="1705534" y="253814"/>
          <a:ext cx="1344706" cy="145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56.xml><?xml version="1.0" encoding="utf-8"?>
<c:userShapes xmlns:c="http://schemas.openxmlformats.org/drawingml/2006/chart">
  <cdr:relSizeAnchor xmlns:cdr="http://schemas.openxmlformats.org/drawingml/2006/chartDrawing">
    <cdr:from>
      <cdr:x>0.16247</cdr:x>
      <cdr:y>0.06618</cdr:y>
    </cdr:from>
    <cdr:to>
      <cdr:x>0.75423</cdr:x>
      <cdr:y>0.23256</cdr:y>
    </cdr:to>
    <cdr:sp macro="" textlink="">
      <cdr:nvSpPr>
        <cdr:cNvPr id="2" name="TextBox 1"/>
        <cdr:cNvSpPr txBox="1"/>
      </cdr:nvSpPr>
      <cdr:spPr>
        <a:xfrm xmlns:a="http://schemas.openxmlformats.org/drawingml/2006/main">
          <a:off x="459934" y="118211"/>
          <a:ext cx="1675238" cy="297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00539F"/>
              </a:solidFill>
              <a:latin typeface="Open Sans" panose="020B0606030504020204" pitchFamily="34" charset="0"/>
              <a:ea typeface="Open Sans" panose="020B0606030504020204" pitchFamily="34" charset="0"/>
              <a:cs typeface="Open Sans" panose="020B0606030504020204" pitchFamily="34" charset="0"/>
            </a:rPr>
            <a:t>Conservative</a:t>
          </a:r>
        </a:p>
      </cdr:txBody>
    </cdr:sp>
  </cdr:relSizeAnchor>
</c:userShapes>
</file>

<file path=xl/drawings/drawing57.xml><?xml version="1.0" encoding="utf-8"?>
<c:userShapes xmlns:c="http://schemas.openxmlformats.org/drawingml/2006/chart">
  <cdr:relSizeAnchor xmlns:cdr="http://schemas.openxmlformats.org/drawingml/2006/chartDrawing">
    <cdr:from>
      <cdr:x>0.15266</cdr:x>
      <cdr:y>0.05923</cdr:y>
    </cdr:from>
    <cdr:to>
      <cdr:x>0.57199</cdr:x>
      <cdr:y>0.18563</cdr:y>
    </cdr:to>
    <cdr:sp macro="" textlink="">
      <cdr:nvSpPr>
        <cdr:cNvPr id="2" name="TextBox 1"/>
        <cdr:cNvSpPr txBox="1"/>
      </cdr:nvSpPr>
      <cdr:spPr>
        <a:xfrm xmlns:a="http://schemas.openxmlformats.org/drawingml/2006/main">
          <a:off x="426937" y="112889"/>
          <a:ext cx="1172720" cy="2409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D50000"/>
              </a:solidFill>
              <a:latin typeface="Open Sans" panose="020B0606030504020204" pitchFamily="34" charset="0"/>
              <a:ea typeface="Open Sans" panose="020B0606030504020204" pitchFamily="34" charset="0"/>
              <a:cs typeface="Open Sans" panose="020B0606030504020204" pitchFamily="34" charset="0"/>
            </a:rPr>
            <a:t>Labour</a:t>
          </a:r>
        </a:p>
      </cdr:txBody>
    </cdr:sp>
  </cdr:relSizeAnchor>
  <cdr:relSizeAnchor xmlns:cdr="http://schemas.openxmlformats.org/drawingml/2006/chartDrawing">
    <cdr:from>
      <cdr:x>0.48695</cdr:x>
      <cdr:y>0.08405</cdr:y>
    </cdr:from>
    <cdr:to>
      <cdr:x>0.90605</cdr:x>
      <cdr:y>0.20903</cdr:y>
    </cdr:to>
    <cdr:sp macro="" textlink="">
      <cdr:nvSpPr>
        <cdr:cNvPr id="3"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58.xml><?xml version="1.0" encoding="utf-8"?>
<c:userShapes xmlns:c="http://schemas.openxmlformats.org/drawingml/2006/chart">
  <cdr:relSizeAnchor xmlns:cdr="http://schemas.openxmlformats.org/drawingml/2006/chartDrawing">
    <cdr:from>
      <cdr:x>0.48695</cdr:x>
      <cdr:y>0.08405</cdr:y>
    </cdr:from>
    <cdr:to>
      <cdr:x>0.90605</cdr:x>
      <cdr:y>0.20997</cdr:y>
    </cdr:to>
    <cdr:sp macro="" textlink="">
      <cdr:nvSpPr>
        <cdr:cNvPr id="3"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0.15428</cdr:x>
      <cdr:y>0.12432</cdr:y>
    </cdr:from>
    <cdr:to>
      <cdr:x>0.93783</cdr:x>
      <cdr:y>0.27762</cdr:y>
    </cdr:to>
    <cdr:sp macro="" textlink="">
      <cdr:nvSpPr>
        <cdr:cNvPr id="4" name="TextBox 1"/>
        <cdr:cNvSpPr txBox="1"/>
      </cdr:nvSpPr>
      <cdr:spPr>
        <a:xfrm xmlns:a="http://schemas.openxmlformats.org/drawingml/2006/main">
          <a:off x="361498" y="218370"/>
          <a:ext cx="1835975" cy="2692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FAA01A"/>
              </a:solidFill>
              <a:latin typeface="Open Sans" panose="020B0606030504020204" pitchFamily="34" charset="0"/>
              <a:ea typeface="Open Sans" panose="020B0606030504020204" pitchFamily="34" charset="0"/>
              <a:cs typeface="Open Sans" panose="020B0606030504020204" pitchFamily="34" charset="0"/>
            </a:rPr>
            <a:t>Liberal Democrats</a:t>
          </a:r>
        </a:p>
      </cdr:txBody>
    </cdr:sp>
  </cdr:relSizeAnchor>
  <cdr:relSizeAnchor xmlns:cdr="http://schemas.openxmlformats.org/drawingml/2006/chartDrawing">
    <cdr:from>
      <cdr:x>0.48695</cdr:x>
      <cdr:y>0.08405</cdr:y>
    </cdr:from>
    <cdr:to>
      <cdr:x>0.90605</cdr:x>
      <cdr:y>0.20997</cdr:y>
    </cdr:to>
    <cdr:sp macro="" textlink="">
      <cdr:nvSpPr>
        <cdr:cNvPr id="5"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59.xml><?xml version="1.0" encoding="utf-8"?>
<c:userShapes xmlns:c="http://schemas.openxmlformats.org/drawingml/2006/chart">
  <cdr:relSizeAnchor xmlns:cdr="http://schemas.openxmlformats.org/drawingml/2006/chartDrawing">
    <cdr:from>
      <cdr:x>0.48647</cdr:x>
      <cdr:y>0.08404</cdr:y>
    </cdr:from>
    <cdr:to>
      <cdr:x>0.90557</cdr:x>
      <cdr:y>0.20996</cdr:y>
    </cdr:to>
    <cdr:sp macro="" textlink="">
      <cdr:nvSpPr>
        <cdr:cNvPr id="3"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0.15556</cdr:x>
      <cdr:y>0.09025</cdr:y>
    </cdr:from>
    <cdr:to>
      <cdr:x>0.59758</cdr:x>
      <cdr:y>0.24355</cdr:y>
    </cdr:to>
    <cdr:sp macro="" textlink="">
      <cdr:nvSpPr>
        <cdr:cNvPr id="4" name="TextBox 1"/>
        <cdr:cNvSpPr txBox="1"/>
      </cdr:nvSpPr>
      <cdr:spPr>
        <a:xfrm xmlns:a="http://schemas.openxmlformats.org/drawingml/2006/main">
          <a:off x="364493" y="162874"/>
          <a:ext cx="1035719" cy="276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chemeClr val="bg1">
                  <a:lumMod val="50000"/>
                </a:schemeClr>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0.48647</cdr:x>
      <cdr:y>0.08404</cdr:y>
    </cdr:from>
    <cdr:to>
      <cdr:x>0.90557</cdr:x>
      <cdr:y>0.20996</cdr:y>
    </cdr:to>
    <cdr:sp macro="" textlink="">
      <cdr:nvSpPr>
        <cdr:cNvPr id="5" name="TextBox 1"/>
        <cdr:cNvSpPr txBox="1"/>
      </cdr:nvSpPr>
      <cdr:spPr>
        <a:xfrm xmlns:a="http://schemas.openxmlformats.org/drawingml/2006/main">
          <a:off x="1204433" y="188558"/>
          <a:ext cx="1043467" cy="29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6.xml><?xml version="1.0" encoding="utf-8"?>
<xdr:wsDr xmlns:xdr="http://schemas.openxmlformats.org/drawingml/2006/spreadsheetDrawing" xmlns:a="http://schemas.openxmlformats.org/drawingml/2006/main">
  <xdr:twoCellAnchor>
    <xdr:from>
      <xdr:col>16</xdr:col>
      <xdr:colOff>192099</xdr:colOff>
      <xdr:row>17</xdr:row>
      <xdr:rowOff>56028</xdr:rowOff>
    </xdr:from>
    <xdr:to>
      <xdr:col>25</xdr:col>
      <xdr:colOff>313765</xdr:colOff>
      <xdr:row>39</xdr:row>
      <xdr:rowOff>19289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89646</xdr:colOff>
      <xdr:row>40</xdr:row>
      <xdr:rowOff>0</xdr:rowOff>
    </xdr:from>
    <xdr:to>
      <xdr:col>31</xdr:col>
      <xdr:colOff>447698</xdr:colOff>
      <xdr:row>61</xdr:row>
      <xdr:rowOff>87768</xdr:rowOff>
    </xdr:to>
    <xdr:graphicFrame macro="">
      <xdr:nvGraphicFramePr>
        <xdr:cNvPr id="9" name="Chart 2">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89647</xdr:colOff>
      <xdr:row>58</xdr:row>
      <xdr:rowOff>110247</xdr:rowOff>
    </xdr:from>
    <xdr:to>
      <xdr:col>31</xdr:col>
      <xdr:colOff>447699</xdr:colOff>
      <xdr:row>73</xdr:row>
      <xdr:rowOff>94346</xdr:rowOff>
    </xdr:to>
    <xdr:graphicFrame macro="">
      <xdr:nvGraphicFramePr>
        <xdr:cNvPr id="10" name="Chart 2">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392206</xdr:colOff>
      <xdr:row>38</xdr:row>
      <xdr:rowOff>22412</xdr:rowOff>
    </xdr:from>
    <xdr:to>
      <xdr:col>11</xdr:col>
      <xdr:colOff>80534</xdr:colOff>
      <xdr:row>64</xdr:row>
      <xdr:rowOff>147103</xdr:rowOff>
    </xdr:to>
    <xdr:graphicFrame macro="">
      <xdr:nvGraphicFramePr>
        <xdr:cNvPr id="11" name="Chart 3">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102870</xdr:colOff>
      <xdr:row>2</xdr:row>
      <xdr:rowOff>26671</xdr:rowOff>
    </xdr:from>
    <xdr:to>
      <xdr:col>21</xdr:col>
      <xdr:colOff>0</xdr:colOff>
      <xdr:row>9</xdr:row>
      <xdr:rowOff>169546</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2" name="TextBox 1"/>
        <cdr:cNvSpPr txBox="1"/>
      </cdr:nvSpPr>
      <cdr:spPr>
        <a:xfrm xmlns:a="http://schemas.openxmlformats.org/drawingml/2006/main">
          <a:off x="26035" y="1409914"/>
          <a:ext cx="5088890" cy="142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latin typeface="Arial" pitchFamily="34" charset="0"/>
              <a:cs typeface="Arial" pitchFamily="34" charset="0"/>
            </a:rPr>
            <a:t>Note:</a:t>
          </a:r>
          <a:r>
            <a:rPr lang="en-GB" sz="800" baseline="0">
              <a:latin typeface="Arial" pitchFamily="34" charset="0"/>
              <a:cs typeface="Arial" pitchFamily="34" charset="0"/>
            </a:rPr>
            <a:t> the vertical axis does not start at zero.</a:t>
          </a:r>
          <a:endParaRPr lang="en-GB" sz="800">
            <a:latin typeface="Arial" pitchFamily="34" charset="0"/>
            <a:cs typeface="Arial" pitchFamily="34" charset="0"/>
          </a:endParaRPr>
        </a:p>
      </cdr:txBody>
    </cdr:sp>
  </cdr:relSizeAnchor>
  <cdr:relSizeAnchor xmlns:cdr="http://schemas.openxmlformats.org/drawingml/2006/chartDrawing">
    <cdr:from>
      <cdr:x>0.3522</cdr:x>
      <cdr:y>0.12237</cdr:y>
    </cdr:from>
    <cdr:to>
      <cdr:x>0.42459</cdr:x>
      <cdr:y>0.23494</cdr:y>
    </cdr:to>
    <cdr:sp macro="" textlink="">
      <cdr:nvSpPr>
        <cdr:cNvPr id="3" name="TextBox 2"/>
        <cdr:cNvSpPr txBox="1"/>
      </cdr:nvSpPr>
      <cdr:spPr>
        <a:xfrm xmlns:a="http://schemas.openxmlformats.org/drawingml/2006/main">
          <a:off x="514350" y="192406"/>
          <a:ext cx="523875" cy="1790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0.92098</cdr:x>
      <cdr:y>0.24163</cdr:y>
    </cdr:from>
    <cdr:to>
      <cdr:x>1</cdr:x>
      <cdr:y>0.37349</cdr:y>
    </cdr:to>
    <cdr:sp macro="" textlink="">
      <cdr:nvSpPr>
        <cdr:cNvPr id="4" name="TextBox 3"/>
        <cdr:cNvSpPr txBox="1"/>
      </cdr:nvSpPr>
      <cdr:spPr>
        <a:xfrm xmlns:a="http://schemas.openxmlformats.org/drawingml/2006/main">
          <a:off x="6772274" y="382061"/>
          <a:ext cx="581025" cy="2084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1">
              <a:solidFill>
                <a:srgbClr val="D50000"/>
              </a:solidFill>
              <a:latin typeface="Arial" pitchFamily="34" charset="0"/>
              <a:cs typeface="Arial" pitchFamily="34" charset="0"/>
            </a:rPr>
            <a:t>LAB</a:t>
          </a:r>
          <a:endParaRPr lang="en-GB" sz="900" b="1">
            <a:solidFill>
              <a:srgbClr val="D50000"/>
            </a:solidFill>
            <a:latin typeface="Arial" pitchFamily="34" charset="0"/>
            <a:cs typeface="Arial" pitchFamily="34" charset="0"/>
          </a:endParaRPr>
        </a:p>
      </cdr:txBody>
    </cdr:sp>
  </cdr:relSizeAnchor>
  <cdr:relSizeAnchor xmlns:cdr="http://schemas.openxmlformats.org/drawingml/2006/chartDrawing">
    <cdr:from>
      <cdr:x>0.91969</cdr:x>
      <cdr:y>0.33278</cdr:y>
    </cdr:from>
    <cdr:to>
      <cdr:x>1</cdr:x>
      <cdr:y>0.48193</cdr:y>
    </cdr:to>
    <cdr:sp macro="" textlink="">
      <cdr:nvSpPr>
        <cdr:cNvPr id="5" name="TextBox 1"/>
        <cdr:cNvSpPr txBox="1"/>
      </cdr:nvSpPr>
      <cdr:spPr>
        <a:xfrm xmlns:a="http://schemas.openxmlformats.org/drawingml/2006/main">
          <a:off x="6762750" y="526179"/>
          <a:ext cx="590550" cy="2358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00539F"/>
              </a:solidFill>
              <a:latin typeface="Arial" pitchFamily="34" charset="0"/>
              <a:cs typeface="Arial" pitchFamily="34" charset="0"/>
            </a:rPr>
            <a:t>CON</a:t>
          </a:r>
          <a:endParaRPr lang="en-GB" sz="900" b="1">
            <a:solidFill>
              <a:srgbClr val="00539F"/>
            </a:solidFill>
            <a:latin typeface="Arial" pitchFamily="34" charset="0"/>
            <a:cs typeface="Arial" pitchFamily="34" charset="0"/>
          </a:endParaRPr>
        </a:p>
      </cdr:txBody>
    </cdr:sp>
  </cdr:relSizeAnchor>
  <cdr:relSizeAnchor xmlns:cdr="http://schemas.openxmlformats.org/drawingml/2006/chartDrawing">
    <cdr:from>
      <cdr:x>0.92098</cdr:x>
      <cdr:y>0.15403</cdr:y>
    </cdr:from>
    <cdr:to>
      <cdr:x>1</cdr:x>
      <cdr:y>0.27108</cdr:y>
    </cdr:to>
    <cdr:sp macro="" textlink="">
      <cdr:nvSpPr>
        <cdr:cNvPr id="7" name="TextBox 1"/>
        <cdr:cNvSpPr txBox="1"/>
      </cdr:nvSpPr>
      <cdr:spPr>
        <a:xfrm xmlns:a="http://schemas.openxmlformats.org/drawingml/2006/main">
          <a:off x="6772274" y="243545"/>
          <a:ext cx="581025" cy="18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FFC000"/>
              </a:solidFill>
              <a:latin typeface="Arial" pitchFamily="34" charset="0"/>
              <a:cs typeface="Arial" pitchFamily="34" charset="0"/>
            </a:rPr>
            <a:t>LD</a:t>
          </a:r>
          <a:endParaRPr lang="en-GB" sz="900" b="1">
            <a:solidFill>
              <a:srgbClr val="FFC000"/>
            </a:solidFill>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16</xdr:col>
      <xdr:colOff>419100</xdr:colOff>
      <xdr:row>23</xdr:row>
      <xdr:rowOff>78105</xdr:rowOff>
    </xdr:from>
    <xdr:to>
      <xdr:col>20</xdr:col>
      <xdr:colOff>152399</xdr:colOff>
      <xdr:row>38</xdr:row>
      <xdr:rowOff>11430</xdr:rowOff>
    </xdr:to>
    <xdr:graphicFrame macro="">
      <xdr:nvGraphicFramePr>
        <xdr:cNvPr id="2" name="Chart 6">
          <a:extLst>
            <a:ext uri="{FF2B5EF4-FFF2-40B4-BE49-F238E27FC236}">
              <a16:creationId xmlns:a16="http://schemas.microsoft.com/office/drawing/2014/main" id="{B8A4AF8C-F2F1-47A3-A745-A2CE08717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0.05116</cdr:y>
    </cdr:from>
    <cdr:to>
      <cdr:x>1</cdr:x>
      <cdr:y>0.17209</cdr:y>
    </cdr:to>
    <cdr:sp macro="" textlink="">
      <cdr:nvSpPr>
        <cdr:cNvPr id="2" name="TextBox 1"/>
        <cdr:cNvSpPr txBox="1"/>
      </cdr:nvSpPr>
      <cdr:spPr>
        <a:xfrm xmlns:a="http://schemas.openxmlformats.org/drawingml/2006/main">
          <a:off x="0" y="104775"/>
          <a:ext cx="17907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effectLst/>
              <a:latin typeface="Open Sans" panose="020B0606030504020204" pitchFamily="34" charset="0"/>
              <a:ea typeface="Open Sans" panose="020B0606030504020204" pitchFamily="34" charset="0"/>
              <a:cs typeface="Open Sans" panose="020B0606030504020204" pitchFamily="34" charset="0"/>
            </a:rPr>
            <a:t>Number of BME MPs </a:t>
          </a:r>
          <a:endParaRPr lang="en-GB" sz="900"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latin typeface="Arial" pitchFamily="34" charset="0"/>
            <a:cs typeface="Arial" pitchFamily="34" charset="0"/>
          </a:endParaRPr>
        </a:p>
      </cdr:txBody>
    </cdr:sp>
  </cdr:relSizeAnchor>
</c:userShapes>
</file>

<file path=xl/drawings/drawing64.xml><?xml version="1.0" encoding="utf-8"?>
<xdr:wsDr xmlns:xdr="http://schemas.openxmlformats.org/drawingml/2006/spreadsheetDrawing" xmlns:a="http://schemas.openxmlformats.org/drawingml/2006/main">
  <xdr:twoCellAnchor>
    <xdr:from>
      <xdr:col>14</xdr:col>
      <xdr:colOff>281940</xdr:colOff>
      <xdr:row>22</xdr:row>
      <xdr:rowOff>81915</xdr:rowOff>
    </xdr:from>
    <xdr:to>
      <xdr:col>18</xdr:col>
      <xdr:colOff>511213</xdr:colOff>
      <xdr:row>38</xdr:row>
      <xdr:rowOff>66226</xdr:rowOff>
    </xdr:to>
    <xdr:graphicFrame macro="">
      <xdr:nvGraphicFramePr>
        <xdr:cNvPr id="2" name="Chart 6">
          <a:extLst>
            <a:ext uri="{FF2B5EF4-FFF2-40B4-BE49-F238E27FC236}">
              <a16:creationId xmlns:a16="http://schemas.microsoft.com/office/drawing/2014/main" id="{7B750FD3-E148-4F0E-A5D9-69291232C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cdr:x>
      <cdr:y>0</cdr:y>
    </cdr:from>
    <cdr:to>
      <cdr:x>0.96027</cdr:x>
      <cdr:y>0.11298</cdr:y>
    </cdr:to>
    <cdr:sp macro="" textlink="">
      <cdr:nvSpPr>
        <cdr:cNvPr id="2" name="TextBox 1"/>
        <cdr:cNvSpPr txBox="1"/>
      </cdr:nvSpPr>
      <cdr:spPr>
        <a:xfrm xmlns:a="http://schemas.openxmlformats.org/drawingml/2006/main">
          <a:off x="0" y="0"/>
          <a:ext cx="1882588"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200" b="1" i="0" cap="none" baseline="0">
              <a:effectLst/>
              <a:latin typeface="Open Sans" panose="020B0606030504020204" pitchFamily="34" charset="0"/>
              <a:ea typeface="Open Sans" panose="020B0606030504020204" pitchFamily="34" charset="0"/>
              <a:cs typeface="Open Sans" panose="020B0606030504020204" pitchFamily="34" charset="0"/>
            </a:rPr>
            <a:t>Number of new MPs </a:t>
          </a:r>
          <a:endParaRPr lang="en-GB" sz="1000" b="1"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40</xdr:col>
      <xdr:colOff>190500</xdr:colOff>
      <xdr:row>133</xdr:row>
      <xdr:rowOff>104775</xdr:rowOff>
    </xdr:from>
    <xdr:to>
      <xdr:col>47</xdr:col>
      <xdr:colOff>457200</xdr:colOff>
      <xdr:row>150</xdr:row>
      <xdr:rowOff>95250</xdr:rowOff>
    </xdr:to>
    <xdr:graphicFrame macro="">
      <xdr:nvGraphicFramePr>
        <xdr:cNvPr id="46663274" name="Chart 1">
          <a:extLst>
            <a:ext uri="{FF2B5EF4-FFF2-40B4-BE49-F238E27FC236}">
              <a16:creationId xmlns:a16="http://schemas.microsoft.com/office/drawing/2014/main" id="{00000000-0008-0000-2800-00006A06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21</xdr:col>
      <xdr:colOff>138793</xdr:colOff>
      <xdr:row>2</xdr:row>
      <xdr:rowOff>93890</xdr:rowOff>
    </xdr:from>
    <xdr:to>
      <xdr:col>29</xdr:col>
      <xdr:colOff>523875</xdr:colOff>
      <xdr:row>52</xdr:row>
      <xdr:rowOff>112939</xdr:rowOff>
    </xdr:to>
    <xdr:grpSp>
      <xdr:nvGrpSpPr>
        <xdr:cNvPr id="2" name="Group 1">
          <a:extLst>
            <a:ext uri="{FF2B5EF4-FFF2-40B4-BE49-F238E27FC236}">
              <a16:creationId xmlns:a16="http://schemas.microsoft.com/office/drawing/2014/main" id="{00000000-0008-0000-2A00-000002000000}"/>
            </a:ext>
          </a:extLst>
        </xdr:cNvPr>
        <xdr:cNvGrpSpPr/>
      </xdr:nvGrpSpPr>
      <xdr:grpSpPr>
        <a:xfrm>
          <a:off x="11389499" y="676596"/>
          <a:ext cx="5793788" cy="8236696"/>
          <a:chOff x="10263868" y="684440"/>
          <a:chExt cx="5233307" cy="8115299"/>
        </a:xfrm>
      </xdr:grpSpPr>
      <xdr:grpSp>
        <xdr:nvGrpSpPr>
          <xdr:cNvPr id="29424066" name="Group 17">
            <a:extLst>
              <a:ext uri="{FF2B5EF4-FFF2-40B4-BE49-F238E27FC236}">
                <a16:creationId xmlns:a16="http://schemas.microsoft.com/office/drawing/2014/main" id="{00000000-0008-0000-2A00-0000C2F9C001}"/>
              </a:ext>
            </a:extLst>
          </xdr:cNvPr>
          <xdr:cNvGrpSpPr>
            <a:grpSpLocks/>
          </xdr:cNvGrpSpPr>
        </xdr:nvGrpSpPr>
        <xdr:grpSpPr bwMode="auto">
          <a:xfrm>
            <a:off x="10263868" y="684440"/>
            <a:ext cx="5226503" cy="1681843"/>
            <a:chOff x="-41105" y="978938"/>
            <a:chExt cx="5169948" cy="1688062"/>
          </a:xfrm>
        </xdr:grpSpPr>
        <xdr:graphicFrame macro="">
          <xdr:nvGraphicFramePr>
            <xdr:cNvPr id="29424079" name="Chart 3">
              <a:extLst>
                <a:ext uri="{FF2B5EF4-FFF2-40B4-BE49-F238E27FC236}">
                  <a16:creationId xmlns:a16="http://schemas.microsoft.com/office/drawing/2014/main" id="{00000000-0008-0000-2A00-0000CFF9C001}"/>
                </a:ext>
              </a:extLst>
            </xdr:cNvPr>
            <xdr:cNvGraphicFramePr>
              <a:graphicFrameLocks/>
            </xdr:cNvGraphicFramePr>
          </xdr:nvGraphicFramePr>
          <xdr:xfrm>
            <a:off x="-41105" y="978938"/>
            <a:ext cx="2566971" cy="166608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9424080" name="Chart 4">
              <a:extLst>
                <a:ext uri="{FF2B5EF4-FFF2-40B4-BE49-F238E27FC236}">
                  <a16:creationId xmlns:a16="http://schemas.microsoft.com/office/drawing/2014/main" id="{00000000-0008-0000-2A00-0000D0F9C001}"/>
                </a:ext>
              </a:extLst>
            </xdr:cNvPr>
            <xdr:cNvGraphicFramePr>
              <a:graphicFrameLocks/>
            </xdr:cNvGraphicFramePr>
          </xdr:nvGraphicFramePr>
          <xdr:xfrm>
            <a:off x="2566969" y="978939"/>
            <a:ext cx="2561874" cy="168806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29424067" name="Group 18">
            <a:extLst>
              <a:ext uri="{FF2B5EF4-FFF2-40B4-BE49-F238E27FC236}">
                <a16:creationId xmlns:a16="http://schemas.microsoft.com/office/drawing/2014/main" id="{00000000-0008-0000-2A00-0000C3F9C001}"/>
              </a:ext>
            </a:extLst>
          </xdr:cNvPr>
          <xdr:cNvGrpSpPr>
            <a:grpSpLocks/>
          </xdr:cNvGrpSpPr>
        </xdr:nvGrpSpPr>
        <xdr:grpSpPr bwMode="auto">
          <a:xfrm>
            <a:off x="10301968" y="2364922"/>
            <a:ext cx="5195207" cy="1634218"/>
            <a:chOff x="-18784" y="2695033"/>
            <a:chExt cx="5122778" cy="1635177"/>
          </a:xfrm>
        </xdr:grpSpPr>
        <xdr:graphicFrame macro="">
          <xdr:nvGraphicFramePr>
            <xdr:cNvPr id="29424077" name="Chart 10">
              <a:extLst>
                <a:ext uri="{FF2B5EF4-FFF2-40B4-BE49-F238E27FC236}">
                  <a16:creationId xmlns:a16="http://schemas.microsoft.com/office/drawing/2014/main" id="{00000000-0008-0000-2A00-0000CDF9C001}"/>
                </a:ext>
              </a:extLst>
            </xdr:cNvPr>
            <xdr:cNvGraphicFramePr>
              <a:graphicFrameLocks/>
            </xdr:cNvGraphicFramePr>
          </xdr:nvGraphicFramePr>
          <xdr:xfrm>
            <a:off x="-18784" y="2700154"/>
            <a:ext cx="2566971" cy="16205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424078" name="Chart 11">
              <a:extLst>
                <a:ext uri="{FF2B5EF4-FFF2-40B4-BE49-F238E27FC236}">
                  <a16:creationId xmlns:a16="http://schemas.microsoft.com/office/drawing/2014/main" id="{00000000-0008-0000-2A00-0000CEF9C001}"/>
                </a:ext>
              </a:extLst>
            </xdr:cNvPr>
            <xdr:cNvGraphicFramePr>
              <a:graphicFrameLocks/>
            </xdr:cNvGraphicFramePr>
          </xdr:nvGraphicFramePr>
          <xdr:xfrm>
            <a:off x="2542120" y="2695033"/>
            <a:ext cx="2561874" cy="1635177"/>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9424068" name="Group 19">
            <a:extLst>
              <a:ext uri="{FF2B5EF4-FFF2-40B4-BE49-F238E27FC236}">
                <a16:creationId xmlns:a16="http://schemas.microsoft.com/office/drawing/2014/main" id="{00000000-0008-0000-2A00-0000C4F9C001}"/>
              </a:ext>
            </a:extLst>
          </xdr:cNvPr>
          <xdr:cNvGrpSpPr>
            <a:grpSpLocks/>
          </xdr:cNvGrpSpPr>
        </xdr:nvGrpSpPr>
        <xdr:grpSpPr bwMode="auto">
          <a:xfrm>
            <a:off x="10301968" y="3988254"/>
            <a:ext cx="5188403" cy="1634218"/>
            <a:chOff x="1036" y="4528046"/>
            <a:chExt cx="5132260" cy="1635177"/>
          </a:xfrm>
        </xdr:grpSpPr>
        <xdr:graphicFrame macro="">
          <xdr:nvGraphicFramePr>
            <xdr:cNvPr id="29424075" name="Chart 13">
              <a:extLst>
                <a:ext uri="{FF2B5EF4-FFF2-40B4-BE49-F238E27FC236}">
                  <a16:creationId xmlns:a16="http://schemas.microsoft.com/office/drawing/2014/main" id="{00000000-0008-0000-2A00-0000CBF9C001}"/>
                </a:ext>
              </a:extLst>
            </xdr:cNvPr>
            <xdr:cNvGraphicFramePr>
              <a:graphicFrameLocks/>
            </xdr:cNvGraphicFramePr>
          </xdr:nvGraphicFramePr>
          <xdr:xfrm>
            <a:off x="1036" y="4533167"/>
            <a:ext cx="2566971" cy="162052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424076" name="Chart 14">
              <a:extLst>
                <a:ext uri="{FF2B5EF4-FFF2-40B4-BE49-F238E27FC236}">
                  <a16:creationId xmlns:a16="http://schemas.microsoft.com/office/drawing/2014/main" id="{00000000-0008-0000-2A00-0000CCF9C001}"/>
                </a:ext>
              </a:extLst>
            </xdr:cNvPr>
            <xdr:cNvGraphicFramePr>
              <a:graphicFrameLocks/>
            </xdr:cNvGraphicFramePr>
          </xdr:nvGraphicFramePr>
          <xdr:xfrm>
            <a:off x="2571422" y="4528046"/>
            <a:ext cx="2561874" cy="1635177"/>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29424069" name="Group 23">
            <a:extLst>
              <a:ext uri="{FF2B5EF4-FFF2-40B4-BE49-F238E27FC236}">
                <a16:creationId xmlns:a16="http://schemas.microsoft.com/office/drawing/2014/main" id="{00000000-0008-0000-2A00-0000C5F9C001}"/>
              </a:ext>
            </a:extLst>
          </xdr:cNvPr>
          <xdr:cNvGrpSpPr>
            <a:grpSpLocks/>
          </xdr:cNvGrpSpPr>
        </xdr:nvGrpSpPr>
        <xdr:grpSpPr bwMode="auto">
          <a:xfrm>
            <a:off x="10301968" y="7146472"/>
            <a:ext cx="5195207" cy="1653267"/>
            <a:chOff x="1073" y="4528045"/>
            <a:chExt cx="5132223" cy="1635177"/>
          </a:xfrm>
        </xdr:grpSpPr>
        <xdr:graphicFrame macro="">
          <xdr:nvGraphicFramePr>
            <xdr:cNvPr id="29424073" name="Chart 24">
              <a:extLst>
                <a:ext uri="{FF2B5EF4-FFF2-40B4-BE49-F238E27FC236}">
                  <a16:creationId xmlns:a16="http://schemas.microsoft.com/office/drawing/2014/main" id="{00000000-0008-0000-2A00-0000C9F9C001}"/>
                </a:ext>
              </a:extLst>
            </xdr:cNvPr>
            <xdr:cNvGraphicFramePr>
              <a:graphicFrameLocks/>
            </xdr:cNvGraphicFramePr>
          </xdr:nvGraphicFramePr>
          <xdr:xfrm>
            <a:off x="1073" y="4533277"/>
            <a:ext cx="2566971" cy="162052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9424074" name="Chart 25">
              <a:extLst>
                <a:ext uri="{FF2B5EF4-FFF2-40B4-BE49-F238E27FC236}">
                  <a16:creationId xmlns:a16="http://schemas.microsoft.com/office/drawing/2014/main" id="{00000000-0008-0000-2A00-0000CAF9C001}"/>
                </a:ext>
              </a:extLst>
            </xdr:cNvPr>
            <xdr:cNvGraphicFramePr>
              <a:graphicFrameLocks/>
            </xdr:cNvGraphicFramePr>
          </xdr:nvGraphicFramePr>
          <xdr:xfrm>
            <a:off x="2571422" y="4528045"/>
            <a:ext cx="2561874" cy="1635177"/>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9424070" name="Group 23">
            <a:extLst>
              <a:ext uri="{FF2B5EF4-FFF2-40B4-BE49-F238E27FC236}">
                <a16:creationId xmlns:a16="http://schemas.microsoft.com/office/drawing/2014/main" id="{00000000-0008-0000-2A00-0000C6F9C001}"/>
              </a:ext>
            </a:extLst>
          </xdr:cNvPr>
          <xdr:cNvGrpSpPr>
            <a:grpSpLocks/>
          </xdr:cNvGrpSpPr>
        </xdr:nvGrpSpPr>
        <xdr:grpSpPr bwMode="auto">
          <a:xfrm>
            <a:off x="10301968" y="5574848"/>
            <a:ext cx="5195207" cy="1641021"/>
            <a:chOff x="222951" y="1966258"/>
            <a:chExt cx="5127496" cy="1642186"/>
          </a:xfrm>
        </xdr:grpSpPr>
        <xdr:graphicFrame macro="">
          <xdr:nvGraphicFramePr>
            <xdr:cNvPr id="29424071" name="Chart 24">
              <a:extLst>
                <a:ext uri="{FF2B5EF4-FFF2-40B4-BE49-F238E27FC236}">
                  <a16:creationId xmlns:a16="http://schemas.microsoft.com/office/drawing/2014/main" id="{00000000-0008-0000-2A00-0000C7F9C001}"/>
                </a:ext>
              </a:extLst>
            </xdr:cNvPr>
            <xdr:cNvGraphicFramePr>
              <a:graphicFrameLocks/>
            </xdr:cNvGraphicFramePr>
          </xdr:nvGraphicFramePr>
          <xdr:xfrm>
            <a:off x="222951" y="1987919"/>
            <a:ext cx="2566971" cy="162052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9424072" name="Chart 25">
              <a:extLst>
                <a:ext uri="{FF2B5EF4-FFF2-40B4-BE49-F238E27FC236}">
                  <a16:creationId xmlns:a16="http://schemas.microsoft.com/office/drawing/2014/main" id="{00000000-0008-0000-2A00-0000C8F9C001}"/>
                </a:ext>
              </a:extLst>
            </xdr:cNvPr>
            <xdr:cNvGraphicFramePr>
              <a:graphicFrameLocks/>
            </xdr:cNvGraphicFramePr>
          </xdr:nvGraphicFramePr>
          <xdr:xfrm>
            <a:off x="2788573" y="1966258"/>
            <a:ext cx="2561874" cy="1635177"/>
          </xdr:xfrm>
          <a:graphic>
            <a:graphicData uri="http://schemas.openxmlformats.org/drawingml/2006/chart">
              <c:chart xmlns:c="http://schemas.openxmlformats.org/drawingml/2006/chart" xmlns:r="http://schemas.openxmlformats.org/officeDocument/2006/relationships" r:id="rId10"/>
            </a:graphicData>
          </a:graphic>
        </xdr:graphicFrame>
      </xdr:grpSp>
    </xdr:grpSp>
    <xdr:clientData/>
  </xdr:twoCellAnchor>
</xdr:wsDr>
</file>

<file path=xl/drawings/drawing68.xml><?xml version="1.0" encoding="utf-8"?>
<xdr:wsDr xmlns:xdr="http://schemas.openxmlformats.org/drawingml/2006/spreadsheetDrawing" xmlns:a="http://schemas.openxmlformats.org/drawingml/2006/main">
  <xdr:twoCellAnchor editAs="absolute">
    <xdr:from>
      <xdr:col>14</xdr:col>
      <xdr:colOff>325755</xdr:colOff>
      <xdr:row>4</xdr:row>
      <xdr:rowOff>123264</xdr:rowOff>
    </xdr:from>
    <xdr:to>
      <xdr:col>19</xdr:col>
      <xdr:colOff>5352</xdr:colOff>
      <xdr:row>15</xdr:row>
      <xdr:rowOff>15239</xdr:rowOff>
    </xdr:to>
    <xdr:graphicFrame macro="">
      <xdr:nvGraphicFramePr>
        <xdr:cNvPr id="38399307" name="Chart 3">
          <a:extLst>
            <a:ext uri="{FF2B5EF4-FFF2-40B4-BE49-F238E27FC236}">
              <a16:creationId xmlns:a16="http://schemas.microsoft.com/office/drawing/2014/main" id="{00000000-0008-0000-2D00-00004B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308834</xdr:colOff>
      <xdr:row>15</xdr:row>
      <xdr:rowOff>73053</xdr:rowOff>
    </xdr:from>
    <xdr:to>
      <xdr:col>19</xdr:col>
      <xdr:colOff>3730</xdr:colOff>
      <xdr:row>26</xdr:row>
      <xdr:rowOff>70916</xdr:rowOff>
    </xdr:to>
    <xdr:graphicFrame macro="">
      <xdr:nvGraphicFramePr>
        <xdr:cNvPr id="38399308" name="Chart 7">
          <a:extLst>
            <a:ext uri="{FF2B5EF4-FFF2-40B4-BE49-F238E27FC236}">
              <a16:creationId xmlns:a16="http://schemas.microsoft.com/office/drawing/2014/main" id="{00000000-0008-0000-2D00-00004C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320040</xdr:colOff>
      <xdr:row>26</xdr:row>
      <xdr:rowOff>158527</xdr:rowOff>
    </xdr:from>
    <xdr:to>
      <xdr:col>19</xdr:col>
      <xdr:colOff>5411</xdr:colOff>
      <xdr:row>39</xdr:row>
      <xdr:rowOff>80555</xdr:rowOff>
    </xdr:to>
    <xdr:graphicFrame macro="">
      <xdr:nvGraphicFramePr>
        <xdr:cNvPr id="38399309" name="Chart 8">
          <a:extLst>
            <a:ext uri="{FF2B5EF4-FFF2-40B4-BE49-F238E27FC236}">
              <a16:creationId xmlns:a16="http://schemas.microsoft.com/office/drawing/2014/main" id="{00000000-0008-0000-2D00-00004D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19</xdr:col>
      <xdr:colOff>19050</xdr:colOff>
      <xdr:row>16</xdr:row>
      <xdr:rowOff>61607</xdr:rowOff>
    </xdr:from>
    <xdr:to>
      <xdr:col>23</xdr:col>
      <xdr:colOff>322730</xdr:colOff>
      <xdr:row>27</xdr:row>
      <xdr:rowOff>29935</xdr:rowOff>
    </xdr:to>
    <xdr:graphicFrame macro="">
      <xdr:nvGraphicFramePr>
        <xdr:cNvPr id="38399310" name="Chart 9">
          <a:extLst>
            <a:ext uri="{FF2B5EF4-FFF2-40B4-BE49-F238E27FC236}">
              <a16:creationId xmlns:a16="http://schemas.microsoft.com/office/drawing/2014/main" id="{00000000-0008-0000-2D00-00004E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26446</xdr:colOff>
      <xdr:row>29</xdr:row>
      <xdr:rowOff>20951</xdr:rowOff>
    </xdr:from>
    <xdr:to>
      <xdr:col>23</xdr:col>
      <xdr:colOff>341268</xdr:colOff>
      <xdr:row>40</xdr:row>
      <xdr:rowOff>24140</xdr:rowOff>
    </xdr:to>
    <xdr:graphicFrame macro="">
      <xdr:nvGraphicFramePr>
        <xdr:cNvPr id="38399311" name="Chart 10">
          <a:extLst>
            <a:ext uri="{FF2B5EF4-FFF2-40B4-BE49-F238E27FC236}">
              <a16:creationId xmlns:a16="http://schemas.microsoft.com/office/drawing/2014/main" id="{00000000-0008-0000-2D00-00004F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406642</xdr:colOff>
      <xdr:row>1</xdr:row>
      <xdr:rowOff>32976</xdr:rowOff>
    </xdr:from>
    <xdr:to>
      <xdr:col>19</xdr:col>
      <xdr:colOff>257475</xdr:colOff>
      <xdr:row>4</xdr:row>
      <xdr:rowOff>66593</xdr:rowOff>
    </xdr:to>
    <xdr:sp macro="" textlink="">
      <xdr:nvSpPr>
        <xdr:cNvPr id="12" name="TextBox 11">
          <a:extLst>
            <a:ext uri="{FF2B5EF4-FFF2-40B4-BE49-F238E27FC236}">
              <a16:creationId xmlns:a16="http://schemas.microsoft.com/office/drawing/2014/main" id="{00000000-0008-0000-2D00-00000C000000}"/>
            </a:ext>
          </a:extLst>
        </xdr:cNvPr>
        <xdr:cNvSpPr txBox="1"/>
      </xdr:nvSpPr>
      <xdr:spPr>
        <a:xfrm>
          <a:off x="9670385" y="185376"/>
          <a:ext cx="3062119" cy="436388"/>
        </a:xfrm>
        <a:prstGeom prst="rect">
          <a:avLst/>
        </a:prstGeom>
      </xdr:spPr>
      <xdr:txBody>
        <a:bodyPr vertOverflow="clip" horzOverflow="clip" wrap="square" rtlCol="0" anchor="t"/>
        <a:lstStyle/>
        <a:p>
          <a:pPr algn="l"/>
          <a:r>
            <a:rPr lang="en-GB" sz="1100" b="1">
              <a:latin typeface="Arial" pitchFamily="34" charset="0"/>
              <a:cs typeface="Arial" pitchFamily="34" charset="0"/>
            </a:rPr>
            <a:t>Average change in share of vote since previous election</a:t>
          </a:r>
        </a:p>
      </xdr:txBody>
    </xdr:sp>
    <xdr:clientData/>
  </xdr:twoCellAnchor>
  <xdr:twoCellAnchor editAs="absolute">
    <xdr:from>
      <xdr:col>18</xdr:col>
      <xdr:colOff>485231</xdr:colOff>
      <xdr:row>90</xdr:row>
      <xdr:rowOff>57695</xdr:rowOff>
    </xdr:from>
    <xdr:to>
      <xdr:col>23</xdr:col>
      <xdr:colOff>422365</xdr:colOff>
      <xdr:row>113</xdr:row>
      <xdr:rowOff>129268</xdr:rowOff>
    </xdr:to>
    <xdr:graphicFrame macro="">
      <xdr:nvGraphicFramePr>
        <xdr:cNvPr id="38399313" name="Chart 1">
          <a:extLst>
            <a:ext uri="{FF2B5EF4-FFF2-40B4-BE49-F238E27FC236}">
              <a16:creationId xmlns:a16="http://schemas.microsoft.com/office/drawing/2014/main" id="{00000000-0008-0000-2D00-000051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23</xdr:col>
      <xdr:colOff>334946</xdr:colOff>
      <xdr:row>90</xdr:row>
      <xdr:rowOff>57695</xdr:rowOff>
    </xdr:from>
    <xdr:to>
      <xdr:col>28</xdr:col>
      <xdr:colOff>476067</xdr:colOff>
      <xdr:row>113</xdr:row>
      <xdr:rowOff>129268</xdr:rowOff>
    </xdr:to>
    <xdr:graphicFrame macro="">
      <xdr:nvGraphicFramePr>
        <xdr:cNvPr id="38399314" name="Chart 1">
          <a:extLst>
            <a:ext uri="{FF2B5EF4-FFF2-40B4-BE49-F238E27FC236}">
              <a16:creationId xmlns:a16="http://schemas.microsoft.com/office/drawing/2014/main" id="{00000000-0008-0000-2D00-000052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93347</xdr:colOff>
      <xdr:row>116</xdr:row>
      <xdr:rowOff>99604</xdr:rowOff>
    </xdr:from>
    <xdr:to>
      <xdr:col>23</xdr:col>
      <xdr:colOff>503464</xdr:colOff>
      <xdr:row>139</xdr:row>
      <xdr:rowOff>23404</xdr:rowOff>
    </xdr:to>
    <xdr:graphicFrame macro="">
      <xdr:nvGraphicFramePr>
        <xdr:cNvPr id="38399316" name="Chart 1">
          <a:extLst>
            <a:ext uri="{FF2B5EF4-FFF2-40B4-BE49-F238E27FC236}">
              <a16:creationId xmlns:a16="http://schemas.microsoft.com/office/drawing/2014/main" id="{00000000-0008-0000-2D00-000054ED49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0.17563</cdr:x>
      <cdr:y>0.05331</cdr:y>
    </cdr:from>
    <cdr:to>
      <cdr:x>0.76754</cdr:x>
      <cdr:y>0.23117</cdr:y>
    </cdr:to>
    <cdr:sp macro="" textlink="">
      <cdr:nvSpPr>
        <cdr:cNvPr id="2" name="TextBox 1"/>
        <cdr:cNvSpPr txBox="1"/>
      </cdr:nvSpPr>
      <cdr:spPr>
        <a:xfrm xmlns:a="http://schemas.openxmlformats.org/drawingml/2006/main">
          <a:off x="409742" y="89993"/>
          <a:ext cx="1380920" cy="3002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00539F"/>
              </a:solidFill>
              <a:latin typeface="Open Sans" panose="020B0606030504020204" pitchFamily="34" charset="0"/>
              <a:ea typeface="Open Sans" panose="020B0606030504020204" pitchFamily="34" charset="0"/>
              <a:cs typeface="Open Sans" panose="020B0606030504020204" pitchFamily="34" charset="0"/>
            </a:rPr>
            <a:t>Conservative</a:t>
          </a:r>
        </a:p>
      </cdr:txBody>
    </cdr:sp>
  </cdr:relSizeAnchor>
</c:userShapes>
</file>

<file path=xl/drawings/drawing7.xml><?xml version="1.0" encoding="utf-8"?>
<c:userShapes xmlns:c="http://schemas.openxmlformats.org/drawingml/2006/chart">
  <cdr:relSizeAnchor xmlns:cdr="http://schemas.openxmlformats.org/drawingml/2006/chartDrawing">
    <cdr:from>
      <cdr:x>0.88128</cdr:x>
      <cdr:y>0.29131</cdr:y>
    </cdr:from>
    <cdr:to>
      <cdr:x>0.98956</cdr:x>
      <cdr:y>0.36068</cdr:y>
    </cdr:to>
    <cdr:sp macro="" textlink="">
      <cdr:nvSpPr>
        <cdr:cNvPr id="2" name="TextBox 1"/>
        <cdr:cNvSpPr txBox="1"/>
      </cdr:nvSpPr>
      <cdr:spPr>
        <a:xfrm xmlns:a="http://schemas.openxmlformats.org/drawingml/2006/main">
          <a:off x="4373436" y="994723"/>
          <a:ext cx="537351" cy="236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rgbClr val="00539F"/>
              </a:solidFill>
              <a:latin typeface="Frutiger LT Std 45 Light" panose="020B0402020204020204" pitchFamily="34" charset="0"/>
              <a:ea typeface="Open Sans" panose="020B0606030504020204" pitchFamily="34" charset="0"/>
              <a:cs typeface="Open Sans" panose="020B0606030504020204" pitchFamily="34" charset="0"/>
            </a:rPr>
            <a:t>CON</a:t>
          </a:r>
        </a:p>
      </cdr:txBody>
    </cdr:sp>
  </cdr:relSizeAnchor>
  <cdr:relSizeAnchor xmlns:cdr="http://schemas.openxmlformats.org/drawingml/2006/chartDrawing">
    <cdr:from>
      <cdr:x>0.88024</cdr:x>
      <cdr:y>0.33888</cdr:y>
    </cdr:from>
    <cdr:to>
      <cdr:x>0.98407</cdr:x>
      <cdr:y>0.39359</cdr:y>
    </cdr:to>
    <cdr:sp macro="" textlink="">
      <cdr:nvSpPr>
        <cdr:cNvPr id="3" name="TextBox 2"/>
        <cdr:cNvSpPr txBox="1"/>
      </cdr:nvSpPr>
      <cdr:spPr>
        <a:xfrm xmlns:a="http://schemas.openxmlformats.org/drawingml/2006/main">
          <a:off x="4659197" y="1080956"/>
          <a:ext cx="549582" cy="1745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rgbClr val="D50000"/>
              </a:solidFill>
              <a:latin typeface="Frutiger LT Std 45 Light" panose="020B0402020204020204" pitchFamily="34" charset="0"/>
              <a:cs typeface="Arial" pitchFamily="34" charset="0"/>
            </a:rPr>
            <a:t>LAB</a:t>
          </a:r>
        </a:p>
      </cdr:txBody>
    </cdr:sp>
  </cdr:relSizeAnchor>
  <cdr:relSizeAnchor xmlns:cdr="http://schemas.openxmlformats.org/drawingml/2006/chartDrawing">
    <cdr:from>
      <cdr:x>0.82843</cdr:x>
      <cdr:y>0.50191</cdr:y>
    </cdr:from>
    <cdr:to>
      <cdr:x>0.90855</cdr:x>
      <cdr:y>0.58411</cdr:y>
    </cdr:to>
    <cdr:sp macro="" textlink="">
      <cdr:nvSpPr>
        <cdr:cNvPr id="4" name="TextBox 3"/>
        <cdr:cNvSpPr txBox="1"/>
      </cdr:nvSpPr>
      <cdr:spPr>
        <a:xfrm xmlns:a="http://schemas.openxmlformats.org/drawingml/2006/main">
          <a:off x="4384982" y="1600973"/>
          <a:ext cx="424083" cy="2621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rgbClr val="FAA01A"/>
              </a:solidFill>
              <a:latin typeface="Frutiger LT Std 45 Light" panose="020B0402020204020204" pitchFamily="34" charset="0"/>
              <a:cs typeface="Arial" pitchFamily="34" charset="0"/>
            </a:rPr>
            <a:t>LD</a:t>
          </a:r>
        </a:p>
      </cdr:txBody>
    </cdr:sp>
  </cdr:relSizeAnchor>
  <cdr:relSizeAnchor xmlns:cdr="http://schemas.openxmlformats.org/drawingml/2006/chartDrawing">
    <cdr:from>
      <cdr:x>0.88591</cdr:x>
      <cdr:y>0.67127</cdr:y>
    </cdr:from>
    <cdr:to>
      <cdr:x>0.9909</cdr:x>
      <cdr:y>0.73511</cdr:y>
    </cdr:to>
    <cdr:sp macro="" textlink="">
      <cdr:nvSpPr>
        <cdr:cNvPr id="5" name="TextBox 4"/>
        <cdr:cNvSpPr txBox="1"/>
      </cdr:nvSpPr>
      <cdr:spPr>
        <a:xfrm xmlns:a="http://schemas.openxmlformats.org/drawingml/2006/main">
          <a:off x="4689223" y="2141177"/>
          <a:ext cx="555689" cy="2036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b="1">
              <a:solidFill>
                <a:schemeClr val="bg1">
                  <a:lumMod val="50000"/>
                </a:schemeClr>
              </a:solidFill>
              <a:latin typeface="Frutiger LT Std 45 Light" panose="020B04020202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0.88205</cdr:x>
      <cdr:y>0.72407</cdr:y>
    </cdr:from>
    <cdr:to>
      <cdr:x>1</cdr:x>
      <cdr:y>0.78331</cdr:y>
    </cdr:to>
    <cdr:sp macro="" textlink="">
      <cdr:nvSpPr>
        <cdr:cNvPr id="6" name="TextBox 5"/>
        <cdr:cNvSpPr txBox="1"/>
      </cdr:nvSpPr>
      <cdr:spPr>
        <a:xfrm xmlns:a="http://schemas.openxmlformats.org/drawingml/2006/main">
          <a:off x="4668778" y="2309606"/>
          <a:ext cx="624320" cy="1889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900" b="1">
              <a:solidFill>
                <a:schemeClr val="accent3">
                  <a:lumMod val="75000"/>
                </a:schemeClr>
              </a:solidFill>
              <a:latin typeface="Frutiger LT Std 45 Light" panose="020B0402020204020204" pitchFamily="34" charset="0"/>
              <a:ea typeface="Open Sans" panose="020B0606030504020204" pitchFamily="34" charset="0"/>
              <a:cs typeface="Open Sans" panose="020B0606030504020204" pitchFamily="34" charset="0"/>
            </a:rPr>
            <a:t>PC/SNP</a:t>
          </a:r>
        </a:p>
      </cdr:txBody>
    </cdr:sp>
  </cdr:relSizeAnchor>
  <cdr:relSizeAnchor xmlns:cdr="http://schemas.openxmlformats.org/drawingml/2006/chartDrawing">
    <cdr:from>
      <cdr:x>0.00074</cdr:x>
      <cdr:y>0.87539</cdr:y>
    </cdr:from>
    <cdr:to>
      <cdr:x>0.99975</cdr:x>
      <cdr:y>0.99733</cdr:y>
    </cdr:to>
    <cdr:sp macro="" textlink="">
      <cdr:nvSpPr>
        <cdr:cNvPr id="7" name="TextBox 6"/>
        <cdr:cNvSpPr txBox="1"/>
      </cdr:nvSpPr>
      <cdr:spPr>
        <a:xfrm xmlns:a="http://schemas.openxmlformats.org/drawingml/2006/main">
          <a:off x="0" y="3124200"/>
          <a:ext cx="524827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70.xml><?xml version="1.0" encoding="utf-8"?>
<c:userShapes xmlns:c="http://schemas.openxmlformats.org/drawingml/2006/chart">
  <cdr:relSizeAnchor xmlns:cdr="http://schemas.openxmlformats.org/drawingml/2006/chartDrawing">
    <cdr:from>
      <cdr:x>0.17136</cdr:x>
      <cdr:y>0.04719</cdr:y>
    </cdr:from>
    <cdr:to>
      <cdr:x>0.54328</cdr:x>
      <cdr:y>0.22922</cdr:y>
    </cdr:to>
    <cdr:sp macro="" textlink="">
      <cdr:nvSpPr>
        <cdr:cNvPr id="2" name="TextBox 1"/>
        <cdr:cNvSpPr txBox="1"/>
      </cdr:nvSpPr>
      <cdr:spPr>
        <a:xfrm xmlns:a="http://schemas.openxmlformats.org/drawingml/2006/main">
          <a:off x="534546" y="81303"/>
          <a:ext cx="1160161" cy="313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D50000"/>
              </a:solidFill>
              <a:latin typeface="Open Sans" panose="020B0606030504020204" pitchFamily="34" charset="0"/>
              <a:ea typeface="Open Sans" panose="020B0606030504020204" pitchFamily="34" charset="0"/>
              <a:cs typeface="Open Sans" panose="020B0606030504020204" pitchFamily="34" charset="0"/>
            </a:rPr>
            <a:t>Labour</a:t>
          </a:r>
        </a:p>
      </cdr:txBody>
    </cdr:sp>
  </cdr:relSizeAnchor>
</c:userShapes>
</file>

<file path=xl/drawings/drawing71.xml><?xml version="1.0" encoding="utf-8"?>
<c:userShapes xmlns:c="http://schemas.openxmlformats.org/drawingml/2006/chart">
  <cdr:relSizeAnchor xmlns:cdr="http://schemas.openxmlformats.org/drawingml/2006/chartDrawing">
    <cdr:from>
      <cdr:x>0.16467</cdr:x>
      <cdr:y>0</cdr:y>
    </cdr:from>
    <cdr:to>
      <cdr:x>0.93369</cdr:x>
      <cdr:y>0.15825</cdr:y>
    </cdr:to>
    <cdr:sp macro="" textlink="">
      <cdr:nvSpPr>
        <cdr:cNvPr id="2" name="TextBox 1"/>
        <cdr:cNvSpPr txBox="1"/>
      </cdr:nvSpPr>
      <cdr:spPr>
        <a:xfrm xmlns:a="http://schemas.openxmlformats.org/drawingml/2006/main">
          <a:off x="385126" y="0"/>
          <a:ext cx="1798548" cy="2632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rgbClr val="FAA01A"/>
              </a:solidFill>
              <a:latin typeface="Open Sans" panose="020B0606030504020204" pitchFamily="34" charset="0"/>
              <a:ea typeface="Open Sans" panose="020B0606030504020204" pitchFamily="34" charset="0"/>
              <a:cs typeface="Open Sans" panose="020B0606030504020204" pitchFamily="34" charset="0"/>
            </a:rPr>
            <a:t>Liberal</a:t>
          </a:r>
          <a:r>
            <a:rPr lang="en-GB" sz="1400" baseline="0">
              <a:solidFill>
                <a:srgbClr val="FAA01A"/>
              </a:solidFill>
              <a:latin typeface="Open Sans" panose="020B0606030504020204" pitchFamily="34" charset="0"/>
              <a:ea typeface="Open Sans" panose="020B0606030504020204" pitchFamily="34" charset="0"/>
              <a:cs typeface="Open Sans" panose="020B0606030504020204" pitchFamily="34" charset="0"/>
            </a:rPr>
            <a:t> Democrats</a:t>
          </a:r>
          <a:endParaRPr lang="en-GB" sz="1400">
            <a:solidFill>
              <a:srgbClr val="FAA01A"/>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0.14454</cdr:x>
      <cdr:y>0.02511</cdr:y>
    </cdr:from>
    <cdr:to>
      <cdr:x>0.52891</cdr:x>
      <cdr:y>0.19769</cdr:y>
    </cdr:to>
    <cdr:sp macro="" textlink="">
      <cdr:nvSpPr>
        <cdr:cNvPr id="2" name="TextBox 1"/>
        <cdr:cNvSpPr txBox="1"/>
      </cdr:nvSpPr>
      <cdr:spPr>
        <a:xfrm xmlns:a="http://schemas.openxmlformats.org/drawingml/2006/main">
          <a:off x="450886" y="42835"/>
          <a:ext cx="1198997" cy="2944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PC/SNP</a:t>
          </a:r>
        </a:p>
      </cdr:txBody>
    </cdr:sp>
  </cdr:relSizeAnchor>
</c:userShapes>
</file>

<file path=xl/drawings/drawing73.xml><?xml version="1.0" encoding="utf-8"?>
<c:userShapes xmlns:c="http://schemas.openxmlformats.org/drawingml/2006/chart">
  <cdr:relSizeAnchor xmlns:cdr="http://schemas.openxmlformats.org/drawingml/2006/chartDrawing">
    <cdr:from>
      <cdr:x>0.15533</cdr:x>
      <cdr:y>0.02468</cdr:y>
    </cdr:from>
    <cdr:to>
      <cdr:x>0.47144</cdr:x>
      <cdr:y>0.2163</cdr:y>
    </cdr:to>
    <cdr:sp macro="" textlink="">
      <cdr:nvSpPr>
        <cdr:cNvPr id="2" name="TextBox 1"/>
        <cdr:cNvSpPr txBox="1"/>
      </cdr:nvSpPr>
      <cdr:spPr>
        <a:xfrm xmlns:a="http://schemas.openxmlformats.org/drawingml/2006/main">
          <a:off x="484522" y="42751"/>
          <a:ext cx="986068" cy="3319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chemeClr val="bg1">
                  <a:lumMod val="50000"/>
                </a:schemeClr>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userShapes>
</file>

<file path=xl/drawings/drawing74.xml><?xml version="1.0" encoding="utf-8"?>
<c:userShapes xmlns:c="http://schemas.openxmlformats.org/drawingml/2006/chart">
  <cdr:relSizeAnchor xmlns:cdr="http://schemas.openxmlformats.org/drawingml/2006/chartDrawing">
    <cdr:from>
      <cdr:x>0.65598</cdr:x>
      <cdr:y>0</cdr:y>
    </cdr:from>
    <cdr:to>
      <cdr:x>0.92307</cdr:x>
      <cdr:y>0.07143</cdr:y>
    </cdr:to>
    <cdr:sp macro="" textlink="">
      <cdr:nvSpPr>
        <cdr:cNvPr id="2" name="TextBox 1"/>
        <cdr:cNvSpPr txBox="1"/>
      </cdr:nvSpPr>
      <cdr:spPr>
        <a:xfrm xmlns:a="http://schemas.openxmlformats.org/drawingml/2006/main">
          <a:off x="1624546" y="0"/>
          <a:ext cx="661448" cy="253778"/>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none" rtlCol="0"/>
        <a:lstStyle xmlns:a="http://schemas.openxmlformats.org/drawingml/2006/main"/>
        <a:p xmlns:a="http://schemas.openxmlformats.org/drawingml/2006/main">
          <a:r>
            <a:rPr lang="en-GB" sz="1400" b="1">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rPr>
            <a:t>Gains</a:t>
          </a:r>
          <a:endParaRPr lang="en-GB" sz="1600" b="1">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dr:relSizeAnchor xmlns:cdr="http://schemas.openxmlformats.org/drawingml/2006/chartDrawing">
    <cdr:from>
      <cdr:x>0.24625</cdr:x>
      <cdr:y>0.00889</cdr:y>
    </cdr:from>
    <cdr:to>
      <cdr:x>0.50385</cdr:x>
      <cdr:y>0.08032</cdr:y>
    </cdr:to>
    <cdr:sp macro="" textlink="">
      <cdr:nvSpPr>
        <cdr:cNvPr id="3" name="TextBox 1"/>
        <cdr:cNvSpPr txBox="1"/>
      </cdr:nvSpPr>
      <cdr:spPr>
        <a:xfrm xmlns:a="http://schemas.openxmlformats.org/drawingml/2006/main">
          <a:off x="609834" y="31581"/>
          <a:ext cx="637947" cy="25377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rPr>
            <a:t>Losses</a:t>
          </a:r>
          <a:endParaRPr lang="en-GB" sz="1600" b="1">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75.xml><?xml version="1.0" encoding="utf-8"?>
<c:userShapes xmlns:c="http://schemas.openxmlformats.org/drawingml/2006/chart">
  <cdr:relSizeAnchor xmlns:cdr="http://schemas.openxmlformats.org/drawingml/2006/chartDrawing">
    <cdr:from>
      <cdr:x>0</cdr:x>
      <cdr:y>0</cdr:y>
    </cdr:from>
    <cdr:to>
      <cdr:x>1</cdr:x>
      <cdr:y>0.15036</cdr:y>
    </cdr:to>
    <cdr:sp macro="" textlink="">
      <cdr:nvSpPr>
        <cdr:cNvPr id="2" name="Text Box 2"/>
        <cdr:cNvSpPr txBox="1">
          <a:spLocks xmlns:a="http://schemas.openxmlformats.org/drawingml/2006/main" noChangeArrowheads="1"/>
        </cdr:cNvSpPr>
      </cdr:nvSpPr>
      <cdr:spPr bwMode="auto">
        <a:xfrm xmlns:a="http://schemas.openxmlformats.org/drawingml/2006/main">
          <a:off x="0" y="0"/>
          <a:ext cx="6164034" cy="506184"/>
        </a:xfrm>
        <a:prstGeom xmlns:a="http://schemas.openxmlformats.org/drawingml/2006/main" prst="rect">
          <a:avLst/>
        </a:prstGeom>
        <a:solidFill xmlns:a="http://schemas.openxmlformats.org/drawingml/2006/main">
          <a:srgbClr val="36845B"/>
        </a:solidFill>
        <a:ln xmlns:a="http://schemas.openxmlformats.org/drawingml/2006/main" w="9525">
          <a:noFill/>
          <a:miter lim="800000"/>
          <a:headEnd/>
          <a:tailEnd/>
        </a:ln>
      </cdr:spPr>
      <cdr:txBody>
        <a:bodyPr xmlns:a="http://schemas.openxmlformats.org/drawingml/2006/main" rot="0" vert="horz" wrap="square" lIns="91440" tIns="45720" rIns="91440" bIns="45720" anchor="t" anchorCtr="0">
          <a:noAutofit/>
        </a:bodyPr>
        <a:lstStyle xmlns:a="http://schemas.openxmlformats.org/drawingml/2006/main"/>
        <a:p xmlns:a="http://schemas.openxmlformats.org/drawingml/2006/main">
          <a:pPr>
            <a:spcAft>
              <a:spcPts val="0"/>
            </a:spcAft>
          </a:pPr>
          <a:r>
            <a:rPr lang="en-GB" sz="1400" b="1" cap="none" baseline="0">
              <a:solidFill>
                <a:srgbClr val="FFFFFF"/>
              </a:solidFill>
              <a:effectLst/>
              <a:latin typeface="Open Sans" panose="020B0606030504020204" pitchFamily="34" charset="0"/>
              <a:ea typeface="Open Sans" panose="020B0606030504020204" pitchFamily="34" charset="0"/>
              <a:cs typeface="Open Sans" panose="020B0606030504020204" pitchFamily="34" charset="0"/>
            </a:rPr>
            <a:t>Number Parliamentary by-elections</a:t>
          </a:r>
          <a:endParaRPr lang="en-GB" sz="1400" cap="none" baseline="0">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pPr>
            <a:lnSpc>
              <a:spcPts val="1400"/>
            </a:lnSpc>
            <a:spcAft>
              <a:spcPts val="0"/>
            </a:spcAft>
          </a:pPr>
          <a:r>
            <a:rPr lang="en-GB" sz="1050">
              <a:solidFill>
                <a:srgbClr val="FFFFFF"/>
              </a:solidFill>
              <a:effectLst/>
              <a:latin typeface="Open Sans" panose="020B0606030504020204" pitchFamily="34" charset="0"/>
              <a:ea typeface="Open Sans" panose="020B0606030504020204" pitchFamily="34" charset="0"/>
              <a:cs typeface="Open Sans" panose="020B0606030504020204" pitchFamily="34" charset="0"/>
            </a:rPr>
            <a:t>Great Britain, 1945-50 to July</a:t>
          </a:r>
          <a:r>
            <a:rPr lang="en-GB" sz="1050" baseline="0">
              <a:solidFill>
                <a:srgbClr val="FFFFFF"/>
              </a:solidFill>
              <a:effectLst/>
              <a:latin typeface="Open Sans" panose="020B0606030504020204" pitchFamily="34" charset="0"/>
              <a:ea typeface="Open Sans" panose="020B0606030504020204" pitchFamily="34" charset="0"/>
              <a:cs typeface="Open Sans" panose="020B0606030504020204" pitchFamily="34" charset="0"/>
            </a:rPr>
            <a:t> 2021</a:t>
          </a:r>
          <a:endParaRPr lang="en-GB" sz="1100">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76.xml><?xml version="1.0" encoding="utf-8"?>
<xdr:wsDr xmlns:xdr="http://schemas.openxmlformats.org/drawingml/2006/spreadsheetDrawing" xmlns:a="http://schemas.openxmlformats.org/drawingml/2006/main">
  <xdr:twoCellAnchor editAs="absolute">
    <xdr:from>
      <xdr:col>12</xdr:col>
      <xdr:colOff>57420</xdr:colOff>
      <xdr:row>185</xdr:row>
      <xdr:rowOff>140169</xdr:rowOff>
    </xdr:from>
    <xdr:to>
      <xdr:col>18</xdr:col>
      <xdr:colOff>536393</xdr:colOff>
      <xdr:row>202</xdr:row>
      <xdr:rowOff>103559</xdr:rowOff>
    </xdr:to>
    <xdr:graphicFrame macro="">
      <xdr:nvGraphicFramePr>
        <xdr:cNvPr id="31027383" name="Chart 1">
          <a:extLst>
            <a:ext uri="{FF2B5EF4-FFF2-40B4-BE49-F238E27FC236}">
              <a16:creationId xmlns:a16="http://schemas.microsoft.com/office/drawing/2014/main" id="{00000000-0008-0000-3000-0000B7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551905</xdr:colOff>
      <xdr:row>185</xdr:row>
      <xdr:rowOff>102069</xdr:rowOff>
    </xdr:from>
    <xdr:to>
      <xdr:col>20</xdr:col>
      <xdr:colOff>35379</xdr:colOff>
      <xdr:row>197</xdr:row>
      <xdr:rowOff>138936</xdr:rowOff>
    </xdr:to>
    <xdr:graphicFrame macro="">
      <xdr:nvGraphicFramePr>
        <xdr:cNvPr id="31027384" name="Chart 1">
          <a:extLst>
            <a:ext uri="{FF2B5EF4-FFF2-40B4-BE49-F238E27FC236}">
              <a16:creationId xmlns:a16="http://schemas.microsoft.com/office/drawing/2014/main" id="{00000000-0008-0000-3000-0000B8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19</xdr:col>
      <xdr:colOff>625112</xdr:colOff>
      <xdr:row>185</xdr:row>
      <xdr:rowOff>62335</xdr:rowOff>
    </xdr:from>
    <xdr:to>
      <xdr:col>25</xdr:col>
      <xdr:colOff>514894</xdr:colOff>
      <xdr:row>197</xdr:row>
      <xdr:rowOff>144924</xdr:rowOff>
    </xdr:to>
    <xdr:graphicFrame macro="">
      <xdr:nvGraphicFramePr>
        <xdr:cNvPr id="31027385" name="Chart 1">
          <a:extLst>
            <a:ext uri="{FF2B5EF4-FFF2-40B4-BE49-F238E27FC236}">
              <a16:creationId xmlns:a16="http://schemas.microsoft.com/office/drawing/2014/main" id="{00000000-0008-0000-3000-0000B9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7.xml><?xml version="1.0" encoding="utf-8"?>
<c:userShapes xmlns:c="http://schemas.openxmlformats.org/drawingml/2006/chart">
  <cdr:relSizeAnchor xmlns:cdr="http://schemas.openxmlformats.org/drawingml/2006/chartDrawing">
    <cdr:from>
      <cdr:x>0.40159</cdr:x>
      <cdr:y>0.01071</cdr:y>
    </cdr:from>
    <cdr:to>
      <cdr:x>0.58116</cdr:x>
      <cdr:y>0.10647</cdr:y>
    </cdr:to>
    <cdr:sp macro="" textlink="">
      <cdr:nvSpPr>
        <cdr:cNvPr id="2" name="TextBox 1"/>
        <cdr:cNvSpPr txBox="1"/>
      </cdr:nvSpPr>
      <cdr:spPr>
        <a:xfrm xmlns:a="http://schemas.openxmlformats.org/drawingml/2006/main">
          <a:off x="2459042" y="34292"/>
          <a:ext cx="1099546" cy="3066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Gains</a:t>
          </a:r>
        </a:p>
      </cdr:txBody>
    </cdr:sp>
  </cdr:relSizeAnchor>
  <cdr:relSizeAnchor xmlns:cdr="http://schemas.openxmlformats.org/drawingml/2006/chartDrawing">
    <cdr:from>
      <cdr:x>0.17703</cdr:x>
      <cdr:y>0.00916</cdr:y>
    </cdr:from>
    <cdr:to>
      <cdr:x>0.35442</cdr:x>
      <cdr:y>0.1054</cdr:y>
    </cdr:to>
    <cdr:sp macro="" textlink="">
      <cdr:nvSpPr>
        <cdr:cNvPr id="3" name="TextBox 1"/>
        <cdr:cNvSpPr txBox="1"/>
      </cdr:nvSpPr>
      <cdr:spPr>
        <a:xfrm xmlns:a="http://schemas.openxmlformats.org/drawingml/2006/main">
          <a:off x="1083986" y="29329"/>
          <a:ext cx="1086197" cy="30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Loses</a:t>
          </a:r>
        </a:p>
      </cdr:txBody>
    </cdr:sp>
  </cdr:relSizeAnchor>
</c:userShapes>
</file>

<file path=xl/drawings/drawing78.xml><?xml version="1.0" encoding="utf-8"?>
<c:userShapes xmlns:c="http://schemas.openxmlformats.org/drawingml/2006/chart">
  <cdr:relSizeAnchor xmlns:cdr="http://schemas.openxmlformats.org/drawingml/2006/chartDrawing">
    <cdr:from>
      <cdr:x>0.34088</cdr:x>
      <cdr:y>0</cdr:y>
    </cdr:from>
    <cdr:to>
      <cdr:x>0.67421</cdr:x>
      <cdr:y>0.13101</cdr:y>
    </cdr:to>
    <cdr:sp macro="" textlink="">
      <cdr:nvSpPr>
        <cdr:cNvPr id="2" name="TextBox 1"/>
        <cdr:cNvSpPr txBox="1"/>
      </cdr:nvSpPr>
      <cdr:spPr>
        <a:xfrm xmlns:a="http://schemas.openxmlformats.org/drawingml/2006/main">
          <a:off x="1120727" y="0"/>
          <a:ext cx="1095909" cy="3065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No change</a:t>
          </a:r>
        </a:p>
      </cdr:txBody>
    </cdr:sp>
  </cdr:relSizeAnchor>
</c:userShapes>
</file>

<file path=xl/drawings/drawing79.xml><?xml version="1.0" encoding="utf-8"?>
<c:userShapes xmlns:c="http://schemas.openxmlformats.org/drawingml/2006/chart">
  <cdr:relSizeAnchor xmlns:cdr="http://schemas.openxmlformats.org/drawingml/2006/chartDrawing">
    <cdr:from>
      <cdr:x>0.30055</cdr:x>
      <cdr:y>0.03704</cdr:y>
    </cdr:from>
    <cdr:to>
      <cdr:x>0.59503</cdr:x>
      <cdr:y>0.13386</cdr:y>
    </cdr:to>
    <cdr:sp macro="" textlink="">
      <cdr:nvSpPr>
        <cdr:cNvPr id="2" name="TextBox 1"/>
        <cdr:cNvSpPr txBox="1"/>
      </cdr:nvSpPr>
      <cdr:spPr>
        <a:xfrm xmlns:a="http://schemas.openxmlformats.org/drawingml/2006/main">
          <a:off x="933263" y="85725"/>
          <a:ext cx="914400" cy="2241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Frutiger LT Std 55 Roman" panose="020B0602020204020204" pitchFamily="34" charset="0"/>
              <a:cs typeface="Arial" pitchFamily="34" charset="0"/>
            </a:rPr>
            <a:t>Total</a:t>
          </a:r>
          <a:r>
            <a:rPr lang="en-GB" sz="1200" b="1" baseline="0">
              <a:solidFill>
                <a:sysClr val="windowText" lastClr="000000"/>
              </a:solidFill>
              <a:latin typeface="Frutiger LT Std 55 Roman" panose="020B0602020204020204" pitchFamily="34" charset="0"/>
              <a:cs typeface="Arial" pitchFamily="34" charset="0"/>
            </a:rPr>
            <a:t> </a:t>
          </a:r>
          <a:endParaRPr lang="en-GB" sz="1200" b="1">
            <a:solidFill>
              <a:sysClr val="windowText" lastClr="000000"/>
            </a:solidFill>
            <a:latin typeface="Frutiger LT Std 55 Roman" panose="020B0602020204020204"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80.xml><?xml version="1.0" encoding="utf-8"?>
<xdr:wsDr xmlns:xdr="http://schemas.openxmlformats.org/drawingml/2006/spreadsheetDrawing" xmlns:a="http://schemas.openxmlformats.org/drawingml/2006/main">
  <xdr:twoCellAnchor editAs="absolute">
    <xdr:from>
      <xdr:col>10</xdr:col>
      <xdr:colOff>419100</xdr:colOff>
      <xdr:row>7</xdr:row>
      <xdr:rowOff>19050</xdr:rowOff>
    </xdr:from>
    <xdr:to>
      <xdr:col>15</xdr:col>
      <xdr:colOff>45720</xdr:colOff>
      <xdr:row>56</xdr:row>
      <xdr:rowOff>99060</xdr:rowOff>
    </xdr:to>
    <xdr:graphicFrame macro="">
      <xdr:nvGraphicFramePr>
        <xdr:cNvPr id="31439653" name="Chart 1">
          <a:extLst>
            <a:ext uri="{FF2B5EF4-FFF2-40B4-BE49-F238E27FC236}">
              <a16:creationId xmlns:a16="http://schemas.microsoft.com/office/drawing/2014/main" id="{00000000-0008-0000-3200-000025BBDF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1.xml><?xml version="1.0" encoding="utf-8"?>
<c:userShapes xmlns:c="http://schemas.openxmlformats.org/drawingml/2006/chart">
  <cdr:relSizeAnchor xmlns:cdr="http://schemas.openxmlformats.org/drawingml/2006/chartDrawing">
    <cdr:from>
      <cdr:x>0.00194</cdr:x>
      <cdr:y>0.00123</cdr:y>
    </cdr:from>
    <cdr:to>
      <cdr:x>0.00194</cdr:x>
      <cdr:y>0.00123</cdr:y>
    </cdr:to>
    <cdr:sp macro="" textlink="">
      <cdr:nvSpPr>
        <cdr:cNvPr id="2" name="TextBox 1"/>
        <cdr:cNvSpPr txBox="1"/>
      </cdr:nvSpPr>
      <cdr:spPr>
        <a:xfrm xmlns:a="http://schemas.openxmlformats.org/drawingml/2006/main">
          <a:off x="9619" y="41290"/>
          <a:ext cx="2609952" cy="10711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effectLst/>
              <a:latin typeface="Frutiger LT Std 45 Light" panose="020B0402020204020204" pitchFamily="34" charset="0"/>
              <a:ea typeface="+mn-ea"/>
              <a:cs typeface="+mn-cs"/>
            </a:rPr>
            <a:t>Members of the EU</a:t>
          </a:r>
          <a:r>
            <a:rPr lang="en-GB" sz="1600" b="1" baseline="0">
              <a:effectLst/>
              <a:latin typeface="Frutiger LT Std 45 Light" panose="020B0402020204020204" pitchFamily="34" charset="0"/>
              <a:ea typeface="+mn-ea"/>
              <a:cs typeface="+mn-cs"/>
            </a:rPr>
            <a:t> p</a:t>
          </a:r>
          <a:r>
            <a:rPr lang="en-GB" sz="1600" b="1">
              <a:effectLst/>
              <a:latin typeface="Frutiger LT Std 45 Light" panose="020B0402020204020204" pitchFamily="34" charset="0"/>
              <a:ea typeface="+mn-ea"/>
              <a:cs typeface="+mn-cs"/>
            </a:rPr>
            <a:t>arliament after each election by party, UK, 1979-2014</a:t>
          </a:r>
          <a:endParaRPr lang="en-GB" sz="1100" b="1">
            <a:latin typeface="Frutiger LT Std 45 Light" panose="020B0402020204020204" pitchFamily="34" charset="0"/>
            <a:cs typeface="Arial" pitchFamily="34" charset="0"/>
          </a:endParaRPr>
        </a:p>
      </cdr:txBody>
    </cdr:sp>
  </cdr:relSizeAnchor>
  <cdr:relSizeAnchor xmlns:cdr="http://schemas.openxmlformats.org/drawingml/2006/chartDrawing">
    <cdr:from>
      <cdr:x>0.00465</cdr:x>
      <cdr:y>0</cdr:y>
    </cdr:from>
    <cdr:to>
      <cdr:x>1</cdr:x>
      <cdr:y>0.16519</cdr:y>
    </cdr:to>
    <cdr:sp macro="" textlink="">
      <cdr:nvSpPr>
        <cdr:cNvPr id="3" name="TextBox 2"/>
        <cdr:cNvSpPr txBox="1"/>
      </cdr:nvSpPr>
      <cdr:spPr>
        <a:xfrm xmlns:a="http://schemas.openxmlformats.org/drawingml/2006/main">
          <a:off x="9524" y="0"/>
          <a:ext cx="2038351" cy="885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400" b="1" i="0" cap="none" baseline="0">
              <a:effectLst/>
              <a:latin typeface="Open Sans" panose="020B0606030504020204" pitchFamily="34" charset="0"/>
              <a:ea typeface="Open Sans" panose="020B0606030504020204" pitchFamily="34" charset="0"/>
              <a:cs typeface="Open Sans" panose="020B0606030504020204" pitchFamily="34" charset="0"/>
            </a:rPr>
            <a:t>Members of the European Parliament after each election by party, UK</a:t>
          </a:r>
          <a:endParaRPr lang="en-GB" sz="1050" b="1" cap="none">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b="1" cap="all">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18</xdr:col>
      <xdr:colOff>310736</xdr:colOff>
      <xdr:row>23</xdr:row>
      <xdr:rowOff>152400</xdr:rowOff>
    </xdr:from>
    <xdr:to>
      <xdr:col>22</xdr:col>
      <xdr:colOff>484910</xdr:colOff>
      <xdr:row>39</xdr:row>
      <xdr:rowOff>128153</xdr:rowOff>
    </xdr:to>
    <xdr:graphicFrame macro="">
      <xdr:nvGraphicFramePr>
        <xdr:cNvPr id="2" name="Chart 1">
          <a:extLst>
            <a:ext uri="{FF2B5EF4-FFF2-40B4-BE49-F238E27FC236}">
              <a16:creationId xmlns:a16="http://schemas.microsoft.com/office/drawing/2014/main" id="{BD029AC5-075B-46D6-8994-279B684D7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456211</xdr:colOff>
      <xdr:row>23</xdr:row>
      <xdr:rowOff>171202</xdr:rowOff>
    </xdr:from>
    <xdr:to>
      <xdr:col>26</xdr:col>
      <xdr:colOff>548247</xdr:colOff>
      <xdr:row>39</xdr:row>
      <xdr:rowOff>141017</xdr:rowOff>
    </xdr:to>
    <xdr:graphicFrame macro="">
      <xdr:nvGraphicFramePr>
        <xdr:cNvPr id="3" name="Chart 2">
          <a:extLst>
            <a:ext uri="{FF2B5EF4-FFF2-40B4-BE49-F238E27FC236}">
              <a16:creationId xmlns:a16="http://schemas.microsoft.com/office/drawing/2014/main" id="{E8972098-93AF-4BAE-AA86-12A740F58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522515</xdr:colOff>
      <xdr:row>23</xdr:row>
      <xdr:rowOff>174170</xdr:rowOff>
    </xdr:from>
    <xdr:to>
      <xdr:col>30</xdr:col>
      <xdr:colOff>478974</xdr:colOff>
      <xdr:row>39</xdr:row>
      <xdr:rowOff>149923</xdr:rowOff>
    </xdr:to>
    <xdr:graphicFrame macro="">
      <xdr:nvGraphicFramePr>
        <xdr:cNvPr id="4" name="Chart 3">
          <a:extLst>
            <a:ext uri="{FF2B5EF4-FFF2-40B4-BE49-F238E27FC236}">
              <a16:creationId xmlns:a16="http://schemas.microsoft.com/office/drawing/2014/main" id="{E518BDB0-250B-482E-A8D8-4425BE349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522514</xdr:colOff>
      <xdr:row>39</xdr:row>
      <xdr:rowOff>130628</xdr:rowOff>
    </xdr:from>
    <xdr:to>
      <xdr:col>24</xdr:col>
      <xdr:colOff>609602</xdr:colOff>
      <xdr:row>52</xdr:row>
      <xdr:rowOff>139038</xdr:rowOff>
    </xdr:to>
    <xdr:graphicFrame macro="">
      <xdr:nvGraphicFramePr>
        <xdr:cNvPr id="5" name="Chart 4">
          <a:extLst>
            <a:ext uri="{FF2B5EF4-FFF2-40B4-BE49-F238E27FC236}">
              <a16:creationId xmlns:a16="http://schemas.microsoft.com/office/drawing/2014/main" id="{E4238317-3E62-4806-A3EC-3948A23A1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39</xdr:row>
      <xdr:rowOff>141513</xdr:rowOff>
    </xdr:from>
    <xdr:to>
      <xdr:col>28</xdr:col>
      <xdr:colOff>598716</xdr:colOff>
      <xdr:row>52</xdr:row>
      <xdr:rowOff>149923</xdr:rowOff>
    </xdr:to>
    <xdr:graphicFrame macro="">
      <xdr:nvGraphicFramePr>
        <xdr:cNvPr id="6" name="Chart 5">
          <a:extLst>
            <a:ext uri="{FF2B5EF4-FFF2-40B4-BE49-F238E27FC236}">
              <a16:creationId xmlns:a16="http://schemas.microsoft.com/office/drawing/2014/main" id="{78B07CE8-AF89-4B5F-B52A-BD855DFD5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3.xml><?xml version="1.0" encoding="utf-8"?>
<xdr:wsDr xmlns:xdr="http://schemas.openxmlformats.org/drawingml/2006/spreadsheetDrawing" xmlns:a="http://schemas.openxmlformats.org/drawingml/2006/main">
  <xdr:twoCellAnchor>
    <xdr:from>
      <xdr:col>14</xdr:col>
      <xdr:colOff>180975</xdr:colOff>
      <xdr:row>3</xdr:row>
      <xdr:rowOff>47625</xdr:rowOff>
    </xdr:from>
    <xdr:to>
      <xdr:col>17</xdr:col>
      <xdr:colOff>495300</xdr:colOff>
      <xdr:row>40</xdr:row>
      <xdr:rowOff>142875</xdr:rowOff>
    </xdr:to>
    <xdr:graphicFrame macro="">
      <xdr:nvGraphicFramePr>
        <xdr:cNvPr id="31767762" name="Chart 2">
          <a:extLst>
            <a:ext uri="{FF2B5EF4-FFF2-40B4-BE49-F238E27FC236}">
              <a16:creationId xmlns:a16="http://schemas.microsoft.com/office/drawing/2014/main" id="{00000000-0008-0000-3600-0000D2BC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41</xdr:row>
      <xdr:rowOff>133350</xdr:rowOff>
    </xdr:from>
    <xdr:to>
      <xdr:col>21</xdr:col>
      <xdr:colOff>76200</xdr:colOff>
      <xdr:row>70</xdr:row>
      <xdr:rowOff>28575</xdr:rowOff>
    </xdr:to>
    <xdr:grpSp>
      <xdr:nvGrpSpPr>
        <xdr:cNvPr id="31767763" name="Group 1">
          <a:extLst>
            <a:ext uri="{FF2B5EF4-FFF2-40B4-BE49-F238E27FC236}">
              <a16:creationId xmlns:a16="http://schemas.microsoft.com/office/drawing/2014/main" id="{00000000-0008-0000-3600-0000D3BCE401}"/>
            </a:ext>
          </a:extLst>
        </xdr:cNvPr>
        <xdr:cNvGrpSpPr>
          <a:grpSpLocks/>
        </xdr:cNvGrpSpPr>
      </xdr:nvGrpSpPr>
      <xdr:grpSpPr bwMode="auto">
        <a:xfrm>
          <a:off x="133350" y="6136986"/>
          <a:ext cx="9433214" cy="4582680"/>
          <a:chOff x="133350" y="5905500"/>
          <a:chExt cx="8134350" cy="4314825"/>
        </a:xfrm>
      </xdr:grpSpPr>
      <xdr:graphicFrame macro="">
        <xdr:nvGraphicFramePr>
          <xdr:cNvPr id="31767764" name="Chart 3">
            <a:extLst>
              <a:ext uri="{FF2B5EF4-FFF2-40B4-BE49-F238E27FC236}">
                <a16:creationId xmlns:a16="http://schemas.microsoft.com/office/drawing/2014/main" id="{00000000-0008-0000-3600-0000D4BCE401}"/>
              </a:ext>
            </a:extLst>
          </xdr:cNvPr>
          <xdr:cNvGraphicFramePr>
            <a:graphicFrameLocks/>
          </xdr:cNvGraphicFramePr>
        </xdr:nvGraphicFramePr>
        <xdr:xfrm>
          <a:off x="133350" y="5962651"/>
          <a:ext cx="2581275" cy="21526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1767765" name="Chart 4">
            <a:extLst>
              <a:ext uri="{FF2B5EF4-FFF2-40B4-BE49-F238E27FC236}">
                <a16:creationId xmlns:a16="http://schemas.microsoft.com/office/drawing/2014/main" id="{00000000-0008-0000-3600-0000D5BCE401}"/>
              </a:ext>
            </a:extLst>
          </xdr:cNvPr>
          <xdr:cNvGraphicFramePr>
            <a:graphicFrameLocks/>
          </xdr:cNvGraphicFramePr>
        </xdr:nvGraphicFramePr>
        <xdr:xfrm>
          <a:off x="2943225" y="5962650"/>
          <a:ext cx="2590800" cy="21907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1767766" name="Chart 5">
            <a:extLst>
              <a:ext uri="{FF2B5EF4-FFF2-40B4-BE49-F238E27FC236}">
                <a16:creationId xmlns:a16="http://schemas.microsoft.com/office/drawing/2014/main" id="{00000000-0008-0000-3600-0000D6BCE401}"/>
              </a:ext>
            </a:extLst>
          </xdr:cNvPr>
          <xdr:cNvGraphicFramePr>
            <a:graphicFrameLocks/>
          </xdr:cNvGraphicFramePr>
        </xdr:nvGraphicFramePr>
        <xdr:xfrm>
          <a:off x="5667375" y="5905500"/>
          <a:ext cx="2600325" cy="22669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1767767" name="Chart 6">
            <a:extLst>
              <a:ext uri="{FF2B5EF4-FFF2-40B4-BE49-F238E27FC236}">
                <a16:creationId xmlns:a16="http://schemas.microsoft.com/office/drawing/2014/main" id="{00000000-0008-0000-3600-0000D7BCE401}"/>
              </a:ext>
            </a:extLst>
          </xdr:cNvPr>
          <xdr:cNvGraphicFramePr>
            <a:graphicFrameLocks/>
          </xdr:cNvGraphicFramePr>
        </xdr:nvGraphicFramePr>
        <xdr:xfrm>
          <a:off x="161925" y="8143875"/>
          <a:ext cx="2571750" cy="20764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767768" name="Chart 7">
            <a:extLst>
              <a:ext uri="{FF2B5EF4-FFF2-40B4-BE49-F238E27FC236}">
                <a16:creationId xmlns:a16="http://schemas.microsoft.com/office/drawing/2014/main" id="{00000000-0008-0000-3600-0000D8BCE401}"/>
              </a:ext>
            </a:extLst>
          </xdr:cNvPr>
          <xdr:cNvGraphicFramePr>
            <a:graphicFrameLocks/>
          </xdr:cNvGraphicFramePr>
        </xdr:nvGraphicFramePr>
        <xdr:xfrm>
          <a:off x="2914650" y="8191500"/>
          <a:ext cx="2581275" cy="20193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84.xml><?xml version="1.0" encoding="utf-8"?>
<xdr:wsDr xmlns:xdr="http://schemas.openxmlformats.org/drawingml/2006/spreadsheetDrawing" xmlns:a="http://schemas.openxmlformats.org/drawingml/2006/main">
  <xdr:twoCellAnchor>
    <xdr:from>
      <xdr:col>25</xdr:col>
      <xdr:colOff>32657</xdr:colOff>
      <xdr:row>24</xdr:row>
      <xdr:rowOff>97971</xdr:rowOff>
    </xdr:from>
    <xdr:to>
      <xdr:col>28</xdr:col>
      <xdr:colOff>631373</xdr:colOff>
      <xdr:row>38</xdr:row>
      <xdr:rowOff>73724</xdr:rowOff>
    </xdr:to>
    <xdr:graphicFrame macro="">
      <xdr:nvGraphicFramePr>
        <xdr:cNvPr id="2" name="Chart 1">
          <a:extLst>
            <a:ext uri="{FF2B5EF4-FFF2-40B4-BE49-F238E27FC236}">
              <a16:creationId xmlns:a16="http://schemas.microsoft.com/office/drawing/2014/main" id="{A29029C1-51EA-4663-8C61-01E02722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141514</xdr:colOff>
      <xdr:row>24</xdr:row>
      <xdr:rowOff>97971</xdr:rowOff>
    </xdr:from>
    <xdr:to>
      <xdr:col>25</xdr:col>
      <xdr:colOff>97974</xdr:colOff>
      <xdr:row>38</xdr:row>
      <xdr:rowOff>73724</xdr:rowOff>
    </xdr:to>
    <xdr:graphicFrame macro="">
      <xdr:nvGraphicFramePr>
        <xdr:cNvPr id="3" name="Chart 2">
          <a:extLst>
            <a:ext uri="{FF2B5EF4-FFF2-40B4-BE49-F238E27FC236}">
              <a16:creationId xmlns:a16="http://schemas.microsoft.com/office/drawing/2014/main" id="{1F5AF117-8753-404D-B0C0-34A3C6623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293915</xdr:colOff>
      <xdr:row>24</xdr:row>
      <xdr:rowOff>97971</xdr:rowOff>
    </xdr:from>
    <xdr:to>
      <xdr:col>21</xdr:col>
      <xdr:colOff>152403</xdr:colOff>
      <xdr:row>38</xdr:row>
      <xdr:rowOff>73724</xdr:rowOff>
    </xdr:to>
    <xdr:graphicFrame macro="">
      <xdr:nvGraphicFramePr>
        <xdr:cNvPr id="6" name="Chart 5">
          <a:extLst>
            <a:ext uri="{FF2B5EF4-FFF2-40B4-BE49-F238E27FC236}">
              <a16:creationId xmlns:a16="http://schemas.microsoft.com/office/drawing/2014/main" id="{BE2BBBE0-3DE0-4716-9C90-BEC07EF19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163287</xdr:colOff>
      <xdr:row>38</xdr:row>
      <xdr:rowOff>65315</xdr:rowOff>
    </xdr:from>
    <xdr:to>
      <xdr:col>23</xdr:col>
      <xdr:colOff>119746</xdr:colOff>
      <xdr:row>52</xdr:row>
      <xdr:rowOff>62839</xdr:rowOff>
    </xdr:to>
    <xdr:graphicFrame macro="">
      <xdr:nvGraphicFramePr>
        <xdr:cNvPr id="7" name="Chart 6">
          <a:extLst>
            <a:ext uri="{FF2B5EF4-FFF2-40B4-BE49-F238E27FC236}">
              <a16:creationId xmlns:a16="http://schemas.microsoft.com/office/drawing/2014/main" id="{50FBE341-13AE-4800-9183-EB95D0838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174170</xdr:colOff>
      <xdr:row>38</xdr:row>
      <xdr:rowOff>76200</xdr:rowOff>
    </xdr:from>
    <xdr:to>
      <xdr:col>27</xdr:col>
      <xdr:colOff>130629</xdr:colOff>
      <xdr:row>52</xdr:row>
      <xdr:rowOff>73724</xdr:rowOff>
    </xdr:to>
    <xdr:graphicFrame macro="">
      <xdr:nvGraphicFramePr>
        <xdr:cNvPr id="8" name="Chart 7">
          <a:extLst>
            <a:ext uri="{FF2B5EF4-FFF2-40B4-BE49-F238E27FC236}">
              <a16:creationId xmlns:a16="http://schemas.microsoft.com/office/drawing/2014/main" id="{C793F15A-F7A9-4A71-9DF6-FF1500957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5.xml><?xml version="1.0" encoding="utf-8"?>
<xdr:wsDr xmlns:xdr="http://schemas.openxmlformats.org/drawingml/2006/spreadsheetDrawing" xmlns:a="http://schemas.openxmlformats.org/drawingml/2006/main">
  <xdr:twoCellAnchor>
    <xdr:from>
      <xdr:col>8</xdr:col>
      <xdr:colOff>152400</xdr:colOff>
      <xdr:row>63</xdr:row>
      <xdr:rowOff>76200</xdr:rowOff>
    </xdr:from>
    <xdr:to>
      <xdr:col>13</xdr:col>
      <xdr:colOff>390525</xdr:colOff>
      <xdr:row>94</xdr:row>
      <xdr:rowOff>47625</xdr:rowOff>
    </xdr:to>
    <xdr:graphicFrame macro="">
      <xdr:nvGraphicFramePr>
        <xdr:cNvPr id="31931164" name="Chart 1">
          <a:extLst>
            <a:ext uri="{FF2B5EF4-FFF2-40B4-BE49-F238E27FC236}">
              <a16:creationId xmlns:a16="http://schemas.microsoft.com/office/drawing/2014/main" id="{00000000-0008-0000-3900-00001C3BE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200025</xdr:colOff>
      <xdr:row>74</xdr:row>
      <xdr:rowOff>19050</xdr:rowOff>
    </xdr:from>
    <xdr:ext cx="184731" cy="224998"/>
    <xdr:sp macro="" textlink="">
      <xdr:nvSpPr>
        <xdr:cNvPr id="2" name="TextBox 1">
          <a:extLst>
            <a:ext uri="{FF2B5EF4-FFF2-40B4-BE49-F238E27FC236}">
              <a16:creationId xmlns:a16="http://schemas.microsoft.com/office/drawing/2014/main" id="{00000000-0008-0000-3900-000002000000}"/>
            </a:ext>
          </a:extLst>
        </xdr:cNvPr>
        <xdr:cNvSpPr txBox="1"/>
      </xdr:nvSpPr>
      <xdr:spPr>
        <a:xfrm>
          <a:off x="6238875" y="7486650"/>
          <a:ext cx="184731" cy="224998"/>
        </a:xfrm>
        <a:prstGeom prst="rect">
          <a:avLst/>
        </a:prstGeom>
      </xdr:spPr>
      <xdr:txBody>
        <a:bodyPr vertOverflow="clip" horzOverflow="clip" wrap="none" rtlCol="0" anchor="t">
          <a:spAutoFit/>
        </a:bodyPr>
        <a:lstStyle/>
        <a:p>
          <a:endParaRPr lang="en-GB" sz="900">
            <a:latin typeface="Arial" pitchFamily="34" charset="0"/>
            <a:cs typeface="Arial" pitchFamily="34" charset="0"/>
          </a:endParaRPr>
        </a:p>
      </xdr:txBody>
    </xdr:sp>
    <xdr:clientData/>
  </xdr:oneCellAnchor>
  <xdr:twoCellAnchor>
    <xdr:from>
      <xdr:col>13</xdr:col>
      <xdr:colOff>446314</xdr:colOff>
      <xdr:row>63</xdr:row>
      <xdr:rowOff>65314</xdr:rowOff>
    </xdr:from>
    <xdr:to>
      <xdr:col>17</xdr:col>
      <xdr:colOff>619125</xdr:colOff>
      <xdr:row>67</xdr:row>
      <xdr:rowOff>117310</xdr:rowOff>
    </xdr:to>
    <xdr:sp macro="" textlink="">
      <xdr:nvSpPr>
        <xdr:cNvPr id="4" name="TextBox 1">
          <a:extLst>
            <a:ext uri="{FF2B5EF4-FFF2-40B4-BE49-F238E27FC236}">
              <a16:creationId xmlns:a16="http://schemas.microsoft.com/office/drawing/2014/main" id="{E3A00AD4-B49E-49C0-AD64-4ACAFB6206E7}"/>
            </a:ext>
          </a:extLst>
        </xdr:cNvPr>
        <xdr:cNvSpPr txBox="1"/>
      </xdr:nvSpPr>
      <xdr:spPr>
        <a:xfrm>
          <a:off x="8153400" y="5693228"/>
          <a:ext cx="2535011" cy="59628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n-GB" sz="1400" b="1" i="0" cap="none" baseline="0">
              <a:effectLst/>
              <a:latin typeface="+mn-lt"/>
              <a:ea typeface="+mn-ea"/>
              <a:cs typeface="+mn-cs"/>
            </a:rPr>
            <a:t>Members of the Scottish Parliament elected by party</a:t>
          </a:r>
          <a:endParaRPr lang="en-GB" sz="1050" b="1" cap="none">
            <a:effectLst/>
          </a:endParaRPr>
        </a:p>
        <a:p>
          <a:endParaRPr lang="en-GB" sz="1050" b="1">
            <a:latin typeface="Arial" pitchFamily="34" charset="0"/>
            <a:cs typeface="Arial" pitchFamily="34" charset="0"/>
          </a:endParaRPr>
        </a:p>
      </xdr:txBody>
    </xdr:sp>
    <xdr:clientData/>
  </xdr:twoCellAnchor>
</xdr:wsDr>
</file>

<file path=xl/drawings/drawing86.xml><?xml version="1.0" encoding="utf-8"?>
<c:userShapes xmlns:c="http://schemas.openxmlformats.org/drawingml/2006/chart">
  <cdr:relSizeAnchor xmlns:cdr="http://schemas.openxmlformats.org/drawingml/2006/chartDrawing">
    <cdr:from>
      <cdr:x>0.09882</cdr:x>
      <cdr:y>0.90581</cdr:y>
    </cdr:from>
    <cdr:to>
      <cdr:x>0.18464</cdr:x>
      <cdr:y>0.95796</cdr:y>
    </cdr:to>
    <cdr:sp macro="" textlink="">
      <cdr:nvSpPr>
        <cdr:cNvPr id="3" name="TextBox 2"/>
        <cdr:cNvSpPr txBox="1"/>
      </cdr:nvSpPr>
      <cdr:spPr>
        <a:xfrm xmlns:a="http://schemas.openxmlformats.org/drawingml/2006/main">
          <a:off x="212725" y="3908425"/>
          <a:ext cx="184731" cy="224998"/>
        </a:xfrm>
        <a:prstGeom xmlns:a="http://schemas.openxmlformats.org/drawingml/2006/main" prst="rect">
          <a:avLst/>
        </a:prstGeom>
      </cdr:spPr>
      <cdr:txBody>
        <a:bodyPr xmlns:a="http://schemas.openxmlformats.org/drawingml/2006/main" wrap="none" rtlCol="0" anchor="t">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900">
            <a:latin typeface="Arial" pitchFamily="34" charset="0"/>
            <a:cs typeface="Arial" pitchFamily="34" charset="0"/>
          </a:endParaRPr>
        </a:p>
      </cdr:txBody>
    </cdr:sp>
  </cdr:relSizeAnchor>
</c:userShapes>
</file>

<file path=xl/drawings/drawing87.xml><?xml version="1.0" encoding="utf-8"?>
<xdr:wsDr xmlns:xdr="http://schemas.openxmlformats.org/drawingml/2006/spreadsheetDrawing" xmlns:a="http://schemas.openxmlformats.org/drawingml/2006/main">
  <xdr:twoCellAnchor>
    <xdr:from>
      <xdr:col>24</xdr:col>
      <xdr:colOff>247650</xdr:colOff>
      <xdr:row>15</xdr:row>
      <xdr:rowOff>9525</xdr:rowOff>
    </xdr:from>
    <xdr:to>
      <xdr:col>31</xdr:col>
      <xdr:colOff>0</xdr:colOff>
      <xdr:row>28</xdr:row>
      <xdr:rowOff>104775</xdr:rowOff>
    </xdr:to>
    <xdr:graphicFrame macro="">
      <xdr:nvGraphicFramePr>
        <xdr:cNvPr id="4494487" name="Chart 11">
          <a:extLst>
            <a:ext uri="{FF2B5EF4-FFF2-40B4-BE49-F238E27FC236}">
              <a16:creationId xmlns:a16="http://schemas.microsoft.com/office/drawing/2014/main" id="{00000000-0008-0000-3A00-00009794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438150</xdr:colOff>
      <xdr:row>14</xdr:row>
      <xdr:rowOff>76200</xdr:rowOff>
    </xdr:from>
    <xdr:to>
      <xdr:col>24</xdr:col>
      <xdr:colOff>180975</xdr:colOff>
      <xdr:row>28</xdr:row>
      <xdr:rowOff>133350</xdr:rowOff>
    </xdr:to>
    <xdr:graphicFrame macro="">
      <xdr:nvGraphicFramePr>
        <xdr:cNvPr id="4494488" name="Chart 12">
          <a:extLst>
            <a:ext uri="{FF2B5EF4-FFF2-40B4-BE49-F238E27FC236}">
              <a16:creationId xmlns:a16="http://schemas.microsoft.com/office/drawing/2014/main" id="{00000000-0008-0000-3A00-00009894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504825</xdr:colOff>
      <xdr:row>30</xdr:row>
      <xdr:rowOff>28575</xdr:rowOff>
    </xdr:from>
    <xdr:to>
      <xdr:col>17</xdr:col>
      <xdr:colOff>257175</xdr:colOff>
      <xdr:row>45</xdr:row>
      <xdr:rowOff>0</xdr:rowOff>
    </xdr:to>
    <xdr:graphicFrame macro="">
      <xdr:nvGraphicFramePr>
        <xdr:cNvPr id="4494489" name="Chart 13">
          <a:extLst>
            <a:ext uri="{FF2B5EF4-FFF2-40B4-BE49-F238E27FC236}">
              <a16:creationId xmlns:a16="http://schemas.microsoft.com/office/drawing/2014/main" id="{00000000-0008-0000-3A00-00009994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438150</xdr:colOff>
      <xdr:row>13</xdr:row>
      <xdr:rowOff>57150</xdr:rowOff>
    </xdr:from>
    <xdr:to>
      <xdr:col>17</xdr:col>
      <xdr:colOff>295275</xdr:colOff>
      <xdr:row>29</xdr:row>
      <xdr:rowOff>9525</xdr:rowOff>
    </xdr:to>
    <xdr:graphicFrame macro="">
      <xdr:nvGraphicFramePr>
        <xdr:cNvPr id="4494490" name="Chart 14">
          <a:extLst>
            <a:ext uri="{FF2B5EF4-FFF2-40B4-BE49-F238E27FC236}">
              <a16:creationId xmlns:a16="http://schemas.microsoft.com/office/drawing/2014/main" id="{00000000-0008-0000-3A00-00009A94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476250</xdr:colOff>
      <xdr:row>29</xdr:row>
      <xdr:rowOff>114300</xdr:rowOff>
    </xdr:from>
    <xdr:to>
      <xdr:col>24</xdr:col>
      <xdr:colOff>209550</xdr:colOff>
      <xdr:row>45</xdr:row>
      <xdr:rowOff>0</xdr:rowOff>
    </xdr:to>
    <xdr:graphicFrame macro="">
      <xdr:nvGraphicFramePr>
        <xdr:cNvPr id="4494491" name="Chart 15">
          <a:extLst>
            <a:ext uri="{FF2B5EF4-FFF2-40B4-BE49-F238E27FC236}">
              <a16:creationId xmlns:a16="http://schemas.microsoft.com/office/drawing/2014/main" id="{00000000-0008-0000-3A00-00009B94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8.xml><?xml version="1.0" encoding="utf-8"?>
<xdr:wsDr xmlns:xdr="http://schemas.openxmlformats.org/drawingml/2006/spreadsheetDrawing" xmlns:a="http://schemas.openxmlformats.org/drawingml/2006/main">
  <xdr:twoCellAnchor>
    <xdr:from>
      <xdr:col>13</xdr:col>
      <xdr:colOff>175846</xdr:colOff>
      <xdr:row>27</xdr:row>
      <xdr:rowOff>6595</xdr:rowOff>
    </xdr:from>
    <xdr:to>
      <xdr:col>17</xdr:col>
      <xdr:colOff>356821</xdr:colOff>
      <xdr:row>49</xdr:row>
      <xdr:rowOff>161192</xdr:rowOff>
    </xdr:to>
    <xdr:graphicFrame macro="">
      <xdr:nvGraphicFramePr>
        <xdr:cNvPr id="32098364" name="Chart 1">
          <a:extLst>
            <a:ext uri="{FF2B5EF4-FFF2-40B4-BE49-F238E27FC236}">
              <a16:creationId xmlns:a16="http://schemas.microsoft.com/office/drawing/2014/main" id="{00000000-0008-0000-3C00-00003CC8E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228600</xdr:colOff>
      <xdr:row>49</xdr:row>
      <xdr:rowOff>142875</xdr:rowOff>
    </xdr:from>
    <xdr:to>
      <xdr:col>29</xdr:col>
      <xdr:colOff>161925</xdr:colOff>
      <xdr:row>65</xdr:row>
      <xdr:rowOff>66675</xdr:rowOff>
    </xdr:to>
    <xdr:graphicFrame macro="">
      <xdr:nvGraphicFramePr>
        <xdr:cNvPr id="32098365" name="Chart 1">
          <a:extLst>
            <a:ext uri="{FF2B5EF4-FFF2-40B4-BE49-F238E27FC236}">
              <a16:creationId xmlns:a16="http://schemas.microsoft.com/office/drawing/2014/main" id="{00000000-0008-0000-3C00-00003DC8E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9.xml><?xml version="1.0" encoding="utf-8"?>
<c:userShapes xmlns:c="http://schemas.openxmlformats.org/drawingml/2006/chart">
  <cdr:relSizeAnchor xmlns:cdr="http://schemas.openxmlformats.org/drawingml/2006/chartDrawing">
    <cdr:from>
      <cdr:x>0</cdr:x>
      <cdr:y>0.04971</cdr:y>
    </cdr:from>
    <cdr:to>
      <cdr:x>1</cdr:x>
      <cdr:y>0.19163</cdr:y>
    </cdr:to>
    <cdr:sp macro="" textlink="">
      <cdr:nvSpPr>
        <cdr:cNvPr id="2" name="TextBox 1"/>
        <cdr:cNvSpPr txBox="1"/>
      </cdr:nvSpPr>
      <cdr:spPr>
        <a:xfrm xmlns:a="http://schemas.openxmlformats.org/drawingml/2006/main">
          <a:off x="0" y="202662"/>
          <a:ext cx="2407360" cy="578559"/>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none" baseline="0">
              <a:solidFill>
                <a:sysClr val="windowText" lastClr="000000"/>
              </a:solidFill>
              <a:effectLst/>
              <a:latin typeface="Open Sans" panose="020B0606030504020204" pitchFamily="34" charset="0"/>
              <a:ea typeface="Open Sans" panose="020B0606030504020204" pitchFamily="34" charset="0"/>
              <a:cs typeface="Open Sans" panose="020B0606030504020204" pitchFamily="34" charset="0"/>
            </a:rPr>
            <a:t>Members of Northern Ireland Assembly elected by party</a:t>
          </a:r>
          <a:endParaRPr lang="en-GB" sz="1100" b="1" cap="none">
            <a:solidFill>
              <a:sysClr val="windowText" lastClr="000000"/>
            </a:solidFill>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solidFill>
              <a:sysClr val="windowText" lastClr="000000"/>
            </a:solidFill>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0.77227</cdr:x>
      <cdr:y>0.15178</cdr:y>
    </cdr:from>
    <cdr:to>
      <cdr:x>0.77251</cdr:x>
      <cdr:y>0.15203</cdr:y>
    </cdr:to>
    <cdr:sp macro="" textlink="">
      <cdr:nvSpPr>
        <cdr:cNvPr id="2" name="TextBox 1"/>
        <cdr:cNvSpPr txBox="1"/>
      </cdr:nvSpPr>
      <cdr:spPr>
        <a:xfrm xmlns:a="http://schemas.openxmlformats.org/drawingml/2006/main">
          <a:off x="1496545" y="823285"/>
          <a:ext cx="474716" cy="570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a:latin typeface="Arial" pitchFamily="34" charset="0"/>
              <a:cs typeface="Arial" pitchFamily="34" charset="0"/>
            </a:rPr>
            <a:t>CON</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NAT</a:t>
          </a:r>
        </a:p>
        <a:p xmlns:a="http://schemas.openxmlformats.org/drawingml/2006/main">
          <a:endParaRPr lang="en-GB" sz="300">
            <a:latin typeface="Arial" pitchFamily="34" charset="0"/>
            <a:cs typeface="Arial" pitchFamily="34" charset="0"/>
          </a:endParaRPr>
        </a:p>
        <a:p xmlns:a="http://schemas.openxmlformats.org/drawingml/2006/main">
          <a:r>
            <a:rPr lang="en-GB" sz="750">
              <a:latin typeface="Arial" pitchFamily="34" charset="0"/>
              <a:cs typeface="Arial" pitchFamily="34" charset="0"/>
            </a:rPr>
            <a:t>LAB</a:t>
          </a:r>
        </a:p>
        <a:p xmlns:a="http://schemas.openxmlformats.org/drawingml/2006/main">
          <a:endParaRPr lang="en-GB" sz="750">
            <a:latin typeface="Arial" pitchFamily="34" charset="0"/>
            <a:cs typeface="Arial" pitchFamily="34" charset="0"/>
          </a:endParaRPr>
        </a:p>
      </cdr:txBody>
    </cdr:sp>
  </cdr:relSizeAnchor>
</c:userShapes>
</file>

<file path=xl/drawings/drawing90.xml><?xml version="1.0" encoding="utf-8"?>
<c:userShapes xmlns:c="http://schemas.openxmlformats.org/drawingml/2006/chart">
  <cdr:relSizeAnchor xmlns:cdr="http://schemas.openxmlformats.org/drawingml/2006/chartDrawing">
    <cdr:from>
      <cdr:x>0</cdr:x>
      <cdr:y>0</cdr:y>
    </cdr:from>
    <cdr:to>
      <cdr:x>1</cdr:x>
      <cdr:y>0.09797</cdr:y>
    </cdr:to>
    <cdr:sp macro="" textlink="">
      <cdr:nvSpPr>
        <cdr:cNvPr id="2" name="TextBox 1"/>
        <cdr:cNvSpPr txBox="1"/>
      </cdr:nvSpPr>
      <cdr:spPr>
        <a:xfrm xmlns:a="http://schemas.openxmlformats.org/drawingml/2006/main">
          <a:off x="0" y="0"/>
          <a:ext cx="4791075" cy="27622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cap="all"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Members of Northern Ireland Assembly elected by party</a:t>
          </a:r>
          <a:endParaRPr lang="en-GB" sz="1100" b="1" cap="all">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a:p xmlns:a="http://schemas.openxmlformats.org/drawingml/2006/main">
          <a:endParaRPr lang="en-GB" sz="900">
            <a:latin typeface="Arial" pitchFamily="34" charset="0"/>
            <a:cs typeface="Arial" pitchFamily="34" charset="0"/>
          </a:endParaRPr>
        </a:p>
      </cdr:txBody>
    </cdr:sp>
  </cdr:relSizeAnchor>
</c:userShapes>
</file>

<file path=xl/drawings/drawing91.xml><?xml version="1.0" encoding="utf-8"?>
<xdr:wsDr xmlns:xdr="http://schemas.openxmlformats.org/drawingml/2006/spreadsheetDrawing" xmlns:a="http://schemas.openxmlformats.org/drawingml/2006/main">
  <xdr:twoCellAnchor>
    <xdr:from>
      <xdr:col>15</xdr:col>
      <xdr:colOff>346983</xdr:colOff>
      <xdr:row>53</xdr:row>
      <xdr:rowOff>145597</xdr:rowOff>
    </xdr:from>
    <xdr:to>
      <xdr:col>30</xdr:col>
      <xdr:colOff>480333</xdr:colOff>
      <xdr:row>104</xdr:row>
      <xdr:rowOff>92528</xdr:rowOff>
    </xdr:to>
    <xdr:grpSp>
      <xdr:nvGrpSpPr>
        <xdr:cNvPr id="4504757" name="Group 1">
          <a:extLst>
            <a:ext uri="{FF2B5EF4-FFF2-40B4-BE49-F238E27FC236}">
              <a16:creationId xmlns:a16="http://schemas.microsoft.com/office/drawing/2014/main" id="{00000000-0008-0000-3D00-0000B5BC4400}"/>
            </a:ext>
          </a:extLst>
        </xdr:cNvPr>
        <xdr:cNvGrpSpPr>
          <a:grpSpLocks/>
        </xdr:cNvGrpSpPr>
      </xdr:nvGrpSpPr>
      <xdr:grpSpPr bwMode="auto">
        <a:xfrm>
          <a:off x="9218840" y="9888311"/>
          <a:ext cx="8841922" cy="8274503"/>
          <a:chOff x="8324850" y="9906012"/>
          <a:chExt cx="8092325" cy="8271770"/>
        </a:xfrm>
      </xdr:grpSpPr>
      <xdr:graphicFrame macro="">
        <xdr:nvGraphicFramePr>
          <xdr:cNvPr id="4504758" name="Chart 1">
            <a:extLst>
              <a:ext uri="{FF2B5EF4-FFF2-40B4-BE49-F238E27FC236}">
                <a16:creationId xmlns:a16="http://schemas.microsoft.com/office/drawing/2014/main" id="{00000000-0008-0000-3D00-0000B6BC4400}"/>
              </a:ext>
            </a:extLst>
          </xdr:cNvPr>
          <xdr:cNvGraphicFramePr>
            <a:graphicFrameLocks/>
          </xdr:cNvGraphicFramePr>
        </xdr:nvGraphicFramePr>
        <xdr:xfrm>
          <a:off x="8324850" y="9940018"/>
          <a:ext cx="4578804" cy="274728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504759" name="Chart 1">
            <a:extLst>
              <a:ext uri="{FF2B5EF4-FFF2-40B4-BE49-F238E27FC236}">
                <a16:creationId xmlns:a16="http://schemas.microsoft.com/office/drawing/2014/main" id="{00000000-0008-0000-3D00-0000B7BC4400}"/>
              </a:ext>
            </a:extLst>
          </xdr:cNvPr>
          <xdr:cNvGraphicFramePr>
            <a:graphicFrameLocks/>
          </xdr:cNvGraphicFramePr>
        </xdr:nvGraphicFramePr>
        <xdr:xfrm>
          <a:off x="11715925" y="9906012"/>
          <a:ext cx="4578804" cy="274728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504760" name="Chart 1">
            <a:extLst>
              <a:ext uri="{FF2B5EF4-FFF2-40B4-BE49-F238E27FC236}">
                <a16:creationId xmlns:a16="http://schemas.microsoft.com/office/drawing/2014/main" id="{00000000-0008-0000-3D00-0000B8BC4400}"/>
              </a:ext>
            </a:extLst>
          </xdr:cNvPr>
          <xdr:cNvGraphicFramePr>
            <a:graphicFrameLocks/>
          </xdr:cNvGraphicFramePr>
        </xdr:nvGraphicFramePr>
        <xdr:xfrm>
          <a:off x="8327571" y="12681857"/>
          <a:ext cx="4578804" cy="27472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504761" name="Chart 1">
            <a:extLst>
              <a:ext uri="{FF2B5EF4-FFF2-40B4-BE49-F238E27FC236}">
                <a16:creationId xmlns:a16="http://schemas.microsoft.com/office/drawing/2014/main" id="{00000000-0008-0000-3D00-0000B9BC4400}"/>
              </a:ext>
            </a:extLst>
          </xdr:cNvPr>
          <xdr:cNvGraphicFramePr>
            <a:graphicFrameLocks/>
          </xdr:cNvGraphicFramePr>
        </xdr:nvGraphicFramePr>
        <xdr:xfrm>
          <a:off x="11838371" y="12709063"/>
          <a:ext cx="4578804" cy="274728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504762" name="Chart 1">
            <a:extLst>
              <a:ext uri="{FF2B5EF4-FFF2-40B4-BE49-F238E27FC236}">
                <a16:creationId xmlns:a16="http://schemas.microsoft.com/office/drawing/2014/main" id="{00000000-0008-0000-3D00-0000BABC4400}"/>
              </a:ext>
            </a:extLst>
          </xdr:cNvPr>
          <xdr:cNvGraphicFramePr>
            <a:graphicFrameLocks/>
          </xdr:cNvGraphicFramePr>
        </xdr:nvGraphicFramePr>
        <xdr:xfrm>
          <a:off x="8327571" y="15430500"/>
          <a:ext cx="4578804" cy="274728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92.xml><?xml version="1.0" encoding="utf-8"?>
<xdr:wsDr xmlns:xdr="http://schemas.openxmlformats.org/drawingml/2006/spreadsheetDrawing" xmlns:a="http://schemas.openxmlformats.org/drawingml/2006/main">
  <xdr:twoCellAnchor>
    <xdr:from>
      <xdr:col>32</xdr:col>
      <xdr:colOff>180975</xdr:colOff>
      <xdr:row>1</xdr:row>
      <xdr:rowOff>133350</xdr:rowOff>
    </xdr:from>
    <xdr:to>
      <xdr:col>36</xdr:col>
      <xdr:colOff>28575</xdr:colOff>
      <xdr:row>24</xdr:row>
      <xdr:rowOff>57150</xdr:rowOff>
    </xdr:to>
    <xdr:graphicFrame macro="">
      <xdr:nvGraphicFramePr>
        <xdr:cNvPr id="4515901" name="Chart 1">
          <a:extLst>
            <a:ext uri="{FF2B5EF4-FFF2-40B4-BE49-F238E27FC236}">
              <a16:creationId xmlns:a16="http://schemas.microsoft.com/office/drawing/2014/main" id="{00000000-0008-0000-3F00-00003DE8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62047</xdr:colOff>
      <xdr:row>20</xdr:row>
      <xdr:rowOff>173629</xdr:rowOff>
    </xdr:from>
    <xdr:to>
      <xdr:col>28</xdr:col>
      <xdr:colOff>179366</xdr:colOff>
      <xdr:row>40</xdr:row>
      <xdr:rowOff>124098</xdr:rowOff>
    </xdr:to>
    <xdr:graphicFrame macro="">
      <xdr:nvGraphicFramePr>
        <xdr:cNvPr id="4515902" name="Chart 4">
          <a:extLst>
            <a:ext uri="{FF2B5EF4-FFF2-40B4-BE49-F238E27FC236}">
              <a16:creationId xmlns:a16="http://schemas.microsoft.com/office/drawing/2014/main" id="{00000000-0008-0000-3F00-00003EE8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3.xml><?xml version="1.0" encoding="utf-8"?>
<c:userShapes xmlns:c="http://schemas.openxmlformats.org/drawingml/2006/chart">
  <cdr:relSizeAnchor xmlns:cdr="http://schemas.openxmlformats.org/drawingml/2006/chartDrawing">
    <cdr:from>
      <cdr:x>0</cdr:x>
      <cdr:y>2.65521E-7</cdr:y>
    </cdr:from>
    <cdr:to>
      <cdr:x>1</cdr:x>
      <cdr:y>0.08859</cdr:y>
    </cdr:to>
    <cdr:sp macro="" textlink="">
      <cdr:nvSpPr>
        <cdr:cNvPr id="2" name="TextBox 1"/>
        <cdr:cNvSpPr txBox="1"/>
      </cdr:nvSpPr>
      <cdr:spPr>
        <a:xfrm xmlns:a="http://schemas.openxmlformats.org/drawingml/2006/main">
          <a:off x="0" y="1"/>
          <a:ext cx="6073140" cy="333645"/>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rtlCol="0"/>
        <a:lstStyle xmlns:a="http://schemas.openxmlformats.org/drawingml/2006/main"/>
        <a:p xmlns:a="http://schemas.openxmlformats.org/drawingml/2006/main">
          <a:pPr rtl="0"/>
          <a:r>
            <a:rPr lang="en-GB" sz="1400" b="1" i="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London Assembly seats won by party</a:t>
          </a:r>
          <a:endParaRPr lang="en-GB" sz="140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2</xdr:col>
      <xdr:colOff>38100</xdr:colOff>
      <xdr:row>15</xdr:row>
      <xdr:rowOff>114300</xdr:rowOff>
    </xdr:from>
    <xdr:to>
      <xdr:col>5</xdr:col>
      <xdr:colOff>304800</xdr:colOff>
      <xdr:row>41</xdr:row>
      <xdr:rowOff>66675</xdr:rowOff>
    </xdr:to>
    <xdr:graphicFrame macro="">
      <xdr:nvGraphicFramePr>
        <xdr:cNvPr id="32330812" name="Chart 1">
          <a:extLst>
            <a:ext uri="{FF2B5EF4-FFF2-40B4-BE49-F238E27FC236}">
              <a16:creationId xmlns:a16="http://schemas.microsoft.com/office/drawing/2014/main" id="{00000000-0008-0000-4100-00003C54E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31</xdr:row>
      <xdr:rowOff>142875</xdr:rowOff>
    </xdr:from>
    <xdr:to>
      <xdr:col>13</xdr:col>
      <xdr:colOff>85725</xdr:colOff>
      <xdr:row>54</xdr:row>
      <xdr:rowOff>38100</xdr:rowOff>
    </xdr:to>
    <xdr:graphicFrame macro="">
      <xdr:nvGraphicFramePr>
        <xdr:cNvPr id="32330813" name="Chart 1">
          <a:extLst>
            <a:ext uri="{FF2B5EF4-FFF2-40B4-BE49-F238E27FC236}">
              <a16:creationId xmlns:a16="http://schemas.microsoft.com/office/drawing/2014/main" id="{00000000-0008-0000-4100-00003D54E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5.xml><?xml version="1.0" encoding="utf-8"?>
<xdr:wsDr xmlns:xdr="http://schemas.openxmlformats.org/drawingml/2006/spreadsheetDrawing" xmlns:a="http://schemas.openxmlformats.org/drawingml/2006/main">
  <xdr:twoCellAnchor>
    <xdr:from>
      <xdr:col>7</xdr:col>
      <xdr:colOff>600075</xdr:colOff>
      <xdr:row>10</xdr:row>
      <xdr:rowOff>57150</xdr:rowOff>
    </xdr:from>
    <xdr:to>
      <xdr:col>10</xdr:col>
      <xdr:colOff>133350</xdr:colOff>
      <xdr:row>35</xdr:row>
      <xdr:rowOff>38100</xdr:rowOff>
    </xdr:to>
    <xdr:graphicFrame macro="">
      <xdr:nvGraphicFramePr>
        <xdr:cNvPr id="32446227" name="Chart 1">
          <a:extLst>
            <a:ext uri="{FF2B5EF4-FFF2-40B4-BE49-F238E27FC236}">
              <a16:creationId xmlns:a16="http://schemas.microsoft.com/office/drawing/2014/main" id="{00000000-0008-0000-4400-00001317E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6.xml><?xml version="1.0" encoding="utf-8"?>
<xdr:wsDr xmlns:xdr="http://schemas.openxmlformats.org/drawingml/2006/spreadsheetDrawing" xmlns:a="http://schemas.openxmlformats.org/drawingml/2006/main">
  <xdr:twoCellAnchor>
    <xdr:from>
      <xdr:col>3</xdr:col>
      <xdr:colOff>2861</xdr:colOff>
      <xdr:row>69</xdr:row>
      <xdr:rowOff>1201</xdr:rowOff>
    </xdr:from>
    <xdr:to>
      <xdr:col>16</xdr:col>
      <xdr:colOff>11907</xdr:colOff>
      <xdr:row>89</xdr:row>
      <xdr:rowOff>98107</xdr:rowOff>
    </xdr:to>
    <xdr:graphicFrame macro="">
      <xdr:nvGraphicFramePr>
        <xdr:cNvPr id="51095095" name="Chart 3">
          <a:extLst>
            <a:ext uri="{FF2B5EF4-FFF2-40B4-BE49-F238E27FC236}">
              <a16:creationId xmlns:a16="http://schemas.microsoft.com/office/drawing/2014/main" id="{00000000-0008-0000-4600-000037A60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7.xml><?xml version="1.0" encoding="utf-8"?>
<c:userShapes xmlns:c="http://schemas.openxmlformats.org/drawingml/2006/chart">
  <cdr:relSizeAnchor xmlns:cdr="http://schemas.openxmlformats.org/drawingml/2006/chartDrawing">
    <cdr:from>
      <cdr:x>0.89034</cdr:x>
      <cdr:y>0.30609</cdr:y>
    </cdr:from>
    <cdr:to>
      <cdr:x>0.99726</cdr:x>
      <cdr:y>0.38726</cdr:y>
    </cdr:to>
    <cdr:sp macro="" textlink="">
      <cdr:nvSpPr>
        <cdr:cNvPr id="2" name="TextBox 1"/>
        <cdr:cNvSpPr txBox="1"/>
      </cdr:nvSpPr>
      <cdr:spPr>
        <a:xfrm xmlns:a="http://schemas.openxmlformats.org/drawingml/2006/main">
          <a:off x="5391034" y="944237"/>
          <a:ext cx="647401" cy="2503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00539F"/>
              </a:solidFill>
              <a:latin typeface="Open Sans" panose="020B0606030504020204" pitchFamily="34" charset="0"/>
              <a:ea typeface="Open Sans" panose="020B0606030504020204" pitchFamily="34" charset="0"/>
              <a:cs typeface="Open Sans" panose="020B0606030504020204" pitchFamily="34" charset="0"/>
            </a:rPr>
            <a:t>CON</a:t>
          </a:r>
        </a:p>
      </cdr:txBody>
    </cdr:sp>
  </cdr:relSizeAnchor>
  <cdr:relSizeAnchor xmlns:cdr="http://schemas.openxmlformats.org/drawingml/2006/chartDrawing">
    <cdr:from>
      <cdr:x>0.89645</cdr:x>
      <cdr:y>0.54565</cdr:y>
    </cdr:from>
    <cdr:to>
      <cdr:x>0.99179</cdr:x>
      <cdr:y>0.61101</cdr:y>
    </cdr:to>
    <cdr:sp macro="" textlink="">
      <cdr:nvSpPr>
        <cdr:cNvPr id="3" name="TextBox 2"/>
        <cdr:cNvSpPr txBox="1"/>
      </cdr:nvSpPr>
      <cdr:spPr>
        <a:xfrm xmlns:a="http://schemas.openxmlformats.org/drawingml/2006/main">
          <a:off x="5293984" y="1609995"/>
          <a:ext cx="563030" cy="1928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D50000"/>
              </a:solidFill>
              <a:latin typeface="Open Sans" panose="020B0606030504020204" pitchFamily="34" charset="0"/>
              <a:ea typeface="Open Sans" panose="020B0606030504020204" pitchFamily="34" charset="0"/>
              <a:cs typeface="Open Sans" panose="020B0606030504020204" pitchFamily="34" charset="0"/>
            </a:rPr>
            <a:t>LAB</a:t>
          </a:r>
        </a:p>
      </cdr:txBody>
    </cdr:sp>
  </cdr:relSizeAnchor>
  <cdr:relSizeAnchor xmlns:cdr="http://schemas.openxmlformats.org/drawingml/2006/chartDrawing">
    <cdr:from>
      <cdr:x>0.90602</cdr:x>
      <cdr:y>0.78609</cdr:y>
    </cdr:from>
    <cdr:to>
      <cdr:x>0.99042</cdr:x>
      <cdr:y>0.88061</cdr:y>
    </cdr:to>
    <cdr:sp macro="" textlink="">
      <cdr:nvSpPr>
        <cdr:cNvPr id="4" name="TextBox 3"/>
        <cdr:cNvSpPr txBox="1"/>
      </cdr:nvSpPr>
      <cdr:spPr>
        <a:xfrm xmlns:a="http://schemas.openxmlformats.org/drawingml/2006/main">
          <a:off x="5485981" y="2424987"/>
          <a:ext cx="511042" cy="291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FFC000"/>
              </a:solidFill>
              <a:latin typeface="Open Sans" panose="020B0606030504020204" pitchFamily="34" charset="0"/>
              <a:ea typeface="Open Sans" panose="020B0606030504020204" pitchFamily="34" charset="0"/>
              <a:cs typeface="Open Sans" panose="020B0606030504020204" pitchFamily="34" charset="0"/>
            </a:rPr>
            <a:t>LD</a:t>
          </a:r>
        </a:p>
      </cdr:txBody>
    </cdr:sp>
  </cdr:relSizeAnchor>
  <cdr:relSizeAnchor xmlns:cdr="http://schemas.openxmlformats.org/drawingml/2006/chartDrawing">
    <cdr:from>
      <cdr:x>0.85464</cdr:x>
      <cdr:y>0.6872</cdr:y>
    </cdr:from>
    <cdr:to>
      <cdr:x>0.98301</cdr:x>
      <cdr:y>0.74551</cdr:y>
    </cdr:to>
    <cdr:sp macro="" textlink="">
      <cdr:nvSpPr>
        <cdr:cNvPr id="5" name="TextBox 4"/>
        <cdr:cNvSpPr txBox="1"/>
      </cdr:nvSpPr>
      <cdr:spPr>
        <a:xfrm xmlns:a="http://schemas.openxmlformats.org/drawingml/2006/main">
          <a:off x="4200046" y="2193907"/>
          <a:ext cx="630880" cy="1861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909090"/>
              </a:solidFill>
              <a:latin typeface="Open Sans" panose="020B0606030504020204" pitchFamily="34" charset="0"/>
              <a:ea typeface="Open Sans" panose="020B0606030504020204" pitchFamily="34" charset="0"/>
              <a:cs typeface="Open Sans" panose="020B0606030504020204" pitchFamily="34" charset="0"/>
            </a:rPr>
            <a:t>Other</a:t>
          </a:r>
        </a:p>
      </cdr:txBody>
    </cdr:sp>
  </cdr:relSizeAnchor>
  <cdr:relSizeAnchor xmlns:cdr="http://schemas.openxmlformats.org/drawingml/2006/chartDrawing">
    <cdr:from>
      <cdr:x>0.77687</cdr:x>
      <cdr:y>0.79067</cdr:y>
    </cdr:from>
    <cdr:to>
      <cdr:x>0.91991</cdr:x>
      <cdr:y>0.85833</cdr:y>
    </cdr:to>
    <cdr:sp macro="" textlink="">
      <cdr:nvSpPr>
        <cdr:cNvPr id="6" name="TextBox 5"/>
        <cdr:cNvSpPr txBox="1"/>
      </cdr:nvSpPr>
      <cdr:spPr>
        <a:xfrm xmlns:a="http://schemas.openxmlformats.org/drawingml/2006/main">
          <a:off x="4703927" y="2439115"/>
          <a:ext cx="866107" cy="2087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solidFill>
                <a:schemeClr val="accent3">
                  <a:lumMod val="75000"/>
                </a:schemeClr>
              </a:solidFill>
              <a:latin typeface="Open Sans" panose="020B0606030504020204" pitchFamily="34" charset="0"/>
              <a:ea typeface="Open Sans" panose="020B0606030504020204" pitchFamily="34" charset="0"/>
              <a:cs typeface="Open Sans" panose="020B0606030504020204" pitchFamily="34" charset="0"/>
            </a:rPr>
            <a:t>PC/SNP</a:t>
          </a:r>
        </a:p>
      </cdr:txBody>
    </cdr:sp>
  </cdr:relSizeAnchor>
  <cdr:relSizeAnchor xmlns:cdr="http://schemas.openxmlformats.org/drawingml/2006/chartDrawing">
    <cdr:from>
      <cdr:x>0</cdr:x>
      <cdr:y>0</cdr:y>
    </cdr:from>
    <cdr:to>
      <cdr:x>1</cdr:x>
      <cdr:y>0.08837</cdr:y>
    </cdr:to>
    <cdr:sp macro="" textlink="">
      <cdr:nvSpPr>
        <cdr:cNvPr id="7" name="TextBox 6"/>
        <cdr:cNvSpPr txBox="1"/>
      </cdr:nvSpPr>
      <cdr:spPr>
        <a:xfrm xmlns:a="http://schemas.openxmlformats.org/drawingml/2006/main">
          <a:off x="0" y="0"/>
          <a:ext cx="5905498" cy="260736"/>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none" rtlCol="0" anchor="ctr"/>
        <a:lstStyle xmlns:a="http://schemas.openxmlformats.org/drawingml/2006/main"/>
        <a:p xmlns:a="http://schemas.openxmlformats.org/drawingml/2006/main">
          <a:pPr algn="l" rtl="0"/>
          <a:r>
            <a:rPr lang="en-GB" sz="1400" b="1" i="0" cap="none"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Party affiliation of councillors Great Britain (000's)</a:t>
          </a:r>
          <a:endParaRPr lang="en-GB" sz="900" cap="none" baseline="0">
            <a:solidFill>
              <a:schemeClr val="bg1"/>
            </a:solidFill>
            <a:latin typeface="Arial" pitchFamily="34" charset="0"/>
            <a:cs typeface="Arial" pitchFamily="34" charset="0"/>
          </a:endParaRPr>
        </a:p>
      </cdr:txBody>
    </cdr:sp>
  </cdr:relSizeAnchor>
  <cdr:relSizeAnchor xmlns:cdr="http://schemas.openxmlformats.org/drawingml/2006/chartDrawing">
    <cdr:from>
      <cdr:x>0.06333</cdr:x>
      <cdr:y>0.10611</cdr:y>
    </cdr:from>
    <cdr:to>
      <cdr:x>0.21434</cdr:x>
      <cdr:y>0.40253</cdr:y>
    </cdr:to>
    <cdr:sp macro="" textlink="">
      <cdr:nvSpPr>
        <cdr:cNvPr id="8" name="TextBox 7"/>
        <cdr:cNvSpPr txBox="1"/>
      </cdr:nvSpPr>
      <cdr:spPr>
        <a:xfrm xmlns:a="http://schemas.openxmlformats.org/drawingml/2006/main">
          <a:off x="374008" y="313076"/>
          <a:ext cx="891789" cy="8746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latin typeface="Open Sans" panose="020B0606030504020204" pitchFamily="34" charset="0"/>
              <a:ea typeface="Open Sans" panose="020B0606030504020204" pitchFamily="34" charset="0"/>
              <a:cs typeface="Open Sans" panose="020B0606030504020204" pitchFamily="34" charset="0"/>
            </a:rPr>
            <a:t>Thousands</a:t>
          </a:r>
        </a:p>
      </cdr:txBody>
    </cdr:sp>
  </cdr:relSizeAnchor>
</c:userShapes>
</file>

<file path=xl/drawings/drawing98.xml><?xml version="1.0" encoding="utf-8"?>
<xdr:wsDr xmlns:xdr="http://schemas.openxmlformats.org/drawingml/2006/spreadsheetDrawing" xmlns:a="http://schemas.openxmlformats.org/drawingml/2006/main">
  <xdr:twoCellAnchor>
    <xdr:from>
      <xdr:col>7</xdr:col>
      <xdr:colOff>495300</xdr:colOff>
      <xdr:row>0</xdr:row>
      <xdr:rowOff>133350</xdr:rowOff>
    </xdr:from>
    <xdr:to>
      <xdr:col>11</xdr:col>
      <xdr:colOff>257175</xdr:colOff>
      <xdr:row>51</xdr:row>
      <xdr:rowOff>28575</xdr:rowOff>
    </xdr:to>
    <xdr:graphicFrame macro="">
      <xdr:nvGraphicFramePr>
        <xdr:cNvPr id="32624400" name="Chart 2">
          <a:extLst>
            <a:ext uri="{FF2B5EF4-FFF2-40B4-BE49-F238E27FC236}">
              <a16:creationId xmlns:a16="http://schemas.microsoft.com/office/drawing/2014/main" id="{00000000-0008-0000-4800-000010CFF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9.xml><?xml version="1.0" encoding="utf-8"?>
<xdr:wsDr xmlns:xdr="http://schemas.openxmlformats.org/drawingml/2006/spreadsheetDrawing" xmlns:a="http://schemas.openxmlformats.org/drawingml/2006/main">
  <xdr:twoCellAnchor>
    <xdr:from>
      <xdr:col>37</xdr:col>
      <xdr:colOff>85725</xdr:colOff>
      <xdr:row>3</xdr:row>
      <xdr:rowOff>57150</xdr:rowOff>
    </xdr:from>
    <xdr:to>
      <xdr:col>45</xdr:col>
      <xdr:colOff>390525</xdr:colOff>
      <xdr:row>17</xdr:row>
      <xdr:rowOff>47625</xdr:rowOff>
    </xdr:to>
    <xdr:graphicFrame macro="">
      <xdr:nvGraphicFramePr>
        <xdr:cNvPr id="4530387" name="Chart 1">
          <a:extLst>
            <a:ext uri="{FF2B5EF4-FFF2-40B4-BE49-F238E27FC236}">
              <a16:creationId xmlns:a16="http://schemas.microsoft.com/office/drawing/2014/main" id="{00000000-0008-0000-4A00-0000D3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551869</xdr:colOff>
      <xdr:row>57</xdr:row>
      <xdr:rowOff>156168</xdr:rowOff>
    </xdr:from>
    <xdr:to>
      <xdr:col>29</xdr:col>
      <xdr:colOff>61145</xdr:colOff>
      <xdr:row>68</xdr:row>
      <xdr:rowOff>17499</xdr:rowOff>
    </xdr:to>
    <xdr:graphicFrame macro="">
      <xdr:nvGraphicFramePr>
        <xdr:cNvPr id="4530388" name="Chart 2">
          <a:extLst>
            <a:ext uri="{FF2B5EF4-FFF2-40B4-BE49-F238E27FC236}">
              <a16:creationId xmlns:a16="http://schemas.microsoft.com/office/drawing/2014/main" id="{00000000-0008-0000-4A00-0000D4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219075</xdr:colOff>
      <xdr:row>0</xdr:row>
      <xdr:rowOff>104775</xdr:rowOff>
    </xdr:from>
    <xdr:to>
      <xdr:col>36</xdr:col>
      <xdr:colOff>523875</xdr:colOff>
      <xdr:row>16</xdr:row>
      <xdr:rowOff>38100</xdr:rowOff>
    </xdr:to>
    <xdr:graphicFrame macro="">
      <xdr:nvGraphicFramePr>
        <xdr:cNvPr id="4530389" name="Chart 3">
          <a:extLst>
            <a:ext uri="{FF2B5EF4-FFF2-40B4-BE49-F238E27FC236}">
              <a16:creationId xmlns:a16="http://schemas.microsoft.com/office/drawing/2014/main" id="{00000000-0008-0000-4A00-0000D5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381000</xdr:colOff>
      <xdr:row>18</xdr:row>
      <xdr:rowOff>104775</xdr:rowOff>
    </xdr:from>
    <xdr:to>
      <xdr:col>37</xdr:col>
      <xdr:colOff>152400</xdr:colOff>
      <xdr:row>27</xdr:row>
      <xdr:rowOff>66675</xdr:rowOff>
    </xdr:to>
    <xdr:graphicFrame macro="">
      <xdr:nvGraphicFramePr>
        <xdr:cNvPr id="4530390" name="Chart 4">
          <a:extLst>
            <a:ext uri="{FF2B5EF4-FFF2-40B4-BE49-F238E27FC236}">
              <a16:creationId xmlns:a16="http://schemas.microsoft.com/office/drawing/2014/main" id="{00000000-0008-0000-4A00-0000D6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390525</xdr:colOff>
      <xdr:row>29</xdr:row>
      <xdr:rowOff>76200</xdr:rowOff>
    </xdr:from>
    <xdr:to>
      <xdr:col>37</xdr:col>
      <xdr:colOff>161925</xdr:colOff>
      <xdr:row>41</xdr:row>
      <xdr:rowOff>66675</xdr:rowOff>
    </xdr:to>
    <xdr:graphicFrame macro="">
      <xdr:nvGraphicFramePr>
        <xdr:cNvPr id="4530391" name="Chart 7">
          <a:extLst>
            <a:ext uri="{FF2B5EF4-FFF2-40B4-BE49-F238E27FC236}">
              <a16:creationId xmlns:a16="http://schemas.microsoft.com/office/drawing/2014/main" id="{00000000-0008-0000-4A00-0000D7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523076</xdr:colOff>
      <xdr:row>44</xdr:row>
      <xdr:rowOff>115341</xdr:rowOff>
    </xdr:from>
    <xdr:to>
      <xdr:col>29</xdr:col>
      <xdr:colOff>33218</xdr:colOff>
      <xdr:row>54</xdr:row>
      <xdr:rowOff>105816</xdr:rowOff>
    </xdr:to>
    <xdr:graphicFrame macro="">
      <xdr:nvGraphicFramePr>
        <xdr:cNvPr id="4530392" name="Chart 8">
          <a:extLst>
            <a:ext uri="{FF2B5EF4-FFF2-40B4-BE49-F238E27FC236}">
              <a16:creationId xmlns:a16="http://schemas.microsoft.com/office/drawing/2014/main" id="{00000000-0008-0000-4A00-0000D8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624088</xdr:colOff>
      <xdr:row>70</xdr:row>
      <xdr:rowOff>37678</xdr:rowOff>
    </xdr:from>
    <xdr:to>
      <xdr:col>28</xdr:col>
      <xdr:colOff>614563</xdr:colOff>
      <xdr:row>80</xdr:row>
      <xdr:rowOff>49925</xdr:rowOff>
    </xdr:to>
    <xdr:graphicFrame macro="">
      <xdr:nvGraphicFramePr>
        <xdr:cNvPr id="4530393" name="Chart 9">
          <a:extLst>
            <a:ext uri="{FF2B5EF4-FFF2-40B4-BE49-F238E27FC236}">
              <a16:creationId xmlns:a16="http://schemas.microsoft.com/office/drawing/2014/main" id="{00000000-0008-0000-4A00-0000D920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SInd.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pap03f/DIS/stats/SGS/Social%20Indicators/Crime%20and%20justice/2.6%20P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opuk-my.sharepoint.com/Teams/Statistics/Subjects/Elections/UK%20Election%20Statistics/CBP7529%20DATA%20landing%20p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opuk-my.sharepoint.com/Teams/Statistics/Subjects/Elections/Welsh%20Assembly/NAW%20-%202016/CBP.7594.DATA.18.05.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Teams/Statistics/Subjects/Elections/Devolved,%20European,%20Local,%20PCC%20and%20Referendums/Scottish%20Parliament/2021/SPE%202021%20with%20results%20latest%20revis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opuk-my.sharepoint.com/Teams/Statistics/Subjects/Elections/Scottish%20Parliament/SP%202016/SPE%2020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hopuk-my.sharepoint.com/Teams/Statistics/Subjects/Elections/Northern%20Ireland/2016/2016%20N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page"/>
      <sheetName val="page table"/>
      <sheetName val="Core Table"/>
      <sheetName val="Links"/>
      <sheetName val="SInd"/>
    </sheetNames>
    <sheetDataSet>
      <sheetData sheetId="0"/>
      <sheetData sheetId="1">
        <row r="2">
          <cell r="B2" t="str">
            <v>Table title (Times New Roman 10 pt.)</v>
          </cell>
        </row>
        <row r="3">
          <cell r="B3" t="str">
            <v>subtitle (Times New Roman 8 or 9 pt)</v>
          </cell>
        </row>
        <row r="5">
          <cell r="C5" t="str">
            <v>Column titles</v>
          </cell>
          <cell r="E5" t="str">
            <v>Column titles</v>
          </cell>
        </row>
        <row r="7">
          <cell r="B7" t="str">
            <v>1993-94</v>
          </cell>
          <cell r="C7" t="str">
            <v>Data</v>
          </cell>
        </row>
        <row r="8">
          <cell r="B8" t="str">
            <v>1994-95</v>
          </cell>
        </row>
        <row r="9">
          <cell r="B9" t="str">
            <v>1995-96</v>
          </cell>
        </row>
        <row r="10">
          <cell r="B10" t="str">
            <v>1996-97</v>
          </cell>
        </row>
        <row r="11">
          <cell r="B11" t="str">
            <v>1997-98</v>
          </cell>
        </row>
        <row r="12">
          <cell r="B12" t="str">
            <v>1998-99</v>
          </cell>
        </row>
        <row r="13">
          <cell r="B13" t="str">
            <v>1999-00</v>
          </cell>
        </row>
        <row r="14">
          <cell r="B14" t="str">
            <v>2000-01</v>
          </cell>
        </row>
        <row r="17">
          <cell r="B17" t="str">
            <v>Notes: Times New Roman 8 pt.</v>
          </cell>
        </row>
        <row r="19">
          <cell r="B19" t="str">
            <v xml:space="preserve">Sources: </v>
          </cell>
          <cell r="F19" t="str">
            <v xml:space="preserve"> </v>
          </cell>
        </row>
      </sheetData>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page"/>
      <sheetName val="E&amp;W"/>
      <sheetName val="page"/>
      <sheetName val="Int Comp"/>
      <sheetName val="data table"/>
      <sheetName val="links"/>
      <sheetName val="data table1"/>
      <sheetName val="data table2"/>
    </sheetNames>
    <sheetDataSet>
      <sheetData sheetId="0"/>
      <sheetData sheetId="1"/>
      <sheetData sheetId="2">
        <row r="1">
          <cell r="B1" t="str">
            <v>Prison estate population 1980-2008 by sex of prisoner</v>
          </cell>
        </row>
        <row r="2">
          <cell r="B2" t="str">
            <v>England and Wales, average of monthly totals</v>
          </cell>
        </row>
        <row r="4">
          <cell r="C4" t="str">
            <v xml:space="preserve">Males </v>
          </cell>
          <cell r="D4" t="str">
            <v>Females</v>
          </cell>
          <cell r="E4" t="str">
            <v>Total</v>
          </cell>
          <cell r="F4" t="str">
            <v>Females</v>
          </cell>
          <cell r="G4" t="str">
            <v>Females</v>
          </cell>
        </row>
        <row r="6">
          <cell r="B6">
            <v>1980</v>
          </cell>
          <cell r="C6">
            <v>40748</v>
          </cell>
          <cell r="D6">
            <v>1407</v>
          </cell>
          <cell r="E6">
            <v>0.96413022903653223</v>
          </cell>
          <cell r="F6">
            <v>1516</v>
          </cell>
          <cell r="G6">
            <v>1516</v>
          </cell>
        </row>
        <row r="7">
          <cell r="B7">
            <v>1990</v>
          </cell>
          <cell r="C7">
            <v>43378</v>
          </cell>
          <cell r="D7">
            <v>1607</v>
          </cell>
          <cell r="E7">
            <v>0.96449138410227908</v>
          </cell>
          <cell r="F7">
            <v>1597</v>
          </cell>
          <cell r="G7">
            <v>1597</v>
          </cell>
        </row>
        <row r="8">
          <cell r="B8">
            <v>1991</v>
          </cell>
          <cell r="C8">
            <v>44336</v>
          </cell>
          <cell r="D8">
            <v>1561</v>
          </cell>
          <cell r="E8">
            <v>45897</v>
          </cell>
          <cell r="F8">
            <v>3.401093753404362E-2</v>
          </cell>
        </row>
        <row r="9">
          <cell r="B9">
            <v>1997</v>
          </cell>
          <cell r="C9">
            <v>58439</v>
          </cell>
          <cell r="D9">
            <v>1577</v>
          </cell>
          <cell r="E9">
            <v>0.95622934188565634</v>
          </cell>
          <cell r="F9">
            <v>2675</v>
          </cell>
          <cell r="G9">
            <v>2675</v>
          </cell>
        </row>
        <row r="10">
          <cell r="B10">
            <v>1998</v>
          </cell>
          <cell r="C10">
            <v>62194</v>
          </cell>
          <cell r="D10">
            <v>1561</v>
          </cell>
          <cell r="E10">
            <v>0.95244950152375996</v>
          </cell>
          <cell r="F10">
            <v>3105</v>
          </cell>
          <cell r="G10">
            <v>3105</v>
          </cell>
        </row>
        <row r="11">
          <cell r="B11">
            <v>1999</v>
          </cell>
          <cell r="C11">
            <v>61523</v>
          </cell>
          <cell r="D11">
            <v>1811</v>
          </cell>
          <cell r="E11">
            <v>0.94986876640419948</v>
          </cell>
          <cell r="F11">
            <v>3247</v>
          </cell>
          <cell r="G11">
            <v>3247</v>
          </cell>
        </row>
        <row r="12">
          <cell r="B12">
            <v>2000</v>
          </cell>
          <cell r="C12">
            <v>61252</v>
          </cell>
          <cell r="D12">
            <v>1979</v>
          </cell>
          <cell r="E12">
            <v>0.94814402030896872</v>
          </cell>
          <cell r="F12">
            <v>3350</v>
          </cell>
          <cell r="G12">
            <v>3350</v>
          </cell>
        </row>
        <row r="13">
          <cell r="B13">
            <v>2001</v>
          </cell>
          <cell r="C13">
            <v>62560</v>
          </cell>
          <cell r="D13">
            <v>2262</v>
          </cell>
          <cell r="E13">
            <v>0.94357551168157339</v>
          </cell>
          <cell r="F13">
            <v>3741</v>
          </cell>
          <cell r="G13">
            <v>3741</v>
          </cell>
        </row>
        <row r="14">
          <cell r="B14">
            <v>2002</v>
          </cell>
          <cell r="C14">
            <v>66544.083333333328</v>
          </cell>
          <cell r="D14">
            <v>2675</v>
          </cell>
          <cell r="E14">
            <v>0.93932100791306561</v>
          </cell>
          <cell r="F14">
            <v>4298.666666666667</v>
          </cell>
          <cell r="G14">
            <v>4298.666666666667</v>
          </cell>
        </row>
        <row r="15">
          <cell r="B15">
            <v>2003</v>
          </cell>
          <cell r="C15">
            <v>68612.583333333328</v>
          </cell>
          <cell r="D15">
            <v>3105</v>
          </cell>
          <cell r="E15">
            <v>0.93940939419662817</v>
          </cell>
          <cell r="F15">
            <v>4425.416666666667</v>
          </cell>
          <cell r="G15">
            <v>4425.416666666667</v>
          </cell>
        </row>
        <row r="16">
          <cell r="B16">
            <v>2004</v>
          </cell>
          <cell r="C16">
            <v>70208.833333333328</v>
          </cell>
          <cell r="D16">
            <v>3247</v>
          </cell>
          <cell r="E16">
            <v>0.94041234840019072</v>
          </cell>
          <cell r="F16">
            <v>5.0131233595800524E-2</v>
          </cell>
          <cell r="G16">
            <v>4448.6658333333335</v>
          </cell>
        </row>
        <row r="17">
          <cell r="B17">
            <v>2005</v>
          </cell>
          <cell r="C17">
            <v>71512.666666666672</v>
          </cell>
          <cell r="D17">
            <v>3350</v>
          </cell>
          <cell r="E17">
            <v>0.94120692245850601</v>
          </cell>
          <cell r="F17">
            <v>4595</v>
          </cell>
          <cell r="G17">
            <v>4467.083333333333</v>
          </cell>
        </row>
        <row r="18">
          <cell r="B18">
            <v>2006</v>
          </cell>
          <cell r="C18">
            <v>73680</v>
          </cell>
          <cell r="D18">
            <v>0.94023198367522287</v>
          </cell>
          <cell r="E18">
            <v>0.94286162170578025</v>
          </cell>
          <cell r="F18">
            <v>4452</v>
          </cell>
          <cell r="G18">
            <v>4447</v>
          </cell>
        </row>
        <row r="19">
          <cell r="B19">
            <v>2007</v>
          </cell>
          <cell r="C19">
            <v>76021.082500000004</v>
          </cell>
          <cell r="D19">
            <v>0.94554162693832078</v>
          </cell>
          <cell r="E19">
            <v>0.94510678252299651</v>
          </cell>
          <cell r="F19">
            <v>4373.751666666667</v>
          </cell>
          <cell r="G19">
            <v>4373.751666666667</v>
          </cell>
        </row>
        <row r="20">
          <cell r="B20">
            <v>2008</v>
          </cell>
          <cell r="C20">
            <v>78222.333333333328</v>
          </cell>
          <cell r="D20">
            <v>3580</v>
          </cell>
          <cell r="E20">
            <v>0.94658523893848145</v>
          </cell>
          <cell r="F20">
            <v>5.4573170731707317E-2</v>
          </cell>
          <cell r="G20">
            <v>4414</v>
          </cell>
        </row>
        <row r="21">
          <cell r="B21" t="str">
            <v>May</v>
          </cell>
          <cell r="C21">
            <v>62330</v>
          </cell>
          <cell r="D21">
            <v>3690</v>
          </cell>
          <cell r="E21">
            <v>66020</v>
          </cell>
          <cell r="F21">
            <v>5.5892153892759769E-2</v>
          </cell>
          <cell r="G21">
            <v>5.44925281371159E-2</v>
          </cell>
        </row>
        <row r="22">
          <cell r="B22" t="str">
            <v>Apr 2008</v>
          </cell>
          <cell r="C22">
            <v>77851</v>
          </cell>
          <cell r="D22">
            <v>3710</v>
          </cell>
          <cell r="E22">
            <v>0.94565441846340725</v>
          </cell>
          <cell r="F22">
            <v>5.5873493975903611E-2</v>
          </cell>
          <cell r="G22">
            <v>4474</v>
          </cell>
        </row>
        <row r="23">
          <cell r="B23" t="str">
            <v>Apr 2009</v>
          </cell>
          <cell r="C23">
            <v>78510.990000000005</v>
          </cell>
          <cell r="D23">
            <v>3800</v>
          </cell>
          <cell r="E23">
            <v>0.94826907746938194</v>
          </cell>
          <cell r="F23">
            <v>5.6640333879862871E-2</v>
          </cell>
          <cell r="G23">
            <v>4283.01</v>
          </cell>
        </row>
        <row r="24">
          <cell r="B24" t="str">
            <v xml:space="preserve">August </v>
          </cell>
          <cell r="C24">
            <v>63190</v>
          </cell>
          <cell r="D24">
            <v>3870</v>
          </cell>
          <cell r="E24">
            <v>67060</v>
          </cell>
          <cell r="F24">
            <v>5.7709513868177749E-2</v>
          </cell>
        </row>
        <row r="25">
          <cell r="B25" t="str">
            <v>September</v>
          </cell>
          <cell r="C25">
            <v>63507</v>
          </cell>
          <cell r="D25">
            <v>3958</v>
          </cell>
          <cell r="E25">
            <v>67465</v>
          </cell>
          <cell r="F25">
            <v>5.8667457200029645E-2</v>
          </cell>
        </row>
        <row r="26">
          <cell r="B26" t="str">
            <v>Sources:</v>
          </cell>
          <cell r="C26" t="str">
            <v>Home Office, Prison statistics, England &amp; Wales</v>
          </cell>
          <cell r="D26">
            <v>4040</v>
          </cell>
          <cell r="E26">
            <v>68050</v>
          </cell>
          <cell r="F26">
            <v>5.9368111682586336E-2</v>
          </cell>
        </row>
        <row r="27">
          <cell r="B27" t="str">
            <v>November</v>
          </cell>
          <cell r="C27" t="str">
            <v>Prison population brief, England &amp; Wales</v>
          </cell>
          <cell r="D27">
            <v>4020</v>
          </cell>
          <cell r="E27">
            <v>68450</v>
          </cell>
          <cell r="F27">
            <v>5.8728999269539811E-2</v>
          </cell>
        </row>
        <row r="29">
          <cell r="B29" t="str">
            <v xml:space="preserve">Sources: Prison statistics, England &amp; Wales 2000 </v>
          </cell>
        </row>
        <row r="30">
          <cell r="B30" t="str">
            <v>Prison population brief, England &amp; Wales</v>
          </cell>
        </row>
      </sheetData>
      <sheetData sheetId="3"/>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Tables"/>
      <sheetName val="Share Data"/>
      <sheetName val="Seat Data"/>
      <sheetName val="Largest party after GE"/>
      <sheetName val="GE-UK Parties Visual"/>
      <sheetName val="PM -time in office "/>
      <sheetName val="GE-UK"/>
      <sheetName val="GE-UK Visual"/>
      <sheetName val="GE-GB"/>
      <sheetName val="GE-GB Visual"/>
      <sheetName val="GE-Eng"/>
      <sheetName val="GE-Eng Visual"/>
      <sheetName val="GE-Wales"/>
      <sheetName val="GE-Wales Visual"/>
      <sheetName val="GE-Scot"/>
      <sheetName val="GE-Scot Visual"/>
      <sheetName val="GE-NI"/>
      <sheetName val="GE-NI Visual"/>
      <sheetName val="GE-NI2"/>
      <sheetName val="Share 1"/>
      <sheetName val="2 Turnout"/>
      <sheetName val="2 Turnout Visual"/>
      <sheetName val="3 Spoilt ballots "/>
      <sheetName val="4 Postal ballots"/>
      <sheetName val="4 Postal ballots Visual"/>
      <sheetName val="5 Women MPs"/>
      <sheetName val="5 Women MPs Visual"/>
      <sheetName val="6 age"/>
      <sheetName val="6 age Visual"/>
      <sheetName val="7  median age"/>
      <sheetName val="7  median age Visual"/>
      <sheetName val="8 BME"/>
      <sheetName val="8 BME (2)"/>
      <sheetName val="8 BME Visual"/>
      <sheetName val="9 New MPs"/>
      <sheetName val="9 New MPs Visual"/>
      <sheetName val="10 education"/>
      <sheetName val="11 Occupations"/>
      <sheetName val="11 Occupations SNP"/>
      <sheetName val="11 Occupations Visual"/>
      <sheetName val="12 by-elections summary"/>
      <sheetName val="12 by-elections summary Visual"/>
      <sheetName val="13 by-elections list"/>
      <sheetName val="13 by-elections list Visual"/>
      <sheetName val="14a By elections NI "/>
      <sheetName val="15 MEPs"/>
      <sheetName val="15 MEPs Visual"/>
      <sheetName val="15b European Parliament"/>
      <sheetName val="15b European Parliament Visual"/>
      <sheetName val="16 NAW"/>
      <sheetName val="16 NAW Visual"/>
      <sheetName val="Wales data"/>
      <sheetName val="17 Scottish Parliament"/>
      <sheetName val="17 Scottish Parliament Visual"/>
      <sheetName val="17 SP Party charts "/>
      <sheetName val="18 NI Assembly Visual"/>
      <sheetName val="18 NI Assembly"/>
      <sheetName val="18 NI Party charts "/>
      <sheetName val="19 Stormont"/>
      <sheetName val="20 London Assembly"/>
      <sheetName val="20 London Assembly Visual"/>
      <sheetName val="20 London 2016"/>
      <sheetName val="21 London Mayor"/>
      <sheetName val="22-23 Women MEPs"/>
      <sheetName val="22-23 Women MEPs Visual"/>
      <sheetName val="24 Councillors table"/>
      <sheetName val="24 Councillors graph "/>
      <sheetName val="25 Locals"/>
      <sheetName val="25 Locals Visual"/>
      <sheetName val="26 Councilors per party "/>
      <sheetName val="26 Councilors per party  VISUAL"/>
      <sheetName val="27 Mayoral refs"/>
      <sheetName val="27 Mayoral refs Visual"/>
      <sheetName val="28a. Mayoral elections"/>
      <sheetName val="28b. Current Mayors"/>
      <sheetName val="29 Scotland ref"/>
      <sheetName val="29 Scotland ref Visual"/>
      <sheetName val="30 Scotland 2014 ref"/>
      <sheetName val="31 Wales ref"/>
      <sheetName val="31 Wales ref Visual "/>
      <sheetName val="32 Wales ref 2011"/>
      <sheetName val="32 Wales ref 2011 Visual"/>
      <sheetName val="33 EC ref"/>
      <sheetName val="33 EC ref Visual"/>
      <sheetName val="34 AV ref"/>
      <sheetName val="34 AV ref Visual"/>
      <sheetName val="1945"/>
      <sheetName val="1950"/>
      <sheetName val="1951"/>
      <sheetName val="1955"/>
      <sheetName val="1959"/>
      <sheetName val="1964"/>
      <sheetName val="1966"/>
      <sheetName val="1970"/>
      <sheetName val="1974F"/>
      <sheetName val="1974O"/>
      <sheetName val="1979"/>
      <sheetName val="1983"/>
      <sheetName val="1987"/>
      <sheetName val="1992"/>
      <sheetName val="1997"/>
      <sheetName val="2001"/>
      <sheetName val="2005"/>
      <sheetName val="2010"/>
      <sheetName val="Liberals DOB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0">
          <cell r="B10">
            <v>2016</v>
          </cell>
          <cell r="C10">
            <v>2011</v>
          </cell>
          <cell r="D10">
            <v>2007</v>
          </cell>
          <cell r="E10">
            <v>2003</v>
          </cell>
          <cell r="F10">
            <v>1999</v>
          </cell>
        </row>
        <row r="11">
          <cell r="A11" t="str">
            <v>LAB</v>
          </cell>
          <cell r="B11">
            <v>29</v>
          </cell>
          <cell r="C11">
            <v>30</v>
          </cell>
          <cell r="D11">
            <v>26</v>
          </cell>
          <cell r="E11">
            <v>30</v>
          </cell>
          <cell r="F11">
            <v>28</v>
          </cell>
        </row>
        <row r="12">
          <cell r="A12" t="str">
            <v>PC</v>
          </cell>
          <cell r="B12">
            <v>12</v>
          </cell>
          <cell r="C12">
            <v>11</v>
          </cell>
          <cell r="D12">
            <v>15</v>
          </cell>
          <cell r="E12">
            <v>12</v>
          </cell>
          <cell r="F12">
            <v>17</v>
          </cell>
        </row>
        <row r="13">
          <cell r="A13" t="str">
            <v>CON</v>
          </cell>
          <cell r="B13">
            <v>11</v>
          </cell>
          <cell r="C13">
            <v>14</v>
          </cell>
          <cell r="D13">
            <v>12</v>
          </cell>
          <cell r="E13">
            <v>11</v>
          </cell>
          <cell r="F13">
            <v>9</v>
          </cell>
        </row>
        <row r="14">
          <cell r="A14" t="str">
            <v>UKIP</v>
          </cell>
          <cell r="B14">
            <v>7</v>
          </cell>
          <cell r="C14">
            <v>0</v>
          </cell>
          <cell r="D14">
            <v>0</v>
          </cell>
          <cell r="E14">
            <v>0</v>
          </cell>
          <cell r="F14">
            <v>0</v>
          </cell>
        </row>
        <row r="15">
          <cell r="A15" t="str">
            <v>LD</v>
          </cell>
          <cell r="B15">
            <v>1</v>
          </cell>
          <cell r="C15">
            <v>5</v>
          </cell>
          <cell r="D15">
            <v>6</v>
          </cell>
          <cell r="E15">
            <v>6</v>
          </cell>
          <cell r="F15">
            <v>6</v>
          </cell>
        </row>
        <row r="16">
          <cell r="A16" t="str">
            <v>Other</v>
          </cell>
          <cell r="B16">
            <v>0</v>
          </cell>
          <cell r="C16">
            <v>0</v>
          </cell>
          <cell r="D16">
            <v>1</v>
          </cell>
          <cell r="E16">
            <v>1</v>
          </cell>
          <cell r="F16">
            <v>0</v>
          </cell>
        </row>
      </sheetData>
      <sheetData sheetId="51" refreshError="1"/>
      <sheetData sheetId="52" refreshError="1"/>
      <sheetData sheetId="53"/>
      <sheetData sheetId="54" refreshError="1"/>
      <sheetData sheetId="55"/>
      <sheetData sheetId="56" refreshError="1"/>
      <sheetData sheetId="57" refreshError="1"/>
      <sheetData sheetId="58" refreshError="1"/>
      <sheetData sheetId="59" refreshError="1"/>
      <sheetData sheetId="60">
        <row r="5">
          <cell r="B5">
            <v>2016</v>
          </cell>
          <cell r="C5">
            <v>2012</v>
          </cell>
          <cell r="D5">
            <v>2008</v>
          </cell>
          <cell r="E5">
            <v>2004</v>
          </cell>
          <cell r="F5">
            <v>2000</v>
          </cell>
        </row>
        <row r="6">
          <cell r="A6" t="str">
            <v>CON</v>
          </cell>
          <cell r="B6">
            <v>8</v>
          </cell>
          <cell r="C6">
            <v>9</v>
          </cell>
          <cell r="D6">
            <v>11</v>
          </cell>
          <cell r="E6">
            <v>9</v>
          </cell>
          <cell r="F6">
            <v>9</v>
          </cell>
        </row>
        <row r="7">
          <cell r="A7" t="str">
            <v>LAB</v>
          </cell>
          <cell r="B7">
            <v>12</v>
          </cell>
          <cell r="C7">
            <v>12</v>
          </cell>
          <cell r="D7">
            <v>8</v>
          </cell>
          <cell r="E7">
            <v>7</v>
          </cell>
          <cell r="F7">
            <v>9</v>
          </cell>
        </row>
        <row r="8">
          <cell r="A8" t="str">
            <v>LD</v>
          </cell>
          <cell r="B8">
            <v>1</v>
          </cell>
          <cell r="C8">
            <v>2</v>
          </cell>
          <cell r="D8">
            <v>3</v>
          </cell>
          <cell r="E8">
            <v>5</v>
          </cell>
          <cell r="F8">
            <v>4</v>
          </cell>
        </row>
        <row r="9">
          <cell r="A9" t="str">
            <v>Green</v>
          </cell>
          <cell r="B9">
            <v>2</v>
          </cell>
          <cell r="C9">
            <v>2</v>
          </cell>
          <cell r="D9">
            <v>2</v>
          </cell>
          <cell r="E9">
            <v>2</v>
          </cell>
          <cell r="F9">
            <v>3</v>
          </cell>
        </row>
        <row r="10">
          <cell r="A10" t="str">
            <v>UKIP</v>
          </cell>
          <cell r="B10">
            <v>2</v>
          </cell>
          <cell r="C10">
            <v>0</v>
          </cell>
          <cell r="D10">
            <v>0</v>
          </cell>
          <cell r="E10">
            <v>2</v>
          </cell>
          <cell r="F10">
            <v>0</v>
          </cell>
        </row>
        <row r="11">
          <cell r="A11" t="str">
            <v>BNP</v>
          </cell>
          <cell r="B11">
            <v>0</v>
          </cell>
          <cell r="C11">
            <v>0</v>
          </cell>
          <cell r="D11">
            <v>1</v>
          </cell>
          <cell r="E11">
            <v>0</v>
          </cell>
          <cell r="F11">
            <v>0</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istorical Summary"/>
      <sheetName val="Historical Summary (Visual)"/>
      <sheetName val="Party Summaries 1N"/>
      <sheetName val="Party Summaries 2N"/>
      <sheetName val="Party Summaries 3N"/>
      <sheetName val="Party Summary Data"/>
      <sheetName val="Candidates. REG+CONS"/>
      <sheetName val="Results (%) 2016"/>
      <sheetName val="Results 2016"/>
      <sheetName val="Results 2011"/>
      <sheetName val="Turnout change REG"/>
      <sheetName val="Turnout CONS"/>
      <sheetName val="Gender"/>
      <sheetName val="Invalid votes"/>
      <sheetName val="Table 1"/>
      <sheetName val="Table 2"/>
      <sheetName val="Table 3"/>
      <sheetName val="Table 4"/>
      <sheetName val="Table 5"/>
      <sheetName val="Table 6"/>
      <sheetName val="Table  7"/>
      <sheetName val="Table 8"/>
      <sheetName val="Table  9"/>
      <sheetName val="Table 10 "/>
      <sheetName val="Table 11 "/>
      <sheetName val="Table 12"/>
      <sheetName val="Table  13"/>
      <sheetName val="Table  14"/>
      <sheetName val="Table  15"/>
      <sheetName val="Table 16"/>
      <sheetName val="Table 17"/>
      <sheetName val="Table 18"/>
      <sheetName val="2016 Constituency Votes"/>
      <sheetName val="2016 Constituency Share"/>
      <sheetName val="2016 Constituency Seat"/>
      <sheetName val="2016 Regional Votes"/>
      <sheetName val="2016 Regional Share"/>
      <sheetName val="2016 Regional Seats"/>
      <sheetName val="2011 Constituency Votes"/>
      <sheetName val="2011 Constituency Share"/>
      <sheetName val="2011 Constituency Seat"/>
      <sheetName val="2011 Regional Votes"/>
      <sheetName val="2011 Regional Share"/>
      <sheetName val="2011 Regional Seats"/>
      <sheetName val="2007 Constituency Votes"/>
      <sheetName val="2007 Constituency Share"/>
      <sheetName val="2007 Regional Votes"/>
      <sheetName val="2007 Regional Share"/>
      <sheetName val="2003 Summary"/>
      <sheetName val="2003 notionals"/>
      <sheetName val="2003 shares"/>
      <sheetName val="1999 Summary"/>
      <sheetName val="1999 shares"/>
      <sheetName val="Party Summary Charts"/>
    </sheetNames>
    <sheetDataSet>
      <sheetData sheetId="0"/>
      <sheetData sheetId="1"/>
      <sheetData sheetId="2">
        <row r="12">
          <cell r="D12">
            <v>1999</v>
          </cell>
          <cell r="E12">
            <v>2003</v>
          </cell>
          <cell r="F12">
            <v>2007</v>
          </cell>
          <cell r="G12">
            <v>2011</v>
          </cell>
          <cell r="H12">
            <v>2016</v>
          </cell>
        </row>
        <row r="13">
          <cell r="C13" t="str">
            <v>Vote share</v>
          </cell>
          <cell r="D13">
            <v>0.16152848638753101</v>
          </cell>
          <cell r="E13">
            <v>0.19551653080841783</v>
          </cell>
          <cell r="F13">
            <v>0.21910431680832085</v>
          </cell>
          <cell r="G13">
            <v>0.2376862414330653</v>
          </cell>
          <cell r="H13">
            <v>0.1998124007250299</v>
          </cell>
        </row>
        <row r="14">
          <cell r="C14" t="str">
            <v xml:space="preserve">% Seats </v>
          </cell>
          <cell r="D14">
            <v>0.15</v>
          </cell>
          <cell r="E14">
            <v>0.18333333333333332</v>
          </cell>
          <cell r="F14">
            <v>0.2</v>
          </cell>
          <cell r="G14">
            <v>0.23333333333333334</v>
          </cell>
          <cell r="H14">
            <v>0.18333333333333332</v>
          </cell>
        </row>
        <row r="25">
          <cell r="D25">
            <v>1999</v>
          </cell>
          <cell r="E25">
            <v>2003</v>
          </cell>
          <cell r="F25">
            <v>2007</v>
          </cell>
          <cell r="G25">
            <v>2011</v>
          </cell>
          <cell r="H25">
            <v>2016</v>
          </cell>
        </row>
        <row r="26">
          <cell r="C26" t="str">
            <v>Vote share</v>
          </cell>
          <cell r="D26">
            <v>0.36493793402726665</v>
          </cell>
          <cell r="E26">
            <v>0.38283688485315259</v>
          </cell>
          <cell r="F26">
            <v>0.3092256659146142</v>
          </cell>
          <cell r="G26">
            <v>0.39597269117520772</v>
          </cell>
          <cell r="H26">
            <v>0.33088510380149089</v>
          </cell>
        </row>
        <row r="27">
          <cell r="C27" t="str">
            <v xml:space="preserve">% Seats </v>
          </cell>
          <cell r="D27">
            <v>0.46666666666666667</v>
          </cell>
          <cell r="E27">
            <v>0.5</v>
          </cell>
          <cell r="F27">
            <v>0.43333333333333335</v>
          </cell>
          <cell r="G27">
            <v>0.5</v>
          </cell>
          <cell r="H27">
            <v>0.48333333333333334</v>
          </cell>
        </row>
        <row r="38">
          <cell r="D38">
            <v>1999</v>
          </cell>
          <cell r="E38">
            <v>2003</v>
          </cell>
          <cell r="F38">
            <v>2007</v>
          </cell>
          <cell r="G38">
            <v>2011</v>
          </cell>
          <cell r="H38">
            <v>2016</v>
          </cell>
        </row>
        <row r="39">
          <cell r="C39" t="str">
            <v>Vote share</v>
          </cell>
          <cell r="D39">
            <v>0.13000212216365895</v>
          </cell>
          <cell r="E39">
            <v>0.13420364921233571</v>
          </cell>
          <cell r="F39">
            <v>0.13257868643100082</v>
          </cell>
          <cell r="G39">
            <v>9.3042613799501725E-2</v>
          </cell>
          <cell r="H39">
            <v>7.0629455544232084E-2</v>
          </cell>
        </row>
        <row r="40">
          <cell r="C40" t="str">
            <v xml:space="preserve">% Seats </v>
          </cell>
          <cell r="D40">
            <v>0.1</v>
          </cell>
          <cell r="E40">
            <v>0.1</v>
          </cell>
          <cell r="F40">
            <v>0.1</v>
          </cell>
          <cell r="G40">
            <v>8.3333333333333329E-2</v>
          </cell>
          <cell r="H40">
            <v>1.6666666666666666E-2</v>
          </cell>
        </row>
        <row r="51">
          <cell r="D51">
            <v>1999</v>
          </cell>
          <cell r="E51">
            <v>2003</v>
          </cell>
          <cell r="F51">
            <v>2007</v>
          </cell>
          <cell r="G51">
            <v>2011</v>
          </cell>
          <cell r="H51">
            <v>2016</v>
          </cell>
        </row>
        <row r="52">
          <cell r="C52" t="str">
            <v>Vote share</v>
          </cell>
          <cell r="D52">
            <v>0.29466789107089753</v>
          </cell>
          <cell r="E52">
            <v>0.20450051883838993</v>
          </cell>
          <cell r="F52">
            <v>0.21705298538874421</v>
          </cell>
          <cell r="G52">
            <v>0.18581654366034978</v>
          </cell>
          <cell r="H52">
            <v>0.20693045602453736</v>
          </cell>
        </row>
        <row r="53">
          <cell r="C53" t="str">
            <v xml:space="preserve">% Seats </v>
          </cell>
          <cell r="D53">
            <v>0.28333333333333333</v>
          </cell>
          <cell r="E53">
            <v>0.2</v>
          </cell>
          <cell r="F53">
            <v>0.25</v>
          </cell>
          <cell r="G53">
            <v>0.18333333333333332</v>
          </cell>
          <cell r="H53">
            <v>0.2</v>
          </cell>
        </row>
        <row r="62">
          <cell r="D62">
            <v>1999</v>
          </cell>
          <cell r="E62">
            <v>2003</v>
          </cell>
          <cell r="F62">
            <v>2007</v>
          </cell>
          <cell r="G62">
            <v>2011</v>
          </cell>
          <cell r="H62">
            <v>2016</v>
          </cell>
        </row>
        <row r="63">
          <cell r="C63" t="str">
            <v>Vote share</v>
          </cell>
          <cell r="D63">
            <v>0</v>
          </cell>
          <cell r="E63">
            <v>2.9000000000000001E-2</v>
          </cell>
          <cell r="F63">
            <v>2.8950605209337194E-2</v>
          </cell>
          <cell r="G63">
            <v>2.2788612647848604E-2</v>
          </cell>
          <cell r="H63">
            <v>0.12741412392465942</v>
          </cell>
        </row>
        <row r="64">
          <cell r="C64" t="str">
            <v xml:space="preserve">% Seats </v>
          </cell>
          <cell r="D64">
            <v>0</v>
          </cell>
          <cell r="E64">
            <v>0</v>
          </cell>
          <cell r="F64">
            <v>0</v>
          </cell>
          <cell r="G64">
            <v>0</v>
          </cell>
          <cell r="H64">
            <v>0.11666666666666667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istorical Summary"/>
      <sheetName val="SNP Summary"/>
      <sheetName val="CON Summary"/>
      <sheetName val="LAB Summary"/>
      <sheetName val="LD Summary"/>
      <sheetName val="GRN Summary"/>
      <sheetName val="Other parties summar"/>
      <sheetName val="UKIP Summary"/>
      <sheetName val="Party Summary Data"/>
      <sheetName val="New Results"/>
      <sheetName val="Old Results"/>
      <sheetName val="Comparison Results"/>
      <sheetName val="Candidates"/>
      <sheetName val="Turnout"/>
      <sheetName val="Change in turnout"/>
      <sheetName val="Table 1"/>
      <sheetName val="Table 2"/>
      <sheetName val="Table 2 (long version)"/>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2021 Constituency Votes"/>
      <sheetName val="2021 Constituency Share"/>
      <sheetName val="2021 Constituency Seat"/>
      <sheetName val="2021 Regional Votes"/>
      <sheetName val="2021 Regional Share"/>
      <sheetName val="2021 Regional Seat"/>
      <sheetName val="2016 Constituency Votes"/>
      <sheetName val="2016 Constituency Share"/>
      <sheetName val="2016 Constituency Seat"/>
      <sheetName val="2016 Regional Votes"/>
      <sheetName val="2016 Regional Share"/>
      <sheetName val="2016 Regional Seat"/>
      <sheetName val="2011 Constituency Votes"/>
      <sheetName val="2011 Constituency Share"/>
      <sheetName val="2011 Constituency Seat"/>
      <sheetName val="2011 Regional Votes"/>
      <sheetName val="2011 Regional Share"/>
      <sheetName val="2011 Regional Seat"/>
      <sheetName val="2007 Constituency Votes"/>
      <sheetName val="2007 Constituency Share"/>
      <sheetName val="2007 Regional Votes"/>
      <sheetName val="2007 Regional Share"/>
      <sheetName val="2003 Constituency Votes"/>
      <sheetName val="2003 Constituency Share"/>
      <sheetName val="2003 Regional Votes"/>
      <sheetName val="2003 Regional Share"/>
      <sheetName val="1999 Constituency Votes"/>
      <sheetName val="1999 Constituency Share"/>
      <sheetName val="1999 Regional Votes"/>
      <sheetName val="1999 Regional Share"/>
      <sheetName val="Party Summary 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99">
          <cell r="G99">
            <v>2704742</v>
          </cell>
          <cell r="I99">
            <v>592526</v>
          </cell>
          <cell r="J99">
            <v>584392</v>
          </cell>
          <cell r="K99">
            <v>187806</v>
          </cell>
          <cell r="L99">
            <v>1291384</v>
          </cell>
          <cell r="M99">
            <v>32903</v>
          </cell>
        </row>
      </sheetData>
      <sheetData sheetId="35" refreshError="1"/>
      <sheetData sheetId="36" refreshError="1"/>
      <sheetData sheetId="37">
        <row r="99">
          <cell r="G99">
            <v>2712833</v>
          </cell>
          <cell r="I99">
            <v>637131</v>
          </cell>
          <cell r="J99">
            <v>485819</v>
          </cell>
          <cell r="K99">
            <v>137151</v>
          </cell>
          <cell r="L99">
            <v>1094404</v>
          </cell>
          <cell r="M99">
            <v>220324</v>
          </cell>
        </row>
      </sheetData>
      <sheetData sheetId="38" refreshError="1"/>
      <sheetData sheetId="39"/>
      <sheetData sheetId="40">
        <row r="99">
          <cell r="G99">
            <v>2279154</v>
          </cell>
          <cell r="I99">
            <v>501844</v>
          </cell>
          <cell r="J99">
            <v>514261</v>
          </cell>
          <cell r="K99">
            <v>178238</v>
          </cell>
          <cell r="L99">
            <v>1059898</v>
          </cell>
          <cell r="M99">
            <v>13172</v>
          </cell>
        </row>
      </sheetData>
      <sheetData sheetId="41" refreshError="1"/>
      <sheetData sheetId="42" refreshError="1"/>
      <sheetData sheetId="43">
        <row r="99">
          <cell r="G99">
            <v>2285751</v>
          </cell>
          <cell r="I99">
            <v>524220</v>
          </cell>
          <cell r="J99">
            <v>435919</v>
          </cell>
          <cell r="K99">
            <v>119284</v>
          </cell>
          <cell r="L99">
            <v>953587</v>
          </cell>
          <cell r="M99">
            <v>150426</v>
          </cell>
        </row>
      </sheetData>
      <sheetData sheetId="44" refreshError="1"/>
      <sheetData sheetId="45" refreshError="1"/>
      <sheetData sheetId="46">
        <row r="99">
          <cell r="G99">
            <v>1989276</v>
          </cell>
          <cell r="I99">
            <v>276652</v>
          </cell>
          <cell r="J99">
            <v>630461</v>
          </cell>
          <cell r="K99">
            <v>157714</v>
          </cell>
          <cell r="L99">
            <v>902915</v>
          </cell>
          <cell r="M99">
            <v>0</v>
          </cell>
        </row>
      </sheetData>
      <sheetData sheetId="47" refreshError="1"/>
      <sheetData sheetId="48" refreshError="1"/>
      <sheetData sheetId="49">
        <row r="99">
          <cell r="G99">
            <v>1990836</v>
          </cell>
          <cell r="I99">
            <v>245967</v>
          </cell>
          <cell r="J99">
            <v>523469</v>
          </cell>
          <cell r="K99">
            <v>103472</v>
          </cell>
          <cell r="L99">
            <v>876421</v>
          </cell>
          <cell r="M99">
            <v>86939</v>
          </cell>
        </row>
      </sheetData>
      <sheetData sheetId="50" refreshError="1"/>
      <sheetData sheetId="51" refreshError="1"/>
      <sheetData sheetId="52">
        <row r="99">
          <cell r="G99">
            <v>1998083</v>
          </cell>
          <cell r="I99">
            <v>336054</v>
          </cell>
          <cell r="J99">
            <v>649574</v>
          </cell>
          <cell r="K99">
            <v>328575</v>
          </cell>
          <cell r="L99">
            <v>632033</v>
          </cell>
          <cell r="M99">
            <v>2971</v>
          </cell>
        </row>
      </sheetData>
      <sheetData sheetId="53" refreshError="1"/>
      <sheetData sheetId="54">
        <row r="99">
          <cell r="G99">
            <v>2042804</v>
          </cell>
          <cell r="I99">
            <v>284035</v>
          </cell>
          <cell r="J99">
            <v>595415</v>
          </cell>
          <cell r="K99">
            <v>230651</v>
          </cell>
          <cell r="L99">
            <v>633611</v>
          </cell>
          <cell r="M99">
            <v>82577</v>
          </cell>
        </row>
      </sheetData>
      <sheetData sheetId="55" refreshError="1"/>
      <sheetData sheetId="56">
        <row r="99">
          <cell r="G99">
            <v>1916192</v>
          </cell>
          <cell r="I99">
            <v>318279</v>
          </cell>
          <cell r="J99">
            <v>663585</v>
          </cell>
          <cell r="K99">
            <v>294347</v>
          </cell>
          <cell r="L99">
            <v>455742</v>
          </cell>
          <cell r="M99">
            <v>0</v>
          </cell>
        </row>
      </sheetData>
      <sheetData sheetId="57" refreshError="1"/>
      <sheetData sheetId="58">
        <row r="99">
          <cell r="G99">
            <v>1915851</v>
          </cell>
          <cell r="I99">
            <v>296929</v>
          </cell>
          <cell r="J99">
            <v>561375</v>
          </cell>
          <cell r="K99">
            <v>225774</v>
          </cell>
          <cell r="L99">
            <v>399659</v>
          </cell>
          <cell r="M99">
            <v>132138</v>
          </cell>
        </row>
      </sheetData>
      <sheetData sheetId="59" refreshError="1"/>
      <sheetData sheetId="60">
        <row r="99">
          <cell r="G99">
            <v>2342488</v>
          </cell>
          <cell r="I99">
            <v>364425</v>
          </cell>
          <cell r="J99">
            <v>908346</v>
          </cell>
          <cell r="K99">
            <v>333179</v>
          </cell>
          <cell r="L99">
            <v>672768</v>
          </cell>
          <cell r="M99">
            <v>0</v>
          </cell>
        </row>
      </sheetData>
      <sheetData sheetId="61" refreshError="1"/>
      <sheetData sheetId="62">
        <row r="99">
          <cell r="G99">
            <v>2338914</v>
          </cell>
          <cell r="I99">
            <v>359109</v>
          </cell>
          <cell r="J99">
            <v>786818</v>
          </cell>
          <cell r="K99">
            <v>290760</v>
          </cell>
          <cell r="L99">
            <v>638644</v>
          </cell>
          <cell r="M99">
            <v>84023</v>
          </cell>
        </row>
      </sheetData>
      <sheetData sheetId="63" refreshError="1"/>
      <sheetData sheetId="6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istorical Summary"/>
      <sheetName val="Historical Summary (Visual)"/>
      <sheetName val="SNP Summary"/>
      <sheetName val="CON Summary"/>
      <sheetName val="LAB Summary"/>
      <sheetName val="LD Summary"/>
      <sheetName val="GRN Summary"/>
      <sheetName val="UKIP Summary"/>
      <sheetName val="GRN-UKIP Summary"/>
      <sheetName val="Party Summary Data"/>
      <sheetName val="New Results"/>
      <sheetName val="Old Results"/>
      <sheetName val="Comparison Results"/>
      <sheetName val="Candidates"/>
      <sheetName val="Turnout"/>
      <sheetName val="Change in Turnout"/>
      <sheetName val="Table 1"/>
      <sheetName val="Table 2"/>
      <sheetName val="Table 2 (long version)"/>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2016 Constituency Votes"/>
      <sheetName val="2016 Constituency Share"/>
      <sheetName val="2016 Constituency Seat"/>
      <sheetName val="2016 Regional Votes"/>
      <sheetName val="2016 Regional Share"/>
      <sheetName val="2016 Regional Seat"/>
      <sheetName val="2011 Constituency Votes"/>
      <sheetName val="2011 Constituency Share"/>
      <sheetName val="2011 Constituency Seat"/>
      <sheetName val="2011 Regional Votes"/>
      <sheetName val="2011 Regional Share"/>
      <sheetName val="2011 Regional Seat"/>
      <sheetName val="2007 Constituency Votes"/>
      <sheetName val="2007 Constituency Share"/>
      <sheetName val="2007 Regional Votes"/>
      <sheetName val="2007 Regional Share"/>
      <sheetName val="2003 Constituency Votes"/>
      <sheetName val="2003 Constituency Share"/>
      <sheetName val="2003 Regional Votes"/>
      <sheetName val="2003 Regional Share"/>
      <sheetName val="1999 Constituency Votes"/>
      <sheetName val="1999 Constituency Share"/>
      <sheetName val="1999 Regional Votes"/>
      <sheetName val="1999 Regional Share"/>
      <sheetName val="Party Summary Charts"/>
      <sheetName val="Historical Summary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99">
          <cell r="G99">
            <v>2279154</v>
          </cell>
          <cell r="I99">
            <v>501844</v>
          </cell>
          <cell r="J99">
            <v>514261</v>
          </cell>
          <cell r="K99">
            <v>178238</v>
          </cell>
          <cell r="L99">
            <v>1059898</v>
          </cell>
          <cell r="M99">
            <v>13172</v>
          </cell>
          <cell r="N99">
            <v>0</v>
          </cell>
        </row>
      </sheetData>
      <sheetData sheetId="36">
        <row r="99">
          <cell r="D99">
            <v>0.22018871914754334</v>
          </cell>
          <cell r="E99">
            <v>0.22563679330137409</v>
          </cell>
          <cell r="F99">
            <v>7.8203579047313176E-2</v>
          </cell>
          <cell r="G99">
            <v>0.46504009821188036</v>
          </cell>
          <cell r="H99">
            <v>5.7793374208149166E-3</v>
          </cell>
          <cell r="I99">
            <v>0</v>
          </cell>
        </row>
      </sheetData>
      <sheetData sheetId="37">
        <row r="99">
          <cell r="D99">
            <v>7</v>
          </cell>
          <cell r="E99">
            <v>3</v>
          </cell>
          <cell r="F99">
            <v>4</v>
          </cell>
          <cell r="G99">
            <v>59</v>
          </cell>
          <cell r="H99">
            <v>0</v>
          </cell>
          <cell r="I99">
            <v>0</v>
          </cell>
        </row>
      </sheetData>
      <sheetData sheetId="38">
        <row r="99">
          <cell r="G99">
            <v>2285751</v>
          </cell>
          <cell r="I99">
            <v>524220</v>
          </cell>
          <cell r="J99">
            <v>435919</v>
          </cell>
          <cell r="K99">
            <v>119284</v>
          </cell>
          <cell r="L99">
            <v>953587</v>
          </cell>
          <cell r="M99">
            <v>150426</v>
          </cell>
          <cell r="N99">
            <v>46426</v>
          </cell>
        </row>
      </sheetData>
      <sheetData sheetId="39">
        <row r="99">
          <cell r="D99">
            <v>0.22934256618503066</v>
          </cell>
          <cell r="E99">
            <v>0.19071149919654415</v>
          </cell>
          <cell r="F99">
            <v>5.2185911763792295E-2</v>
          </cell>
          <cell r="G99">
            <v>0.41718761142399152</v>
          </cell>
          <cell r="H99">
            <v>6.5810317921768377E-2</v>
          </cell>
          <cell r="I99">
            <v>2.0311048753779391E-2</v>
          </cell>
        </row>
      </sheetData>
      <sheetData sheetId="40">
        <row r="161">
          <cell r="D161">
            <v>24</v>
          </cell>
          <cell r="E161">
            <v>21</v>
          </cell>
          <cell r="F161">
            <v>1</v>
          </cell>
          <cell r="G161">
            <v>4</v>
          </cell>
          <cell r="H161">
            <v>6</v>
          </cell>
          <cell r="I161">
            <v>0</v>
          </cell>
        </row>
      </sheetData>
      <sheetData sheetId="41">
        <row r="99">
          <cell r="G99">
            <v>1989276</v>
          </cell>
          <cell r="I99">
            <v>276652</v>
          </cell>
          <cell r="J99">
            <v>630461</v>
          </cell>
          <cell r="K99">
            <v>157714</v>
          </cell>
          <cell r="L99">
            <v>902915</v>
          </cell>
          <cell r="M99">
            <v>0</v>
          </cell>
          <cell r="N99">
            <v>2508</v>
          </cell>
        </row>
      </sheetData>
      <sheetData sheetId="42">
        <row r="99">
          <cell r="D99">
            <v>0.13907170246863684</v>
          </cell>
          <cell r="E99">
            <v>0.31692987800586747</v>
          </cell>
          <cell r="F99">
            <v>7.92821106774525E-2</v>
          </cell>
          <cell r="G99">
            <v>0.45389126496273013</v>
          </cell>
          <cell r="H99">
            <v>0</v>
          </cell>
          <cell r="I99">
            <v>1.2607601961718735E-3</v>
          </cell>
        </row>
      </sheetData>
      <sheetData sheetId="43">
        <row r="99">
          <cell r="D99">
            <v>3</v>
          </cell>
          <cell r="E99">
            <v>15</v>
          </cell>
          <cell r="F99">
            <v>2</v>
          </cell>
          <cell r="G99">
            <v>53</v>
          </cell>
          <cell r="H99">
            <v>0</v>
          </cell>
        </row>
      </sheetData>
      <sheetData sheetId="44">
        <row r="99">
          <cell r="G99">
            <v>1990836</v>
          </cell>
          <cell r="I99">
            <v>245967</v>
          </cell>
          <cell r="J99">
            <v>523469</v>
          </cell>
          <cell r="K99">
            <v>103472</v>
          </cell>
          <cell r="L99">
            <v>876421</v>
          </cell>
          <cell r="M99">
            <v>86939</v>
          </cell>
          <cell r="N99">
            <v>18353</v>
          </cell>
        </row>
      </sheetData>
      <sheetData sheetId="45">
        <row r="99">
          <cell r="D99">
            <v>0.12354960428684231</v>
          </cell>
          <cell r="E99">
            <v>0.26293928781677645</v>
          </cell>
          <cell r="F99">
            <v>5.1974145534840636E-2</v>
          </cell>
          <cell r="G99">
            <v>0.44022762296844142</v>
          </cell>
          <cell r="H99">
            <v>4.3669594080074904E-2</v>
          </cell>
          <cell r="I99">
            <v>9.2187402679075516E-3</v>
          </cell>
        </row>
      </sheetData>
      <sheetData sheetId="46">
        <row r="161">
          <cell r="D161">
            <v>12</v>
          </cell>
          <cell r="E161">
            <v>22</v>
          </cell>
          <cell r="F161">
            <v>3</v>
          </cell>
          <cell r="G161">
            <v>16</v>
          </cell>
          <cell r="H161">
            <v>2</v>
          </cell>
        </row>
      </sheetData>
      <sheetData sheetId="47">
        <row r="99">
          <cell r="G99">
            <v>1998083</v>
          </cell>
          <cell r="I99">
            <v>336054</v>
          </cell>
          <cell r="J99">
            <v>649574</v>
          </cell>
          <cell r="K99">
            <v>328575</v>
          </cell>
          <cell r="L99">
            <v>632033</v>
          </cell>
          <cell r="M99">
            <v>2971</v>
          </cell>
          <cell r="N99">
            <v>0</v>
          </cell>
        </row>
      </sheetData>
      <sheetData sheetId="48"/>
      <sheetData sheetId="49">
        <row r="99">
          <cell r="G99">
            <v>2042804</v>
          </cell>
          <cell r="I99">
            <v>284035</v>
          </cell>
          <cell r="J99">
            <v>595415</v>
          </cell>
          <cell r="K99">
            <v>230651</v>
          </cell>
          <cell r="L99">
            <v>633611</v>
          </cell>
          <cell r="M99">
            <v>82577</v>
          </cell>
          <cell r="N99">
            <v>8197</v>
          </cell>
        </row>
      </sheetData>
      <sheetData sheetId="50"/>
      <sheetData sheetId="51">
        <row r="99">
          <cell r="G99">
            <v>1916192</v>
          </cell>
          <cell r="I99">
            <v>318279</v>
          </cell>
          <cell r="J99">
            <v>663585</v>
          </cell>
          <cell r="K99">
            <v>294347</v>
          </cell>
          <cell r="L99">
            <v>455742</v>
          </cell>
          <cell r="M99">
            <v>0</v>
          </cell>
          <cell r="N99">
            <v>0</v>
          </cell>
        </row>
      </sheetData>
      <sheetData sheetId="52"/>
      <sheetData sheetId="53">
        <row r="99">
          <cell r="G99">
            <v>1915851</v>
          </cell>
          <cell r="I99">
            <v>296929</v>
          </cell>
          <cell r="J99">
            <v>561375</v>
          </cell>
          <cell r="K99">
            <v>225774</v>
          </cell>
          <cell r="L99">
            <v>399659</v>
          </cell>
          <cell r="M99">
            <v>132138</v>
          </cell>
          <cell r="N99">
            <v>11969</v>
          </cell>
        </row>
      </sheetData>
      <sheetData sheetId="54"/>
      <sheetData sheetId="55">
        <row r="99">
          <cell r="G99">
            <v>2342488</v>
          </cell>
          <cell r="I99">
            <v>364425</v>
          </cell>
          <cell r="J99">
            <v>908346</v>
          </cell>
          <cell r="K99">
            <v>333179</v>
          </cell>
          <cell r="L99">
            <v>672768</v>
          </cell>
          <cell r="M99">
            <v>0</v>
          </cell>
          <cell r="N99">
            <v>0</v>
          </cell>
        </row>
      </sheetData>
      <sheetData sheetId="56"/>
      <sheetData sheetId="57">
        <row r="99">
          <cell r="G99">
            <v>2338914</v>
          </cell>
          <cell r="I99">
            <v>359109</v>
          </cell>
          <cell r="J99">
            <v>786818</v>
          </cell>
          <cell r="K99">
            <v>290760</v>
          </cell>
          <cell r="L99">
            <v>638644</v>
          </cell>
          <cell r="M99">
            <v>84023</v>
          </cell>
          <cell r="N99">
            <v>0</v>
          </cell>
        </row>
      </sheetData>
      <sheetData sheetId="58"/>
      <sheetData sheetId="59"/>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didates and party work"/>
      <sheetName val="1st pref votes by party"/>
      <sheetName val="Elected- by sitting in prev NIA"/>
      <sheetName val="Sheet4"/>
      <sheetName val="Elected- by gender and party"/>
      <sheetName val="Elected-elim by party"/>
      <sheetName val="Turnout by constituency"/>
      <sheetName val="Sheet3"/>
      <sheetName val="Sheet1"/>
      <sheetName val="Candidates and votes 2016 worki"/>
      <sheetName val="Sheet6"/>
      <sheetName val="Gender by party"/>
      <sheetName val="Gender by constituency"/>
      <sheetName val="Candidates 2016"/>
      <sheetName val="Cands &amp; MLAs by gende 1998-2016"/>
      <sheetName val="Chart1"/>
      <sheetName val="1st pref+seats by party 98-16"/>
      <sheetName val="1st pref+seats by party 98- (2"/>
    </sheetNames>
    <sheetDataSet>
      <sheetData sheetId="0"/>
      <sheetData sheetId="1">
        <row r="4">
          <cell r="D4" t="str">
            <v>Alliance</v>
          </cell>
          <cell r="E4">
            <v>48447</v>
          </cell>
        </row>
        <row r="5">
          <cell r="D5" t="str">
            <v>Animal Welfare Party</v>
          </cell>
          <cell r="E5">
            <v>224</v>
          </cell>
        </row>
        <row r="6">
          <cell r="D6" t="str">
            <v>Cannabis Is Safer Than Alcohol</v>
          </cell>
          <cell r="E6">
            <v>2510</v>
          </cell>
        </row>
        <row r="7">
          <cell r="D7" t="str">
            <v>Conservative</v>
          </cell>
          <cell r="E7">
            <v>2554</v>
          </cell>
        </row>
        <row r="8">
          <cell r="D8" t="str">
            <v>Cross-Community Labour Alternative</v>
          </cell>
          <cell r="E8">
            <v>1939</v>
          </cell>
        </row>
        <row r="9">
          <cell r="D9" t="str">
            <v>Democracy First</v>
          </cell>
          <cell r="E9">
            <v>124</v>
          </cell>
        </row>
        <row r="10">
          <cell r="D10" t="str">
            <v>DUP</v>
          </cell>
          <cell r="E10">
            <v>202567</v>
          </cell>
        </row>
        <row r="11">
          <cell r="D11" t="str">
            <v>Green Party</v>
          </cell>
          <cell r="E11">
            <v>18718</v>
          </cell>
        </row>
        <row r="12">
          <cell r="D12" t="str">
            <v>Independent</v>
          </cell>
          <cell r="E12">
            <v>22650</v>
          </cell>
        </row>
        <row r="13">
          <cell r="D13" t="str">
            <v>Northern Ireland First</v>
          </cell>
          <cell r="E13">
            <v>32</v>
          </cell>
        </row>
        <row r="14">
          <cell r="D14" t="str">
            <v>Northern Ireland Labour Representation Committee</v>
          </cell>
          <cell r="E14">
            <v>1577</v>
          </cell>
        </row>
        <row r="15">
          <cell r="D15" t="str">
            <v>People Before Profit Alliance</v>
          </cell>
          <cell r="E15">
            <v>13761</v>
          </cell>
        </row>
        <row r="16">
          <cell r="D16" t="str">
            <v>PUP</v>
          </cell>
          <cell r="E16">
            <v>5955</v>
          </cell>
        </row>
        <row r="17">
          <cell r="D17" t="str">
            <v>SDLP</v>
          </cell>
          <cell r="E17">
            <v>83364</v>
          </cell>
        </row>
        <row r="18">
          <cell r="D18" t="str">
            <v>Sinn Féin</v>
          </cell>
          <cell r="E18">
            <v>166785</v>
          </cell>
        </row>
        <row r="19">
          <cell r="D19" t="str">
            <v>South Belfast Unionists</v>
          </cell>
          <cell r="E19">
            <v>351</v>
          </cell>
        </row>
        <row r="20">
          <cell r="D20" t="str">
            <v>TUV</v>
          </cell>
          <cell r="E20">
            <v>23776</v>
          </cell>
        </row>
        <row r="21">
          <cell r="D21" t="str">
            <v>UKIP</v>
          </cell>
          <cell r="E21">
            <v>10109</v>
          </cell>
        </row>
        <row r="22">
          <cell r="D22" t="str">
            <v>UUP</v>
          </cell>
          <cell r="E22">
            <v>87302</v>
          </cell>
        </row>
        <row r="23">
          <cell r="D23" t="str">
            <v>Workers Party</v>
          </cell>
          <cell r="E23">
            <v>1565</v>
          </cell>
        </row>
        <row r="24">
          <cell r="D24" t="str">
            <v>Total</v>
          </cell>
          <cell r="E24">
            <v>694310</v>
          </cell>
        </row>
      </sheetData>
      <sheetData sheetId="2">
        <row r="5">
          <cell r="G5" t="str">
            <v>Alliance</v>
          </cell>
          <cell r="H5">
            <v>8</v>
          </cell>
        </row>
        <row r="6">
          <cell r="G6" t="str">
            <v>DUP</v>
          </cell>
          <cell r="H6">
            <v>38</v>
          </cell>
        </row>
        <row r="7">
          <cell r="G7" t="str">
            <v>Green Party</v>
          </cell>
          <cell r="H7">
            <v>2</v>
          </cell>
        </row>
        <row r="8">
          <cell r="G8" t="str">
            <v>Independent</v>
          </cell>
          <cell r="H8">
            <v>1</v>
          </cell>
        </row>
        <row r="9">
          <cell r="G9" t="str">
            <v>People Before Profit Alliance</v>
          </cell>
          <cell r="H9">
            <v>2</v>
          </cell>
        </row>
        <row r="10">
          <cell r="G10" t="str">
            <v>SDLP</v>
          </cell>
          <cell r="H10">
            <v>12</v>
          </cell>
        </row>
        <row r="11">
          <cell r="G11" t="str">
            <v>Sinn Féin</v>
          </cell>
          <cell r="H11">
            <v>28</v>
          </cell>
        </row>
        <row r="12">
          <cell r="G12" t="str">
            <v>TUV</v>
          </cell>
          <cell r="H12">
            <v>1</v>
          </cell>
        </row>
        <row r="13">
          <cell r="G13" t="str">
            <v>UUP</v>
          </cell>
          <cell r="H13">
            <v>16</v>
          </cell>
        </row>
        <row r="14">
          <cell r="G14" t="str">
            <v>Total</v>
          </cell>
          <cell r="H14">
            <v>108</v>
          </cell>
        </row>
      </sheetData>
      <sheetData sheetId="3"/>
      <sheetData sheetId="4"/>
      <sheetData sheetId="5"/>
      <sheetData sheetId="6">
        <row r="22">
          <cell r="I22">
            <v>1281595</v>
          </cell>
        </row>
      </sheetData>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Office Theme">
  <a:themeElements>
    <a:clrScheme name="NEW GREENS">
      <a:dk1>
        <a:sysClr val="windowText" lastClr="000000"/>
      </a:dk1>
      <a:lt1>
        <a:sysClr val="window" lastClr="FFFFFF"/>
      </a:lt1>
      <a:dk2>
        <a:srgbClr val="44546A"/>
      </a:dk2>
      <a:lt2>
        <a:srgbClr val="E7E6E6"/>
      </a:lt2>
      <a:accent1>
        <a:srgbClr val="36845B"/>
      </a:accent1>
      <a:accent2>
        <a:srgbClr val="A3D9BC"/>
      </a:accent2>
      <a:accent3>
        <a:srgbClr val="9AC1AD"/>
      </a:accent3>
      <a:accent4>
        <a:srgbClr val="4472C4"/>
      </a:accent4>
      <a:accent5>
        <a:srgbClr val="FFC000"/>
      </a:accent5>
      <a:accent6>
        <a:srgbClr val="D25F15"/>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1" cap="flat" cmpd="sng" algn="ctr">
          <a:noFill/>
          <a:prstDash val="solid"/>
          <a:round/>
          <a:headEnd type="none" w="med" len="med"/>
          <a:tailEnd type="none" w="med" len="med"/>
        </a:ln>
        <a:effectLst/>
      </a:spPr>
      <a:bodyPr vertOverflow="clip" wrap="square" lIns="18288" tIns="0" rIns="0" bIns="0" upright="1"/>
      <a:lstStyle/>
    </a:lnDef>
    <a:txDef>
      <a:spPr/>
      <a:bodyPr vertOverflow="clip" wrap="square" rtlCol="0"/>
      <a:lstStyle>
        <a:defPPr>
          <a:defRPr sz="900">
            <a:latin typeface="Arial" pitchFamily="34" charset="0"/>
            <a:cs typeface="Arial" pitchFamily="34"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50.xml"/><Relationship Id="rId2" Type="http://schemas.openxmlformats.org/officeDocument/2006/relationships/printerSettings" Target="../printerSettings/printerSettings20.bin"/><Relationship Id="rId1" Type="http://schemas.openxmlformats.org/officeDocument/2006/relationships/hyperlink" Target="https://researchbriefings.parliament.uk/ResearchBriefing/Summary/CBP-874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62.xml"/><Relationship Id="rId2" Type="http://schemas.openxmlformats.org/officeDocument/2006/relationships/printerSettings" Target="../printerSettings/printerSettings27.bin"/><Relationship Id="rId1" Type="http://schemas.openxmlformats.org/officeDocument/2006/relationships/hyperlink" Target="http://www.obv.org.uk/index.php?option=com_content&amp;task=category&amp;sectionid=7&amp;id=101&amp;Itemid=115" TargetMode="Externa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66.xml"/><Relationship Id="rId2" Type="http://schemas.openxmlformats.org/officeDocument/2006/relationships/printerSettings" Target="../printerSettings/printerSettings31.bin"/><Relationship Id="rId1" Type="http://schemas.openxmlformats.org/officeDocument/2006/relationships/hyperlink" Target="http://www.totalpolitics.com/articles/4488/the-new-house-of-commons.thtml"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3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3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3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7.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8.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51.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6.bin"/></Relationships>
</file>

<file path=xl/worksheets/_rels/sheet56.xml.rels><?xml version="1.0" encoding="UTF-8" standalone="yes"?>
<Relationships xmlns="http://schemas.openxmlformats.org/package/2006/relationships"><Relationship Id="rId3" Type="http://schemas.openxmlformats.org/officeDocument/2006/relationships/hyperlink" Target="https://hopuk-my.sharepoint.com/personal/pillings_parliament_uk/Downloads/Results%20Factsheet%202021_0.pdf" TargetMode="External"/><Relationship Id="rId2" Type="http://schemas.openxmlformats.org/officeDocument/2006/relationships/hyperlink" Target="http://data.london.gov.uk/datastore/package/london-elections-results-2012-wards-boroughs-constituency" TargetMode="External"/><Relationship Id="rId1" Type="http://schemas.openxmlformats.org/officeDocument/2006/relationships/hyperlink" Target="http://data.london.gov.uk/datastore/package/london-elections-results-2000" TargetMode="External"/><Relationship Id="rId4" Type="http://schemas.openxmlformats.org/officeDocument/2006/relationships/printerSettings" Target="../printerSettings/printerSettings57.bin"/></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hyperlink" Target="http://www.london.gov.uk/who-runs-london/the-london-assembly/members" TargetMode="External"/></Relationships>
</file>

<file path=xl/worksheets/_rels/sheet58.xml.rels><?xml version="1.0" encoding="UTF-8" standalone="yes"?>
<Relationships xmlns="http://schemas.openxmlformats.org/package/2006/relationships"><Relationship Id="rId3" Type="http://schemas.openxmlformats.org/officeDocument/2006/relationships/drawing" Target="../drawings/drawing95.xml"/><Relationship Id="rId2" Type="http://schemas.openxmlformats.org/officeDocument/2006/relationships/printerSettings" Target="../printerSettings/printerSettings59.bin"/><Relationship Id="rId1" Type="http://schemas.openxmlformats.org/officeDocument/2006/relationships/hyperlink" Target="http://www.london.gov.uk/who-runs-london/the-london-assembly/members"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61.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6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65.bin"/></Relationships>
</file>

<file path=xl/worksheets/_rels/sheet65.xml.rels><?xml version="1.0" encoding="UTF-8" standalone="yes"?>
<Relationships xmlns="http://schemas.openxmlformats.org/package/2006/relationships"><Relationship Id="rId3" Type="http://schemas.openxmlformats.org/officeDocument/2006/relationships/hyperlink" Target="http://www.salford.gov.uk/pr-12-3102.htm" TargetMode="External"/><Relationship Id="rId2" Type="http://schemas.openxmlformats.org/officeDocument/2006/relationships/hyperlink" Target="http://www.great-yarmouth.gov.uk/" TargetMode="External"/><Relationship Id="rId1" Type="http://schemas.openxmlformats.org/officeDocument/2006/relationships/hyperlink" Target="http://www.towerhamlets.gov.uk/" TargetMode="External"/><Relationship Id="rId6" Type="http://schemas.openxmlformats.org/officeDocument/2006/relationships/drawing" Target="../drawings/drawing103.xml"/><Relationship Id="rId5" Type="http://schemas.openxmlformats.org/officeDocument/2006/relationships/printerSettings" Target="../printerSettings/printerSettings66.bin"/><Relationship Id="rId4" Type="http://schemas.openxmlformats.org/officeDocument/2006/relationships/hyperlink" Target="http://researchbriefings.parliament.uk/ResearchBriefing/Summary/SN05000" TargetMode="External"/></Relationships>
</file>

<file path=xl/worksheets/_rels/sheet66.xml.rels><?xml version="1.0" encoding="UTF-8" standalone="yes"?>
<Relationships xmlns="http://schemas.openxmlformats.org/package/2006/relationships"><Relationship Id="rId8" Type="http://schemas.openxmlformats.org/officeDocument/2006/relationships/printerSettings" Target="../printerSettings/printerSettings67.bin"/><Relationship Id="rId3" Type="http://schemas.openxmlformats.org/officeDocument/2006/relationships/hyperlink" Target="http://www.salford.gov.uk/pr-12-3102.htm" TargetMode="External"/><Relationship Id="rId7" Type="http://schemas.openxmlformats.org/officeDocument/2006/relationships/hyperlink" Target="http://researchbriefings.parliament.uk/ResearchBriefing/Summary/SN05000" TargetMode="External"/><Relationship Id="rId2" Type="http://schemas.openxmlformats.org/officeDocument/2006/relationships/hyperlink" Target="http://www.great-yarmouth.gov.uk/" TargetMode="External"/><Relationship Id="rId1" Type="http://schemas.openxmlformats.org/officeDocument/2006/relationships/hyperlink" Target="http://www.towerhamlets.gov.uk/" TargetMode="External"/><Relationship Id="rId6" Type="http://schemas.openxmlformats.org/officeDocument/2006/relationships/hyperlink" Target="http://www.salford.gov.uk/pr-12-3102.htm" TargetMode="External"/><Relationship Id="rId5" Type="http://schemas.openxmlformats.org/officeDocument/2006/relationships/hyperlink" Target="http://www.great-yarmouth.gov.uk/" TargetMode="External"/><Relationship Id="rId4" Type="http://schemas.openxmlformats.org/officeDocument/2006/relationships/hyperlink" Target="http://www.towerhamlets.gov.uk/" TargetMode="External"/><Relationship Id="rId9" Type="http://schemas.openxmlformats.org/officeDocument/2006/relationships/drawing" Target="../drawings/drawing105.xml"/></Relationships>
</file>

<file path=xl/worksheets/_rels/sheet67.xml.rels><?xml version="1.0" encoding="UTF-8" standalone="yes"?>
<Relationships xmlns="http://schemas.openxmlformats.org/package/2006/relationships"><Relationship Id="rId3" Type="http://schemas.openxmlformats.org/officeDocument/2006/relationships/hyperlink" Target="http://www.bedford.gov.uk/council_and_democracy/elections/2011_-_council_elections/mayoral_results.aspx" TargetMode="External"/><Relationship Id="rId7" Type="http://schemas.openxmlformats.org/officeDocument/2006/relationships/printerSettings" Target="../printerSettings/printerSettings68.bin"/><Relationship Id="rId2" Type="http://schemas.openxmlformats.org/officeDocument/2006/relationships/hyperlink" Target="http://www.middlesbrough.gov.uk/public/Council,%20government%20&amp;%20democracy/5%20May%202011%20Declaration%20of%20Results%20pdfs/Decleration%20of%20Mayoral%20Results%202011%202.pdf" TargetMode="External"/><Relationship Id="rId1" Type="http://schemas.openxmlformats.org/officeDocument/2006/relationships/hyperlink" Target="http://www.torbay.gov.uk/index/council/elections/electionresults/mayoralelectionresults.htm" TargetMode="External"/><Relationship Id="rId6" Type="http://schemas.openxmlformats.org/officeDocument/2006/relationships/hyperlink" Target="https://www.lewisham.gov.uk/mayorandcouncil/elections/results/Documents/ElectionWardResultsMayoral2018.pdf" TargetMode="External"/><Relationship Id="rId5" Type="http://schemas.openxmlformats.org/officeDocument/2006/relationships/hyperlink" Target="https://www.bbc.co.uk/news/uk-politics-43831452" TargetMode="External"/><Relationship Id="rId4" Type="http://schemas.openxmlformats.org/officeDocument/2006/relationships/hyperlink" Target="https://hackney.gov.uk/mayor-election"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7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1.bin"/><Relationship Id="rId1" Type="http://schemas.openxmlformats.org/officeDocument/2006/relationships/hyperlink" Target="http://researchbriefings.parliament.uk/ResearchBriefing/Summary/CBP-7595" TargetMode="External"/></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72.bin"/></Relationships>
</file>

<file path=xl/worksheets/_rels/sheet72.xml.rels><?xml version="1.0" encoding="UTF-8" standalone="yes"?>
<Relationships xmlns="http://schemas.openxmlformats.org/package/2006/relationships"><Relationship Id="rId2" Type="http://schemas.openxmlformats.org/officeDocument/2006/relationships/printerSettings" Target="../printerSettings/printerSettings73.bin"/><Relationship Id="rId1" Type="http://schemas.openxmlformats.org/officeDocument/2006/relationships/hyperlink" Target="http://researchbriefings.parliament.uk/ResearchBriefing/Summary/CBP-7595" TargetMode="Externa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7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76.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77.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78.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8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drawing" Target="../drawings/drawing115.xml"/><Relationship Id="rId2" Type="http://schemas.openxmlformats.org/officeDocument/2006/relationships/printerSettings" Target="../printerSettings/printerSettings81.bin"/><Relationship Id="rId1" Type="http://schemas.openxmlformats.org/officeDocument/2006/relationships/hyperlink" Target="http://referendumresults.aboutmyvote.co.uk/en/all-local-voting-area-declarations.aspx" TargetMode="External"/></Relationships>
</file>

<file path=xl/worksheets/_rels/sheet81.xml.rels><?xml version="1.0" encoding="UTF-8" standalone="yes"?>
<Relationships xmlns="http://schemas.openxmlformats.org/package/2006/relationships"><Relationship Id="rId3" Type="http://schemas.openxmlformats.org/officeDocument/2006/relationships/drawing" Target="../drawings/drawing117.xml"/><Relationship Id="rId2" Type="http://schemas.openxmlformats.org/officeDocument/2006/relationships/printerSettings" Target="../printerSettings/printerSettings82.bin"/><Relationship Id="rId1" Type="http://schemas.openxmlformats.org/officeDocument/2006/relationships/hyperlink" Target="http://referendumresults.aboutmyvote.co.uk/en/all-local-voting-area-declarations.aspx" TargetMode="Externa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83.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84.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9.bin"/><Relationship Id="rId1" Type="http://schemas.openxmlformats.org/officeDocument/2006/relationships/hyperlink" Target="https://www.gov.uk/government/history/past-prime-ministers" TargetMode="External"/></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E71"/>
  <sheetViews>
    <sheetView showGridLines="0" topLeftCell="A35" zoomScale="70" zoomScaleNormal="70" workbookViewId="0">
      <selection activeCell="I47" sqref="I47"/>
    </sheetView>
  </sheetViews>
  <sheetFormatPr baseColWidth="10" defaultColWidth="9.3984375" defaultRowHeight="20"/>
  <cols>
    <col min="1" max="1" width="20.19921875" style="981" customWidth="1"/>
    <col min="2" max="2" width="4" style="981" customWidth="1"/>
    <col min="3" max="3" width="132" style="981" customWidth="1"/>
    <col min="4" max="4" width="1.19921875" style="981" customWidth="1"/>
    <col min="5" max="5" width="18.796875" style="982" customWidth="1"/>
    <col min="6" max="16384" width="9.3984375" style="981"/>
  </cols>
  <sheetData>
    <row r="1" spans="1:5" hidden="1">
      <c r="A1" s="979" t="s">
        <v>439</v>
      </c>
      <c r="B1" s="979"/>
      <c r="C1" s="979"/>
      <c r="D1" s="979"/>
      <c r="E1" s="980"/>
    </row>
    <row r="2" spans="1:5" ht="25">
      <c r="A2" s="985" t="s">
        <v>2700</v>
      </c>
      <c r="B2" s="984"/>
      <c r="C2" s="984"/>
      <c r="D2" s="984"/>
      <c r="E2" s="984"/>
    </row>
    <row r="3" spans="1:5" ht="42.75" customHeight="1">
      <c r="A3" s="983" t="s">
        <v>440</v>
      </c>
      <c r="B3" s="983"/>
      <c r="C3" s="3141" t="s">
        <v>441</v>
      </c>
      <c r="D3" s="3142"/>
      <c r="E3" s="3143" t="s">
        <v>2139</v>
      </c>
    </row>
    <row r="4" spans="1:5">
      <c r="A4" s="981" t="s">
        <v>52</v>
      </c>
      <c r="C4" s="3144" t="s">
        <v>2515</v>
      </c>
      <c r="E4" s="981">
        <v>16</v>
      </c>
    </row>
    <row r="5" spans="1:5">
      <c r="A5" s="981" t="s">
        <v>96</v>
      </c>
      <c r="C5" s="3144" t="s">
        <v>2515</v>
      </c>
      <c r="E5" s="981">
        <v>17</v>
      </c>
    </row>
    <row r="6" spans="1:5">
      <c r="A6" s="981" t="s">
        <v>94</v>
      </c>
      <c r="C6" s="3144" t="s">
        <v>2516</v>
      </c>
      <c r="E6" s="981">
        <v>18</v>
      </c>
    </row>
    <row r="7" spans="1:5">
      <c r="A7" s="981" t="s">
        <v>97</v>
      </c>
      <c r="C7" s="3144" t="s">
        <v>2516</v>
      </c>
      <c r="E7" s="981">
        <v>19</v>
      </c>
    </row>
    <row r="8" spans="1:5">
      <c r="A8" s="981" t="s">
        <v>100</v>
      </c>
      <c r="C8" s="3144" t="s">
        <v>2517</v>
      </c>
      <c r="E8" s="981">
        <v>20</v>
      </c>
    </row>
    <row r="9" spans="1:5">
      <c r="A9" s="981" t="s">
        <v>102</v>
      </c>
      <c r="C9" s="3144" t="s">
        <v>2517</v>
      </c>
      <c r="E9" s="981">
        <v>21</v>
      </c>
    </row>
    <row r="10" spans="1:5">
      <c r="A10" s="981" t="s">
        <v>1627</v>
      </c>
      <c r="C10" s="3144" t="s">
        <v>2518</v>
      </c>
      <c r="E10" s="981">
        <v>22</v>
      </c>
    </row>
    <row r="11" spans="1:5">
      <c r="A11" s="981" t="s">
        <v>1628</v>
      </c>
      <c r="C11" s="3144" t="s">
        <v>2518</v>
      </c>
      <c r="E11" s="981">
        <v>23</v>
      </c>
    </row>
    <row r="12" spans="1:5">
      <c r="A12" s="981" t="s">
        <v>1629</v>
      </c>
      <c r="C12" s="3144" t="s">
        <v>2519</v>
      </c>
      <c r="E12" s="981">
        <v>24</v>
      </c>
    </row>
    <row r="13" spans="1:5">
      <c r="A13" s="981" t="s">
        <v>1630</v>
      </c>
      <c r="C13" s="3144" t="s">
        <v>2519</v>
      </c>
      <c r="E13" s="981">
        <v>25</v>
      </c>
    </row>
    <row r="14" spans="1:5">
      <c r="A14" s="981" t="s">
        <v>1631</v>
      </c>
      <c r="C14" s="3144" t="s">
        <v>2520</v>
      </c>
      <c r="E14" s="981">
        <v>26</v>
      </c>
    </row>
    <row r="15" spans="1:5">
      <c r="A15" s="981" t="s">
        <v>1632</v>
      </c>
      <c r="C15" s="3144" t="s">
        <v>2520</v>
      </c>
      <c r="E15" s="981">
        <v>27</v>
      </c>
    </row>
    <row r="16" spans="1:5">
      <c r="A16" s="981" t="s">
        <v>123</v>
      </c>
      <c r="C16" s="3144" t="s">
        <v>2521</v>
      </c>
      <c r="E16" s="981">
        <v>29</v>
      </c>
    </row>
    <row r="17" spans="1:5">
      <c r="A17" s="981" t="s">
        <v>124</v>
      </c>
      <c r="C17" s="3144" t="s">
        <v>2522</v>
      </c>
      <c r="E17" s="981">
        <v>31</v>
      </c>
    </row>
    <row r="18" spans="1:5">
      <c r="A18" s="981" t="s">
        <v>125</v>
      </c>
      <c r="C18" s="3144" t="s">
        <v>2523</v>
      </c>
      <c r="E18" s="981">
        <v>32</v>
      </c>
    </row>
    <row r="19" spans="1:5">
      <c r="A19" s="981" t="s">
        <v>109</v>
      </c>
      <c r="C19" s="3144" t="s">
        <v>2524</v>
      </c>
      <c r="E19" s="981">
        <v>34</v>
      </c>
    </row>
    <row r="20" spans="1:5">
      <c r="A20" s="981" t="s">
        <v>1488</v>
      </c>
      <c r="C20" s="3144" t="s">
        <v>2902</v>
      </c>
      <c r="E20" s="981">
        <v>35</v>
      </c>
    </row>
    <row r="21" spans="1:5">
      <c r="A21" s="981" t="s">
        <v>295</v>
      </c>
      <c r="C21" s="3144" t="s">
        <v>2901</v>
      </c>
      <c r="E21" s="981">
        <v>35</v>
      </c>
    </row>
    <row r="22" spans="1:5">
      <c r="A22" s="981" t="s">
        <v>1489</v>
      </c>
      <c r="C22" s="3144" t="s">
        <v>2525</v>
      </c>
      <c r="E22" s="981">
        <v>36</v>
      </c>
    </row>
    <row r="23" spans="1:5">
      <c r="A23" s="981" t="s">
        <v>1490</v>
      </c>
      <c r="C23" s="3144" t="s">
        <v>2526</v>
      </c>
      <c r="E23" s="981">
        <v>37</v>
      </c>
    </row>
    <row r="24" spans="1:5">
      <c r="A24" s="981" t="s">
        <v>140</v>
      </c>
      <c r="C24" s="3144" t="s">
        <v>2900</v>
      </c>
      <c r="E24" s="981">
        <v>38</v>
      </c>
    </row>
    <row r="25" spans="1:5">
      <c r="A25" s="981" t="s">
        <v>1633</v>
      </c>
      <c r="C25" s="3144" t="s">
        <v>1634</v>
      </c>
      <c r="E25" s="981">
        <v>40</v>
      </c>
    </row>
    <row r="26" spans="1:5">
      <c r="A26" s="981" t="s">
        <v>1635</v>
      </c>
      <c r="C26" s="3144" t="s">
        <v>1634</v>
      </c>
      <c r="E26" s="981">
        <v>41</v>
      </c>
    </row>
    <row r="27" spans="1:5">
      <c r="A27" s="981" t="s">
        <v>2449</v>
      </c>
      <c r="C27" s="3144" t="s">
        <v>2723</v>
      </c>
      <c r="E27" s="981">
        <v>43</v>
      </c>
    </row>
    <row r="28" spans="1:5">
      <c r="A28" s="981" t="s">
        <v>824</v>
      </c>
      <c r="C28" s="3144" t="s">
        <v>2899</v>
      </c>
      <c r="E28" s="981">
        <v>45</v>
      </c>
    </row>
    <row r="29" spans="1:5">
      <c r="A29" s="981" t="s">
        <v>149</v>
      </c>
      <c r="C29" s="3144" t="s">
        <v>1491</v>
      </c>
      <c r="E29" s="981">
        <v>48</v>
      </c>
    </row>
    <row r="30" spans="1:5">
      <c r="A30" s="981" t="s">
        <v>1492</v>
      </c>
      <c r="C30" s="3144" t="s">
        <v>1493</v>
      </c>
      <c r="E30" s="981">
        <v>58</v>
      </c>
    </row>
    <row r="31" spans="1:5">
      <c r="A31" s="981" t="s">
        <v>1494</v>
      </c>
      <c r="C31" s="3144" t="s">
        <v>2898</v>
      </c>
      <c r="E31" s="981">
        <v>59</v>
      </c>
    </row>
    <row r="32" spans="1:5">
      <c r="A32" s="981" t="s">
        <v>1495</v>
      </c>
      <c r="C32" s="3144" t="s">
        <v>2724</v>
      </c>
      <c r="E32" s="981">
        <v>61</v>
      </c>
    </row>
    <row r="33" spans="1:5">
      <c r="A33" s="981" t="s">
        <v>1496</v>
      </c>
      <c r="C33" s="3144" t="s">
        <v>2725</v>
      </c>
      <c r="E33" s="981">
        <v>63</v>
      </c>
    </row>
    <row r="34" spans="1:5">
      <c r="A34" s="981" t="s">
        <v>442</v>
      </c>
      <c r="C34" s="3144" t="s">
        <v>2897</v>
      </c>
      <c r="E34" s="981">
        <v>66</v>
      </c>
    </row>
    <row r="35" spans="1:5">
      <c r="A35" s="981" t="s">
        <v>1636</v>
      </c>
      <c r="C35" s="3144" t="s">
        <v>2896</v>
      </c>
      <c r="E35" s="981">
        <v>68</v>
      </c>
    </row>
    <row r="36" spans="1:5">
      <c r="A36" s="981" t="s">
        <v>443</v>
      </c>
      <c r="C36" s="3144" t="s">
        <v>2527</v>
      </c>
      <c r="E36" s="981">
        <v>70</v>
      </c>
    </row>
    <row r="37" spans="1:5">
      <c r="A37" s="981" t="s">
        <v>693</v>
      </c>
      <c r="C37" s="3144" t="s">
        <v>1497</v>
      </c>
      <c r="E37" s="981">
        <v>70</v>
      </c>
    </row>
    <row r="38" spans="1:5">
      <c r="A38" s="981" t="s">
        <v>805</v>
      </c>
      <c r="C38" s="3144" t="s">
        <v>2895</v>
      </c>
      <c r="E38" s="981">
        <v>71</v>
      </c>
    </row>
    <row r="39" spans="1:5">
      <c r="A39" s="981" t="s">
        <v>1498</v>
      </c>
      <c r="C39" s="3144" t="s">
        <v>2894</v>
      </c>
      <c r="E39" s="981">
        <v>73</v>
      </c>
    </row>
    <row r="40" spans="1:5">
      <c r="A40" s="981" t="s">
        <v>2730</v>
      </c>
      <c r="C40" s="3144" t="s">
        <v>2893</v>
      </c>
      <c r="E40" s="3393" t="s">
        <v>2904</v>
      </c>
    </row>
    <row r="41" spans="1:5">
      <c r="A41" s="981" t="s">
        <v>803</v>
      </c>
      <c r="C41" s="3144" t="s">
        <v>2481</v>
      </c>
      <c r="E41" s="981">
        <v>76</v>
      </c>
    </row>
    <row r="42" spans="1:5">
      <c r="A42" s="981" t="s">
        <v>215</v>
      </c>
      <c r="C42" s="3144" t="s">
        <v>2892</v>
      </c>
      <c r="E42" s="981">
        <v>77</v>
      </c>
    </row>
    <row r="43" spans="1:5">
      <c r="A43" s="981" t="s">
        <v>694</v>
      </c>
      <c r="C43" s="3144" t="s">
        <v>2528</v>
      </c>
      <c r="E43" s="981">
        <v>80</v>
      </c>
    </row>
    <row r="44" spans="1:5">
      <c r="A44" s="981" t="s">
        <v>695</v>
      </c>
      <c r="C44" s="3144" t="s">
        <v>2890</v>
      </c>
      <c r="E44" s="981">
        <v>81</v>
      </c>
    </row>
    <row r="45" spans="1:5">
      <c r="A45" s="981" t="s">
        <v>696</v>
      </c>
      <c r="C45" s="3144" t="s">
        <v>2891</v>
      </c>
      <c r="E45" s="981">
        <v>83</v>
      </c>
    </row>
    <row r="46" spans="1:5">
      <c r="A46" s="981" t="s">
        <v>2884</v>
      </c>
      <c r="C46" s="3144" t="s">
        <v>2726</v>
      </c>
      <c r="E46" s="981">
        <v>85</v>
      </c>
    </row>
    <row r="47" spans="1:5">
      <c r="A47" s="981" t="s">
        <v>2885</v>
      </c>
      <c r="C47" s="3144" t="s">
        <v>2529</v>
      </c>
      <c r="E47" s="981">
        <v>86</v>
      </c>
    </row>
    <row r="48" spans="1:5">
      <c r="A48" s="981" t="s">
        <v>2886</v>
      </c>
      <c r="C48" s="3144" t="s">
        <v>449</v>
      </c>
      <c r="E48" s="3393" t="s">
        <v>2903</v>
      </c>
    </row>
    <row r="49" spans="1:5">
      <c r="A49" s="981" t="s">
        <v>2887</v>
      </c>
      <c r="C49" s="3144" t="s">
        <v>2530</v>
      </c>
      <c r="E49" s="981">
        <v>99</v>
      </c>
    </row>
    <row r="50" spans="1:5">
      <c r="A50" s="981" t="s">
        <v>2019</v>
      </c>
      <c r="C50" s="3144" t="s">
        <v>2018</v>
      </c>
      <c r="E50" s="981">
        <v>101</v>
      </c>
    </row>
    <row r="51" spans="1:5">
      <c r="A51" s="981" t="s">
        <v>2021</v>
      </c>
      <c r="C51" s="3144" t="s">
        <v>2022</v>
      </c>
      <c r="E51" s="981">
        <v>103</v>
      </c>
    </row>
    <row r="52" spans="1:5">
      <c r="A52" s="981" t="s">
        <v>2023</v>
      </c>
      <c r="C52" s="3144" t="s">
        <v>2020</v>
      </c>
      <c r="E52" s="981">
        <v>103</v>
      </c>
    </row>
    <row r="53" spans="1:5">
      <c r="A53" s="981" t="s">
        <v>2888</v>
      </c>
      <c r="C53" s="3144" t="s">
        <v>2889</v>
      </c>
      <c r="E53" s="981">
        <v>104</v>
      </c>
    </row>
    <row r="54" spans="1:5">
      <c r="A54" s="981" t="s">
        <v>2058</v>
      </c>
      <c r="C54" s="3144" t="s">
        <v>2059</v>
      </c>
      <c r="E54" s="981">
        <v>105</v>
      </c>
    </row>
    <row r="55" spans="1:5">
      <c r="A55" s="981" t="s">
        <v>697</v>
      </c>
      <c r="B55" s="3145"/>
      <c r="C55" s="3144" t="s">
        <v>1503</v>
      </c>
      <c r="E55" s="981">
        <v>106</v>
      </c>
    </row>
    <row r="56" spans="1:5">
      <c r="A56" s="981" t="s">
        <v>1504</v>
      </c>
      <c r="B56" s="3145"/>
      <c r="C56" s="3144" t="s">
        <v>1500</v>
      </c>
      <c r="E56" s="981">
        <v>107</v>
      </c>
    </row>
    <row r="57" spans="1:5">
      <c r="A57" s="981" t="s">
        <v>2727</v>
      </c>
      <c r="B57" s="3145"/>
      <c r="C57" s="3144" t="s">
        <v>1869</v>
      </c>
      <c r="E57" s="981">
        <v>108</v>
      </c>
    </row>
    <row r="58" spans="1:5">
      <c r="A58" s="981" t="s">
        <v>2055</v>
      </c>
      <c r="B58" s="3145"/>
      <c r="C58" s="3144" t="s">
        <v>1501</v>
      </c>
      <c r="E58" s="981">
        <v>109</v>
      </c>
    </row>
    <row r="59" spans="1:5">
      <c r="A59" s="981" t="s">
        <v>2728</v>
      </c>
      <c r="B59" s="3146"/>
      <c r="C59" s="3144" t="s">
        <v>1502</v>
      </c>
      <c r="E59" s="981">
        <v>110</v>
      </c>
    </row>
    <row r="60" spans="1:5">
      <c r="A60" s="981" t="s">
        <v>2729</v>
      </c>
      <c r="B60" s="3145"/>
      <c r="C60" s="3144" t="s">
        <v>1505</v>
      </c>
      <c r="E60" s="981">
        <v>111</v>
      </c>
    </row>
    <row r="61" spans="1:5" ht="4.5" customHeight="1">
      <c r="A61" s="983"/>
      <c r="B61" s="983"/>
      <c r="C61" s="983"/>
      <c r="D61" s="983"/>
      <c r="E61" s="983"/>
    </row>
    <row r="71" ht="15.5" customHeight="1"/>
  </sheetData>
  <hyperlinks>
    <hyperlink ref="C4" location="'1 GE-UK'!A1" display="General Elections 1918-2019: United Kingdom" xr:uid="{7F78ABD3-AF80-4C45-BC24-35013B4DDA4A}"/>
    <hyperlink ref="C5" location="'1 GE-UK'!A1" display="General Elections 1918-2019: United Kingdom" xr:uid="{81D6F86A-DA2C-4AC4-A0EB-3351116402C2}"/>
    <hyperlink ref="C6" location="'1 GE-GB'!A1" display="General Elections 1918-2019: Great Britain" xr:uid="{C523912C-B9F5-4625-8454-4345F9A7D2D2}"/>
    <hyperlink ref="C7" location="'1 GE-GB'!A1" display="General Elections 1918-2019: Great Britain" xr:uid="{7AEA343A-1636-4213-85D1-6FB14B6E2020}"/>
    <hyperlink ref="C8" location="'1 GE-Eng'!A1" display="General Elections 1918-2019: England" xr:uid="{150D2839-48E8-462A-A7D6-50A316CEF8FF}"/>
    <hyperlink ref="C9" location="'1 GE-Eng'!A1" display="General Elections 1918-2019: England" xr:uid="{25028F53-6A68-42C0-87C2-ACB142BD1B84}"/>
    <hyperlink ref="C10" location="'1 GE-Wales'!A1" display="General Elections 1918-2019: Wales" xr:uid="{DC287065-FDD4-44CE-95AF-E29F8B549862}"/>
    <hyperlink ref="C11" location="'1 GE-Wales'!A1" display="General Elections 1918-2019: Wales" xr:uid="{B722B508-2B50-4D4E-B336-BDA5C4C80ED3}"/>
    <hyperlink ref="C12" location="'1 GE-Scot'!A1" display="General Elections 1918-2019: Scotland" xr:uid="{0960B102-8D13-4BF6-A504-70F72BBA42F6}"/>
    <hyperlink ref="C13" location="'1 GE-Scot'!A1" display="General Elections 1918-2019: Scotland" xr:uid="{D36A2E65-1B0F-4FF4-8DC2-DDE0DBD0DD9A}"/>
    <hyperlink ref="C14" location="'1 GE-NI'!A1" display="General Elections 1918-2019: Northern Ireland" xr:uid="{93605796-E8AB-4638-9A9D-77128C1F3E5E}"/>
    <hyperlink ref="C15" location="'1 GE-NI'!A1" display="General Elections 1918-2019: Northern Ireland" xr:uid="{48816F54-CA82-417C-9D96-718E0EF81752}"/>
    <hyperlink ref="C16" location="'2 Turnout'!A1" display="Turnout at UK General Elections: 1918-2019" xr:uid="{0E1A95D0-98C0-4377-A84C-B42039F48D6D}"/>
    <hyperlink ref="C17" location="'3 Spoilt ballots '!A1" display="Spoilt Ballot Papers in UK General Elections 1964-2019" xr:uid="{F3EB7C9E-BE85-473E-91A2-6B7787D5688F}"/>
    <hyperlink ref="C18" location="'4 Postal ballots'!A1" display="Postal Ballot Papers in UK Elections 1945-2019" xr:uid="{8B988503-C5E5-40FC-B17D-2A4F51E3C60B}"/>
    <hyperlink ref="C19" location="'5 Women MPs'!A1" display="Women MPs elected at General Elections by Party 1918-2019" xr:uid="{4AF99FE8-3CEF-40BC-ADA0-E00278B6862E}"/>
    <hyperlink ref="C20" location="'6.Age.Latest '!A1" display="Age of MPs elected at 2015 General Election" xr:uid="{E8C73141-2E38-498E-85DA-5116E559AB05}"/>
    <hyperlink ref="C21" location="'7  median age'!A1" display="Median age of Members of Parliament at General Elections, 1951-2019 (3 main parties)" xr:uid="{AE031E10-DE66-48C5-ACE3-FC7430B20083}"/>
    <hyperlink ref="C22" location="'8 BME'!A1" display="Black and Minority Ethnic MPs elected at General Elections, 1987-2019" xr:uid="{22492E0D-51AF-4AD2-B5A3-FCBCD367A16E}"/>
    <hyperlink ref="C23" location="'9 New MPs'!A1" display="MPs entering House of Commons for first time at General Elections, 1979-2019" xr:uid="{FFD4BEB4-6744-45F2-A22C-E1E2152F6BB9}"/>
    <hyperlink ref="C24" location="'10 education'!A1" display="Education of Members of Parliament 1951-2017" xr:uid="{14FC2284-F441-44BE-B802-ECE717D5720B}"/>
    <hyperlink ref="C25" location="'11 Occupations'!A1" display="Main former occupations of Members of Parliament 1951-2015" xr:uid="{425D073A-F583-4215-BF09-8E1671BDB047}"/>
    <hyperlink ref="C26" location="'11 Occupations'!A1" display="Main former occupations of Members of Parliament 1951-2015" xr:uid="{AD559AF1-7B19-49E6-A494-6BD4612E66C7}"/>
    <hyperlink ref="C27" location="'11c. Ocupation 2017'!A1" display="MPs occupations immeadiately prior to the election 2019" xr:uid="{0CB17753-9A4D-4958-9E06-7398D2FABF6A}"/>
    <hyperlink ref="C28" location="'12 by-elections summary'!A1" display="Summary of parliamentary by-elections in Great Britain, 1945-2018" xr:uid="{98D60386-86E2-4FF4-85A0-863E2A2B7463}"/>
    <hyperlink ref="C29" location="'13 by-elections list Visual'!A1" display="Parliamentary by-elections in Great Britain since 1945" xr:uid="{0BD13490-16B8-4C3A-B0E8-4B55948A8E4B}"/>
    <hyperlink ref="C30" location="'14a By elections NI '!A1" display="Parliamentary by-elections in Northern Ireland, 1922-1974" xr:uid="{EAD0FBED-22F1-470F-BA19-E70E9A5E4628}"/>
    <hyperlink ref="C31" location="'14a By elections NI '!A1" display="Parliamentary by-elections in Northern Ireland, 1974-2015" xr:uid="{3D459D6D-C9E2-4A37-94D7-9E9E680CC471}"/>
    <hyperlink ref="C32" location="'15 MEPs'!A1" display="UK MEPs elected at European Parliament elections by party, 1979-2019" xr:uid="{E3A66FD9-CEA8-4CB7-9E07-9D534CABB0EA}"/>
    <hyperlink ref="C33" location="'15b European Parliament'!A1" display="European Parliament election results: votes by party, 1979-2014" xr:uid="{92DCEEBA-C44C-4221-8297-7B24241BD839}"/>
    <hyperlink ref="C34" location="'16 NAW'!A1" display="National Assembly for Wales Elections, 1999-2016" xr:uid="{B30C8D1A-B1DD-48F4-84BB-918F8A4314FC}"/>
    <hyperlink ref="C35" location="'17 Scottish Parliament'!A1" display="Scottish Parliament Elections, 1999-2016" xr:uid="{551A36DA-5DB3-494C-8748-BEE5D7AAF050}"/>
    <hyperlink ref="C36" location="'18 NI Assembly'!A1" display="Northern Ireland Assembly Elections:1998-2019" xr:uid="{9F12FAFA-1E7F-4AEC-B834-A06BFEA73443}"/>
    <hyperlink ref="C37" location="'19 Stormont'!A1" display="Members elected at general elections to the Northern Ireland House of Commons (Stormont)" xr:uid="{7E513F08-9962-4345-9AC7-63FD484C9288}"/>
    <hyperlink ref="C38" location="'20a London 2016'!A1" display="London Assembly seats won by party, 2000-2016" xr:uid="{E8BBE060-F9FE-4DE4-818C-1D81165668A6}"/>
    <hyperlink ref="C39" location="'20b London Assembly'!A1" display="Votes cast in the London Assembly Elections, 2000-2016" xr:uid="{CD2750BF-44B2-418D-9645-4F33B1BD6640}"/>
    <hyperlink ref="C40" location="'21 London Mayor'!A1" display="London Mayoral Elections, 2000-2016" xr:uid="{AB3524D5-C907-4271-BE6D-5390038A439B}"/>
    <hyperlink ref="C41" location="'22-23 Women MEPs'!A1" display="Women elected as UK MEPs at European Parliament elections, 1979-2014" xr:uid="{A3AFD066-BF78-4D8C-BEC4-951AE1861F86}"/>
    <hyperlink ref="C42" location="'22-23 Women MEPs'!A1" display="Women elected at elections to devolved parliaments and London Assembly, 1998-2019" xr:uid="{27502278-1F1A-4E61-9D4C-7D78C4BB2097}"/>
    <hyperlink ref="C43" location="'24 Councillors table'!A1" display="Party affiliation of councillors 1973-2019" xr:uid="{9B64E8E0-0A3A-4985-BC06-7572A06FDD62}"/>
    <hyperlink ref="C44" location="'25 Locals'!A1" display="Estimated national equivalent share of vote at local elections: Great Britain, 1979-2019" xr:uid="{24C10E58-3E6A-4647-A8F1-5CCEEF799FD4}"/>
    <hyperlink ref="C45" location="'26 Councilors per party '!A1" display="Council control by party immediately following elections, Great Britain, 2005-2019" xr:uid="{471C6E5D-3AFA-4C32-9236-A3875F6C4BB5}"/>
    <hyperlink ref="C46" location="'27 Mayoral refs'!A1" display="Mayoral referendum Results" xr:uid="{1ADF31CC-43F5-43A3-913A-F555D2CCEBB8}"/>
    <hyperlink ref="C47" location="'28a &amp; 28b. Current Mayors'!A1" display="Elected Mayors, as at August 2019 (outside of London)" xr:uid="{78B47E4A-ECF4-4B35-8B22-D47A2A306966}"/>
    <hyperlink ref="C49" location="'28a &amp; 28b. Current Mayors'!A1" display="Elected metro-mayors, as at August 2019" xr:uid="{691BC56B-1FD0-4C0B-A967-ECCA77D558B4}"/>
    <hyperlink ref="C48" location="'28c. Mayoral elections'!A1" display="Mayoral Elections" xr:uid="{060501E3-A43C-493C-B5B6-82276C725EB1}"/>
    <hyperlink ref="C50" location="'29a PCC seats'!A1" display="Seats won in PCC elections by party, 2012 &amp; 2016" xr:uid="{5360B53D-81B5-4631-B538-B89C405AA613}"/>
    <hyperlink ref="C51" location="'29b&amp;c PCC 2012v2016 Share '!A1" display="Share of PCC election first preference votes and turnout by policing area, 2012" xr:uid="{041E87A9-1E13-4A57-840E-87BF001E044A}"/>
    <hyperlink ref="C54" location="'30 EU ref 2016'!A1" display="EU referendum results by region, ranked by highest vote share for Leave, 23 June 2016" xr:uid="{8747CB0E-1FE7-42B7-9B77-9026CEB03593}"/>
    <hyperlink ref="C55" location="'31 EC ref'!A1" display="Referendum on membership of the European Community, 5 June 1975" xr:uid="{082D33A4-0E0E-4802-B45C-3B15C4C3039A}"/>
    <hyperlink ref="C56" location="'32 Scotland ref'!A1" display="Change in voting for/against devolution in Scotland, 1 March 1979 and 11 September 1997" xr:uid="{D476F415-A410-4D5E-97ED-9FA443704267}"/>
    <hyperlink ref="C57" location="'33 Scotland 2014 ref'!A1" display="Scottish referendum results by counting area" xr:uid="{C5083182-8B5D-4AB4-8DE3-66222B472C52}"/>
    <hyperlink ref="C58" location="'34 Wales ref'!A1" display="Voting for/against devolution in Wales, 1 March 1979 and 18 September 1997" xr:uid="{13789FE4-F04B-4E14-A60F-F18BE22F6D3C}"/>
    <hyperlink ref="C59" location="'35 Wales ref 2011'!A1" display="Results of referendum on extending the law-making powers of the National Assembly for Wales, 3 March 2011" xr:uid="{8251EB76-719C-41BF-A71E-681E86E87826}"/>
    <hyperlink ref="C60" location="'36 AV ref'!A1" display="Results of the referendum on the Alternative Vote, 5 May 2011" xr:uid="{8F100457-A9A1-440F-A521-FD4ED6C0CA01}"/>
    <hyperlink ref="C52" location="'29b&amp;c PCC 2012v2016 Share '!A1" display="Share of PCC election first preference votes and turnout by policing area, 2016" xr:uid="{87280C0F-152B-4CAB-BE8F-79880412B574}"/>
    <hyperlink ref="C53" location="'29b&amp;c PCC 2012v2016 Share '!A1" display="Share of PCC election first preference votes and turnout by policing area, 2016" xr:uid="{BE54F18C-64F3-4204-B144-1E2372E485DE}"/>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A3D9BC"/>
    <pageSetUpPr fitToPage="1"/>
  </sheetPr>
  <dimension ref="A1:BJ102"/>
  <sheetViews>
    <sheetView showGridLines="0" tabSelected="1" topLeftCell="A3" zoomScale="62" zoomScaleNormal="70" zoomScalePageLayoutView="85" workbookViewId="0">
      <selection activeCell="S16" sqref="S16"/>
    </sheetView>
  </sheetViews>
  <sheetFormatPr baseColWidth="10" defaultColWidth="9.3984375" defaultRowHeight="14"/>
  <cols>
    <col min="1" max="1" width="6.19921875" style="937" customWidth="1"/>
    <col min="2" max="2" width="4.796875" style="919" customWidth="1"/>
    <col min="3" max="3" width="11.3984375" style="2602" customWidth="1"/>
    <col min="4" max="4" width="11.3984375" style="2610" customWidth="1"/>
    <col min="5" max="5" width="11.3984375" style="2602" customWidth="1"/>
    <col min="6" max="7" width="11.3984375" style="919" customWidth="1"/>
    <col min="8" max="8" width="9.796875" style="1048" customWidth="1"/>
    <col min="9" max="9" width="10.3984375" style="1034" customWidth="1"/>
    <col min="10" max="10" width="6.19921875" style="919" customWidth="1"/>
    <col min="11" max="11" width="4.796875" style="919" customWidth="1"/>
    <col min="12" max="16" width="9.59765625" style="919" customWidth="1"/>
    <col min="17" max="17" width="12.3984375" style="919" customWidth="1"/>
    <col min="18" max="18" width="10" style="1034" customWidth="1"/>
    <col min="19" max="19" width="13.3984375" style="948" customWidth="1"/>
    <col min="20" max="20" width="8.3984375" style="948" customWidth="1"/>
    <col min="21" max="21" width="3.796875" style="948" customWidth="1"/>
    <col min="22" max="24" width="13.3984375" style="948" customWidth="1"/>
    <col min="25" max="25" width="9.3984375" style="1034" bestFit="1" customWidth="1"/>
    <col min="26" max="26" width="12.19921875" style="2627" bestFit="1" customWidth="1"/>
    <col min="27" max="27" width="16.3984375" style="2618" bestFit="1" customWidth="1"/>
    <col min="28" max="32" width="9.3984375" style="2619"/>
    <col min="33" max="33" width="9.3984375" style="2622"/>
    <col min="36" max="36" width="9.3984375" style="1034"/>
    <col min="37" max="37" width="10.19921875" style="1034" bestFit="1" customWidth="1"/>
    <col min="38" max="38" width="9.3984375" style="2625"/>
    <col min="39" max="62" width="9.3984375" style="1034"/>
    <col min="63" max="16384" width="9.3984375" style="919"/>
  </cols>
  <sheetData>
    <row r="1" spans="1:62" ht="0.75" customHeight="1"/>
    <row r="2" spans="1:62" hidden="1"/>
    <row r="3" spans="1:62" ht="23">
      <c r="A3" s="3241" t="s">
        <v>2861</v>
      </c>
      <c r="B3" s="1090"/>
      <c r="C3" s="2603"/>
      <c r="D3" s="2611"/>
      <c r="E3" s="2603"/>
      <c r="F3" s="1090"/>
      <c r="G3" s="1090"/>
      <c r="H3" s="3037"/>
      <c r="J3" s="898" t="s">
        <v>2862</v>
      </c>
      <c r="K3" s="1090"/>
      <c r="L3" s="1090"/>
      <c r="M3" s="1090"/>
      <c r="N3" s="1090"/>
      <c r="O3" s="1090"/>
      <c r="P3" s="1090"/>
      <c r="Q3" s="1090"/>
    </row>
    <row r="4" spans="1:62">
      <c r="A4" s="1036"/>
      <c r="B4" s="1037"/>
      <c r="C4" s="2604" t="s">
        <v>54</v>
      </c>
      <c r="D4" s="2612"/>
      <c r="E4" s="2605"/>
      <c r="F4" s="1039"/>
      <c r="G4" s="1039"/>
      <c r="H4" s="3038"/>
      <c r="J4" s="1037"/>
      <c r="K4" s="1037"/>
      <c r="L4" s="1038" t="s">
        <v>37</v>
      </c>
      <c r="M4" s="1039"/>
      <c r="N4" s="1039"/>
      <c r="O4" s="1039"/>
      <c r="P4" s="1039"/>
      <c r="Q4" s="1039"/>
      <c r="S4" s="1040"/>
      <c r="T4" s="1041"/>
      <c r="U4" s="1041"/>
      <c r="V4" s="1041"/>
      <c r="W4" s="1041"/>
      <c r="X4" s="1041"/>
    </row>
    <row r="5" spans="1:62" s="1023" customFormat="1" ht="16">
      <c r="A5" s="1042"/>
      <c r="C5" s="2606" t="s">
        <v>2301</v>
      </c>
      <c r="D5" s="2613" t="s">
        <v>807</v>
      </c>
      <c r="E5" s="2617" t="s">
        <v>2302</v>
      </c>
      <c r="F5" s="2262" t="s">
        <v>95</v>
      </c>
      <c r="G5" s="2246" t="s">
        <v>1972</v>
      </c>
      <c r="H5" s="3038" t="s">
        <v>16</v>
      </c>
      <c r="I5" s="948"/>
      <c r="L5" s="2243" t="s">
        <v>2301</v>
      </c>
      <c r="M5" s="2244" t="s">
        <v>807</v>
      </c>
      <c r="N5" s="2245" t="s">
        <v>2302</v>
      </c>
      <c r="O5" s="2262" t="s">
        <v>95</v>
      </c>
      <c r="P5" s="2246" t="s">
        <v>1972</v>
      </c>
      <c r="Q5" s="1039" t="s">
        <v>16</v>
      </c>
      <c r="R5" s="948"/>
      <c r="S5" s="1041"/>
      <c r="T5" s="1041"/>
      <c r="U5" s="1041"/>
      <c r="V5" s="2243" t="s">
        <v>2301</v>
      </c>
      <c r="W5" s="2244" t="s">
        <v>807</v>
      </c>
      <c r="X5" s="2245" t="s">
        <v>2302</v>
      </c>
      <c r="Y5" s="1363" t="s">
        <v>95</v>
      </c>
      <c r="Z5" s="2246" t="s">
        <v>1972</v>
      </c>
      <c r="AA5" s="2640"/>
      <c r="AB5" s="1436"/>
      <c r="AC5" s="1436"/>
      <c r="AD5" s="1436"/>
      <c r="AE5" s="1436"/>
      <c r="AF5" s="1436"/>
      <c r="AG5" s="2623"/>
      <c r="AJ5" s="948" t="s">
        <v>2691</v>
      </c>
      <c r="AK5" s="948" t="s">
        <v>1156</v>
      </c>
      <c r="AL5" s="2626"/>
      <c r="AM5" s="948"/>
      <c r="AN5" s="948"/>
      <c r="AO5" s="948"/>
      <c r="AP5" s="948"/>
      <c r="AQ5" s="948"/>
      <c r="AR5" s="948"/>
      <c r="AS5" s="948"/>
      <c r="AT5" s="948"/>
      <c r="AU5" s="948"/>
      <c r="AV5" s="948"/>
      <c r="AW5" s="948"/>
      <c r="AX5" s="948"/>
      <c r="AY5" s="948"/>
      <c r="AZ5" s="948"/>
      <c r="BA5" s="948"/>
      <c r="BB5" s="948"/>
      <c r="BC5" s="948"/>
      <c r="BD5" s="948"/>
      <c r="BE5" s="948"/>
      <c r="BF5" s="948"/>
      <c r="BG5" s="948"/>
      <c r="BH5" s="948"/>
      <c r="BI5" s="948"/>
      <c r="BJ5" s="948"/>
    </row>
    <row r="6" spans="1:62" s="1037" customFormat="1" ht="3" customHeight="1">
      <c r="A6" s="1036"/>
      <c r="C6" s="2607"/>
      <c r="D6" s="2614"/>
      <c r="E6" s="2607"/>
      <c r="G6" s="2531"/>
      <c r="H6" s="3039"/>
      <c r="I6" s="1034"/>
      <c r="J6" s="1023"/>
      <c r="K6" s="1023"/>
      <c r="L6" s="1039"/>
      <c r="M6" s="1039"/>
      <c r="N6" s="1039"/>
      <c r="O6" s="1039"/>
      <c r="P6" s="1039"/>
      <c r="Q6" s="1039"/>
      <c r="R6" s="1034"/>
      <c r="S6" s="948"/>
      <c r="T6" s="948"/>
      <c r="U6" s="948"/>
      <c r="V6" s="948"/>
      <c r="W6" s="948"/>
      <c r="X6" s="948"/>
      <c r="Y6" s="1034"/>
      <c r="Z6" s="1074"/>
      <c r="AA6" s="2811"/>
      <c r="AB6" s="2619"/>
      <c r="AC6" s="2619"/>
      <c r="AD6" s="2619"/>
      <c r="AE6" s="2619"/>
      <c r="AF6" s="2619"/>
      <c r="AG6" s="2622"/>
      <c r="AJ6" s="1034"/>
      <c r="AK6" s="1034"/>
      <c r="AL6" s="2625"/>
      <c r="AM6" s="1034"/>
      <c r="AN6" s="1034"/>
      <c r="AO6" s="1034"/>
      <c r="AP6" s="1034"/>
      <c r="AQ6" s="1034"/>
      <c r="AR6" s="1034"/>
      <c r="AS6" s="1034"/>
      <c r="AT6" s="1034"/>
      <c r="AU6" s="1034"/>
      <c r="AV6" s="1034"/>
      <c r="AW6" s="1034"/>
      <c r="AX6" s="1034"/>
      <c r="AY6" s="1034"/>
      <c r="AZ6" s="1034"/>
      <c r="BA6" s="1034"/>
      <c r="BB6" s="1034"/>
      <c r="BC6" s="1034"/>
      <c r="BD6" s="1034"/>
      <c r="BE6" s="1034"/>
      <c r="BF6" s="1034"/>
      <c r="BG6" s="1034"/>
      <c r="BH6" s="1034"/>
      <c r="BI6" s="1034"/>
      <c r="BJ6" s="1034"/>
    </row>
    <row r="7" spans="1:62" s="1074" customFormat="1" ht="15.75" customHeight="1">
      <c r="A7" s="3151">
        <v>1918</v>
      </c>
      <c r="B7" s="2809">
        <v>4</v>
      </c>
      <c r="C7" s="3187">
        <f>V7/1000000</f>
        <v>4.1441920000000003</v>
      </c>
      <c r="D7" s="3187">
        <f>W7/1000000</f>
        <v>2.2457769999999999</v>
      </c>
      <c r="E7" s="3187">
        <f>X7/1000000</f>
        <v>2.785374</v>
      </c>
      <c r="F7" s="2814" t="s">
        <v>103</v>
      </c>
      <c r="G7" s="3187">
        <f>Z7/1000000</f>
        <v>1.611475</v>
      </c>
      <c r="H7" s="3187">
        <v>10.786818</v>
      </c>
      <c r="I7" s="3154" t="str">
        <f>IF(H7=SUM(C7:G7),"","***")</f>
        <v/>
      </c>
      <c r="J7" s="3170">
        <v>1918</v>
      </c>
      <c r="K7" s="2823">
        <v>4</v>
      </c>
      <c r="L7" s="3188">
        <f>'1918 '!$E$78+'1918 '!$E$87</f>
        <v>445</v>
      </c>
      <c r="M7" s="3188">
        <f>'1918 '!$E$85</f>
        <v>361</v>
      </c>
      <c r="N7" s="3188">
        <f>'1918 '!$E$79+'1918 '!$E$84</f>
        <v>421</v>
      </c>
      <c r="O7" s="2824" t="s">
        <v>103</v>
      </c>
      <c r="P7" s="3178">
        <f>+Q7-SUM(L7:O7)</f>
        <v>396</v>
      </c>
      <c r="Q7" s="3189">
        <f>'1918 '!$E$94</f>
        <v>1623</v>
      </c>
      <c r="R7" s="3043"/>
      <c r="T7" s="2810">
        <v>1918</v>
      </c>
      <c r="U7" s="2809">
        <v>4</v>
      </c>
      <c r="V7" s="2812">
        <f>'1918 '!$B$78+'1918 '!$B$87</f>
        <v>4144192</v>
      </c>
      <c r="W7" s="2812">
        <f>'1918 '!$B$85</f>
        <v>2245777</v>
      </c>
      <c r="X7" s="2812">
        <f>'1918 '!$B$79+'1918 '!$B$84</f>
        <v>2785374</v>
      </c>
      <c r="Y7" s="2811"/>
      <c r="Z7" s="2812">
        <f t="shared" ref="Z7:Z13" si="0">AA7-SUM(V7:Y7)</f>
        <v>1611475</v>
      </c>
      <c r="AA7" s="3043">
        <f>'1918 '!$B$94</f>
        <v>10786818</v>
      </c>
      <c r="AB7" s="2811"/>
      <c r="AC7" s="2811"/>
      <c r="AD7" s="2811"/>
      <c r="AE7" s="2811"/>
      <c r="AF7" s="2811"/>
      <c r="AG7" s="2811"/>
      <c r="AH7" s="2811"/>
      <c r="AI7" s="2811"/>
      <c r="AJ7" s="1074" t="str">
        <f t="shared" ref="AJ7:AJ33" si="1">INDEX(L$5:P$5,MATCH(MAX(L7:P7),L7:P7,0))</f>
        <v>CON2</v>
      </c>
      <c r="AK7" s="1074" t="e">
        <f ca="1">INDEX(L$5:P$5,MATCH(LAREE(L7:P7,2),L7:P7,0))</f>
        <v>#NAME?</v>
      </c>
    </row>
    <row r="8" spans="1:62" s="1074" customFormat="1" ht="12.75" customHeight="1">
      <c r="A8" s="3151">
        <v>1922</v>
      </c>
      <c r="B8" s="2841"/>
      <c r="C8" s="3187">
        <f t="shared" ref="C8:C13" si="2">V8/1000000</f>
        <v>5.5022979999999997</v>
      </c>
      <c r="D8" s="3187">
        <f t="shared" ref="D8:D13" si="3">W8/1000000</f>
        <v>4.237349</v>
      </c>
      <c r="E8" s="3187">
        <f t="shared" ref="E8:E13" si="4">X8/1000000</f>
        <v>4.1394599999999997</v>
      </c>
      <c r="F8" s="2814" t="s">
        <v>103</v>
      </c>
      <c r="G8" s="3187">
        <f t="shared" ref="G8:G13" si="5">Z8/1000000</f>
        <v>0.51322299999999998</v>
      </c>
      <c r="H8" s="3187">
        <v>14.392329999999999</v>
      </c>
      <c r="I8" s="3154" t="str">
        <f t="shared" ref="I8:I34" si="6">IF(H8=SUM(C8:G8),"","***")</f>
        <v/>
      </c>
      <c r="J8" s="3151">
        <v>1922</v>
      </c>
      <c r="K8" s="2841"/>
      <c r="L8" s="2805">
        <f>'1922'!$E$47</f>
        <v>482</v>
      </c>
      <c r="M8" s="2805">
        <f>'1922'!$E$50</f>
        <v>414</v>
      </c>
      <c r="N8" s="2805">
        <f>'1922'!$E$48+'1922'!$E$49</f>
        <v>485</v>
      </c>
      <c r="O8" s="2805" t="s">
        <v>103</v>
      </c>
      <c r="P8" s="3161">
        <f t="shared" ref="P8:P28" si="7">+Q8-SUM(L8:O8)</f>
        <v>60</v>
      </c>
      <c r="Q8" s="3190">
        <f>'1922'!$E$54</f>
        <v>1441</v>
      </c>
      <c r="R8" s="2620"/>
      <c r="T8" s="2808">
        <v>1922</v>
      </c>
      <c r="U8" s="2809"/>
      <c r="V8" s="2813">
        <f>'1922'!$B$47</f>
        <v>5502298</v>
      </c>
      <c r="W8" s="2813">
        <f>'1922'!$B$50</f>
        <v>4237349</v>
      </c>
      <c r="X8" s="2813">
        <f>'1922'!$B$48+'1922'!$B$49</f>
        <v>4139460</v>
      </c>
      <c r="Y8" s="2813"/>
      <c r="Z8" s="2812">
        <f t="shared" si="0"/>
        <v>513223</v>
      </c>
      <c r="AA8" s="2620">
        <f>'1922'!$B$54</f>
        <v>14392330</v>
      </c>
      <c r="AB8" s="2811"/>
      <c r="AC8" s="2811"/>
      <c r="AD8" s="2811"/>
      <c r="AE8" s="2811"/>
      <c r="AF8" s="2811"/>
      <c r="AG8" s="2811"/>
      <c r="AH8" s="2811"/>
      <c r="AI8" s="2811"/>
      <c r="AJ8" s="1074" t="str">
        <f t="shared" si="1"/>
        <v>LD3</v>
      </c>
      <c r="AK8" s="1074" t="e">
        <f ca="1">INDEX(L$5:P$5,MATCH(LAREE(L8:P8,2),L8:P8,0))</f>
        <v>#NAME?</v>
      </c>
    </row>
    <row r="9" spans="1:62" s="1074" customFormat="1" ht="12.75" customHeight="1">
      <c r="A9" s="3151">
        <v>1923</v>
      </c>
      <c r="B9" s="2841"/>
      <c r="C9" s="3187">
        <f t="shared" si="2"/>
        <v>5.5145410000000004</v>
      </c>
      <c r="D9" s="3187">
        <f t="shared" si="3"/>
        <v>4.4397799999999998</v>
      </c>
      <c r="E9" s="3187">
        <f t="shared" si="4"/>
        <v>4.3014809999999999</v>
      </c>
      <c r="F9" s="2814" t="s">
        <v>103</v>
      </c>
      <c r="G9" s="3187">
        <f t="shared" si="5"/>
        <v>0.29189300000000001</v>
      </c>
      <c r="H9" s="3187">
        <v>14.547694999999999</v>
      </c>
      <c r="I9" s="3154" t="str">
        <f t="shared" si="6"/>
        <v/>
      </c>
      <c r="J9" s="3151">
        <v>1923</v>
      </c>
      <c r="K9" s="2841"/>
      <c r="L9" s="2806">
        <f>'1923'!$E$42</f>
        <v>536</v>
      </c>
      <c r="M9" s="2806">
        <f>'1923'!$E$44</f>
        <v>427</v>
      </c>
      <c r="N9" s="2806">
        <f>'1923'!$E$43</f>
        <v>457</v>
      </c>
      <c r="O9" s="2806" t="s">
        <v>103</v>
      </c>
      <c r="P9" s="3161">
        <f t="shared" si="7"/>
        <v>26</v>
      </c>
      <c r="Q9" s="3191">
        <f>'1923'!$E$48</f>
        <v>1446</v>
      </c>
      <c r="R9" s="3042"/>
      <c r="T9" s="2808">
        <v>1923</v>
      </c>
      <c r="V9" s="2813">
        <f>'1923'!$B$42</f>
        <v>5514541</v>
      </c>
      <c r="W9" s="2813">
        <f>'1923'!$B$44</f>
        <v>4439780</v>
      </c>
      <c r="X9" s="2813">
        <f>'1923'!$B$43</f>
        <v>4301481</v>
      </c>
      <c r="Y9" s="2813"/>
      <c r="Z9" s="2812">
        <f t="shared" si="0"/>
        <v>291893</v>
      </c>
      <c r="AA9" s="3042">
        <f>'1923'!$B$48</f>
        <v>14547695</v>
      </c>
      <c r="AB9" s="2811"/>
      <c r="AC9" s="2811"/>
      <c r="AD9" s="2811"/>
      <c r="AE9" s="2811"/>
      <c r="AF9" s="2811"/>
      <c r="AG9" s="2811"/>
      <c r="AH9" s="2811"/>
      <c r="AI9" s="2811"/>
      <c r="AJ9" s="1074" t="str">
        <f t="shared" si="1"/>
        <v>CON2</v>
      </c>
      <c r="AK9" s="1074" t="e">
        <f ca="1">INDEX(L$5:P$5,MATCH(LAREE(L9:P9,2),L9:P9,0))</f>
        <v>#NAME?</v>
      </c>
    </row>
    <row r="10" spans="1:62" s="1074" customFormat="1" ht="12.75" customHeight="1">
      <c r="A10" s="3151">
        <v>1924</v>
      </c>
      <c r="B10" s="2841"/>
      <c r="C10" s="3187">
        <f t="shared" si="2"/>
        <v>7.8545230000000004</v>
      </c>
      <c r="D10" s="3187">
        <f t="shared" si="3"/>
        <v>5.4890869999999996</v>
      </c>
      <c r="E10" s="3187">
        <f t="shared" si="4"/>
        <v>2.9287369999999999</v>
      </c>
      <c r="F10" s="2814" t="s">
        <v>103</v>
      </c>
      <c r="G10" s="3187">
        <f t="shared" si="5"/>
        <v>0.36793199999999998</v>
      </c>
      <c r="H10" s="3187">
        <v>16.640279</v>
      </c>
      <c r="I10" s="3154" t="str">
        <f t="shared" si="6"/>
        <v/>
      </c>
      <c r="J10" s="3151">
        <v>1924</v>
      </c>
      <c r="K10" s="2841"/>
      <c r="L10" s="2805">
        <f>'1924'!$E$45</f>
        <v>534</v>
      </c>
      <c r="M10" s="2805">
        <f>'1924'!$E$47</f>
        <v>514</v>
      </c>
      <c r="N10" s="2805">
        <f>'1924'!$E$46</f>
        <v>339</v>
      </c>
      <c r="O10" s="2805" t="s">
        <v>103</v>
      </c>
      <c r="P10" s="3161">
        <f t="shared" si="7"/>
        <v>41</v>
      </c>
      <c r="Q10" s="3191">
        <f>'1924'!$E$53</f>
        <v>1428</v>
      </c>
      <c r="R10" s="3042"/>
      <c r="T10" s="2808">
        <v>1924</v>
      </c>
      <c r="V10" s="2813">
        <f>'1924'!$B$45</f>
        <v>7854523</v>
      </c>
      <c r="W10" s="2813">
        <f>'1924'!$B$47</f>
        <v>5489087</v>
      </c>
      <c r="X10" s="2813">
        <f>'1924'!$B$46</f>
        <v>2928737</v>
      </c>
      <c r="Y10" s="2813"/>
      <c r="Z10" s="2812">
        <f t="shared" si="0"/>
        <v>367932</v>
      </c>
      <c r="AA10" s="3042">
        <f>'1924'!$B$53</f>
        <v>16640279</v>
      </c>
      <c r="AB10" s="2811"/>
      <c r="AC10" s="2811"/>
      <c r="AD10" s="2811"/>
      <c r="AE10" s="2811"/>
      <c r="AF10" s="2811"/>
      <c r="AG10" s="2811"/>
      <c r="AH10" s="2811"/>
      <c r="AI10" s="2811"/>
      <c r="AJ10" s="1074" t="str">
        <f t="shared" si="1"/>
        <v>CON2</v>
      </c>
      <c r="AK10" s="1074" t="e">
        <f ca="1">INDEX(L$5:P$5,MATCH(LAREE(L10:P10,2),L10:P10,0))</f>
        <v>#NAME?</v>
      </c>
    </row>
    <row r="11" spans="1:62" s="1074" customFormat="1" ht="12.75" customHeight="1">
      <c r="A11" s="3151">
        <v>1929</v>
      </c>
      <c r="B11" s="2841"/>
      <c r="C11" s="3187">
        <f t="shared" si="2"/>
        <v>8.6562249999999992</v>
      </c>
      <c r="D11" s="3187">
        <f t="shared" si="3"/>
        <v>8.3704169999999998</v>
      </c>
      <c r="E11" s="3187">
        <f t="shared" si="4"/>
        <v>5.308738</v>
      </c>
      <c r="F11" s="3187">
        <f>Y11/1000000</f>
        <v>3.9220000000000001E-3</v>
      </c>
      <c r="G11" s="3187">
        <f t="shared" si="5"/>
        <v>0.30907299999999999</v>
      </c>
      <c r="H11" s="3187">
        <v>22.648375000000001</v>
      </c>
      <c r="I11" s="3154" t="str">
        <f t="shared" si="6"/>
        <v/>
      </c>
      <c r="J11" s="3151">
        <v>1929</v>
      </c>
      <c r="K11" s="2841"/>
      <c r="L11" s="2805">
        <f>'1929'!$E$48</f>
        <v>590</v>
      </c>
      <c r="M11" s="2805">
        <f>'1929'!$E$50</f>
        <v>569</v>
      </c>
      <c r="N11" s="2805">
        <f>'1929'!$E$49</f>
        <v>513</v>
      </c>
      <c r="O11" s="3192">
        <f>'1929'!$E$52+'1929'!$E$53</f>
        <v>3</v>
      </c>
      <c r="P11" s="3161">
        <f t="shared" si="7"/>
        <v>55</v>
      </c>
      <c r="Q11" s="3191">
        <f>'1929'!$E$56</f>
        <v>1730</v>
      </c>
      <c r="R11" s="3042"/>
      <c r="T11" s="2808">
        <v>1929</v>
      </c>
      <c r="V11" s="2813">
        <f>'1929'!$B$48</f>
        <v>8656225</v>
      </c>
      <c r="W11" s="2813">
        <f>'1929'!$B$50</f>
        <v>8370417</v>
      </c>
      <c r="X11" s="2813">
        <f>'1929'!$B$49</f>
        <v>5308738</v>
      </c>
      <c r="Y11" s="2815">
        <f>'1929'!$B$52+'1929'!$B$53</f>
        <v>3922</v>
      </c>
      <c r="Z11" s="2812">
        <f t="shared" si="0"/>
        <v>309073</v>
      </c>
      <c r="AA11" s="3042">
        <f>'1929'!$B$56</f>
        <v>22648375</v>
      </c>
      <c r="AB11" s="2811"/>
      <c r="AC11" s="2811"/>
      <c r="AD11" s="2811"/>
      <c r="AE11" s="2811"/>
      <c r="AF11" s="2811"/>
      <c r="AG11" s="2811"/>
      <c r="AH11" s="2811"/>
      <c r="AI11" s="2811"/>
      <c r="AJ11" s="1074" t="str">
        <f t="shared" si="1"/>
        <v>CON2</v>
      </c>
      <c r="AK11" s="1074" t="e">
        <f ca="1">INDEX(L$5:P$5,MATCH(LAREE(L11:P11,2),L11:P11,0))</f>
        <v>#NAME?</v>
      </c>
    </row>
    <row r="12" spans="1:62" s="1074" customFormat="1" ht="12.75" customHeight="1">
      <c r="A12" s="3151">
        <v>1931</v>
      </c>
      <c r="B12" s="2841"/>
      <c r="C12" s="3187">
        <f t="shared" si="2"/>
        <v>13.156790000000001</v>
      </c>
      <c r="D12" s="3187">
        <f t="shared" si="3"/>
        <v>6.6496300000000002</v>
      </c>
      <c r="E12" s="3187">
        <f t="shared" si="4"/>
        <v>1.4761230000000001</v>
      </c>
      <c r="F12" s="3187">
        <f>Y12/1000000</f>
        <v>2.3004E-2</v>
      </c>
      <c r="G12" s="3187">
        <f t="shared" si="5"/>
        <v>0.35082600000000003</v>
      </c>
      <c r="H12" s="3187">
        <v>21.656372999999999</v>
      </c>
      <c r="I12" s="3154" t="str">
        <f t="shared" si="6"/>
        <v/>
      </c>
      <c r="J12" s="3151">
        <v>1931</v>
      </c>
      <c r="K12" s="2841"/>
      <c r="L12" s="2806">
        <f>'1931'!$E$69+'1931'!$E$71+'1931'!$E$72+'1931'!$E$73</f>
        <v>583</v>
      </c>
      <c r="M12" s="2806">
        <f>'1931'!$E$76</f>
        <v>516</v>
      </c>
      <c r="N12" s="2806">
        <f>'1931'!$E$70+'1931'!$E$75</f>
        <v>117</v>
      </c>
      <c r="O12" s="2806">
        <f>'1931'!$E$77+'1931'!$E$78</f>
        <v>7</v>
      </c>
      <c r="P12" s="3161">
        <f t="shared" si="7"/>
        <v>69</v>
      </c>
      <c r="Q12" s="3191">
        <f>'1931'!$E$83</f>
        <v>1292</v>
      </c>
      <c r="R12" s="3042"/>
      <c r="T12" s="2808">
        <v>1931</v>
      </c>
      <c r="V12" s="2813">
        <f>'1931'!$B$69+'1931'!$B$71+'1931'!$B$72+'1931'!$B$73</f>
        <v>13156790</v>
      </c>
      <c r="W12" s="2813">
        <f>'1931'!$B$76</f>
        <v>6649630</v>
      </c>
      <c r="X12" s="2813">
        <f>'1931'!$B$70+'1931'!$B$75</f>
        <v>1476123</v>
      </c>
      <c r="Y12" s="2813">
        <f>'1931'!$B$77+'1931'!$B$78</f>
        <v>23004</v>
      </c>
      <c r="Z12" s="2812">
        <f t="shared" si="0"/>
        <v>350826</v>
      </c>
      <c r="AA12" s="3042">
        <f>'1931'!$B$83</f>
        <v>21656373</v>
      </c>
      <c r="AB12" s="2811"/>
      <c r="AC12" s="2811"/>
      <c r="AD12" s="2811"/>
      <c r="AE12" s="2811"/>
      <c r="AF12" s="2811"/>
      <c r="AG12" s="2811"/>
      <c r="AH12" s="2811"/>
      <c r="AI12" s="2811"/>
      <c r="AJ12" s="1074" t="str">
        <f t="shared" si="1"/>
        <v>CON2</v>
      </c>
      <c r="AK12" s="1074" t="e">
        <f ca="1">INDEX(L$5:P$5,MATCH(LAREE(L12:P12,2),L12:P12,0))</f>
        <v>#NAME?</v>
      </c>
    </row>
    <row r="13" spans="1:62" s="1074" customFormat="1" ht="12.75" customHeight="1">
      <c r="A13" s="3151">
        <v>1935</v>
      </c>
      <c r="B13" s="2841"/>
      <c r="C13" s="3187">
        <f t="shared" si="2"/>
        <v>11.755654</v>
      </c>
      <c r="D13" s="3187">
        <f t="shared" si="3"/>
        <v>8.3254909999999995</v>
      </c>
      <c r="E13" s="3187">
        <f t="shared" si="4"/>
        <v>1.443093</v>
      </c>
      <c r="F13" s="3187">
        <f>Y13/1000000</f>
        <v>3.2051000000000003E-2</v>
      </c>
      <c r="G13" s="3187">
        <f t="shared" si="5"/>
        <v>0.44076500000000002</v>
      </c>
      <c r="H13" s="3187">
        <v>21.997053999999999</v>
      </c>
      <c r="I13" s="3154" t="str">
        <f t="shared" si="6"/>
        <v/>
      </c>
      <c r="J13" s="3151">
        <v>1935</v>
      </c>
      <c r="K13" s="2841"/>
      <c r="L13" s="2805">
        <f>'1935'!$E$65+'1935'!$E$66+'1935'!$E$67+'1935'!$E$68</f>
        <v>583</v>
      </c>
      <c r="M13" s="2805">
        <f>'1935'!$E$71</f>
        <v>552</v>
      </c>
      <c r="N13" s="2805">
        <f>'1935'!$E$70</f>
        <v>161</v>
      </c>
      <c r="O13" s="2805">
        <f>'1935'!$E$72+'1935'!$E$73</f>
        <v>9</v>
      </c>
      <c r="P13" s="3161">
        <f>+Q13-SUM(L13:O13)</f>
        <v>43</v>
      </c>
      <c r="Q13" s="3191">
        <f>'1935'!$E$79</f>
        <v>1348</v>
      </c>
      <c r="R13" s="3042"/>
      <c r="T13" s="2808">
        <v>1935</v>
      </c>
      <c r="V13" s="2813">
        <f>'1935'!$B$65+'1935'!$B$66+'1935'!$B$67+'1935'!$B$68</f>
        <v>11755654</v>
      </c>
      <c r="W13" s="2813">
        <f>'1935'!$B$71</f>
        <v>8325491</v>
      </c>
      <c r="X13" s="2813">
        <f>'1935'!$B$70</f>
        <v>1443093</v>
      </c>
      <c r="Y13" s="2813">
        <f>'1935'!$B$72+'1935'!$B$73</f>
        <v>32051</v>
      </c>
      <c r="Z13" s="2812">
        <f t="shared" si="0"/>
        <v>440765</v>
      </c>
      <c r="AA13" s="3042">
        <f>'1935'!$B$79</f>
        <v>21997054</v>
      </c>
      <c r="AB13" s="2811"/>
      <c r="AC13" s="2811"/>
      <c r="AD13" s="2811"/>
      <c r="AE13" s="2811"/>
      <c r="AF13" s="2811"/>
      <c r="AG13" s="2811"/>
      <c r="AH13" s="2811"/>
      <c r="AI13" s="2811"/>
      <c r="AJ13" s="1074" t="str">
        <f t="shared" si="1"/>
        <v>CON2</v>
      </c>
      <c r="AK13" s="1074" t="e">
        <f ca="1">INDEX(L$5:P$5,MATCH(LAREE(L13:P13,2),L13:P13,0))</f>
        <v>#NAME?</v>
      </c>
    </row>
    <row r="14" spans="1:62" ht="12.75" customHeight="1">
      <c r="A14" s="3155">
        <v>1945</v>
      </c>
      <c r="B14" s="2635"/>
      <c r="C14" s="2867">
        <f>+'1945'!$C$55/1000000</f>
        <v>9.9720099999999992</v>
      </c>
      <c r="D14" s="2867">
        <f>+'1945'!$C$56/1000000</f>
        <v>11.967746</v>
      </c>
      <c r="E14" s="2867">
        <f>+'1945'!$C$57/1000000</f>
        <v>2.2524299999999999</v>
      </c>
      <c r="F14" s="2867">
        <f>+'1945'!$C$58/1000000+'1945'!$C$59/1000000</f>
        <v>4.6612000000000001E-2</v>
      </c>
      <c r="G14" s="2867">
        <f>+H14-SUM(C14:F14)</f>
        <v>0.85639700000000119</v>
      </c>
      <c r="H14" s="2867">
        <f>+'1945'!$C$51/1000000</f>
        <v>25.095195</v>
      </c>
      <c r="I14" s="3154" t="str">
        <f t="shared" si="6"/>
        <v/>
      </c>
      <c r="J14" s="3155">
        <v>1945</v>
      </c>
      <c r="K14" s="2635"/>
      <c r="L14" s="3163">
        <f>+'1945'!$E$55</f>
        <v>618</v>
      </c>
      <c r="M14" s="3163">
        <f>+'1945'!$E$56</f>
        <v>603</v>
      </c>
      <c r="N14" s="3163">
        <f>+'1945'!$E$57</f>
        <v>306</v>
      </c>
      <c r="O14" s="3163">
        <f>+'1945'!$E$58+'1945'!$E$59</f>
        <v>15</v>
      </c>
      <c r="P14" s="3163">
        <f t="shared" si="7"/>
        <v>141</v>
      </c>
      <c r="Q14" s="3163">
        <f>+'1945'!$E$51</f>
        <v>1683</v>
      </c>
      <c r="T14" s="1034"/>
      <c r="U14" s="1034"/>
      <c r="V14" s="1034"/>
      <c r="W14" s="1034"/>
      <c r="X14" s="1034"/>
      <c r="AA14" s="2621"/>
      <c r="AB14" s="2621"/>
      <c r="AC14" s="2621"/>
      <c r="AD14" s="2621"/>
      <c r="AE14" s="2621"/>
      <c r="AF14" s="2621"/>
      <c r="AJ14" s="1034" t="str">
        <f t="shared" si="1"/>
        <v>CON2</v>
      </c>
      <c r="AK14" s="1034" t="e">
        <f ca="1">INDEX(L$5:P$5,MATCH(LAREE(L14:P14,2),L14:P14,0))</f>
        <v>#NAME?</v>
      </c>
    </row>
    <row r="15" spans="1:62" ht="12.75" customHeight="1">
      <c r="A15" s="3155">
        <v>1950</v>
      </c>
      <c r="B15" s="2635"/>
      <c r="C15" s="2867">
        <f>+'1950'!$C$52/1000000</f>
        <v>12.492404000000001</v>
      </c>
      <c r="D15" s="2867">
        <f>+'1950'!$C$53/1000000</f>
        <v>13.266176</v>
      </c>
      <c r="E15" s="2867">
        <f>+'1950'!$C$54/1000000</f>
        <v>2.6214870000000001</v>
      </c>
      <c r="F15" s="2867">
        <f>+'1950'!$C$55/1000000+'1950'!$C$56/1000000</f>
        <v>2.7288E-2</v>
      </c>
      <c r="G15" s="2867">
        <f t="shared" ref="G15:G31" si="8">+H15-SUM(C15:F15)</f>
        <v>0.36376899999999779</v>
      </c>
      <c r="H15" s="2867">
        <f>+'1950'!$C$49/1000000</f>
        <v>28.771124</v>
      </c>
      <c r="I15" s="3154" t="str">
        <f t="shared" si="6"/>
        <v/>
      </c>
      <c r="J15" s="3155">
        <v>1950</v>
      </c>
      <c r="K15" s="2635"/>
      <c r="L15" s="3163">
        <f>+'1950'!$E$52</f>
        <v>619</v>
      </c>
      <c r="M15" s="3163">
        <f>+'1950'!$E$53</f>
        <v>617</v>
      </c>
      <c r="N15" s="3163">
        <f>+'1950'!$E$54</f>
        <v>475</v>
      </c>
      <c r="O15" s="3163">
        <f>+'1950'!$E$55+'1950'!$E$56</f>
        <v>10</v>
      </c>
      <c r="P15" s="3163">
        <f t="shared" si="7"/>
        <v>147</v>
      </c>
      <c r="Q15" s="3163">
        <f>+'1950'!$E$49</f>
        <v>1868</v>
      </c>
      <c r="T15" s="1034"/>
      <c r="U15" s="1034"/>
      <c r="V15" s="1034"/>
      <c r="W15" s="1034"/>
      <c r="X15" s="1034"/>
      <c r="AA15" s="2621"/>
      <c r="AB15" s="2621"/>
      <c r="AC15" s="2621"/>
      <c r="AD15" s="2621"/>
      <c r="AE15" s="2621"/>
      <c r="AF15" s="2621"/>
      <c r="AJ15" s="1034" t="str">
        <f t="shared" si="1"/>
        <v>CON2</v>
      </c>
      <c r="AK15" s="1034" t="e">
        <f ca="1">INDEX(L$5:P$5,MATCH(LAREE(L15:P15,2),L15:P15,0))</f>
        <v>#NAME?</v>
      </c>
    </row>
    <row r="16" spans="1:62" ht="12.75" customHeight="1">
      <c r="A16" s="3155">
        <v>1951</v>
      </c>
      <c r="B16" s="2635"/>
      <c r="C16" s="2867">
        <f>+'1951'!$C$51/1000000</f>
        <v>13.718199</v>
      </c>
      <c r="D16" s="2867">
        <f>+'1951'!$C$52/1000000</f>
        <v>13.948883</v>
      </c>
      <c r="E16" s="2867">
        <f>+'1951'!$C$53/1000000</f>
        <v>0.73054600000000003</v>
      </c>
      <c r="F16" s="2867">
        <f>+'1951'!$C$54/1000000+'1951'!$C$55/1000000</f>
        <v>1.8218999999999999E-2</v>
      </c>
      <c r="G16" s="2867">
        <f t="shared" si="8"/>
        <v>0.18074700000000021</v>
      </c>
      <c r="H16" s="2867">
        <f>+'1951'!$C$48/1000000</f>
        <v>28.596594</v>
      </c>
      <c r="I16" s="3154" t="str">
        <f t="shared" si="6"/>
        <v/>
      </c>
      <c r="J16" s="3155">
        <v>1951</v>
      </c>
      <c r="K16" s="2635"/>
      <c r="L16" s="3163">
        <f>+'1951'!$E$51</f>
        <v>617</v>
      </c>
      <c r="M16" s="3163">
        <f>+'1951'!$E$52</f>
        <v>617</v>
      </c>
      <c r="N16" s="3163">
        <f>+'1951'!$E$53</f>
        <v>109</v>
      </c>
      <c r="O16" s="3163">
        <f>+'1951'!$E$54+'1951'!$E$55</f>
        <v>6</v>
      </c>
      <c r="P16" s="3163">
        <f t="shared" si="7"/>
        <v>27</v>
      </c>
      <c r="Q16" s="3163">
        <f>+'1951'!$E$48</f>
        <v>1376</v>
      </c>
      <c r="S16" s="1052"/>
      <c r="T16" s="1052"/>
      <c r="U16" s="1052"/>
      <c r="V16" s="1034"/>
      <c r="W16" s="1052"/>
      <c r="X16" s="1034"/>
      <c r="AA16" s="2621"/>
      <c r="AB16" s="2621"/>
      <c r="AC16" s="2621"/>
      <c r="AD16" s="2621"/>
      <c r="AE16" s="2621"/>
      <c r="AF16" s="2621"/>
      <c r="AJ16" s="1034" t="str">
        <f t="shared" si="1"/>
        <v>CON2</v>
      </c>
      <c r="AK16" s="1034" t="e">
        <f ca="1">INDEX(L$5:P$5,MATCH(LAREE(L16:P16,2),L16:P16,0))</f>
        <v>#NAME?</v>
      </c>
    </row>
    <row r="17" spans="1:37" ht="12.75" customHeight="1">
      <c r="A17" s="3155">
        <v>1955</v>
      </c>
      <c r="B17" s="2635"/>
      <c r="C17" s="2867">
        <f>+'1955'!$C$51/1000000</f>
        <v>13.310891</v>
      </c>
      <c r="D17" s="2867">
        <f>+'1955'!$C$52/1000000</f>
        <v>12.405253999999999</v>
      </c>
      <c r="E17" s="2867">
        <f>+'1955'!$C$53/1000000</f>
        <v>0.72240199999999999</v>
      </c>
      <c r="F17" s="2867">
        <f>+'1955'!$C$54/1000000+'1955'!$C$55/1000000</f>
        <v>5.7230999999999997E-2</v>
      </c>
      <c r="G17" s="2867">
        <f t="shared" si="8"/>
        <v>0.26395100000000227</v>
      </c>
      <c r="H17" s="2867">
        <f>+'1955'!$C$48/1000000</f>
        <v>26.759729</v>
      </c>
      <c r="I17" s="3154" t="str">
        <f t="shared" si="6"/>
        <v/>
      </c>
      <c r="J17" s="3155">
        <v>1955</v>
      </c>
      <c r="K17" s="2635"/>
      <c r="L17" s="3163">
        <f>+'1955'!$E$51</f>
        <v>624</v>
      </c>
      <c r="M17" s="3163">
        <f>+'1955'!$E$52</f>
        <v>620</v>
      </c>
      <c r="N17" s="3163">
        <f>+'1955'!$E$53</f>
        <v>110</v>
      </c>
      <c r="O17" s="3163">
        <f>+'1955'!$E$54+'1955'!$E$55</f>
        <v>13</v>
      </c>
      <c r="P17" s="3163">
        <f t="shared" si="7"/>
        <v>42</v>
      </c>
      <c r="Q17" s="3163">
        <f>+'1955'!$E$48</f>
        <v>1409</v>
      </c>
      <c r="S17" s="2563"/>
      <c r="T17" s="2563"/>
      <c r="U17" s="2563"/>
      <c r="V17" s="2563"/>
      <c r="W17" s="1052"/>
      <c r="X17" s="1034"/>
      <c r="AA17" s="2621"/>
      <c r="AB17" s="2621"/>
      <c r="AC17" s="2621"/>
      <c r="AD17" s="2621"/>
      <c r="AE17" s="2621"/>
      <c r="AF17" s="2621"/>
      <c r="AJ17" s="1034" t="str">
        <f t="shared" si="1"/>
        <v>CON2</v>
      </c>
      <c r="AK17" s="1034" t="e">
        <f ca="1">INDEX(L$5:P$5,MATCH(LAREE(L17:P17,2),L17:P17,0))</f>
        <v>#NAME?</v>
      </c>
    </row>
    <row r="18" spans="1:37" ht="12.75" customHeight="1">
      <c r="A18" s="3155">
        <v>1959</v>
      </c>
      <c r="B18" s="2635"/>
      <c r="C18" s="2867">
        <f>+'1959'!$C$52/1000000</f>
        <v>13.750875000000001</v>
      </c>
      <c r="D18" s="2867">
        <f>+'1959'!$C$53/1000000</f>
        <v>12.216172</v>
      </c>
      <c r="E18" s="2867">
        <f>+'1959'!$C$54/1000000</f>
        <v>1.64076</v>
      </c>
      <c r="F18" s="2867">
        <f>+'1959'!$C$55/1000000+'1959'!$C$56/1000000</f>
        <v>9.9309000000000008E-2</v>
      </c>
      <c r="G18" s="2867">
        <f t="shared" si="8"/>
        <v>0.1555359999999979</v>
      </c>
      <c r="H18" s="2867">
        <f>+'1959'!$C$49/1000000</f>
        <v>27.862652000000001</v>
      </c>
      <c r="I18" s="3154" t="str">
        <f t="shared" si="6"/>
        <v/>
      </c>
      <c r="J18" s="3155">
        <v>1959</v>
      </c>
      <c r="K18" s="2635"/>
      <c r="L18" s="3163">
        <f>+'1959'!$E$52</f>
        <v>625</v>
      </c>
      <c r="M18" s="3163">
        <f>+'1959'!$E$53</f>
        <v>621</v>
      </c>
      <c r="N18" s="3163">
        <f>+'1959'!$E$54</f>
        <v>216</v>
      </c>
      <c r="O18" s="3163">
        <f>+'1959'!$E$55+'1959'!$E$56</f>
        <v>25</v>
      </c>
      <c r="P18" s="3163">
        <f t="shared" si="7"/>
        <v>49</v>
      </c>
      <c r="Q18" s="3163">
        <f>+'1959'!$E$49</f>
        <v>1536</v>
      </c>
      <c r="S18" s="1051"/>
      <c r="T18" s="919"/>
      <c r="U18" s="919"/>
      <c r="V18" s="919"/>
      <c r="W18" s="919"/>
      <c r="X18" s="919"/>
      <c r="Y18" s="919"/>
      <c r="Z18" s="919"/>
      <c r="AA18" s="1057"/>
      <c r="AB18" s="2621"/>
      <c r="AC18" s="2621"/>
      <c r="AD18" s="2621"/>
      <c r="AE18" s="2621"/>
      <c r="AF18" s="2621"/>
      <c r="AJ18" s="1034" t="str">
        <f t="shared" si="1"/>
        <v>CON2</v>
      </c>
      <c r="AK18" s="1034" t="e">
        <f ca="1">INDEX(L$5:P$5,MATCH(LAREE(L18:P18,2),L18:P18,0))</f>
        <v>#NAME?</v>
      </c>
    </row>
    <row r="19" spans="1:37" ht="12.75" customHeight="1">
      <c r="A19" s="3155">
        <v>1964</v>
      </c>
      <c r="B19" s="2635"/>
      <c r="C19" s="2867">
        <f>+'1964'!$C$52/1000000</f>
        <v>12.002642</v>
      </c>
      <c r="D19" s="2867">
        <f>+'1964'!$C$53/1000000</f>
        <v>12.205807999999999</v>
      </c>
      <c r="E19" s="2867">
        <f>+'1964'!$C$54/1000000</f>
        <v>3.0992829999999998</v>
      </c>
      <c r="F19" s="2867">
        <f>+'1964'!$C$55/1000000+'1964'!$C$56/1000000</f>
        <v>0.133551</v>
      </c>
      <c r="G19" s="2867">
        <f t="shared" si="8"/>
        <v>0.21586399999999983</v>
      </c>
      <c r="H19" s="2867">
        <f>+'1964'!$C$49/1000000</f>
        <v>27.657147999999999</v>
      </c>
      <c r="I19" s="3154" t="str">
        <f t="shared" si="6"/>
        <v/>
      </c>
      <c r="J19" s="3155">
        <v>1964</v>
      </c>
      <c r="K19" s="2635"/>
      <c r="L19" s="3163">
        <f>+'1964'!$E$52</f>
        <v>630</v>
      </c>
      <c r="M19" s="3163">
        <f>+'1964'!$E$53</f>
        <v>628</v>
      </c>
      <c r="N19" s="3163">
        <f>+'1964'!$E$54</f>
        <v>365</v>
      </c>
      <c r="O19" s="3163">
        <f>+'1964'!$E$55+'1964'!$E$56</f>
        <v>38</v>
      </c>
      <c r="P19" s="3163">
        <f t="shared" si="7"/>
        <v>96</v>
      </c>
      <c r="Q19" s="3163">
        <f>+'1964'!$E$49</f>
        <v>1757</v>
      </c>
      <c r="S19" s="2563"/>
      <c r="T19" s="919"/>
      <c r="U19" s="919"/>
      <c r="V19" s="2620"/>
      <c r="W19" s="2620"/>
      <c r="X19" s="2620"/>
      <c r="Y19" s="2807"/>
      <c r="Z19" s="919"/>
      <c r="AA19" s="1057"/>
      <c r="AB19" s="2621"/>
      <c r="AC19" s="2621"/>
      <c r="AD19" s="2621"/>
      <c r="AE19" s="2621"/>
      <c r="AF19" s="2621"/>
      <c r="AJ19" s="1034" t="str">
        <f t="shared" si="1"/>
        <v>CON2</v>
      </c>
      <c r="AK19" s="1034" t="e">
        <f ca="1">INDEX(L$5:P$5,MATCH(LAREE(L19:P19,2),L19:P19,0))</f>
        <v>#NAME?</v>
      </c>
    </row>
    <row r="20" spans="1:37" ht="12.75" customHeight="1">
      <c r="A20" s="3155">
        <v>1966</v>
      </c>
      <c r="B20" s="2635"/>
      <c r="C20" s="2867">
        <f>+'1966'!$C$50/1000000</f>
        <v>11.418455</v>
      </c>
      <c r="D20" s="2867">
        <f>+'1966'!$C$51/1000000</f>
        <v>13.096629</v>
      </c>
      <c r="E20" s="2867">
        <f>+'1966'!$C$52/1000000</f>
        <v>2.3274569999999999</v>
      </c>
      <c r="F20" s="2867">
        <f>+'1966'!$C$53/1000000+'1966'!$C$54/1000000</f>
        <v>0.18954500000000002</v>
      </c>
      <c r="G20" s="2867">
        <f t="shared" si="8"/>
        <v>0.23266100000000023</v>
      </c>
      <c r="H20" s="2867">
        <f>+'1966'!$C$47/1000000</f>
        <v>27.264747</v>
      </c>
      <c r="I20" s="3154" t="str">
        <f t="shared" si="6"/>
        <v/>
      </c>
      <c r="J20" s="3155">
        <v>1966</v>
      </c>
      <c r="K20" s="2635"/>
      <c r="L20" s="3163">
        <f>+'1966'!$E$50</f>
        <v>629</v>
      </c>
      <c r="M20" s="3163">
        <f>+'1966'!$E$51</f>
        <v>622</v>
      </c>
      <c r="N20" s="3163">
        <f>+'1966'!$E$52</f>
        <v>311</v>
      </c>
      <c r="O20" s="3163">
        <f>+'1966'!$E$53+'1966'!$E$54</f>
        <v>43</v>
      </c>
      <c r="P20" s="3163">
        <f t="shared" si="7"/>
        <v>102</v>
      </c>
      <c r="Q20" s="3163">
        <f>+'1966'!$E$47</f>
        <v>1707</v>
      </c>
      <c r="S20" s="2563"/>
      <c r="T20" s="919"/>
      <c r="U20" s="919"/>
      <c r="V20" s="2797"/>
      <c r="W20" s="2797"/>
      <c r="X20" s="2797"/>
      <c r="Y20" s="2805"/>
      <c r="Z20" s="919"/>
      <c r="AA20" s="1057"/>
      <c r="AB20" s="2621"/>
      <c r="AC20" s="2621"/>
      <c r="AD20" s="2621"/>
      <c r="AE20" s="2621"/>
      <c r="AF20" s="2621"/>
      <c r="AJ20" s="1034" t="str">
        <f t="shared" si="1"/>
        <v>CON2</v>
      </c>
      <c r="AK20" s="1034" t="e">
        <f ca="1">INDEX(L$5:P$5,MATCH(LAREE(L20:P20,2),L20:P20,0))</f>
        <v>#NAME?</v>
      </c>
    </row>
    <row r="21" spans="1:37" ht="12.75" customHeight="1">
      <c r="A21" s="3155">
        <v>1970</v>
      </c>
      <c r="B21" s="2635"/>
      <c r="C21" s="2867">
        <f>+'1970'!$C$45/1000000</f>
        <v>13.145123</v>
      </c>
      <c r="D21" s="2867">
        <f>+'1970'!$C$46/1000000</f>
        <v>12.208758</v>
      </c>
      <c r="E21" s="2867">
        <f>+'1970'!$C$47/1000000</f>
        <v>2.117035</v>
      </c>
      <c r="F21" s="2867">
        <f>+'1970'!$C$48/1000000+'1970'!$C$49/1000000</f>
        <v>0.48181800000000002</v>
      </c>
      <c r="G21" s="2867">
        <f t="shared" si="8"/>
        <v>0.39206399999999775</v>
      </c>
      <c r="H21" s="2867">
        <f>+'1970'!$C$44/1000000</f>
        <v>28.344798000000001</v>
      </c>
      <c r="I21" s="3154" t="str">
        <f t="shared" si="6"/>
        <v/>
      </c>
      <c r="J21" s="3155">
        <v>1970</v>
      </c>
      <c r="K21" s="2635"/>
      <c r="L21" s="3163">
        <f>+'1970'!$E$45</f>
        <v>628</v>
      </c>
      <c r="M21" s="3163">
        <f>+'1970'!$E$46</f>
        <v>625</v>
      </c>
      <c r="N21" s="3163">
        <f>+'1970'!$E$47</f>
        <v>332</v>
      </c>
      <c r="O21" s="3163">
        <f>+'1970'!$E$48+'1970'!$E$49</f>
        <v>101</v>
      </c>
      <c r="P21" s="3163">
        <f t="shared" si="7"/>
        <v>151</v>
      </c>
      <c r="Q21" s="3163">
        <f>+'1970'!$E$44</f>
        <v>1837</v>
      </c>
      <c r="S21" s="1051"/>
      <c r="T21" s="919"/>
      <c r="U21" s="919"/>
      <c r="V21" s="2798"/>
      <c r="W21" s="2798"/>
      <c r="X21" s="2798"/>
      <c r="Y21" s="2806"/>
      <c r="Z21" s="919"/>
      <c r="AA21" s="1057"/>
      <c r="AB21" s="2621"/>
      <c r="AC21" s="2621"/>
      <c r="AD21" s="2621"/>
      <c r="AE21" s="2621"/>
      <c r="AF21" s="2621"/>
      <c r="AJ21" s="1034" t="str">
        <f t="shared" si="1"/>
        <v>CON2</v>
      </c>
      <c r="AK21" s="1034" t="e">
        <f ca="1">INDEX(L$5:P$5,MATCH(LAREE(L21:P21,2),L21:P21,0))</f>
        <v>#NAME?</v>
      </c>
    </row>
    <row r="22" spans="1:37" ht="12.75" customHeight="1">
      <c r="A22" s="3155">
        <v>1974</v>
      </c>
      <c r="B22" s="2635" t="s">
        <v>50</v>
      </c>
      <c r="C22" s="2867">
        <f>+'1974F'!$C$48/1000000</f>
        <v>11.87218</v>
      </c>
      <c r="D22" s="2867">
        <f>+'1974F'!$C$49/1000000</f>
        <v>11.645616</v>
      </c>
      <c r="E22" s="2867">
        <f>+'1974F'!$C$50/1000000</f>
        <v>6.0595189999999999</v>
      </c>
      <c r="F22" s="2867">
        <f>+'1974F'!$C$51/1000000+'1974F'!$C$52/1000000</f>
        <v>0.80455399999999999</v>
      </c>
      <c r="G22" s="2867">
        <f t="shared" si="8"/>
        <v>0.95829300000000117</v>
      </c>
      <c r="H22" s="2867">
        <f>+'1974F'!$C$47/1000000</f>
        <v>31.340161999999999</v>
      </c>
      <c r="I22" s="3154" t="str">
        <f t="shared" si="6"/>
        <v/>
      </c>
      <c r="J22" s="3155">
        <v>1974</v>
      </c>
      <c r="K22" s="2635" t="s">
        <v>50</v>
      </c>
      <c r="L22" s="3163">
        <f>+'1974F'!$E$48</f>
        <v>623</v>
      </c>
      <c r="M22" s="3163">
        <f>+'1974F'!$E$49</f>
        <v>623</v>
      </c>
      <c r="N22" s="3163">
        <f>+'1974F'!$E$50</f>
        <v>517</v>
      </c>
      <c r="O22" s="3163">
        <f>+'1974F'!$E$51+'1974F'!$E$52</f>
        <v>106</v>
      </c>
      <c r="P22" s="3163">
        <f t="shared" si="7"/>
        <v>266</v>
      </c>
      <c r="Q22" s="3163">
        <f>+'1974F'!$E$47</f>
        <v>2135</v>
      </c>
      <c r="S22" s="2563"/>
      <c r="T22" s="919"/>
      <c r="U22" s="919"/>
      <c r="V22" s="2797"/>
      <c r="W22" s="2797"/>
      <c r="X22" s="2797"/>
      <c r="Y22" s="2805"/>
      <c r="Z22" s="919"/>
      <c r="AA22" s="1057"/>
      <c r="AB22" s="2621"/>
      <c r="AC22" s="2621"/>
      <c r="AD22" s="2621"/>
      <c r="AE22" s="2621"/>
      <c r="AF22" s="2621"/>
      <c r="AJ22" s="1034" t="str">
        <f t="shared" si="1"/>
        <v>CON2</v>
      </c>
      <c r="AK22" s="1034" t="e">
        <f ca="1">INDEX(L$5:P$5,MATCH(LAREE(L22:P22,2),L22:P22,0))</f>
        <v>#NAME?</v>
      </c>
    </row>
    <row r="23" spans="1:37" ht="12.75" customHeight="1">
      <c r="A23" s="3155">
        <v>1974</v>
      </c>
      <c r="B23" s="2635" t="s">
        <v>51</v>
      </c>
      <c r="C23" s="2867">
        <f>+'1974O'!$C$47/1000000</f>
        <v>10.462565</v>
      </c>
      <c r="D23" s="2867">
        <f>+'1974O'!$C$48/1000000</f>
        <v>11.457079</v>
      </c>
      <c r="E23" s="2867">
        <f>+'1974O'!$C$49/1000000</f>
        <v>5.3467039999999999</v>
      </c>
      <c r="F23" s="2867">
        <f>+'1974O'!$C$50/1000000+'1974O'!$C$51/1000000</f>
        <v>1.005938</v>
      </c>
      <c r="G23" s="2867">
        <f t="shared" si="8"/>
        <v>0.9168180000000028</v>
      </c>
      <c r="H23" s="2867">
        <f>+'1974O'!$C$46/1000000</f>
        <v>29.189104</v>
      </c>
      <c r="I23" s="3154" t="str">
        <f t="shared" si="6"/>
        <v/>
      </c>
      <c r="J23" s="3155">
        <v>1974</v>
      </c>
      <c r="K23" s="2635" t="s">
        <v>51</v>
      </c>
      <c r="L23" s="3163">
        <f>+'1974O'!$E$47</f>
        <v>622</v>
      </c>
      <c r="M23" s="3163">
        <f>+'1974O'!$E$48</f>
        <v>623</v>
      </c>
      <c r="N23" s="3163">
        <f>+'1974O'!$E$49</f>
        <v>619</v>
      </c>
      <c r="O23" s="3163">
        <f>+'1974O'!$E$50+'1974O'!$E$51</f>
        <v>107</v>
      </c>
      <c r="P23" s="3163">
        <f t="shared" si="7"/>
        <v>281</v>
      </c>
      <c r="Q23" s="3163">
        <f>+'1974O'!$E$46</f>
        <v>2252</v>
      </c>
      <c r="T23" s="919"/>
      <c r="U23" s="919"/>
      <c r="V23" s="2797"/>
      <c r="W23" s="2797"/>
      <c r="X23" s="2797"/>
      <c r="Y23" s="2815"/>
      <c r="Z23" s="919"/>
      <c r="AA23" s="1057"/>
      <c r="AB23" s="2621"/>
      <c r="AC23" s="2621"/>
      <c r="AD23" s="2621"/>
      <c r="AE23" s="2621"/>
      <c r="AF23" s="2621"/>
      <c r="AJ23" s="1034" t="str">
        <f t="shared" si="1"/>
        <v xml:space="preserve">LAB </v>
      </c>
      <c r="AK23" s="1034" t="e">
        <f ca="1">INDEX(L$5:P$5,MATCH(LAREE(L23:P23,2),L23:P23,0))</f>
        <v>#NAME?</v>
      </c>
    </row>
    <row r="24" spans="1:37" ht="12.75" customHeight="1">
      <c r="A24" s="3155">
        <v>1979</v>
      </c>
      <c r="B24" s="2635"/>
      <c r="C24" s="2867">
        <f>+'1979'!$C$49/1000000</f>
        <v>13.697922999999999</v>
      </c>
      <c r="D24" s="2867">
        <f>+'1979'!$C$50/1000000</f>
        <v>11.532218</v>
      </c>
      <c r="E24" s="2867">
        <f>+'1979'!$C$51/1000000</f>
        <v>4.3138040000000002</v>
      </c>
      <c r="F24" s="2867">
        <f>+'1979'!$C$52/1000000+'1979'!$C$53/1000000</f>
        <v>0.63680300000000001</v>
      </c>
      <c r="G24" s="2867">
        <f t="shared" si="8"/>
        <v>1.0406139999999979</v>
      </c>
      <c r="H24" s="2867">
        <f>+'1979'!$C$48/1000000</f>
        <v>31.221361999999999</v>
      </c>
      <c r="I24" s="3154" t="str">
        <f t="shared" si="6"/>
        <v/>
      </c>
      <c r="J24" s="3155">
        <v>1979</v>
      </c>
      <c r="K24" s="2635"/>
      <c r="L24" s="3163">
        <f>+'1979'!$E$49</f>
        <v>622</v>
      </c>
      <c r="M24" s="3163">
        <f>+'1979'!$E$50</f>
        <v>623</v>
      </c>
      <c r="N24" s="3163">
        <f>+'1979'!$E$51</f>
        <v>577</v>
      </c>
      <c r="O24" s="3163">
        <f>+'1979'!$E$52+'1979'!$E$53</f>
        <v>107</v>
      </c>
      <c r="P24" s="3163">
        <f t="shared" si="7"/>
        <v>647</v>
      </c>
      <c r="Q24" s="3163">
        <f>+'1979'!$E$48</f>
        <v>2576</v>
      </c>
      <c r="T24" s="919"/>
      <c r="U24" s="919"/>
      <c r="V24" s="2798"/>
      <c r="W24" s="2798"/>
      <c r="X24" s="2798"/>
      <c r="Y24" s="2798"/>
      <c r="Z24" s="919"/>
      <c r="AA24" s="1057"/>
      <c r="AB24" s="2621"/>
      <c r="AC24" s="2621"/>
      <c r="AD24" s="2621"/>
      <c r="AE24" s="2621"/>
      <c r="AF24" s="2621"/>
      <c r="AJ24" s="1034" t="str">
        <f t="shared" si="1"/>
        <v xml:space="preserve">Other </v>
      </c>
      <c r="AK24" s="1034" t="e">
        <f ca="1">INDEX(L$5:P$5,MATCH(LAREE(L24:P24,2),L24:P24,0))</f>
        <v>#NAME?</v>
      </c>
    </row>
    <row r="25" spans="1:37" ht="12.75" customHeight="1">
      <c r="A25" s="3155">
        <v>1983</v>
      </c>
      <c r="B25" s="2635"/>
      <c r="C25" s="2867">
        <f>+'1983'!$C$55/1000000</f>
        <v>13.012316</v>
      </c>
      <c r="D25" s="2867">
        <f>+'1983'!$C$56/1000000</f>
        <v>8.4569340000000004</v>
      </c>
      <c r="E25" s="2867">
        <f>+'1983'!$C$59/1000000</f>
        <v>7.7809489999999997</v>
      </c>
      <c r="F25" s="2867">
        <f>+'1983'!$C$60/1000000+'1983'!$C$61/1000000</f>
        <v>0.45728400000000002</v>
      </c>
      <c r="G25" s="2867">
        <f t="shared" si="8"/>
        <v>0.96365399999999823</v>
      </c>
      <c r="H25" s="2867">
        <f>+'1983'!$C$54/1000000</f>
        <v>30.671137000000002</v>
      </c>
      <c r="I25" s="3154" t="str">
        <f t="shared" si="6"/>
        <v/>
      </c>
      <c r="J25" s="3155">
        <v>1983</v>
      </c>
      <c r="K25" s="2635"/>
      <c r="L25" s="3163">
        <f>+'1983'!$E$55</f>
        <v>633</v>
      </c>
      <c r="M25" s="3163">
        <f>+'1983'!$E$56</f>
        <v>633</v>
      </c>
      <c r="N25" s="3163">
        <f>+'1983'!$E$59</f>
        <v>633</v>
      </c>
      <c r="O25" s="3163">
        <f>+'1983'!$E$60+'1983'!$E$61</f>
        <v>110</v>
      </c>
      <c r="P25" s="3163">
        <f t="shared" si="7"/>
        <v>569</v>
      </c>
      <c r="Q25" s="3163">
        <f>+'1983'!$E$54</f>
        <v>2578</v>
      </c>
      <c r="T25" s="1034"/>
      <c r="U25" s="1034"/>
      <c r="V25" s="2797"/>
      <c r="W25" s="2797"/>
      <c r="X25" s="2797"/>
      <c r="Y25" s="2797"/>
      <c r="AA25" s="2621"/>
      <c r="AB25" s="2621"/>
      <c r="AC25" s="2621"/>
      <c r="AD25" s="2621"/>
      <c r="AE25" s="2621"/>
      <c r="AF25" s="2621"/>
      <c r="AJ25" s="1034" t="str">
        <f t="shared" si="1"/>
        <v>CON2</v>
      </c>
      <c r="AK25" s="1034" t="e">
        <f ca="1">INDEX(L$5:P$5,MATCH(LAREE(L25:P25,2),L25:P25,0))</f>
        <v>#NAME?</v>
      </c>
    </row>
    <row r="26" spans="1:37" ht="12.75" customHeight="1">
      <c r="A26" s="3155">
        <v>1987</v>
      </c>
      <c r="B26" s="2635"/>
      <c r="C26" s="2867">
        <f>+'1987'!$C$55/1000000</f>
        <v>13.760583</v>
      </c>
      <c r="D26" s="2867">
        <f>+'1987'!$C$56/1000000</f>
        <v>10.029807</v>
      </c>
      <c r="E26" s="2867">
        <f>+'1987'!$C$59/1000000</f>
        <v>7.3416329999999999</v>
      </c>
      <c r="F26" s="2867">
        <f>+'1987'!$C$60/1000000+'1987'!$C$61/1000000</f>
        <v>0.540072</v>
      </c>
      <c r="G26" s="2867">
        <f t="shared" si="8"/>
        <v>0.85748299999999844</v>
      </c>
      <c r="H26" s="2867">
        <f>+'1987'!$C$54/1000000</f>
        <v>32.529578000000001</v>
      </c>
      <c r="I26" s="3154" t="str">
        <f t="shared" si="6"/>
        <v/>
      </c>
      <c r="J26" s="3155">
        <v>1987</v>
      </c>
      <c r="K26" s="2635"/>
      <c r="L26" s="3163">
        <f>+'1987'!$E$55</f>
        <v>633</v>
      </c>
      <c r="M26" s="3163">
        <f>+'1987'!$E$56</f>
        <v>633</v>
      </c>
      <c r="N26" s="3163">
        <f>+'1987'!$E$59</f>
        <v>633</v>
      </c>
      <c r="O26" s="3163">
        <f>+'1987'!$E$60+'1987'!$E$61</f>
        <v>109</v>
      </c>
      <c r="P26" s="3163">
        <f t="shared" si="7"/>
        <v>317</v>
      </c>
      <c r="Q26" s="3163">
        <f>+'1987'!$E$54</f>
        <v>2325</v>
      </c>
      <c r="T26" s="1034"/>
      <c r="U26" s="1034"/>
      <c r="V26" s="1034"/>
      <c r="W26" s="1034"/>
      <c r="X26" s="1034"/>
      <c r="AA26" s="2621"/>
      <c r="AB26" s="2621"/>
      <c r="AC26" s="2621"/>
      <c r="AD26" s="2621"/>
      <c r="AE26" s="2621"/>
      <c r="AF26" s="2621"/>
      <c r="AJ26" s="1034" t="str">
        <f t="shared" si="1"/>
        <v>CON2</v>
      </c>
      <c r="AK26" s="1034" t="e">
        <f ca="1">INDEX(L$5:P$5,MATCH(LAREE(L26:P26,2),L26:P26,0))</f>
        <v>#NAME?</v>
      </c>
    </row>
    <row r="27" spans="1:37" ht="12.75" customHeight="1">
      <c r="A27" s="3155">
        <v>1992</v>
      </c>
      <c r="B27" s="2635"/>
      <c r="C27" s="2867">
        <f>+'1992'!$C$45/1000000</f>
        <v>14.093007</v>
      </c>
      <c r="D27" s="2867">
        <f>+'1992'!$C$46/1000000</f>
        <v>11.560484000000001</v>
      </c>
      <c r="E27" s="2867">
        <f>+'1992'!$C$47/1000000</f>
        <v>5.999606</v>
      </c>
      <c r="F27" s="2867">
        <f>+'1992'!$C$48/1000000+'1992'!$C$49/1000000</f>
        <v>0.78451099999999996</v>
      </c>
      <c r="G27" s="2867">
        <f t="shared" si="8"/>
        <v>1.1764659999999978</v>
      </c>
      <c r="H27" s="2867">
        <f>+'1992'!$C$44/1000000</f>
        <v>33.614074000000002</v>
      </c>
      <c r="I27" s="3154" t="str">
        <f t="shared" si="6"/>
        <v/>
      </c>
      <c r="J27" s="3155">
        <v>1992</v>
      </c>
      <c r="K27" s="2635"/>
      <c r="L27" s="3163">
        <f>+'1992'!$E$45</f>
        <v>645</v>
      </c>
      <c r="M27" s="3163">
        <f>+'1992'!$E$46</f>
        <v>634</v>
      </c>
      <c r="N27" s="3163">
        <f>+'1992'!$E$47</f>
        <v>632</v>
      </c>
      <c r="O27" s="3163">
        <f>+'1992'!$E$48+'1992'!$E$49</f>
        <v>107</v>
      </c>
      <c r="P27" s="3163">
        <f t="shared" si="7"/>
        <v>931</v>
      </c>
      <c r="Q27" s="3163">
        <f>+'1992'!$E$44</f>
        <v>2949</v>
      </c>
      <c r="T27" s="1034"/>
      <c r="U27" s="1034"/>
      <c r="V27" s="1034"/>
      <c r="W27" s="1034"/>
      <c r="X27" s="1034"/>
      <c r="AA27" s="2621"/>
      <c r="AB27" s="2621"/>
      <c r="AC27" s="2621"/>
      <c r="AD27" s="2621"/>
      <c r="AE27" s="2621"/>
      <c r="AF27" s="2621"/>
      <c r="AJ27" s="1034" t="str">
        <f t="shared" si="1"/>
        <v xml:space="preserve">Other </v>
      </c>
      <c r="AK27" s="1034" t="e">
        <f ca="1">INDEX(L$5:P$5,MATCH(LAREE(L27:P27,2),L27:P27,0))</f>
        <v>#NAME?</v>
      </c>
    </row>
    <row r="28" spans="1:37" ht="12.75" customHeight="1">
      <c r="A28" s="3155">
        <v>1997</v>
      </c>
      <c r="B28" s="2635"/>
      <c r="C28" s="2867">
        <f>+'1997'!$C$46/1000000</f>
        <v>9.6009429999999991</v>
      </c>
      <c r="D28" s="2867">
        <f>+'1997'!$C$47/1000000</f>
        <v>13.518167</v>
      </c>
      <c r="E28" s="2867">
        <f>+'1997'!$C$48/1000000</f>
        <v>5.242947</v>
      </c>
      <c r="F28" s="2867">
        <f>+'1997'!$C$49/1000000+'1997'!$C$50/1000000</f>
        <v>0.78258000000000005</v>
      </c>
      <c r="G28" s="2867">
        <f t="shared" si="8"/>
        <v>2.141646999999999</v>
      </c>
      <c r="H28" s="2867">
        <f>+'1997'!$C$45/1000000</f>
        <v>31.286283999999998</v>
      </c>
      <c r="I28" s="3154" t="str">
        <f t="shared" si="6"/>
        <v/>
      </c>
      <c r="J28" s="3155">
        <v>1997</v>
      </c>
      <c r="K28" s="2635"/>
      <c r="L28" s="3163">
        <f>+'1997'!$E$46</f>
        <v>648</v>
      </c>
      <c r="M28" s="3163">
        <f>+'1997'!$E$47</f>
        <v>639</v>
      </c>
      <c r="N28" s="3163">
        <f>+'1997'!$E$48</f>
        <v>639</v>
      </c>
      <c r="O28" s="3163">
        <f>+'1997'!$E$49+'1997'!$E$50</f>
        <v>112</v>
      </c>
      <c r="P28" s="3163">
        <f t="shared" si="7"/>
        <v>1686</v>
      </c>
      <c r="Q28" s="3163">
        <f>+'1997'!$E$45</f>
        <v>3724</v>
      </c>
      <c r="T28" s="1034"/>
      <c r="U28" s="1034"/>
      <c r="V28" s="1034"/>
      <c r="W28" s="1034"/>
      <c r="X28" s="1034"/>
      <c r="AA28" s="2621"/>
      <c r="AB28" s="2621"/>
      <c r="AC28" s="2621"/>
      <c r="AD28" s="2621"/>
      <c r="AE28" s="2621"/>
      <c r="AF28" s="2621"/>
      <c r="AJ28" s="1034" t="str">
        <f t="shared" si="1"/>
        <v xml:space="preserve">Other </v>
      </c>
      <c r="AK28" s="1034" t="e">
        <f ca="1">INDEX(L$5:P$5,MATCH(LAREE(L28:P28,2),L28:P28,0))</f>
        <v>#NAME?</v>
      </c>
    </row>
    <row r="29" spans="1:37" ht="12.75" customHeight="1">
      <c r="A29" s="3155">
        <v>2001</v>
      </c>
      <c r="B29" s="2635"/>
      <c r="C29" s="2867">
        <f>+'2001'!$C$46/1000000</f>
        <v>8.3376149999999996</v>
      </c>
      <c r="D29" s="2867">
        <f>+'2001'!$C$47/1000000</f>
        <v>10.724952999999999</v>
      </c>
      <c r="E29" s="2867">
        <f>+'2001'!$C$48/1000000</f>
        <v>4.8143209999999996</v>
      </c>
      <c r="F29" s="2867">
        <f>+'2001'!$C$50/1000000+'2001'!$C$49/1000000</f>
        <v>0.66020699999999999</v>
      </c>
      <c r="G29" s="2867">
        <f t="shared" si="8"/>
        <v>1.830287000000002</v>
      </c>
      <c r="H29" s="2867">
        <f>+'2001'!$C$45/1000000</f>
        <v>26.367383</v>
      </c>
      <c r="I29" s="3154" t="str">
        <f t="shared" si="6"/>
        <v/>
      </c>
      <c r="J29" s="3155">
        <v>2001</v>
      </c>
      <c r="K29" s="2635"/>
      <c r="L29" s="3163">
        <f>+'2001'!$E$46</f>
        <v>643</v>
      </c>
      <c r="M29" s="3163">
        <f>+'2001'!$E$47</f>
        <v>640</v>
      </c>
      <c r="N29" s="3163">
        <f>+'2001'!$E$48</f>
        <v>639</v>
      </c>
      <c r="O29" s="3163">
        <f>+'2001'!$E$49+'2001'!$E$50</f>
        <v>112</v>
      </c>
      <c r="P29" s="3163">
        <f>+Q29-SUM(L29:O29)</f>
        <v>1285</v>
      </c>
      <c r="Q29" s="3163">
        <f>+'2001'!$E$45</f>
        <v>3319</v>
      </c>
      <c r="T29" s="1034"/>
      <c r="U29" s="1034"/>
      <c r="V29" s="1034"/>
      <c r="W29" s="1034"/>
      <c r="X29" s="1034"/>
      <c r="AA29" s="2621"/>
      <c r="AB29" s="2621"/>
      <c r="AC29" s="2621"/>
      <c r="AD29" s="2621"/>
      <c r="AE29" s="2621"/>
      <c r="AF29" s="2621"/>
      <c r="AJ29" s="1034" t="str">
        <f t="shared" si="1"/>
        <v xml:space="preserve">Other </v>
      </c>
      <c r="AK29" s="1034" t="e">
        <f ca="1">INDEX(L$5:P$5,MATCH(LAREE(L29:P29,2),L29:P29,0))</f>
        <v>#NAME?</v>
      </c>
    </row>
    <row r="30" spans="1:37" ht="12.75" customHeight="1">
      <c r="A30" s="3155">
        <v>2005</v>
      </c>
      <c r="B30" s="2635"/>
      <c r="C30" s="2867">
        <f>+'2005'!$C$46/1000000</f>
        <v>8.7849149999999998</v>
      </c>
      <c r="D30" s="2867">
        <f>+'2005'!$C$47/1000000</f>
        <v>9.5524360000000001</v>
      </c>
      <c r="E30" s="2867">
        <f>+'2005'!$C$48/1000000</f>
        <v>5.9854539999999998</v>
      </c>
      <c r="F30" s="2867">
        <f>+'2005'!$C$49/1000000+'2005'!$C$50/1000000</f>
        <v>0.58710499999999999</v>
      </c>
      <c r="G30" s="2867">
        <f t="shared" si="8"/>
        <v>2.2386000000000017</v>
      </c>
      <c r="H30" s="2867">
        <f>+'2005'!$C$45/1000000</f>
        <v>27.148510000000002</v>
      </c>
      <c r="I30" s="3154" t="str">
        <f t="shared" si="6"/>
        <v/>
      </c>
      <c r="J30" s="3155">
        <v>2005</v>
      </c>
      <c r="K30" s="2635"/>
      <c r="L30" s="3163">
        <f>+'2005'!$E$46</f>
        <v>630</v>
      </c>
      <c r="M30" s="3163">
        <f>+'2005'!$E$47</f>
        <v>627</v>
      </c>
      <c r="N30" s="3163">
        <f>+'2005'!$E$48</f>
        <v>626</v>
      </c>
      <c r="O30" s="3163">
        <f>+'2005'!$E$49+'2005'!$E$50</f>
        <v>99</v>
      </c>
      <c r="P30" s="3163">
        <f>+Q30-SUM(L30:O30)</f>
        <v>1572</v>
      </c>
      <c r="Q30" s="3163">
        <f>+'2005'!$E$45</f>
        <v>3554</v>
      </c>
      <c r="T30" s="1034"/>
      <c r="U30" s="1034"/>
      <c r="V30" s="1034"/>
      <c r="W30" s="1034"/>
      <c r="X30" s="1034"/>
      <c r="AA30" s="2621"/>
      <c r="AB30" s="2621"/>
      <c r="AC30" s="2621"/>
      <c r="AD30" s="2621"/>
      <c r="AE30" s="2621"/>
      <c r="AF30" s="2621"/>
      <c r="AJ30" s="1034" t="str">
        <f t="shared" si="1"/>
        <v xml:space="preserve">Other </v>
      </c>
      <c r="AK30" s="1034" t="e">
        <f ca="1">INDEX(L$5:P$5,MATCH(LAREE(L30:P30,2),L30:P30,0))</f>
        <v>#NAME?</v>
      </c>
    </row>
    <row r="31" spans="1:37" ht="12.75" customHeight="1">
      <c r="A31" s="3155">
        <v>2010</v>
      </c>
      <c r="B31" s="2635"/>
      <c r="C31" s="2867">
        <f>+'2010'!$C$44/1000000</f>
        <v>10.703654</v>
      </c>
      <c r="D31" s="2867">
        <f>+'2010'!$C$45/1000000</f>
        <v>8.6065170000000002</v>
      </c>
      <c r="E31" s="2867">
        <f>+'2010'!$C$46/1000000</f>
        <v>6.8362480000000003</v>
      </c>
      <c r="F31" s="2867">
        <f>+'2010'!$C$47/1000000+'2010'!$C$48/1000000</f>
        <v>0.65678000000000003</v>
      </c>
      <c r="G31" s="2867">
        <f t="shared" si="8"/>
        <v>2.8844049999999974</v>
      </c>
      <c r="H31" s="2867">
        <f>+'2010'!$C$43/1000000</f>
        <v>29.687604</v>
      </c>
      <c r="I31" s="3154" t="str">
        <f t="shared" si="6"/>
        <v/>
      </c>
      <c r="J31" s="3155">
        <v>2010</v>
      </c>
      <c r="K31" s="2635"/>
      <c r="L31" s="3163">
        <f>+'2010'!$E$44</f>
        <v>631</v>
      </c>
      <c r="M31" s="3163">
        <f>+'2010'!$E$45</f>
        <v>631</v>
      </c>
      <c r="N31" s="3163">
        <f>+'2010'!$E$46</f>
        <v>631</v>
      </c>
      <c r="O31" s="3163">
        <f>+'2010'!$E$47+'2010'!$E$48</f>
        <v>99</v>
      </c>
      <c r="P31" s="3163">
        <f>+Q31-SUM(L31:O31)</f>
        <v>2158</v>
      </c>
      <c r="Q31" s="3163">
        <f>+'2010'!$E$43</f>
        <v>4150</v>
      </c>
      <c r="T31" s="1034"/>
      <c r="U31" s="1034"/>
      <c r="V31" s="1034"/>
      <c r="W31" s="1034"/>
      <c r="X31" s="1034"/>
      <c r="AA31" s="2621"/>
      <c r="AB31" s="2621"/>
      <c r="AC31" s="2621"/>
      <c r="AD31" s="2621"/>
      <c r="AE31" s="2621"/>
      <c r="AF31" s="2621"/>
      <c r="AJ31" s="1034" t="str">
        <f t="shared" si="1"/>
        <v xml:space="preserve">Other </v>
      </c>
      <c r="AK31" s="1034" t="e">
        <f ca="1">INDEX(L$5:P$5,MATCH(LAREE(L31:P31,2),L31:P31,0))</f>
        <v>#NAME?</v>
      </c>
    </row>
    <row r="32" spans="1:37" ht="12.75" customHeight="1">
      <c r="A32" s="3155">
        <v>2015</v>
      </c>
      <c r="B32" s="2635"/>
      <c r="C32" s="2867">
        <v>11.2996</v>
      </c>
      <c r="D32" s="2867">
        <v>9.3473000000000006</v>
      </c>
      <c r="E32" s="2867">
        <v>2.4159000000000002</v>
      </c>
      <c r="F32" s="2867">
        <v>1.6360999999999999</v>
      </c>
      <c r="G32" s="2867">
        <v>5.9986000000000006</v>
      </c>
      <c r="H32" s="2867">
        <v>30.697500000000002</v>
      </c>
      <c r="I32" s="3154" t="str">
        <f t="shared" si="6"/>
        <v/>
      </c>
      <c r="J32" s="3155">
        <v>2015</v>
      </c>
      <c r="K32" s="2635"/>
      <c r="L32" s="3163">
        <v>647</v>
      </c>
      <c r="M32" s="3163">
        <v>631</v>
      </c>
      <c r="N32" s="3163">
        <v>631</v>
      </c>
      <c r="O32" s="3193">
        <v>99</v>
      </c>
      <c r="P32" s="3163">
        <v>1963</v>
      </c>
      <c r="Q32" s="3163">
        <v>3971</v>
      </c>
      <c r="V32" s="1034"/>
      <c r="W32" s="1034"/>
      <c r="X32" s="1034"/>
      <c r="AB32" s="2620"/>
      <c r="AC32" s="2620"/>
      <c r="AD32" s="2620"/>
      <c r="AE32" s="2620"/>
      <c r="AF32" s="2620"/>
      <c r="AJ32" s="1034" t="str">
        <f t="shared" si="1"/>
        <v xml:space="preserve">Other </v>
      </c>
      <c r="AK32" s="1034" t="e">
        <f ca="1">INDEX(L$5:P$5,MATCH(LAREE(L32:P32,2),L32:P32,0))</f>
        <v>#NAME?</v>
      </c>
    </row>
    <row r="33" spans="1:62" ht="12.75" customHeight="1">
      <c r="A33" s="3155">
        <v>2017</v>
      </c>
      <c r="B33" s="2635"/>
      <c r="C33" s="2867">
        <v>13.63669</v>
      </c>
      <c r="D33" s="2867">
        <v>12.877869</v>
      </c>
      <c r="E33" s="2867">
        <v>2.371861</v>
      </c>
      <c r="F33" s="2867">
        <v>1.142034</v>
      </c>
      <c r="G33" s="2867">
        <v>2.1756869999999999</v>
      </c>
      <c r="H33" s="2867">
        <f>SUM(C33:G33)</f>
        <v>32.204140999999993</v>
      </c>
      <c r="I33" s="3154" t="str">
        <f t="shared" si="6"/>
        <v/>
      </c>
      <c r="J33" s="3155">
        <v>2017</v>
      </c>
      <c r="K33" s="2635"/>
      <c r="L33" s="3194">
        <v>638</v>
      </c>
      <c r="M33" s="3194">
        <v>631</v>
      </c>
      <c r="N33" s="3194">
        <v>629</v>
      </c>
      <c r="O33" s="3193">
        <v>99</v>
      </c>
      <c r="P33" s="3163">
        <v>1307</v>
      </c>
      <c r="Q33" s="3163">
        <f>SUM(L33:P33)</f>
        <v>3304</v>
      </c>
      <c r="AB33" s="2620"/>
      <c r="AC33" s="2620"/>
      <c r="AD33" s="2620"/>
      <c r="AE33" s="2620"/>
      <c r="AF33" s="2620"/>
      <c r="AJ33" s="1034" t="str">
        <f t="shared" si="1"/>
        <v xml:space="preserve">Other </v>
      </c>
      <c r="AK33" s="1034" t="e">
        <f ca="1">INDEX(L$5:P$5,MATCH(LAREE(L33:P33,2),L33:P33,0))</f>
        <v>#NAME?</v>
      </c>
    </row>
    <row r="34" spans="1:62" ht="12.75" customHeight="1">
      <c r="A34" s="3155">
        <v>2019</v>
      </c>
      <c r="B34" s="2635"/>
      <c r="C34" s="2867">
        <v>13.966454000000001</v>
      </c>
      <c r="D34" s="2867">
        <v>10.269050999999999</v>
      </c>
      <c r="E34" s="2867">
        <v>3.6964190000000001</v>
      </c>
      <c r="F34" s="2867">
        <v>1.395645</v>
      </c>
      <c r="G34" s="2867">
        <v>2.6865410000000001</v>
      </c>
      <c r="H34" s="2867">
        <v>32.014110000000002</v>
      </c>
      <c r="I34" s="3154" t="str">
        <f t="shared" si="6"/>
        <v/>
      </c>
      <c r="J34" s="3155">
        <v>2019</v>
      </c>
      <c r="K34" s="2635"/>
      <c r="L34" s="3194">
        <v>635</v>
      </c>
      <c r="M34" s="3194">
        <v>631</v>
      </c>
      <c r="N34" s="3194">
        <v>611</v>
      </c>
      <c r="O34" s="3193">
        <v>95</v>
      </c>
      <c r="P34" s="3163">
        <v>1348</v>
      </c>
      <c r="Q34" s="3163">
        <f>SUM(L34:P34)</f>
        <v>3320</v>
      </c>
      <c r="AB34" s="2620"/>
      <c r="AC34" s="2620"/>
      <c r="AD34" s="2620"/>
      <c r="AE34" s="2620"/>
      <c r="AF34" s="2620"/>
    </row>
    <row r="35" spans="1:62" ht="6.75" customHeight="1">
      <c r="A35" s="3155"/>
      <c r="B35" s="2635"/>
      <c r="C35" s="3195"/>
      <c r="D35" s="3196"/>
      <c r="E35" s="3195"/>
      <c r="F35" s="3197"/>
      <c r="G35" s="3197"/>
      <c r="H35" s="2867"/>
      <c r="I35" s="3166"/>
      <c r="J35" s="2635"/>
      <c r="K35" s="2635"/>
      <c r="L35" s="3185"/>
      <c r="M35" s="3185"/>
      <c r="N35" s="3185"/>
      <c r="O35" s="3185"/>
      <c r="P35" s="3185"/>
      <c r="Q35" s="3185"/>
      <c r="AB35" s="2620"/>
      <c r="AC35" s="2620"/>
      <c r="AD35" s="2620"/>
      <c r="AE35" s="2620"/>
      <c r="AF35" s="2620"/>
      <c r="AK35" s="1052"/>
    </row>
    <row r="36" spans="1:62" ht="12.75" customHeight="1">
      <c r="A36" s="2862"/>
      <c r="B36" s="2835"/>
      <c r="C36" s="2604" t="s">
        <v>55</v>
      </c>
      <c r="D36" s="3198"/>
      <c r="E36" s="3199"/>
      <c r="F36" s="3168"/>
      <c r="G36" s="3168"/>
      <c r="H36" s="3200"/>
      <c r="I36" s="3166"/>
      <c r="J36" s="2835"/>
      <c r="K36" s="2835"/>
      <c r="L36" s="1038" t="s">
        <v>56</v>
      </c>
      <c r="M36" s="3168"/>
      <c r="N36" s="3168"/>
      <c r="O36" s="3168"/>
      <c r="P36" s="3168"/>
      <c r="Q36" s="3168"/>
      <c r="S36" s="1400"/>
      <c r="T36" s="1076"/>
      <c r="U36" s="1076"/>
      <c r="V36" s="1076"/>
      <c r="W36" s="1076"/>
      <c r="X36" s="1076"/>
      <c r="Y36" s="1074"/>
      <c r="AA36" s="2816"/>
      <c r="AB36" s="2811"/>
      <c r="AC36" s="2811"/>
    </row>
    <row r="37" spans="1:62" s="1023" customFormat="1" ht="15.75" customHeight="1">
      <c r="A37" s="3167"/>
      <c r="B37" s="3031"/>
      <c r="C37" s="2606" t="s">
        <v>2301</v>
      </c>
      <c r="D37" s="2613" t="s">
        <v>807</v>
      </c>
      <c r="E37" s="2617" t="s">
        <v>2302</v>
      </c>
      <c r="F37" s="2262" t="s">
        <v>95</v>
      </c>
      <c r="G37" s="2246" t="s">
        <v>1972</v>
      </c>
      <c r="H37" s="3200" t="s">
        <v>16</v>
      </c>
      <c r="I37" s="3160"/>
      <c r="J37" s="3031"/>
      <c r="K37" s="3031"/>
      <c r="L37" s="2243" t="s">
        <v>2301</v>
      </c>
      <c r="M37" s="2244" t="s">
        <v>807</v>
      </c>
      <c r="N37" s="2245" t="s">
        <v>2302</v>
      </c>
      <c r="O37" s="2262" t="s">
        <v>95</v>
      </c>
      <c r="P37" s="2246" t="s">
        <v>1972</v>
      </c>
      <c r="Q37" s="3168" t="s">
        <v>16</v>
      </c>
      <c r="R37" s="1041" t="s">
        <v>1677</v>
      </c>
      <c r="S37" s="2817" t="s">
        <v>2301</v>
      </c>
      <c r="T37" s="2818"/>
      <c r="U37" s="2819"/>
      <c r="V37" s="2820"/>
      <c r="W37" s="2821"/>
      <c r="X37" s="1076"/>
      <c r="Y37" s="1077"/>
      <c r="Z37" s="1077"/>
      <c r="AA37" s="2640"/>
      <c r="AB37" s="2640"/>
      <c r="AC37" s="2640"/>
      <c r="AD37" s="1436"/>
      <c r="AE37" s="1436"/>
      <c r="AF37" s="1436"/>
      <c r="AG37" s="2623"/>
      <c r="AJ37" s="948" t="s">
        <v>2691</v>
      </c>
      <c r="AK37" s="948"/>
      <c r="AL37" s="2626"/>
      <c r="AM37" s="948"/>
      <c r="AN37" s="948"/>
      <c r="AO37" s="948"/>
      <c r="AP37" s="948"/>
      <c r="AQ37" s="948"/>
      <c r="AR37" s="948"/>
      <c r="AS37" s="948"/>
      <c r="AT37" s="948"/>
      <c r="AU37" s="948"/>
      <c r="AV37" s="948"/>
      <c r="AW37" s="948"/>
      <c r="AX37" s="948"/>
      <c r="AY37" s="948"/>
      <c r="AZ37" s="948"/>
      <c r="BA37" s="948"/>
      <c r="BB37" s="948"/>
      <c r="BC37" s="948"/>
      <c r="BD37" s="948"/>
      <c r="BE37" s="948"/>
      <c r="BF37" s="948"/>
      <c r="BG37" s="948"/>
      <c r="BH37" s="948"/>
      <c r="BI37" s="948"/>
      <c r="BJ37" s="948"/>
    </row>
    <row r="38" spans="1:62" s="1037" customFormat="1" ht="3" customHeight="1">
      <c r="A38" s="2862"/>
      <c r="B38" s="2835"/>
      <c r="C38" s="3201"/>
      <c r="D38" s="3202"/>
      <c r="E38" s="3201"/>
      <c r="F38" s="2835"/>
      <c r="G38" s="2835"/>
      <c r="H38" s="3203"/>
      <c r="I38" s="3166"/>
      <c r="J38" s="2835"/>
      <c r="K38" s="2835"/>
      <c r="L38" s="3168"/>
      <c r="M38" s="3168"/>
      <c r="N38" s="3168"/>
      <c r="O38" s="3168"/>
      <c r="P38" s="3168"/>
      <c r="Q38" s="3168"/>
      <c r="R38" s="1034"/>
      <c r="S38" s="1077"/>
      <c r="T38" s="1077"/>
      <c r="U38" s="1077"/>
      <c r="V38" s="1077"/>
      <c r="W38" s="1077"/>
      <c r="X38" s="1077"/>
      <c r="Y38" s="1074"/>
      <c r="Z38" s="1074"/>
      <c r="AA38" s="2811"/>
      <c r="AB38" s="2811"/>
      <c r="AC38" s="2811"/>
      <c r="AD38" s="2619"/>
      <c r="AE38" s="2619"/>
      <c r="AF38" s="2619"/>
      <c r="AG38" s="2622"/>
      <c r="AJ38" s="1034"/>
      <c r="AK38" s="1034"/>
      <c r="AL38" s="2625"/>
      <c r="AM38" s="1034"/>
      <c r="AN38" s="1034"/>
      <c r="AO38" s="1034"/>
      <c r="AP38" s="1034"/>
      <c r="AQ38" s="1034"/>
      <c r="AR38" s="1034"/>
      <c r="AS38" s="1034"/>
      <c r="AT38" s="1034"/>
      <c r="AU38" s="1034"/>
      <c r="AV38" s="1034"/>
      <c r="AW38" s="1034"/>
      <c r="AX38" s="1034"/>
      <c r="AY38" s="1034"/>
      <c r="AZ38" s="1034"/>
      <c r="BA38" s="1034"/>
      <c r="BB38" s="1034"/>
      <c r="BC38" s="1034"/>
      <c r="BD38" s="1034"/>
      <c r="BE38" s="1034"/>
      <c r="BF38" s="1034"/>
      <c r="BG38" s="1034"/>
      <c r="BH38" s="1034"/>
      <c r="BI38" s="1034"/>
      <c r="BJ38" s="1034"/>
    </row>
    <row r="39" spans="1:62" s="1034" customFormat="1" ht="16">
      <c r="A39" s="3204">
        <v>1918</v>
      </c>
      <c r="B39" s="1045">
        <v>4</v>
      </c>
      <c r="C39" s="2631">
        <f>'1918 '!$C$78+'1918 '!$C$87</f>
        <v>0.38700000000000001</v>
      </c>
      <c r="D39" s="2631">
        <f>'1918 '!$C$85</f>
        <v>0.20800000000000002</v>
      </c>
      <c r="E39" s="2631">
        <f>'1918 '!$C$79+'1918 '!$C$84</f>
        <v>0.25600000000000001</v>
      </c>
      <c r="F39" s="3166"/>
      <c r="G39" s="2631">
        <f>H39-SUM(C39:F39)</f>
        <v>0.14900000000000002</v>
      </c>
      <c r="H39" s="3172">
        <v>1</v>
      </c>
      <c r="I39" s="3166"/>
      <c r="J39" s="3204">
        <v>1918</v>
      </c>
      <c r="K39" s="3166"/>
      <c r="L39" s="3190">
        <f>'1918 '!$G$78+'1918 '!$G$87</f>
        <v>382</v>
      </c>
      <c r="M39" s="3190">
        <f>'1918 '!$G$85</f>
        <v>57</v>
      </c>
      <c r="N39" s="3190">
        <f>'1918 '!$G$79+'1918 '!$G$84</f>
        <v>163</v>
      </c>
      <c r="O39" s="2807" t="s">
        <v>103</v>
      </c>
      <c r="P39" s="3205">
        <f>Q39-SUM(L39:O39)</f>
        <v>105</v>
      </c>
      <c r="Q39" s="3206">
        <f>'1918 '!$G$94</f>
        <v>707</v>
      </c>
      <c r="R39" s="3041"/>
      <c r="S39" s="1077"/>
      <c r="T39" s="1077"/>
      <c r="U39" s="1077"/>
      <c r="V39" s="1077"/>
      <c r="W39" s="1077"/>
      <c r="X39" s="1077"/>
      <c r="Y39" s="1074"/>
      <c r="Z39" s="1074"/>
      <c r="AA39" s="2811"/>
      <c r="AB39" s="2811"/>
      <c r="AC39" s="2811"/>
      <c r="AD39" s="2619"/>
      <c r="AE39" s="2619"/>
      <c r="AF39" s="2619"/>
    </row>
    <row r="40" spans="1:62" s="1034" customFormat="1" ht="13.5" customHeight="1">
      <c r="A40" s="3207">
        <v>1922</v>
      </c>
      <c r="B40" s="2638"/>
      <c r="C40" s="3208">
        <f>'1922'!$C$47</f>
        <v>0.38500000000000001</v>
      </c>
      <c r="D40" s="3208">
        <f>'1922'!$C$50</f>
        <v>0.29699999999999999</v>
      </c>
      <c r="E40" s="3208">
        <f>'1922'!$C$48+'1922'!$C$49</f>
        <v>0.28799999999999998</v>
      </c>
      <c r="F40" s="3208"/>
      <c r="G40" s="2631">
        <f t="shared" ref="G40:G65" si="9">H40-SUM(C40:F40)</f>
        <v>3.0000000000000027E-2</v>
      </c>
      <c r="H40" s="3209">
        <v>1</v>
      </c>
      <c r="I40" s="3166"/>
      <c r="J40" s="3207">
        <v>1922</v>
      </c>
      <c r="K40" s="2638"/>
      <c r="L40" s="2805">
        <f>'1922'!$G$47</f>
        <v>344</v>
      </c>
      <c r="M40" s="2805">
        <f>'1922'!$G$50</f>
        <v>142</v>
      </c>
      <c r="N40" s="2805">
        <f>'1922'!$G$48+'1922'!$G$49</f>
        <v>115</v>
      </c>
      <c r="O40" s="2805" t="s">
        <v>103</v>
      </c>
      <c r="P40" s="3205">
        <f t="shared" ref="P40:P45" si="10">+Q40-SUM(L40:O40)</f>
        <v>14</v>
      </c>
      <c r="Q40" s="3153">
        <f>'1922'!$G$54</f>
        <v>615</v>
      </c>
      <c r="R40" s="2825"/>
      <c r="S40" s="1076"/>
      <c r="T40" s="1076"/>
      <c r="U40" s="1076"/>
      <c r="V40" s="1076"/>
      <c r="W40" s="2822"/>
      <c r="X40" s="1076"/>
      <c r="Y40" s="1074"/>
      <c r="Z40" s="2627"/>
      <c r="AA40" s="2816"/>
      <c r="AB40" s="2811"/>
      <c r="AC40" s="2811"/>
      <c r="AD40" s="2619"/>
      <c r="AE40" s="2619"/>
      <c r="AF40" s="2619"/>
      <c r="AH40" s="536"/>
      <c r="AI40" s="536"/>
    </row>
    <row r="41" spans="1:62" ht="12.75" customHeight="1">
      <c r="A41" s="3155">
        <v>1923</v>
      </c>
      <c r="B41" s="2635"/>
      <c r="C41" s="2846">
        <f>'1923'!$C$42</f>
        <v>0.38</v>
      </c>
      <c r="D41" s="2846">
        <f>'1923'!$C$44</f>
        <v>0.307</v>
      </c>
      <c r="E41" s="2846">
        <f>'1923'!$C$43</f>
        <v>0.29699999999999999</v>
      </c>
      <c r="F41" s="2846"/>
      <c r="G41" s="2631">
        <f t="shared" si="9"/>
        <v>1.6000000000000014E-2</v>
      </c>
      <c r="H41" s="3210">
        <v>1</v>
      </c>
      <c r="I41" s="3166"/>
      <c r="J41" s="3155">
        <v>1923</v>
      </c>
      <c r="K41" s="2635"/>
      <c r="L41" s="2806">
        <f>'1923'!$G$42</f>
        <v>258</v>
      </c>
      <c r="M41" s="2806">
        <f>'1923'!$G$44</f>
        <v>191</v>
      </c>
      <c r="N41" s="2806">
        <f>'1923'!$G$43</f>
        <v>158</v>
      </c>
      <c r="O41" s="2806" t="s">
        <v>103</v>
      </c>
      <c r="P41" s="3205">
        <f t="shared" si="10"/>
        <v>8</v>
      </c>
      <c r="Q41" s="3191">
        <f>'1923'!$G$48</f>
        <v>615</v>
      </c>
      <c r="R41" s="3042"/>
      <c r="S41" s="1041"/>
      <c r="T41" s="1041"/>
      <c r="U41" s="1041"/>
      <c r="V41" s="1041"/>
      <c r="W41" s="1053"/>
      <c r="X41" s="1041"/>
    </row>
    <row r="42" spans="1:62" s="1034" customFormat="1" ht="12.75" customHeight="1">
      <c r="A42" s="3207">
        <v>1924</v>
      </c>
      <c r="B42" s="3166"/>
      <c r="C42" s="3208">
        <f>'1924'!$C$45</f>
        <v>0.46799999999999997</v>
      </c>
      <c r="D42" s="3208">
        <f>'1924'!$C$47</f>
        <v>0.33299999999999996</v>
      </c>
      <c r="E42" s="3208">
        <f>'1924'!$C$46</f>
        <v>0.17800000000000002</v>
      </c>
      <c r="F42" s="3208"/>
      <c r="G42" s="2631">
        <f t="shared" si="9"/>
        <v>2.1000000000000019E-2</v>
      </c>
      <c r="H42" s="3209">
        <v>1</v>
      </c>
      <c r="I42" s="3166"/>
      <c r="J42" s="3207">
        <v>1924</v>
      </c>
      <c r="K42" s="3166"/>
      <c r="L42" s="2805">
        <f>'1924'!$G$45</f>
        <v>412</v>
      </c>
      <c r="M42" s="2805">
        <f>'1924'!$G$47</f>
        <v>151</v>
      </c>
      <c r="N42" s="2805">
        <f>'1924'!$G$46</f>
        <v>40</v>
      </c>
      <c r="O42" s="2805" t="s">
        <v>103</v>
      </c>
      <c r="P42" s="3205">
        <f t="shared" si="10"/>
        <v>12</v>
      </c>
      <c r="Q42" s="3191">
        <f>'1924'!$G$53</f>
        <v>615</v>
      </c>
      <c r="R42" s="3042"/>
      <c r="S42" s="1041"/>
      <c r="T42" s="1041"/>
      <c r="U42" s="1041"/>
      <c r="V42" s="1041"/>
      <c r="W42" s="1053"/>
      <c r="X42" s="1041"/>
      <c r="Z42" s="536"/>
      <c r="AA42" s="2639"/>
      <c r="AB42" s="2619"/>
      <c r="AC42" s="2619"/>
      <c r="AD42" s="2619"/>
      <c r="AE42" s="2619"/>
      <c r="AF42" s="2619"/>
      <c r="AH42" s="536"/>
      <c r="AI42" s="536"/>
    </row>
    <row r="43" spans="1:62" s="1034" customFormat="1" ht="12.5" customHeight="1">
      <c r="A43" s="3207">
        <v>1929</v>
      </c>
      <c r="B43" s="3166"/>
      <c r="C43" s="3208">
        <f>'1929'!$C$48</f>
        <v>0.38100000000000001</v>
      </c>
      <c r="D43" s="3208">
        <f>'1929'!$C$50</f>
        <v>0.371</v>
      </c>
      <c r="E43" s="3208">
        <f>'1929'!$C$49</f>
        <v>0.23499999999999999</v>
      </c>
      <c r="F43" s="2852">
        <f>'1929'!$C$52+'1929'!$C$53</f>
        <v>0</v>
      </c>
      <c r="G43" s="2631">
        <f t="shared" si="9"/>
        <v>1.3000000000000012E-2</v>
      </c>
      <c r="H43" s="3209">
        <v>1</v>
      </c>
      <c r="I43" s="3166"/>
      <c r="J43" s="3207">
        <v>1929</v>
      </c>
      <c r="K43" s="3166"/>
      <c r="L43" s="2805">
        <f>'1929'!$G$48</f>
        <v>260</v>
      </c>
      <c r="M43" s="2805">
        <f>'1929'!$G$50</f>
        <v>287</v>
      </c>
      <c r="N43" s="2805">
        <f>'1929'!$G$49</f>
        <v>59</v>
      </c>
      <c r="O43" s="2849">
        <f>'1929'!$G$52+'1929'!$G$53</f>
        <v>0</v>
      </c>
      <c r="P43" s="3205">
        <f t="shared" si="10"/>
        <v>9</v>
      </c>
      <c r="Q43" s="3191">
        <f>'1929'!$G$56</f>
        <v>615</v>
      </c>
      <c r="R43" s="3042"/>
      <c r="S43" s="1041"/>
      <c r="T43" s="1041"/>
      <c r="U43" s="1041"/>
      <c r="V43" s="1041"/>
      <c r="W43" s="1053"/>
      <c r="X43" s="1041"/>
      <c r="Z43" s="536"/>
      <c r="AA43" s="2639"/>
      <c r="AB43" s="2619"/>
      <c r="AC43" s="2619"/>
      <c r="AD43" s="2619"/>
      <c r="AE43" s="2619"/>
      <c r="AF43" s="2619"/>
      <c r="AH43" s="536"/>
      <c r="AI43" s="536"/>
    </row>
    <row r="44" spans="1:62" ht="12.5" customHeight="1">
      <c r="A44" s="3155">
        <v>1931</v>
      </c>
      <c r="B44" s="2635"/>
      <c r="C44" s="2846">
        <f>'1931'!$C$69+'1931'!$C$71+'1931'!$C$72+'1931'!$C$73</f>
        <v>0.6070000000000001</v>
      </c>
      <c r="D44" s="2846">
        <f>'1931'!$C$76</f>
        <v>0.309</v>
      </c>
      <c r="E44" s="2846">
        <f>'1931'!$C$70+'1931'!$C$75</f>
        <v>7.0000000000000007E-2</v>
      </c>
      <c r="F44" s="2846">
        <f>'1931'!$C$77+'1931'!$C$78</f>
        <v>1E-3</v>
      </c>
      <c r="G44" s="2631">
        <f t="shared" si="9"/>
        <v>1.299999999999979E-2</v>
      </c>
      <c r="H44" s="3210">
        <v>1</v>
      </c>
      <c r="I44" s="3166"/>
      <c r="J44" s="3155">
        <v>1931</v>
      </c>
      <c r="K44" s="2635"/>
      <c r="L44" s="2806">
        <f>'1931'!$G$69+'1931'!$G$71+'1931'!$G$72+'1931'!$G$73</f>
        <v>522</v>
      </c>
      <c r="M44" s="2806">
        <f>'1931'!$G$76</f>
        <v>52</v>
      </c>
      <c r="N44" s="2806">
        <f>'1931'!$G$70+'1931'!$G$75</f>
        <v>36</v>
      </c>
      <c r="O44" s="2806">
        <f>'1931'!$G$77+'1931'!$G$78</f>
        <v>0</v>
      </c>
      <c r="P44" s="3205">
        <f t="shared" si="10"/>
        <v>5</v>
      </c>
      <c r="Q44" s="3191">
        <f>'1931'!$G$83</f>
        <v>615</v>
      </c>
      <c r="R44" s="3042"/>
      <c r="S44" s="1041"/>
      <c r="T44" s="1041"/>
      <c r="U44" s="1041"/>
      <c r="V44" s="1041"/>
      <c r="W44" s="1053"/>
      <c r="X44" s="1041"/>
    </row>
    <row r="45" spans="1:62" s="1034" customFormat="1" ht="12.75" customHeight="1">
      <c r="A45" s="3207">
        <v>1935</v>
      </c>
      <c r="B45" s="3166"/>
      <c r="C45" s="3208">
        <f>'1935'!$C$65+'1935'!$C$66+'1935'!$C$67+'1935'!$C$68</f>
        <v>0.53300000000000003</v>
      </c>
      <c r="D45" s="3208">
        <f>'1935'!$C$71</f>
        <v>0.38</v>
      </c>
      <c r="E45" s="3208">
        <f>'1935'!$C$70</f>
        <v>6.7000000000000004E-2</v>
      </c>
      <c r="F45" s="3208">
        <f>'1935'!$C$72+'1935'!$C$73</f>
        <v>1E-3</v>
      </c>
      <c r="G45" s="2631">
        <f t="shared" si="9"/>
        <v>1.9000000000000017E-2</v>
      </c>
      <c r="H45" s="3209">
        <v>1</v>
      </c>
      <c r="I45" s="3166"/>
      <c r="J45" s="3207">
        <v>1935</v>
      </c>
      <c r="K45" s="3166"/>
      <c r="L45" s="2805">
        <f>'1935'!$G$65+'1935'!$G$66+'1935'!$G$67+'1935'!$G$68</f>
        <v>429</v>
      </c>
      <c r="M45" s="2805">
        <f>'1935'!$G$71</f>
        <v>154</v>
      </c>
      <c r="N45" s="2805">
        <f>'1935'!$G$70</f>
        <v>21</v>
      </c>
      <c r="O45" s="2805">
        <f>'1935'!$G$72+'1935'!$G$73</f>
        <v>0</v>
      </c>
      <c r="P45" s="3205">
        <f t="shared" si="10"/>
        <v>11</v>
      </c>
      <c r="Q45" s="3191">
        <f>'1935'!$G$79</f>
        <v>615</v>
      </c>
      <c r="R45" s="3042"/>
      <c r="S45" s="1041"/>
      <c r="T45" s="1041"/>
      <c r="U45" s="1041"/>
      <c r="V45" s="1041"/>
      <c r="W45" s="1053"/>
      <c r="X45" s="1041"/>
      <c r="Z45" s="536"/>
      <c r="AA45" s="2639"/>
      <c r="AB45" s="2619"/>
      <c r="AC45" s="2619"/>
      <c r="AD45" s="2619"/>
      <c r="AE45" s="2619"/>
      <c r="AF45" s="2619"/>
      <c r="AH45" s="536"/>
      <c r="AI45" s="536"/>
    </row>
    <row r="46" spans="1:62" ht="12.75" customHeight="1">
      <c r="A46" s="3155">
        <v>1945</v>
      </c>
      <c r="B46" s="2635"/>
      <c r="C46" s="2838">
        <f>+'1945'!$D$55</f>
        <v>0.39600000000000002</v>
      </c>
      <c r="D46" s="2838">
        <f>+'1945'!$D$56</f>
        <v>0.48</v>
      </c>
      <c r="E46" s="2838">
        <f>+'1945'!$D$57</f>
        <v>0.09</v>
      </c>
      <c r="F46" s="2838">
        <f>+'1945'!$D$58+'1945'!$D$59</f>
        <v>2E-3</v>
      </c>
      <c r="G46" s="2631">
        <f t="shared" si="9"/>
        <v>3.2000000000000028E-2</v>
      </c>
      <c r="H46" s="2839">
        <f>+'1945'!$D$51</f>
        <v>1</v>
      </c>
      <c r="I46" s="2629"/>
      <c r="J46" s="3155">
        <v>1945</v>
      </c>
      <c r="K46" s="2635"/>
      <c r="L46" s="3211">
        <f>+'1945'!$F$55</f>
        <v>210</v>
      </c>
      <c r="M46" s="3211">
        <f>+'1945'!$F$56</f>
        <v>393</v>
      </c>
      <c r="N46" s="3211">
        <f>+'1945'!$F$57</f>
        <v>12</v>
      </c>
      <c r="O46" s="3211">
        <f>+'1945'!$F$58+'1945'!$F$59</f>
        <v>0</v>
      </c>
      <c r="P46" s="3205">
        <f>+Q46-SUM(L46:O46)</f>
        <v>25</v>
      </c>
      <c r="Q46" s="3211">
        <f>+'1945'!$F$51</f>
        <v>640</v>
      </c>
      <c r="R46" s="1052">
        <f t="shared" ref="R46:R67" si="11">P46/Q46</f>
        <v>3.90625E-2</v>
      </c>
      <c r="S46" s="919"/>
      <c r="T46" s="919"/>
      <c r="U46" s="919"/>
      <c r="V46" s="919"/>
      <c r="W46" s="919"/>
      <c r="X46" s="919"/>
      <c r="Z46" s="1077"/>
      <c r="AA46" s="1436"/>
      <c r="AB46" s="948"/>
      <c r="AC46" s="948"/>
      <c r="AD46" s="948"/>
      <c r="AE46" s="948"/>
      <c r="AF46" s="2621"/>
      <c r="AJ46" s="1034" t="str">
        <f t="shared" ref="AJ46:AJ64" si="12">INDEX(L$37:P$37,MATCH(MAX(L46:P46),L46:P46,0))</f>
        <v xml:space="preserve">LAB </v>
      </c>
      <c r="AK46" s="1034" t="e">
        <f ca="1">INDEX(L$37:P$37,MATCH(LAREE(L46:P46,2),L46:P46,0))</f>
        <v>#NAME?</v>
      </c>
      <c r="AM46" s="1034" t="b">
        <f>L46=AA46</f>
        <v>0</v>
      </c>
      <c r="AN46" s="1034" t="b">
        <f t="shared" ref="AN46:AQ61" si="13">M46=AB46</f>
        <v>0</v>
      </c>
      <c r="AO46" s="1034" t="b">
        <f t="shared" si="13"/>
        <v>0</v>
      </c>
      <c r="AP46" s="1034" t="b">
        <f t="shared" si="13"/>
        <v>1</v>
      </c>
      <c r="AQ46" s="1034" t="b">
        <f t="shared" si="13"/>
        <v>0</v>
      </c>
      <c r="AR46" s="1034" t="b">
        <f t="shared" ref="AR46:AR63" si="14">Q46=AD46</f>
        <v>0</v>
      </c>
    </row>
    <row r="47" spans="1:62" ht="12.75" customHeight="1">
      <c r="A47" s="3155">
        <v>1950</v>
      </c>
      <c r="B47" s="2635"/>
      <c r="C47" s="2838">
        <f>+'1950'!$D$52</f>
        <v>0.43419937295463329</v>
      </c>
      <c r="D47" s="2838">
        <f>+'1950'!$D$53</f>
        <v>0.46109342130672404</v>
      </c>
      <c r="E47" s="2838">
        <f>+'1950'!$D$54</f>
        <v>9.1115209819400869E-2</v>
      </c>
      <c r="F47" s="2838">
        <f>+'1950'!$D$55+'1950'!$D$56</f>
        <v>9.4845095381049412E-4</v>
      </c>
      <c r="G47" s="2631">
        <f t="shared" si="9"/>
        <v>1.2643544965431297E-2</v>
      </c>
      <c r="H47" s="2839">
        <f>+'1950'!$D$49</f>
        <v>1</v>
      </c>
      <c r="I47" s="2629"/>
      <c r="J47" s="3155">
        <v>1950</v>
      </c>
      <c r="K47" s="2635"/>
      <c r="L47" s="3211">
        <f>+'1950'!$F$52</f>
        <v>298</v>
      </c>
      <c r="M47" s="3211">
        <f>+'1950'!$F$53</f>
        <v>315</v>
      </c>
      <c r="N47" s="3211">
        <f>+'1950'!$F$54</f>
        <v>9</v>
      </c>
      <c r="O47" s="3211">
        <f>+'1950'!$F$55+'1950'!$F$56</f>
        <v>0</v>
      </c>
      <c r="P47" s="3211">
        <f t="shared" ref="P47:P60" si="15">+Q47-SUM(L47:O47)</f>
        <v>3</v>
      </c>
      <c r="Q47" s="3211">
        <f>+'1950'!$F$49</f>
        <v>625</v>
      </c>
      <c r="R47" s="1052">
        <f t="shared" si="11"/>
        <v>4.7999999999999996E-3</v>
      </c>
      <c r="S47" s="919"/>
      <c r="T47" s="919"/>
      <c r="U47" s="919"/>
      <c r="V47" s="919"/>
      <c r="W47" s="919"/>
      <c r="X47" s="919"/>
      <c r="Z47" s="1077"/>
      <c r="AA47" s="1436"/>
      <c r="AB47" s="948"/>
      <c r="AC47" s="948"/>
      <c r="AD47" s="948"/>
      <c r="AE47" s="948"/>
      <c r="AF47" s="2621"/>
      <c r="AJ47" s="1034" t="str">
        <f t="shared" si="12"/>
        <v xml:space="preserve">LAB </v>
      </c>
      <c r="AK47" s="1034" t="e">
        <f ca="1">INDEX(L$37:P$37,MATCH(LAREE(L47:P47,2),L47:P47,0))</f>
        <v>#NAME?</v>
      </c>
      <c r="AM47" s="1034" t="b">
        <f t="shared" ref="AM47:AM63" si="16">L47=AA47</f>
        <v>0</v>
      </c>
      <c r="AN47" s="1034" t="b">
        <f t="shared" si="13"/>
        <v>0</v>
      </c>
      <c r="AO47" s="1034" t="b">
        <f t="shared" si="13"/>
        <v>0</v>
      </c>
      <c r="AP47" s="1034" t="b">
        <f t="shared" si="13"/>
        <v>1</v>
      </c>
      <c r="AQ47" s="1034" t="b">
        <f t="shared" si="13"/>
        <v>0</v>
      </c>
      <c r="AR47" s="1034" t="b">
        <f t="shared" si="14"/>
        <v>0</v>
      </c>
    </row>
    <row r="48" spans="1:62" ht="12.75" customHeight="1">
      <c r="A48" s="3155">
        <v>1951</v>
      </c>
      <c r="B48" s="2635"/>
      <c r="C48" s="2838">
        <f>+'1951'!$D$51</f>
        <v>0.47971443732075225</v>
      </c>
      <c r="D48" s="2838">
        <f>+'1951'!$D$52</f>
        <v>0.48778127213331768</v>
      </c>
      <c r="E48" s="2838">
        <f>+'1951'!$D$53</f>
        <v>2.5546608802432907E-2</v>
      </c>
      <c r="F48" s="2838">
        <f>+'1951'!$D$54+'1951'!$D$55</f>
        <v>6.371038453040946E-4</v>
      </c>
      <c r="G48" s="2631">
        <f t="shared" si="9"/>
        <v>6.3205778981930694E-3</v>
      </c>
      <c r="H48" s="2839">
        <f>+'1951'!$D$48</f>
        <v>1</v>
      </c>
      <c r="I48" s="2629"/>
      <c r="J48" s="3155">
        <v>1951</v>
      </c>
      <c r="K48" s="2635"/>
      <c r="L48" s="3211">
        <f>+'1951'!$F$51</f>
        <v>321</v>
      </c>
      <c r="M48" s="3211">
        <f>+'1951'!$F$52</f>
        <v>295</v>
      </c>
      <c r="N48" s="3211">
        <f>+'1951'!$F$53</f>
        <v>6</v>
      </c>
      <c r="O48" s="3211">
        <f>+'1951'!$F$54+'1951'!$F$55</f>
        <v>0</v>
      </c>
      <c r="P48" s="3211">
        <f t="shared" si="15"/>
        <v>3</v>
      </c>
      <c r="Q48" s="3211">
        <f>+'1951'!$F$48</f>
        <v>625</v>
      </c>
      <c r="R48" s="1052">
        <f t="shared" si="11"/>
        <v>4.7999999999999996E-3</v>
      </c>
      <c r="S48" s="919"/>
      <c r="T48" s="919"/>
      <c r="U48" s="919"/>
      <c r="V48" s="919"/>
      <c r="W48" s="919"/>
      <c r="X48" s="919"/>
      <c r="Z48" s="1077"/>
      <c r="AA48" s="1436"/>
      <c r="AB48" s="948"/>
      <c r="AC48" s="948"/>
      <c r="AD48" s="948"/>
      <c r="AE48" s="948"/>
      <c r="AF48" s="2621"/>
      <c r="AJ48" s="1034" t="str">
        <f t="shared" si="12"/>
        <v>CON2</v>
      </c>
      <c r="AK48" s="1034" t="e">
        <f ca="1">INDEX(L$37:P$37,MATCH(LAREE(L48:P48,2),L48:P48,0))</f>
        <v>#NAME?</v>
      </c>
      <c r="AM48" s="1034" t="b">
        <f t="shared" si="16"/>
        <v>0</v>
      </c>
      <c r="AN48" s="1034" t="b">
        <f t="shared" si="13"/>
        <v>0</v>
      </c>
      <c r="AO48" s="1034" t="b">
        <f t="shared" si="13"/>
        <v>0</v>
      </c>
      <c r="AP48" s="1034" t="b">
        <f t="shared" si="13"/>
        <v>1</v>
      </c>
      <c r="AQ48" s="1034" t="b">
        <f t="shared" si="13"/>
        <v>0</v>
      </c>
      <c r="AR48" s="1034" t="b">
        <f t="shared" si="14"/>
        <v>0</v>
      </c>
    </row>
    <row r="49" spans="1:44" ht="12.75" customHeight="1">
      <c r="A49" s="3155">
        <v>1955</v>
      </c>
      <c r="B49" s="2635"/>
      <c r="C49" s="2838">
        <f>+'1955'!$D$51</f>
        <v>0.49742248884508511</v>
      </c>
      <c r="D49" s="2838">
        <f>+'1955'!$D$52</f>
        <v>0.4635792088925863</v>
      </c>
      <c r="E49" s="2838">
        <f>+'1955'!$D$53</f>
        <v>2.6995863822088781E-2</v>
      </c>
      <c r="F49" s="2838">
        <f>+'1955'!$D$54+'1955'!$D$55</f>
        <v>2.1386987887657607E-3</v>
      </c>
      <c r="G49" s="2631">
        <f t="shared" si="9"/>
        <v>9.8637396514741349E-3</v>
      </c>
      <c r="H49" s="2839">
        <f>+'1955'!$D$48</f>
        <v>1</v>
      </c>
      <c r="I49" s="2629"/>
      <c r="J49" s="3155">
        <v>1955</v>
      </c>
      <c r="K49" s="2635"/>
      <c r="L49" s="3211">
        <f>+'1955'!$F$51</f>
        <v>345</v>
      </c>
      <c r="M49" s="3211">
        <f>+'1955'!$F$52</f>
        <v>277</v>
      </c>
      <c r="N49" s="3211">
        <f>+'1955'!$F$53</f>
        <v>6</v>
      </c>
      <c r="O49" s="3211">
        <f>+'1955'!$F$54+'1955'!$F$55</f>
        <v>0</v>
      </c>
      <c r="P49" s="3211">
        <f t="shared" si="15"/>
        <v>2</v>
      </c>
      <c r="Q49" s="3211">
        <f>+'1955'!$F$48</f>
        <v>630</v>
      </c>
      <c r="R49" s="1052">
        <f t="shared" si="11"/>
        <v>3.1746031746031746E-3</v>
      </c>
      <c r="S49" s="919"/>
      <c r="T49" s="919"/>
      <c r="U49" s="919"/>
      <c r="V49" s="919"/>
      <c r="W49" s="919"/>
      <c r="X49" s="919"/>
      <c r="Z49" s="1077"/>
      <c r="AA49" s="1436"/>
      <c r="AB49" s="948"/>
      <c r="AC49" s="948"/>
      <c r="AD49" s="948"/>
      <c r="AE49" s="948"/>
      <c r="AF49" s="2621"/>
      <c r="AJ49" s="1034" t="str">
        <f t="shared" si="12"/>
        <v>CON2</v>
      </c>
      <c r="AK49" s="1034" t="e">
        <f ca="1">INDEX(L$37:P$37,MATCH(LAREE(L49:P49,2),L49:P49,0))</f>
        <v>#NAME?</v>
      </c>
      <c r="AM49" s="1034" t="b">
        <f t="shared" si="16"/>
        <v>0</v>
      </c>
      <c r="AN49" s="1034" t="b">
        <f t="shared" si="13"/>
        <v>0</v>
      </c>
      <c r="AO49" s="1034" t="b">
        <f t="shared" si="13"/>
        <v>0</v>
      </c>
      <c r="AP49" s="1034" t="b">
        <f t="shared" si="13"/>
        <v>1</v>
      </c>
      <c r="AQ49" s="1034" t="b">
        <f t="shared" si="13"/>
        <v>0</v>
      </c>
      <c r="AR49" s="1034" t="b">
        <f t="shared" si="14"/>
        <v>0</v>
      </c>
    </row>
    <row r="50" spans="1:44" ht="12.75" customHeight="1">
      <c r="A50" s="3155">
        <v>1959</v>
      </c>
      <c r="B50" s="2635"/>
      <c r="C50" s="2838">
        <f>+'1959'!$D$52</f>
        <v>0.49352355260367892</v>
      </c>
      <c r="D50" s="2838">
        <f>+'1959'!$D$53</f>
        <v>0.43844254308599195</v>
      </c>
      <c r="E50" s="2838">
        <f>+'1959'!$D$54</f>
        <v>5.8887431103112509E-2</v>
      </c>
      <c r="F50" s="2838">
        <f>+'1959'!$D$55+'1959'!$D$56</f>
        <v>3.5642335840823766E-3</v>
      </c>
      <c r="G50" s="2631">
        <f t="shared" si="9"/>
        <v>5.5822396231341997E-3</v>
      </c>
      <c r="H50" s="2839">
        <f>+'1959'!$D$49</f>
        <v>1</v>
      </c>
      <c r="I50" s="2629"/>
      <c r="J50" s="3155">
        <v>1959</v>
      </c>
      <c r="K50" s="2635"/>
      <c r="L50" s="3211">
        <f>+'1959'!$F$52</f>
        <v>365</v>
      </c>
      <c r="M50" s="3211">
        <f>+'1959'!$F$53</f>
        <v>258</v>
      </c>
      <c r="N50" s="3211">
        <f>+'1959'!$F$54</f>
        <v>6</v>
      </c>
      <c r="O50" s="3211">
        <f>+'1959'!$F$55+'1959'!$F$56</f>
        <v>0</v>
      </c>
      <c r="P50" s="3211">
        <f t="shared" si="15"/>
        <v>1</v>
      </c>
      <c r="Q50" s="3211">
        <f>+'1959'!$F$49</f>
        <v>630</v>
      </c>
      <c r="R50" s="1052">
        <f t="shared" si="11"/>
        <v>1.5873015873015873E-3</v>
      </c>
      <c r="S50" s="919"/>
      <c r="T50" s="919"/>
      <c r="U50" s="919"/>
      <c r="V50" s="919"/>
      <c r="W50" s="919"/>
      <c r="X50" s="919"/>
      <c r="Z50" s="1077"/>
      <c r="AA50" s="1436"/>
      <c r="AB50" s="948"/>
      <c r="AC50" s="948"/>
      <c r="AD50" s="948"/>
      <c r="AE50" s="948"/>
      <c r="AF50" s="2621"/>
      <c r="AJ50" s="1034" t="str">
        <f t="shared" si="12"/>
        <v>CON2</v>
      </c>
      <c r="AK50" s="1034" t="e">
        <f ca="1">INDEX(L$37:P$37,MATCH(LAREE(L50:P50,2),L50:P50,0))</f>
        <v>#NAME?</v>
      </c>
      <c r="AM50" s="1034" t="b">
        <f t="shared" si="16"/>
        <v>0</v>
      </c>
      <c r="AN50" s="1034" t="b">
        <f t="shared" si="13"/>
        <v>0</v>
      </c>
      <c r="AO50" s="1034" t="b">
        <f t="shared" si="13"/>
        <v>0</v>
      </c>
      <c r="AP50" s="1034" t="b">
        <f t="shared" si="13"/>
        <v>1</v>
      </c>
      <c r="AQ50" s="1034" t="b">
        <f t="shared" si="13"/>
        <v>0</v>
      </c>
      <c r="AR50" s="1034" t="b">
        <f t="shared" si="14"/>
        <v>0</v>
      </c>
    </row>
    <row r="51" spans="1:44" ht="12.75" customHeight="1">
      <c r="A51" s="3155">
        <v>1964</v>
      </c>
      <c r="B51" s="2635"/>
      <c r="C51" s="2838">
        <f>+'1964'!$D$52</f>
        <v>0.43397974368145265</v>
      </c>
      <c r="D51" s="2838">
        <f>+'1964'!$D$53</f>
        <v>0.44132562041465734</v>
      </c>
      <c r="E51" s="2838">
        <f>+'1964'!$D$54</f>
        <v>0.11206083143496937</v>
      </c>
      <c r="F51" s="2838">
        <f>+'1964'!$D$55+'1964'!$D$56</f>
        <v>4.8288059202633623E-3</v>
      </c>
      <c r="G51" s="2631">
        <f t="shared" si="9"/>
        <v>7.8049985486573492E-3</v>
      </c>
      <c r="H51" s="2839">
        <f>+'1964'!$D$49</f>
        <v>1</v>
      </c>
      <c r="I51" s="2629"/>
      <c r="J51" s="3155">
        <v>1964</v>
      </c>
      <c r="K51" s="2635"/>
      <c r="L51" s="3211">
        <f>+'1964'!$F$52</f>
        <v>304</v>
      </c>
      <c r="M51" s="3211">
        <f>+'1964'!$F$53</f>
        <v>317</v>
      </c>
      <c r="N51" s="3211">
        <f>+'1964'!$F$54</f>
        <v>9</v>
      </c>
      <c r="O51" s="3211">
        <f>+'1964'!$F$55+'1964'!$F$56</f>
        <v>0</v>
      </c>
      <c r="P51" s="3211">
        <f t="shared" si="15"/>
        <v>0</v>
      </c>
      <c r="Q51" s="3211">
        <f>+'1964'!$F$49</f>
        <v>630</v>
      </c>
      <c r="R51" s="1052">
        <f t="shared" si="11"/>
        <v>0</v>
      </c>
      <c r="S51" s="919"/>
      <c r="T51" s="919"/>
      <c r="U51" s="919"/>
      <c r="V51" s="919"/>
      <c r="W51" s="919"/>
      <c r="X51" s="919"/>
      <c r="Z51" s="1077"/>
      <c r="AA51" s="1436"/>
      <c r="AB51" s="948"/>
      <c r="AC51" s="948"/>
      <c r="AD51" s="948"/>
      <c r="AE51" s="948"/>
      <c r="AF51" s="2621"/>
      <c r="AJ51" s="1034" t="str">
        <f t="shared" si="12"/>
        <v xml:space="preserve">LAB </v>
      </c>
      <c r="AK51" s="1034" t="e">
        <f ca="1">INDEX(L$37:P$37,MATCH(LAREE(L51:P51,2),L51:P51,0))</f>
        <v>#NAME?</v>
      </c>
      <c r="AM51" s="1034" t="b">
        <f t="shared" si="16"/>
        <v>0</v>
      </c>
      <c r="AN51" s="1034" t="b">
        <f t="shared" si="13"/>
        <v>0</v>
      </c>
      <c r="AO51" s="1034" t="b">
        <f t="shared" si="13"/>
        <v>0</v>
      </c>
      <c r="AP51" s="1034" t="b">
        <f t="shared" si="13"/>
        <v>1</v>
      </c>
      <c r="AQ51" s="1034" t="b">
        <f t="shared" si="13"/>
        <v>1</v>
      </c>
      <c r="AR51" s="1034" t="b">
        <f t="shared" si="14"/>
        <v>0</v>
      </c>
    </row>
    <row r="52" spans="1:44" ht="12.75" customHeight="1">
      <c r="A52" s="3155">
        <v>1966</v>
      </c>
      <c r="B52" s="2635"/>
      <c r="C52" s="2838">
        <f>+'1966'!$D$50</f>
        <v>0.41879922817548976</v>
      </c>
      <c r="D52" s="2838">
        <f>+'1966'!$D$51</f>
        <v>0.48035028529698076</v>
      </c>
      <c r="E52" s="2838">
        <f>+'1966'!$D$52</f>
        <v>8.5365068672744335E-2</v>
      </c>
      <c r="F52" s="2838">
        <f>+'1966'!$D$53+'1966'!$D$54</f>
        <v>6.9520175631924992E-3</v>
      </c>
      <c r="G52" s="2631">
        <f t="shared" si="9"/>
        <v>8.5334002915926632E-3</v>
      </c>
      <c r="H52" s="2839">
        <f>+'1966'!$D$47</f>
        <v>1</v>
      </c>
      <c r="I52" s="2629"/>
      <c r="J52" s="3155">
        <v>1966</v>
      </c>
      <c r="K52" s="2635"/>
      <c r="L52" s="3211">
        <f>+'1966'!$F$50</f>
        <v>253</v>
      </c>
      <c r="M52" s="3211">
        <f>+'1966'!$F$51</f>
        <v>364</v>
      </c>
      <c r="N52" s="3211">
        <f>+'1966'!$F$52</f>
        <v>12</v>
      </c>
      <c r="O52" s="3211">
        <f>+'1966'!$F$53+'1966'!$F$54</f>
        <v>0</v>
      </c>
      <c r="P52" s="3211">
        <f t="shared" si="15"/>
        <v>1</v>
      </c>
      <c r="Q52" s="3211">
        <f>+'1966'!$F$47</f>
        <v>630</v>
      </c>
      <c r="R52" s="1052">
        <f t="shared" si="11"/>
        <v>1.5873015873015873E-3</v>
      </c>
      <c r="S52" s="919"/>
      <c r="T52" s="919"/>
      <c r="U52" s="919"/>
      <c r="V52" s="919"/>
      <c r="W52" s="919"/>
      <c r="X52" s="919"/>
      <c r="Z52" s="1077"/>
      <c r="AA52" s="1436"/>
      <c r="AB52" s="948"/>
      <c r="AC52" s="948"/>
      <c r="AD52" s="948"/>
      <c r="AE52" s="948"/>
      <c r="AF52" s="2621"/>
      <c r="AJ52" s="1034" t="str">
        <f t="shared" si="12"/>
        <v xml:space="preserve">LAB </v>
      </c>
      <c r="AK52" s="1034" t="e">
        <f ca="1">INDEX(L$37:P$37,MATCH(LAREE(L52:P52,2),L52:P52,0))</f>
        <v>#NAME?</v>
      </c>
      <c r="AM52" s="1034" t="b">
        <f t="shared" si="16"/>
        <v>0</v>
      </c>
      <c r="AN52" s="1034" t="b">
        <f t="shared" si="13"/>
        <v>0</v>
      </c>
      <c r="AO52" s="1034" t="b">
        <f t="shared" si="13"/>
        <v>0</v>
      </c>
      <c r="AP52" s="1034" t="b">
        <f t="shared" si="13"/>
        <v>1</v>
      </c>
      <c r="AQ52" s="1034" t="b">
        <f t="shared" si="13"/>
        <v>0</v>
      </c>
      <c r="AR52" s="1034" t="b">
        <f t="shared" si="14"/>
        <v>0</v>
      </c>
    </row>
    <row r="53" spans="1:44" ht="12.75" customHeight="1">
      <c r="A53" s="3155">
        <v>1970</v>
      </c>
      <c r="B53" s="2635"/>
      <c r="C53" s="2838">
        <f>+'1970'!$D$45</f>
        <v>0.46375786484701709</v>
      </c>
      <c r="D53" s="2838">
        <f>+'1970'!$D$46</f>
        <v>0.43072305542625494</v>
      </c>
      <c r="E53" s="2838">
        <f>+'1970'!$D$47</f>
        <v>7.4688660684757741E-2</v>
      </c>
      <c r="F53" s="2838">
        <f>+'1970'!$D$48+'1970'!$D$49</f>
        <v>1.6998462998395684E-2</v>
      </c>
      <c r="G53" s="2631">
        <f t="shared" si="9"/>
        <v>1.3831956043574567E-2</v>
      </c>
      <c r="H53" s="2839">
        <f>+'1970'!$D$44</f>
        <v>1</v>
      </c>
      <c r="I53" s="2629"/>
      <c r="J53" s="3155">
        <v>1970</v>
      </c>
      <c r="K53" s="2635"/>
      <c r="L53" s="3211">
        <f>+'1970'!$F$45</f>
        <v>330</v>
      </c>
      <c r="M53" s="3211">
        <f>+'1970'!$F$46</f>
        <v>288</v>
      </c>
      <c r="N53" s="3211">
        <f>+'1970'!$F$47</f>
        <v>6</v>
      </c>
      <c r="O53" s="3211">
        <f>+'1970'!$F$48+'1970'!$F$49</f>
        <v>1</v>
      </c>
      <c r="P53" s="3211">
        <f t="shared" si="15"/>
        <v>5</v>
      </c>
      <c r="Q53" s="3211">
        <f>+'1970'!$F$44</f>
        <v>630</v>
      </c>
      <c r="R53" s="1052">
        <f t="shared" si="11"/>
        <v>7.9365079365079361E-3</v>
      </c>
      <c r="S53" s="919"/>
      <c r="T53" s="919"/>
      <c r="U53" s="919"/>
      <c r="V53" s="919"/>
      <c r="W53" s="919"/>
      <c r="X53" s="919"/>
      <c r="Z53" s="1077"/>
      <c r="AA53" s="1436"/>
      <c r="AB53" s="948"/>
      <c r="AC53" s="948"/>
      <c r="AD53" s="948"/>
      <c r="AE53" s="948"/>
      <c r="AF53" s="2621"/>
      <c r="AJ53" s="1034" t="str">
        <f t="shared" si="12"/>
        <v>CON2</v>
      </c>
      <c r="AK53" s="1034" t="e">
        <f ca="1">INDEX(L$37:P$37,MATCH(LAREE(L53:P53,2),L53:P53,0))</f>
        <v>#NAME?</v>
      </c>
      <c r="AM53" s="1034" t="b">
        <f t="shared" si="16"/>
        <v>0</v>
      </c>
      <c r="AN53" s="1034" t="b">
        <f t="shared" si="13"/>
        <v>0</v>
      </c>
      <c r="AO53" s="1034" t="b">
        <f t="shared" si="13"/>
        <v>0</v>
      </c>
      <c r="AP53" s="1034" t="b">
        <f t="shared" si="13"/>
        <v>0</v>
      </c>
      <c r="AQ53" s="1034" t="b">
        <f t="shared" si="13"/>
        <v>0</v>
      </c>
      <c r="AR53" s="1034" t="b">
        <f t="shared" si="14"/>
        <v>0</v>
      </c>
    </row>
    <row r="54" spans="1:44" ht="12.75" customHeight="1">
      <c r="A54" s="3155">
        <v>1974</v>
      </c>
      <c r="B54" s="2635" t="s">
        <v>50</v>
      </c>
      <c r="C54" s="2838">
        <f>+'1974F'!$D$48</f>
        <v>0.37881680381869115</v>
      </c>
      <c r="D54" s="2838">
        <f>+'1974F'!$D$49</f>
        <v>0.37158761336332596</v>
      </c>
      <c r="E54" s="2838">
        <f>+'1974F'!$D$50</f>
        <v>0.19334676700139586</v>
      </c>
      <c r="F54" s="2838">
        <f>+'1974F'!$D$51+'1974F'!$D$52</f>
        <v>2.5671660535768769E-2</v>
      </c>
      <c r="G54" s="2631">
        <f t="shared" si="9"/>
        <v>3.057715528081828E-2</v>
      </c>
      <c r="H54" s="2839">
        <f>+'1974F'!$D$47</f>
        <v>1</v>
      </c>
      <c r="I54" s="2629"/>
      <c r="J54" s="3155">
        <v>1974</v>
      </c>
      <c r="K54" s="2635" t="s">
        <v>50</v>
      </c>
      <c r="L54" s="3211">
        <f>+'1974F'!$F$48</f>
        <v>297</v>
      </c>
      <c r="M54" s="3211">
        <f>+'1974F'!$F$49</f>
        <v>301</v>
      </c>
      <c r="N54" s="3211">
        <f>+'1974F'!$F$50</f>
        <v>14</v>
      </c>
      <c r="O54" s="3211">
        <f>+'1974F'!$F$51+'1974F'!$F$52</f>
        <v>9</v>
      </c>
      <c r="P54" s="3211">
        <f t="shared" si="15"/>
        <v>14</v>
      </c>
      <c r="Q54" s="3211">
        <f>+'1974F'!$F$47</f>
        <v>635</v>
      </c>
      <c r="R54" s="1052">
        <f t="shared" si="11"/>
        <v>2.2047244094488189E-2</v>
      </c>
      <c r="S54" s="919"/>
      <c r="T54" s="919"/>
      <c r="U54" s="919"/>
      <c r="V54" s="919"/>
      <c r="W54" s="919"/>
      <c r="X54" s="919"/>
      <c r="Z54" s="1077"/>
      <c r="AA54" s="1436"/>
      <c r="AB54" s="948"/>
      <c r="AC54" s="948"/>
      <c r="AD54" s="948"/>
      <c r="AE54" s="948"/>
      <c r="AF54" s="2621"/>
      <c r="AJ54" s="1034" t="str">
        <f t="shared" si="12"/>
        <v xml:space="preserve">LAB </v>
      </c>
      <c r="AK54" s="1034" t="e">
        <f ca="1">INDEX(L$37:P$37,MATCH(LAREE(L54:P54,2),L54:P54,0))</f>
        <v>#NAME?</v>
      </c>
      <c r="AM54" s="1034" t="b">
        <f t="shared" si="16"/>
        <v>0</v>
      </c>
      <c r="AN54" s="1034" t="b">
        <f t="shared" si="13"/>
        <v>0</v>
      </c>
      <c r="AO54" s="1034" t="b">
        <f t="shared" si="13"/>
        <v>0</v>
      </c>
      <c r="AP54" s="1034" t="b">
        <f t="shared" si="13"/>
        <v>0</v>
      </c>
      <c r="AQ54" s="1034" t="b">
        <f t="shared" si="13"/>
        <v>0</v>
      </c>
      <c r="AR54" s="1034" t="b">
        <f t="shared" si="14"/>
        <v>0</v>
      </c>
    </row>
    <row r="55" spans="1:44" ht="12.75" customHeight="1">
      <c r="A55" s="3155">
        <v>1974</v>
      </c>
      <c r="B55" s="2635" t="s">
        <v>51</v>
      </c>
      <c r="C55" s="2838">
        <f>+'1974O'!$D$47</f>
        <v>0.35844077296788557</v>
      </c>
      <c r="D55" s="2838">
        <f>+'1974O'!$D$48</f>
        <v>0.39251218536889654</v>
      </c>
      <c r="E55" s="2838">
        <f>+'1974O'!$D$49</f>
        <v>0.18317465311713577</v>
      </c>
      <c r="F55" s="2838">
        <f>+'1974O'!$D$50+'1974O'!$D$51</f>
        <v>3.4462791321035413E-2</v>
      </c>
      <c r="G55" s="2631">
        <f t="shared" si="9"/>
        <v>3.140959722504677E-2</v>
      </c>
      <c r="H55" s="2839">
        <f>+'1974O'!$D$46</f>
        <v>1</v>
      </c>
      <c r="I55" s="2629"/>
      <c r="J55" s="3155">
        <v>1974</v>
      </c>
      <c r="K55" s="2635" t="s">
        <v>51</v>
      </c>
      <c r="L55" s="3211">
        <f>+'1974O'!$F$47</f>
        <v>277</v>
      </c>
      <c r="M55" s="3211">
        <f>+'1974O'!$F$48</f>
        <v>319</v>
      </c>
      <c r="N55" s="3211">
        <f>+'1974O'!$F$49</f>
        <v>13</v>
      </c>
      <c r="O55" s="3211">
        <f>+'1974O'!$F$50+'1974O'!$F$51</f>
        <v>14</v>
      </c>
      <c r="P55" s="3211">
        <f t="shared" si="15"/>
        <v>12</v>
      </c>
      <c r="Q55" s="3211">
        <f>+'1974O'!$F$46</f>
        <v>635</v>
      </c>
      <c r="R55" s="1052">
        <f t="shared" si="11"/>
        <v>1.889763779527559E-2</v>
      </c>
      <c r="S55" s="919"/>
      <c r="T55" s="919"/>
      <c r="U55" s="919"/>
      <c r="V55" s="919"/>
      <c r="W55" s="919"/>
      <c r="X55" s="919"/>
      <c r="Z55" s="1077"/>
      <c r="AA55" s="1436"/>
      <c r="AB55" s="948"/>
      <c r="AC55" s="948"/>
      <c r="AD55" s="948"/>
      <c r="AE55" s="948"/>
      <c r="AF55" s="2621"/>
      <c r="AJ55" s="1034" t="str">
        <f t="shared" si="12"/>
        <v xml:space="preserve">LAB </v>
      </c>
      <c r="AK55" s="1034" t="e">
        <f ca="1">INDEX(L$37:P$37,MATCH(LAREE(L55:P55,2),L55:P55,0))</f>
        <v>#NAME?</v>
      </c>
      <c r="AM55" s="1034" t="b">
        <f t="shared" si="16"/>
        <v>0</v>
      </c>
      <c r="AN55" s="1034" t="b">
        <f t="shared" si="13"/>
        <v>0</v>
      </c>
      <c r="AO55" s="1034" t="b">
        <f t="shared" si="13"/>
        <v>0</v>
      </c>
      <c r="AP55" s="1034" t="b">
        <f t="shared" si="13"/>
        <v>0</v>
      </c>
      <c r="AQ55" s="1034" t="b">
        <f t="shared" si="13"/>
        <v>0</v>
      </c>
      <c r="AR55" s="1034" t="b">
        <f t="shared" si="14"/>
        <v>0</v>
      </c>
    </row>
    <row r="56" spans="1:44" ht="12.75" customHeight="1">
      <c r="A56" s="3155">
        <v>1979</v>
      </c>
      <c r="B56" s="2635"/>
      <c r="C56" s="2838">
        <f>+'1979'!$D$49</f>
        <v>0.43873560032390646</v>
      </c>
      <c r="D56" s="2838">
        <f>+'1979'!$D$50</f>
        <v>0.36936947209413862</v>
      </c>
      <c r="E56" s="2838">
        <f>+'1979'!$D$51</f>
        <v>0.13816834768451164</v>
      </c>
      <c r="F56" s="2838">
        <f>+'1979'!$D$52+'1979'!$D$53</f>
        <v>2.0396387575916771E-2</v>
      </c>
      <c r="G56" s="2631">
        <f t="shared" si="9"/>
        <v>3.3330192321526564E-2</v>
      </c>
      <c r="H56" s="2839">
        <f>+'1979'!$D$48</f>
        <v>1</v>
      </c>
      <c r="I56" s="2629"/>
      <c r="J56" s="3155">
        <v>1979</v>
      </c>
      <c r="K56" s="2635"/>
      <c r="L56" s="3211">
        <f>+'1979'!$F$49</f>
        <v>339</v>
      </c>
      <c r="M56" s="3211">
        <f>+'1979'!$F$50</f>
        <v>269</v>
      </c>
      <c r="N56" s="3211">
        <f>+'1979'!$F$51</f>
        <v>11</v>
      </c>
      <c r="O56" s="3211">
        <f>+'1979'!$F$52+'1979'!$F$53</f>
        <v>4</v>
      </c>
      <c r="P56" s="3211">
        <f t="shared" si="15"/>
        <v>12</v>
      </c>
      <c r="Q56" s="3211">
        <f>+'1979'!$F$48</f>
        <v>635</v>
      </c>
      <c r="R56" s="1052">
        <f t="shared" si="11"/>
        <v>1.889763779527559E-2</v>
      </c>
      <c r="S56" s="919"/>
      <c r="T56" s="919"/>
      <c r="U56" s="919"/>
      <c r="V56" s="919"/>
      <c r="W56" s="919"/>
      <c r="X56" s="919"/>
      <c r="Z56" s="1077"/>
      <c r="AA56" s="1436"/>
      <c r="AB56" s="948"/>
      <c r="AC56" s="948"/>
      <c r="AD56" s="948"/>
      <c r="AE56" s="948"/>
      <c r="AF56" s="2621"/>
      <c r="AJ56" s="1034" t="str">
        <f t="shared" si="12"/>
        <v>CON2</v>
      </c>
      <c r="AK56" s="1034" t="e">
        <f ca="1">INDEX(L$37:P$37,MATCH(LAREE(L56:P56,2),L56:P56,0))</f>
        <v>#NAME?</v>
      </c>
      <c r="AM56" s="1034" t="b">
        <f t="shared" si="16"/>
        <v>0</v>
      </c>
      <c r="AN56" s="1034" t="b">
        <f t="shared" si="13"/>
        <v>0</v>
      </c>
      <c r="AO56" s="1034" t="b">
        <f t="shared" si="13"/>
        <v>0</v>
      </c>
      <c r="AP56" s="1034" t="b">
        <f t="shared" si="13"/>
        <v>0</v>
      </c>
      <c r="AQ56" s="1034" t="b">
        <f t="shared" si="13"/>
        <v>0</v>
      </c>
      <c r="AR56" s="1034" t="b">
        <f t="shared" si="14"/>
        <v>0</v>
      </c>
    </row>
    <row r="57" spans="1:44" ht="12.75" customHeight="1">
      <c r="A57" s="3155">
        <v>1983</v>
      </c>
      <c r="B57" s="2635"/>
      <c r="C57" s="2838">
        <f>+'1983'!$D$55</f>
        <v>0.42425280810424471</v>
      </c>
      <c r="D57" s="2838">
        <f>+'1983'!$D$56</f>
        <v>0.27572939340331598</v>
      </c>
      <c r="E57" s="2838">
        <f>+'1983'!$D$59</f>
        <v>0.25368961704941034</v>
      </c>
      <c r="F57" s="2838">
        <f>+'1983'!$D$60+'1983'!$D$61</f>
        <v>1.4909261433640363E-2</v>
      </c>
      <c r="G57" s="2631">
        <f t="shared" si="9"/>
        <v>3.1418920009388618E-2</v>
      </c>
      <c r="H57" s="2839">
        <f>+'1983'!$D$54</f>
        <v>1</v>
      </c>
      <c r="I57" s="2629"/>
      <c r="J57" s="3155">
        <v>1983</v>
      </c>
      <c r="K57" s="2635"/>
      <c r="L57" s="3211">
        <f>+'1983'!$F$55</f>
        <v>397</v>
      </c>
      <c r="M57" s="3211">
        <f>+'1983'!$F$56</f>
        <v>209</v>
      </c>
      <c r="N57" s="3211">
        <f>+'1983'!$F$59</f>
        <v>23</v>
      </c>
      <c r="O57" s="3211">
        <f>+'1983'!$F$60+'1983'!$F$61</f>
        <v>4</v>
      </c>
      <c r="P57" s="3211">
        <f t="shared" si="15"/>
        <v>17</v>
      </c>
      <c r="Q57" s="3211">
        <f>+'1983'!$F$54</f>
        <v>650</v>
      </c>
      <c r="R57" s="1052">
        <f t="shared" si="11"/>
        <v>2.6153846153846153E-2</v>
      </c>
      <c r="S57" s="919"/>
      <c r="T57" s="919"/>
      <c r="U57" s="919"/>
      <c r="V57" s="919"/>
      <c r="W57" s="919"/>
      <c r="X57" s="919"/>
      <c r="Z57" s="1077"/>
      <c r="AA57" s="1436"/>
      <c r="AB57" s="948"/>
      <c r="AC57" s="948"/>
      <c r="AD57" s="948"/>
      <c r="AE57" s="948"/>
      <c r="AF57" s="2621"/>
      <c r="AJ57" s="1034" t="str">
        <f t="shared" si="12"/>
        <v>CON2</v>
      </c>
      <c r="AK57" s="1034" t="e">
        <f ca="1">INDEX(L$37:P$37,MATCH(LAREE(L57:P57,2),L57:P57,0))</f>
        <v>#NAME?</v>
      </c>
      <c r="AM57" s="1034" t="b">
        <f t="shared" si="16"/>
        <v>0</v>
      </c>
      <c r="AN57" s="1034" t="b">
        <f t="shared" si="13"/>
        <v>0</v>
      </c>
      <c r="AO57" s="1034" t="b">
        <f t="shared" si="13"/>
        <v>0</v>
      </c>
      <c r="AP57" s="1034" t="b">
        <f t="shared" si="13"/>
        <v>0</v>
      </c>
      <c r="AQ57" s="1034" t="b">
        <f t="shared" si="13"/>
        <v>0</v>
      </c>
      <c r="AR57" s="1034" t="b">
        <f t="shared" si="14"/>
        <v>0</v>
      </c>
    </row>
    <row r="58" spans="1:44" ht="12.75" customHeight="1">
      <c r="A58" s="3155">
        <v>1987</v>
      </c>
      <c r="B58" s="2635"/>
      <c r="C58" s="2838">
        <f>+'1987'!$D$55</f>
        <v>0.42301756881076047</v>
      </c>
      <c r="D58" s="2838">
        <f>+'1987'!$D$56</f>
        <v>0.30832883844973336</v>
      </c>
      <c r="E58" s="2838">
        <f>+'1987'!$D$59</f>
        <v>0.22569100035666001</v>
      </c>
      <c r="F58" s="2838">
        <f>+'1987'!$D$60+'1987'!$D$61</f>
        <v>1.6602490201379189E-2</v>
      </c>
      <c r="G58" s="2631">
        <f t="shared" si="9"/>
        <v>2.6360102181467004E-2</v>
      </c>
      <c r="H58" s="2839">
        <f>+'1987'!$D$54</f>
        <v>1</v>
      </c>
      <c r="I58" s="2629"/>
      <c r="J58" s="3155">
        <v>1987</v>
      </c>
      <c r="K58" s="2635"/>
      <c r="L58" s="3211">
        <f>+'1987'!$F$55</f>
        <v>376</v>
      </c>
      <c r="M58" s="3211">
        <f>+'1987'!$F$56</f>
        <v>229</v>
      </c>
      <c r="N58" s="3211">
        <f>+'1987'!$F$59</f>
        <v>22</v>
      </c>
      <c r="O58" s="3211">
        <f>+'1987'!$F$60+'1987'!$F$61</f>
        <v>6</v>
      </c>
      <c r="P58" s="3211">
        <f t="shared" si="15"/>
        <v>17</v>
      </c>
      <c r="Q58" s="3211">
        <f>+'1987'!$F$54</f>
        <v>650</v>
      </c>
      <c r="R58" s="1052">
        <f t="shared" si="11"/>
        <v>2.6153846153846153E-2</v>
      </c>
      <c r="S58" s="919"/>
      <c r="T58" s="919"/>
      <c r="U58" s="919"/>
      <c r="V58" s="919"/>
      <c r="W58" s="919"/>
      <c r="X58" s="919"/>
      <c r="Z58" s="1077"/>
      <c r="AA58" s="1436"/>
      <c r="AB58" s="948"/>
      <c r="AC58" s="948"/>
      <c r="AD58" s="948"/>
      <c r="AE58" s="948"/>
      <c r="AF58" s="2621"/>
      <c r="AJ58" s="1034" t="str">
        <f t="shared" si="12"/>
        <v>CON2</v>
      </c>
      <c r="AK58" s="1034" t="e">
        <f ca="1">INDEX(L$37:P$37,MATCH(LAREE(L58:P58,2),L58:P58,0))</f>
        <v>#NAME?</v>
      </c>
      <c r="AM58" s="1034" t="b">
        <f t="shared" si="16"/>
        <v>0</v>
      </c>
      <c r="AN58" s="1034" t="b">
        <f t="shared" si="13"/>
        <v>0</v>
      </c>
      <c r="AO58" s="1034" t="b">
        <f t="shared" si="13"/>
        <v>0</v>
      </c>
      <c r="AP58" s="1034" t="b">
        <f t="shared" si="13"/>
        <v>0</v>
      </c>
      <c r="AQ58" s="1034" t="b">
        <f t="shared" si="13"/>
        <v>0</v>
      </c>
      <c r="AR58" s="1034" t="b">
        <f t="shared" si="14"/>
        <v>0</v>
      </c>
    </row>
    <row r="59" spans="1:44" ht="12.75" customHeight="1">
      <c r="A59" s="3155">
        <v>1992</v>
      </c>
      <c r="B59" s="2635"/>
      <c r="C59" s="2838">
        <f>+'1992'!$D$45</f>
        <v>0.41925911747561451</v>
      </c>
      <c r="D59" s="2838">
        <f>+'1992'!$D$46</f>
        <v>0.34391796721813606</v>
      </c>
      <c r="E59" s="2838">
        <f>+'1992'!$D$47</f>
        <v>0.17848494056388403</v>
      </c>
      <c r="F59" s="2838">
        <f>+'1992'!$D$48+'1992'!$D$49</f>
        <v>2.3338765780071765E-2</v>
      </c>
      <c r="G59" s="2631">
        <f t="shared" si="9"/>
        <v>3.4999208962293582E-2</v>
      </c>
      <c r="H59" s="2839">
        <f>+'1992'!$D$44</f>
        <v>1</v>
      </c>
      <c r="I59" s="2629"/>
      <c r="J59" s="3155">
        <v>1992</v>
      </c>
      <c r="K59" s="2635"/>
      <c r="L59" s="3211">
        <f>+'1992'!$F$45</f>
        <v>336</v>
      </c>
      <c r="M59" s="3211">
        <f>+'1992'!$F$46</f>
        <v>271</v>
      </c>
      <c r="N59" s="3211">
        <f>+'1992'!$F$47</f>
        <v>20</v>
      </c>
      <c r="O59" s="3211">
        <f>+'1992'!$F$48+'1992'!$F$49</f>
        <v>7</v>
      </c>
      <c r="P59" s="3211">
        <f t="shared" si="15"/>
        <v>17</v>
      </c>
      <c r="Q59" s="3211">
        <f>+'1992'!$F$44</f>
        <v>651</v>
      </c>
      <c r="R59" s="1052">
        <f t="shared" si="11"/>
        <v>2.6113671274961597E-2</v>
      </c>
      <c r="S59" s="919"/>
      <c r="T59" s="919"/>
      <c r="U59" s="919"/>
      <c r="V59" s="919"/>
      <c r="W59" s="919"/>
      <c r="X59" s="919"/>
      <c r="Z59" s="1077"/>
      <c r="AA59" s="1436"/>
      <c r="AB59" s="948"/>
      <c r="AC59" s="948"/>
      <c r="AD59" s="948"/>
      <c r="AE59" s="948"/>
      <c r="AF59" s="2621"/>
      <c r="AJ59" s="1034" t="str">
        <f t="shared" si="12"/>
        <v>CON2</v>
      </c>
      <c r="AK59" s="1034" t="e">
        <f ca="1">INDEX(L$37:P$37,MATCH(LAREE(L59:P59,2),L59:P59,0))</f>
        <v>#NAME?</v>
      </c>
      <c r="AM59" s="1034" t="b">
        <f t="shared" si="16"/>
        <v>0</v>
      </c>
      <c r="AN59" s="1034" t="b">
        <f t="shared" si="13"/>
        <v>0</v>
      </c>
      <c r="AO59" s="1034" t="b">
        <f t="shared" si="13"/>
        <v>0</v>
      </c>
      <c r="AP59" s="1034" t="b">
        <f t="shared" si="13"/>
        <v>0</v>
      </c>
      <c r="AQ59" s="1034" t="b">
        <f t="shared" si="13"/>
        <v>0</v>
      </c>
      <c r="AR59" s="1034" t="b">
        <f t="shared" si="14"/>
        <v>0</v>
      </c>
    </row>
    <row r="60" spans="1:44" ht="12.75" customHeight="1">
      <c r="A60" s="3155">
        <v>1997</v>
      </c>
      <c r="B60" s="2635"/>
      <c r="C60" s="2838">
        <f>+'1997'!$D$46</f>
        <v>0.3068738684338479</v>
      </c>
      <c r="D60" s="2838">
        <f>+'1997'!$D$47</f>
        <v>0.43207966148999988</v>
      </c>
      <c r="E60" s="2838">
        <f>+'1997'!$D$48</f>
        <v>0.16757972918739727</v>
      </c>
      <c r="F60" s="2838">
        <f>+'1997'!$D$49+'1997'!$D$50</f>
        <v>2.5013517105451064E-2</v>
      </c>
      <c r="G60" s="2631">
        <f t="shared" si="9"/>
        <v>6.8453223783303874E-2</v>
      </c>
      <c r="H60" s="2839">
        <f>+'1997'!$D$45</f>
        <v>1</v>
      </c>
      <c r="I60" s="2629"/>
      <c r="J60" s="3155">
        <v>1997</v>
      </c>
      <c r="K60" s="2635"/>
      <c r="L60" s="3211">
        <f>+'1997'!$F$46</f>
        <v>165</v>
      </c>
      <c r="M60" s="3211">
        <f>+'1997'!$F$47</f>
        <v>418</v>
      </c>
      <c r="N60" s="3211">
        <f>+'1997'!$F$48</f>
        <v>46</v>
      </c>
      <c r="O60" s="3211">
        <f>+'1997'!$F$49+'1997'!$F$50</f>
        <v>10</v>
      </c>
      <c r="P60" s="3211">
        <f t="shared" si="15"/>
        <v>20</v>
      </c>
      <c r="Q60" s="3211">
        <f>+'1997'!$F$45</f>
        <v>659</v>
      </c>
      <c r="R60" s="1052">
        <f t="shared" si="11"/>
        <v>3.0349013657056147E-2</v>
      </c>
      <c r="S60" s="919"/>
      <c r="T60" s="919"/>
      <c r="U60" s="919"/>
      <c r="V60" s="919"/>
      <c r="W60" s="919"/>
      <c r="X60" s="919"/>
      <c r="Z60" s="1077"/>
      <c r="AA60" s="1436"/>
      <c r="AB60" s="948"/>
      <c r="AC60" s="948"/>
      <c r="AD60" s="948"/>
      <c r="AE60" s="948"/>
      <c r="AF60" s="2621"/>
      <c r="AJ60" s="1034" t="str">
        <f t="shared" si="12"/>
        <v xml:space="preserve">LAB </v>
      </c>
      <c r="AK60" s="1034" t="e">
        <f ca="1">INDEX(L$37:P$37,MATCH(LAREE(L60:P60,2),L60:P60,0))</f>
        <v>#NAME?</v>
      </c>
      <c r="AM60" s="1034" t="b">
        <f t="shared" si="16"/>
        <v>0</v>
      </c>
      <c r="AN60" s="1034" t="b">
        <f t="shared" si="13"/>
        <v>0</v>
      </c>
      <c r="AO60" s="1034" t="b">
        <f t="shared" si="13"/>
        <v>0</v>
      </c>
      <c r="AP60" s="1034" t="b">
        <f t="shared" si="13"/>
        <v>0</v>
      </c>
      <c r="AQ60" s="1034" t="b">
        <f t="shared" si="13"/>
        <v>0</v>
      </c>
      <c r="AR60" s="1034" t="b">
        <f t="shared" si="14"/>
        <v>0</v>
      </c>
    </row>
    <row r="61" spans="1:44" ht="12.75" customHeight="1">
      <c r="A61" s="3155">
        <v>2001</v>
      </c>
      <c r="B61" s="2635"/>
      <c r="C61" s="2838">
        <f>+'2001'!$D$46</f>
        <v>0.31620942434825633</v>
      </c>
      <c r="D61" s="2838">
        <f>+'2001'!$D$47</f>
        <v>0.40675075717601555</v>
      </c>
      <c r="E61" s="2838">
        <f>+'2001'!$D$48</f>
        <v>0.18258622784066209</v>
      </c>
      <c r="F61" s="2851">
        <f>+'2001'!$D$50+'2001'!$D$49</f>
        <v>2.5038776127308503E-2</v>
      </c>
      <c r="G61" s="2631">
        <f t="shared" si="9"/>
        <v>6.941481450775755E-2</v>
      </c>
      <c r="H61" s="2839">
        <f>+'2001'!$D$45</f>
        <v>1</v>
      </c>
      <c r="I61" s="2629"/>
      <c r="J61" s="3155">
        <v>2001</v>
      </c>
      <c r="K61" s="2635"/>
      <c r="L61" s="3211">
        <f>+'2001'!$F$46</f>
        <v>166</v>
      </c>
      <c r="M61" s="3211">
        <f>+'2001'!$F$47</f>
        <v>412</v>
      </c>
      <c r="N61" s="3211">
        <f>+'2001'!$F$48</f>
        <v>52</v>
      </c>
      <c r="O61" s="3211">
        <f>+'2001'!$F$50+'2001'!$F$49</f>
        <v>9</v>
      </c>
      <c r="P61" s="3211">
        <f>+Q61-SUM(L61:O61)</f>
        <v>20</v>
      </c>
      <c r="Q61" s="3211">
        <f>+'2001'!$F$45</f>
        <v>659</v>
      </c>
      <c r="R61" s="1052">
        <f t="shared" si="11"/>
        <v>3.0349013657056147E-2</v>
      </c>
      <c r="S61" s="919"/>
      <c r="T61" s="919"/>
      <c r="U61" s="919"/>
      <c r="V61" s="919"/>
      <c r="W61" s="919"/>
      <c r="X61" s="919"/>
      <c r="Z61" s="1077"/>
      <c r="AA61" s="1436"/>
      <c r="AB61" s="948"/>
      <c r="AC61" s="948"/>
      <c r="AD61" s="948"/>
      <c r="AE61" s="948"/>
      <c r="AF61" s="2621"/>
      <c r="AJ61" s="1034" t="str">
        <f t="shared" si="12"/>
        <v xml:space="preserve">LAB </v>
      </c>
      <c r="AK61" s="1034" t="e">
        <f ca="1">INDEX(L$37:P$37,MATCH(LAREE(L61:P61,2),L61:P61,0))</f>
        <v>#NAME?</v>
      </c>
      <c r="AM61" s="1034" t="b">
        <f t="shared" si="16"/>
        <v>0</v>
      </c>
      <c r="AN61" s="1034" t="b">
        <f t="shared" si="13"/>
        <v>0</v>
      </c>
      <c r="AO61" s="1034" t="b">
        <f t="shared" si="13"/>
        <v>0</v>
      </c>
      <c r="AP61" s="1034" t="b">
        <f t="shared" si="13"/>
        <v>0</v>
      </c>
      <c r="AQ61" s="1034" t="b">
        <f t="shared" si="13"/>
        <v>0</v>
      </c>
      <c r="AR61" s="1034" t="b">
        <f t="shared" si="14"/>
        <v>0</v>
      </c>
    </row>
    <row r="62" spans="1:44" ht="12.75" customHeight="1">
      <c r="A62" s="3155">
        <v>2005</v>
      </c>
      <c r="B62" s="2635"/>
      <c r="C62" s="2838">
        <f>+'2005'!$D$46</f>
        <v>0.32358737182998254</v>
      </c>
      <c r="D62" s="2838">
        <f>+'2005'!$D$47</f>
        <v>0.35185857345393912</v>
      </c>
      <c r="E62" s="2838">
        <f>+'2005'!$D$48</f>
        <v>0.2204708103685985</v>
      </c>
      <c r="F62" s="2838">
        <f>+'2005'!$D$49+'2005'!$D$50</f>
        <v>2.1625680378039164E-2</v>
      </c>
      <c r="G62" s="2631">
        <f t="shared" si="9"/>
        <v>8.2457563969440706E-2</v>
      </c>
      <c r="H62" s="2839">
        <f>+'2005'!$D$45</f>
        <v>1</v>
      </c>
      <c r="I62" s="2629"/>
      <c r="J62" s="3155">
        <v>2005</v>
      </c>
      <c r="K62" s="2635"/>
      <c r="L62" s="3211">
        <f>+'2005'!$F$46</f>
        <v>198</v>
      </c>
      <c r="M62" s="3211">
        <f>+'2005'!$F$47</f>
        <v>355</v>
      </c>
      <c r="N62" s="3211">
        <f>+'2005'!$F$48</f>
        <v>62</v>
      </c>
      <c r="O62" s="3211">
        <f>+'2005'!$F$49+'2005'!$F$50</f>
        <v>9</v>
      </c>
      <c r="P62" s="3211">
        <f>+Q62-SUM(L62:O62)</f>
        <v>22</v>
      </c>
      <c r="Q62" s="3211">
        <f>+'2005'!$F$45</f>
        <v>646</v>
      </c>
      <c r="R62" s="1052">
        <f t="shared" si="11"/>
        <v>3.4055727554179564E-2</v>
      </c>
      <c r="S62" s="919"/>
      <c r="T62" s="919"/>
      <c r="U62" s="919"/>
      <c r="V62" s="919"/>
      <c r="W62" s="919"/>
      <c r="X62" s="919"/>
      <c r="Z62" s="1077"/>
      <c r="AA62" s="1436"/>
      <c r="AB62" s="948"/>
      <c r="AC62" s="948"/>
      <c r="AD62" s="948"/>
      <c r="AE62" s="948"/>
      <c r="AF62" s="2621"/>
      <c r="AJ62" s="1034" t="str">
        <f t="shared" si="12"/>
        <v xml:space="preserve">LAB </v>
      </c>
      <c r="AK62" s="1034" t="e">
        <f ca="1">INDEX(L$37:P$37,MATCH(LAREE(L62:P62,2),L62:P62,0))</f>
        <v>#NAME?</v>
      </c>
      <c r="AM62" s="1034" t="b">
        <f t="shared" si="16"/>
        <v>0</v>
      </c>
      <c r="AN62" s="1034" t="b">
        <f t="shared" ref="AN62:AQ63" si="17">M62=AB62</f>
        <v>0</v>
      </c>
      <c r="AO62" s="1034" t="b">
        <f t="shared" si="17"/>
        <v>0</v>
      </c>
      <c r="AP62" s="1034" t="b">
        <f t="shared" si="17"/>
        <v>0</v>
      </c>
      <c r="AQ62" s="1034" t="b">
        <f t="shared" si="17"/>
        <v>0</v>
      </c>
      <c r="AR62" s="1034" t="b">
        <f t="shared" si="14"/>
        <v>0</v>
      </c>
    </row>
    <row r="63" spans="1:44" ht="12.75" customHeight="1">
      <c r="A63" s="3155">
        <v>2010</v>
      </c>
      <c r="B63" s="2635"/>
      <c r="C63" s="2838">
        <f>+'2010'!$D$44</f>
        <v>0.36054287169823473</v>
      </c>
      <c r="D63" s="2838">
        <f>+'2010'!$D$45</f>
        <v>0.28990271495133119</v>
      </c>
      <c r="E63" s="2838">
        <f>+'2010'!$D$46</f>
        <v>0.23027281016009241</v>
      </c>
      <c r="F63" s="2838">
        <f>+'2010'!$D$47+'2010'!$D$48</f>
        <v>2.2123038288977444E-2</v>
      </c>
      <c r="G63" s="2631">
        <f t="shared" si="9"/>
        <v>9.7158564901364208E-2</v>
      </c>
      <c r="H63" s="2839">
        <f>+'2010'!$D$43</f>
        <v>1</v>
      </c>
      <c r="I63" s="2629"/>
      <c r="J63" s="3155">
        <v>2010</v>
      </c>
      <c r="K63" s="2635"/>
      <c r="L63" s="3211">
        <f>+'2010'!$F$44</f>
        <v>306</v>
      </c>
      <c r="M63" s="3211">
        <f>+'2010'!$F$45</f>
        <v>258</v>
      </c>
      <c r="N63" s="3211">
        <f>+'2010'!$F$46</f>
        <v>57</v>
      </c>
      <c r="O63" s="3211">
        <f>+'2010'!$F$47+'2010'!$F$48</f>
        <v>9</v>
      </c>
      <c r="P63" s="3211">
        <f>+Q63-SUM(L63:O63)</f>
        <v>20</v>
      </c>
      <c r="Q63" s="3211">
        <f>+'2010'!$F$43</f>
        <v>650</v>
      </c>
      <c r="R63" s="1052">
        <f t="shared" si="11"/>
        <v>3.0769230769230771E-2</v>
      </c>
      <c r="S63" s="919"/>
      <c r="T63" s="919"/>
      <c r="U63" s="919"/>
      <c r="V63" s="919"/>
      <c r="W63" s="919"/>
      <c r="X63" s="919"/>
      <c r="Z63" s="1077"/>
      <c r="AA63" s="1436"/>
      <c r="AB63" s="948"/>
      <c r="AC63" s="948"/>
      <c r="AD63" s="948"/>
      <c r="AE63" s="948"/>
      <c r="AF63" s="2621"/>
      <c r="AJ63" s="1034" t="str">
        <f t="shared" si="12"/>
        <v>CON2</v>
      </c>
      <c r="AK63" s="1034" t="e">
        <f ca="1">INDEX(L$37:P$37,MATCH(LAREE(L63:P63,2),L63:P63,0))</f>
        <v>#NAME?</v>
      </c>
      <c r="AM63" s="1034" t="b">
        <f t="shared" si="16"/>
        <v>0</v>
      </c>
      <c r="AN63" s="1034" t="b">
        <f t="shared" si="17"/>
        <v>0</v>
      </c>
      <c r="AO63" s="1034" t="b">
        <f t="shared" si="17"/>
        <v>0</v>
      </c>
      <c r="AP63" s="1034" t="b">
        <f t="shared" si="17"/>
        <v>0</v>
      </c>
      <c r="AQ63" s="1034" t="b">
        <f t="shared" si="17"/>
        <v>0</v>
      </c>
      <c r="AR63" s="1034" t="b">
        <f t="shared" si="14"/>
        <v>0</v>
      </c>
    </row>
    <row r="64" spans="1:44" ht="12.75" customHeight="1">
      <c r="A64" s="3155">
        <v>2015</v>
      </c>
      <c r="B64" s="2635"/>
      <c r="C64" s="2846">
        <f t="shared" ref="C64:E66" si="18">IFERROR(C32/$H32, "..")</f>
        <v>0.36809512175258569</v>
      </c>
      <c r="D64" s="2846">
        <f t="shared" si="18"/>
        <v>0.30449710888508835</v>
      </c>
      <c r="E64" s="2846">
        <f t="shared" si="18"/>
        <v>7.8700219887612999E-2</v>
      </c>
      <c r="F64" s="2846">
        <f t="shared" ref="F64:G66" si="19">IFERROR(F32/$H32, "..")</f>
        <v>5.3297499796400354E-2</v>
      </c>
      <c r="G64" s="2631">
        <f t="shared" si="9"/>
        <v>0.19541004967831266</v>
      </c>
      <c r="H64" s="3210">
        <v>1</v>
      </c>
      <c r="I64" s="2629"/>
      <c r="J64" s="3155">
        <v>2015</v>
      </c>
      <c r="K64" s="2635"/>
      <c r="L64" s="3163">
        <v>330</v>
      </c>
      <c r="M64" s="3163">
        <v>232</v>
      </c>
      <c r="N64" s="3163">
        <v>8</v>
      </c>
      <c r="O64" s="3163">
        <v>59</v>
      </c>
      <c r="P64" s="3163">
        <v>21</v>
      </c>
      <c r="Q64" s="3163">
        <v>650</v>
      </c>
      <c r="R64" s="1052">
        <f t="shared" si="11"/>
        <v>3.2307692307692308E-2</v>
      </c>
      <c r="S64" s="2602"/>
      <c r="T64" s="2610"/>
      <c r="U64" s="2602"/>
      <c r="V64" s="1048"/>
      <c r="W64" s="1048"/>
      <c r="X64" s="2602"/>
      <c r="AB64" s="2620"/>
      <c r="AC64" s="2620"/>
      <c r="AD64" s="2620"/>
      <c r="AE64" s="2620"/>
      <c r="AF64" s="2620"/>
      <c r="AG64" s="2624"/>
      <c r="AJ64" s="1034" t="str">
        <f t="shared" si="12"/>
        <v>CON2</v>
      </c>
      <c r="AK64" s="1034" t="e">
        <f ca="1">INDEX(L$37:P$37,MATCH(LAREE(L64:P64,2),L64:P64,0))</f>
        <v>#NAME?</v>
      </c>
    </row>
    <row r="65" spans="1:62" ht="12.75" customHeight="1">
      <c r="A65" s="3155">
        <v>2017</v>
      </c>
      <c r="B65" s="2837"/>
      <c r="C65" s="2846">
        <f t="shared" si="18"/>
        <v>0.42344523333194956</v>
      </c>
      <c r="D65" s="2846">
        <f t="shared" si="18"/>
        <v>0.39988239400641062</v>
      </c>
      <c r="E65" s="2846">
        <f t="shared" si="18"/>
        <v>7.3650807826235773E-2</v>
      </c>
      <c r="F65" s="2846">
        <f t="shared" si="19"/>
        <v>3.5462333865697589E-2</v>
      </c>
      <c r="G65" s="2631">
        <f t="shared" si="9"/>
        <v>6.7559230969706396E-2</v>
      </c>
      <c r="H65" s="3210">
        <v>1</v>
      </c>
      <c r="I65" s="2629"/>
      <c r="J65" s="3155">
        <v>2017</v>
      </c>
      <c r="K65" s="2635"/>
      <c r="L65" s="2635">
        <v>317</v>
      </c>
      <c r="M65" s="2635">
        <v>262</v>
      </c>
      <c r="N65" s="2635">
        <v>12</v>
      </c>
      <c r="O65" s="2635">
        <f>35+4</f>
        <v>39</v>
      </c>
      <c r="P65" s="2635">
        <v>20</v>
      </c>
      <c r="Q65" s="2635">
        <v>650</v>
      </c>
      <c r="R65" s="1052">
        <f t="shared" si="11"/>
        <v>3.0769230769230771E-2</v>
      </c>
      <c r="S65" s="2602"/>
      <c r="T65" s="2610"/>
      <c r="U65" s="2602"/>
      <c r="V65" s="1048"/>
      <c r="W65" s="1048"/>
      <c r="X65" s="2602"/>
      <c r="AB65" s="2620"/>
      <c r="AC65" s="2620"/>
      <c r="AD65" s="2620"/>
      <c r="AE65" s="2620"/>
      <c r="AF65" s="2620"/>
      <c r="AG65" s="2624"/>
    </row>
    <row r="66" spans="1:62" ht="12.75" customHeight="1">
      <c r="A66" s="3155">
        <v>2019</v>
      </c>
      <c r="B66" s="2837"/>
      <c r="C66" s="2846">
        <f t="shared" si="18"/>
        <v>0.43625932440414555</v>
      </c>
      <c r="D66" s="2846">
        <f t="shared" si="18"/>
        <v>0.32076640581293681</v>
      </c>
      <c r="E66" s="2846">
        <f t="shared" si="18"/>
        <v>0.11546218214406084</v>
      </c>
      <c r="F66" s="2846">
        <f t="shared" si="19"/>
        <v>4.3594683719147584E-2</v>
      </c>
      <c r="G66" s="2846">
        <f t="shared" si="19"/>
        <v>8.3917403919709144E-2</v>
      </c>
      <c r="H66" s="3210">
        <f>SUM(C66:G66)</f>
        <v>1</v>
      </c>
      <c r="I66" s="2629"/>
      <c r="J66" s="3155">
        <v>2019</v>
      </c>
      <c r="K66" s="2635"/>
      <c r="L66" s="2635">
        <v>365</v>
      </c>
      <c r="M66" s="2635">
        <v>202</v>
      </c>
      <c r="N66" s="2635">
        <v>11</v>
      </c>
      <c r="O66" s="2635">
        <v>52</v>
      </c>
      <c r="P66" s="2635">
        <v>20</v>
      </c>
      <c r="Q66" s="2635">
        <v>650</v>
      </c>
      <c r="R66" s="1052">
        <f>P66/Q66</f>
        <v>3.0769230769230771E-2</v>
      </c>
      <c r="S66" s="2602"/>
      <c r="T66" s="2610"/>
      <c r="U66" s="2602"/>
      <c r="V66" s="1048"/>
      <c r="W66" s="1048"/>
      <c r="X66" s="2602"/>
      <c r="AB66" s="2620"/>
      <c r="AC66" s="2620"/>
      <c r="AD66" s="2620"/>
      <c r="AE66" s="2620"/>
      <c r="AF66" s="2620"/>
      <c r="AG66" s="2624"/>
    </row>
    <row r="67" spans="1:62" ht="3.75" customHeight="1">
      <c r="A67" s="1007"/>
      <c r="B67" s="944"/>
      <c r="C67" s="2608"/>
      <c r="D67" s="2615"/>
      <c r="E67" s="2608"/>
      <c r="F67" s="1050"/>
      <c r="G67" s="1050"/>
      <c r="H67" s="1062"/>
      <c r="I67" s="1055"/>
      <c r="J67" s="1050"/>
      <c r="K67" s="944"/>
      <c r="L67" s="1050"/>
      <c r="M67" s="1050"/>
      <c r="N67" s="1050"/>
      <c r="O67" s="1050"/>
      <c r="P67" s="1050"/>
      <c r="Q67" s="1050"/>
      <c r="R67" s="1052" t="e">
        <f t="shared" si="11"/>
        <v>#DIV/0!</v>
      </c>
    </row>
    <row r="68" spans="1:62" s="944" customFormat="1" ht="3" customHeight="1">
      <c r="A68" s="1042"/>
      <c r="B68" s="1023"/>
      <c r="C68" s="2609"/>
      <c r="D68" s="2616"/>
      <c r="E68" s="2609"/>
      <c r="F68" s="1023"/>
      <c r="G68" s="1023"/>
      <c r="H68" s="3040"/>
      <c r="I68" s="948"/>
      <c r="J68" s="1023"/>
      <c r="K68" s="1023"/>
      <c r="L68" s="1023"/>
      <c r="M68" s="1023"/>
      <c r="N68" s="1023"/>
      <c r="O68" s="1023"/>
      <c r="P68" s="1023"/>
      <c r="Q68" s="1023"/>
      <c r="R68" s="948"/>
      <c r="S68" s="948"/>
      <c r="T68" s="948"/>
      <c r="U68" s="948"/>
      <c r="V68" s="948"/>
      <c r="W68" s="948"/>
      <c r="X68" s="948"/>
      <c r="Y68" s="948"/>
      <c r="Z68" s="1077"/>
      <c r="AA68" s="1061"/>
      <c r="AB68" s="1436"/>
      <c r="AC68" s="1436"/>
      <c r="AD68" s="1436"/>
      <c r="AE68" s="1436"/>
      <c r="AF68" s="1436"/>
      <c r="AG68" s="2623"/>
      <c r="AJ68" s="948"/>
      <c r="AK68" s="948"/>
      <c r="AL68" s="2626"/>
      <c r="AM68" s="948"/>
      <c r="AN68" s="948"/>
      <c r="AO68" s="948"/>
      <c r="AP68" s="948"/>
      <c r="AQ68" s="948"/>
      <c r="AR68" s="948"/>
      <c r="AS68" s="948"/>
      <c r="AT68" s="948"/>
      <c r="AU68" s="948"/>
      <c r="AV68" s="948"/>
      <c r="AW68" s="948"/>
      <c r="AX68" s="948"/>
      <c r="AY68" s="948"/>
      <c r="AZ68" s="948"/>
      <c r="BA68" s="948"/>
      <c r="BB68" s="948"/>
      <c r="BC68" s="948"/>
      <c r="BD68" s="948"/>
      <c r="BE68" s="948"/>
      <c r="BF68" s="948"/>
      <c r="BG68" s="948"/>
      <c r="BH68" s="948"/>
      <c r="BI68" s="948"/>
      <c r="BJ68" s="948"/>
    </row>
    <row r="69" spans="1:62">
      <c r="A69" s="937" t="s">
        <v>1113</v>
      </c>
    </row>
    <row r="70" spans="1:62" ht="22.5" customHeight="1">
      <c r="A70" s="3401" t="s">
        <v>1426</v>
      </c>
      <c r="B70" s="3401"/>
      <c r="C70" s="3401"/>
      <c r="D70" s="3401"/>
      <c r="E70" s="3401"/>
      <c r="F70" s="3401"/>
      <c r="G70" s="3401"/>
      <c r="H70" s="3401"/>
      <c r="I70" s="3401"/>
      <c r="J70" s="3401"/>
      <c r="K70" s="3401"/>
      <c r="L70" s="3401"/>
      <c r="M70" s="3401"/>
      <c r="N70" s="3401"/>
      <c r="O70" s="3401"/>
      <c r="P70" s="3401"/>
      <c r="Q70" s="3401"/>
    </row>
    <row r="71" spans="1:62" ht="29.25" customHeight="1">
      <c r="A71" s="3400" t="s">
        <v>1424</v>
      </c>
      <c r="B71" s="3401"/>
      <c r="C71" s="3401"/>
      <c r="D71" s="3401"/>
      <c r="E71" s="3401"/>
      <c r="F71" s="3401"/>
      <c r="G71" s="3401"/>
      <c r="H71" s="3401"/>
      <c r="I71" s="3401"/>
      <c r="J71" s="3401"/>
      <c r="K71" s="3401"/>
      <c r="L71" s="3401"/>
      <c r="M71" s="3401"/>
      <c r="N71" s="3401"/>
      <c r="O71" s="3401"/>
      <c r="P71" s="3401"/>
      <c r="Q71" s="3401"/>
    </row>
    <row r="72" spans="1:62" ht="28.5" customHeight="1">
      <c r="A72" s="3401" t="s">
        <v>2692</v>
      </c>
      <c r="B72" s="3401"/>
      <c r="C72" s="3401"/>
      <c r="D72" s="3401"/>
      <c r="E72" s="3401"/>
      <c r="F72" s="3401"/>
      <c r="G72" s="3401"/>
      <c r="H72" s="3401"/>
      <c r="I72" s="3401"/>
      <c r="J72" s="3401"/>
      <c r="K72" s="3401"/>
      <c r="L72" s="3401"/>
      <c r="M72" s="3401"/>
      <c r="N72" s="3401"/>
      <c r="O72" s="3401"/>
      <c r="P72" s="3401"/>
      <c r="Q72" s="3401"/>
    </row>
    <row r="73" spans="1:62">
      <c r="A73" s="937" t="s">
        <v>2693</v>
      </c>
    </row>
    <row r="74" spans="1:62" ht="4.5" customHeight="1"/>
    <row r="75" spans="1:62">
      <c r="A75" s="937" t="s">
        <v>1114</v>
      </c>
    </row>
    <row r="76" spans="1:62">
      <c r="A76" s="937" t="s">
        <v>2694</v>
      </c>
      <c r="O76" s="1044"/>
      <c r="Q76" s="1049"/>
    </row>
    <row r="77" spans="1:62">
      <c r="A77" s="937" t="s">
        <v>2695</v>
      </c>
      <c r="O77" s="1044"/>
      <c r="Q77" s="1049"/>
    </row>
    <row r="78" spans="1:62">
      <c r="O78" s="1044"/>
      <c r="Q78" s="1049"/>
    </row>
    <row r="79" spans="1:62">
      <c r="O79" s="1044"/>
      <c r="Q79" s="1049"/>
    </row>
    <row r="80" spans="1:62">
      <c r="O80" s="1044"/>
      <c r="Q80" s="1049"/>
    </row>
    <row r="81" spans="1:17">
      <c r="O81" s="1044"/>
      <c r="Q81" s="1049"/>
    </row>
    <row r="82" spans="1:17">
      <c r="O82" s="1044"/>
      <c r="Q82" s="1049"/>
    </row>
    <row r="83" spans="1:17">
      <c r="O83" s="1044"/>
      <c r="Q83" s="1049"/>
    </row>
    <row r="84" spans="1:17">
      <c r="O84" s="1044"/>
      <c r="Q84" s="1049"/>
    </row>
    <row r="85" spans="1:17">
      <c r="O85" s="1044"/>
      <c r="Q85" s="1049"/>
    </row>
    <row r="86" spans="1:17">
      <c r="A86" s="1058"/>
      <c r="B86" s="1058"/>
      <c r="K86" s="1058"/>
      <c r="O86" s="1044"/>
      <c r="Q86" s="1049"/>
    </row>
    <row r="87" spans="1:17">
      <c r="B87" s="1059"/>
      <c r="K87" s="1059"/>
      <c r="O87" s="1044"/>
      <c r="Q87" s="1049"/>
    </row>
    <row r="88" spans="1:17">
      <c r="O88" s="1044"/>
      <c r="Q88" s="1049"/>
    </row>
    <row r="89" spans="1:17">
      <c r="O89" s="1044"/>
      <c r="Q89" s="1049"/>
    </row>
    <row r="90" spans="1:17">
      <c r="O90" s="1044"/>
      <c r="Q90" s="1049"/>
    </row>
    <row r="91" spans="1:17">
      <c r="O91" s="1044"/>
      <c r="Q91" s="1049"/>
    </row>
    <row r="92" spans="1:17">
      <c r="O92" s="1044"/>
      <c r="Q92" s="1049"/>
    </row>
    <row r="93" spans="1:17">
      <c r="O93" s="1044"/>
      <c r="Q93" s="1049"/>
    </row>
    <row r="94" spans="1:17">
      <c r="O94" s="1044"/>
      <c r="Q94" s="1049"/>
    </row>
    <row r="95" spans="1:17">
      <c r="O95" s="1044"/>
      <c r="Q95" s="1049"/>
    </row>
    <row r="96" spans="1:17">
      <c r="O96" s="1044"/>
      <c r="Q96" s="1049"/>
    </row>
    <row r="97" spans="15:17">
      <c r="O97" s="1044"/>
      <c r="Q97" s="1049"/>
    </row>
    <row r="98" spans="15:17">
      <c r="O98" s="1044"/>
      <c r="Q98" s="1049"/>
    </row>
    <row r="99" spans="15:17">
      <c r="O99" s="1044"/>
      <c r="Q99" s="1049"/>
    </row>
    <row r="100" spans="15:17">
      <c r="O100" s="1044"/>
      <c r="Q100" s="1049"/>
    </row>
    <row r="101" spans="15:17">
      <c r="O101" s="1044"/>
      <c r="Q101" s="1049"/>
    </row>
    <row r="102" spans="15:17">
      <c r="O102" s="1044"/>
      <c r="Q102" s="1049"/>
    </row>
  </sheetData>
  <mergeCells count="3">
    <mergeCell ref="A71:Q71"/>
    <mergeCell ref="A72:Q72"/>
    <mergeCell ref="A70:Q70"/>
  </mergeCells>
  <phoneticPr fontId="10" type="noConversion"/>
  <pageMargins left="0.74803149606299213" right="0.74803149606299213" top="0.98425196850393704" bottom="0.98425196850393704" header="0.51181102362204722" footer="0.51181102362204722"/>
  <pageSetup paperSize="9" scale="60" orientation="portrait" horizontalDpi="300" r:id="rId1"/>
  <headerFooter scaleWithDoc="0" alignWithMargins="0">
    <oddHeader>&amp;R&amp;"Arial,Regular"RESEARCH PAPER 12/43</oddHeader>
    <oddFooter>&amp;C&amp;"Arial,Regular"&amp;11 7</oddFooter>
  </headerFooter>
  <drawing r:id="rId2"/>
  <webPublishItems count="1">
    <webPublishItem id="6745" divId="RP11-XXX_Election Statistics UK 1918-2011_6745" sourceType="printArea" destinationFile="U:\election stats rp\Table 1a.mht"/>
  </webPublishItem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89">
    <pageSetUpPr fitToPage="1"/>
  </sheetPr>
  <dimension ref="A1:K55"/>
  <sheetViews>
    <sheetView topLeftCell="A13" workbookViewId="0">
      <selection activeCell="O68" sqref="O68"/>
    </sheetView>
  </sheetViews>
  <sheetFormatPr baseColWidth="10" defaultColWidth="9" defaultRowHeight="13"/>
  <cols>
    <col min="1" max="1" width="7.19921875" customWidth="1"/>
    <col min="2" max="2" width="23.19921875" customWidth="1"/>
    <col min="3" max="3" width="12.796875" style="2" customWidth="1"/>
    <col min="4" max="4" width="11.59765625" style="5" customWidth="1"/>
    <col min="5" max="5" width="9.796875" style="6" customWidth="1"/>
    <col min="6" max="6" width="10.19921875" style="4" customWidth="1"/>
    <col min="7" max="7" width="13" style="4" customWidth="1"/>
    <col min="8" max="8" width="12" customWidth="1"/>
    <col min="9" max="9" width="11.3984375" style="2590" customWidth="1"/>
    <col min="10" max="10" width="13.796875" customWidth="1"/>
    <col min="12" max="12" width="13" customWidth="1"/>
    <col min="14" max="14" width="10.19921875" customWidth="1"/>
    <col min="15" max="16" width="12.59765625" customWidth="1"/>
  </cols>
  <sheetData>
    <row r="1" spans="1:11">
      <c r="A1" s="1" t="s">
        <v>67</v>
      </c>
      <c r="B1" s="1"/>
      <c r="C1" s="4"/>
    </row>
    <row r="2" spans="1:11">
      <c r="A2" s="3524">
        <v>36950</v>
      </c>
      <c r="B2" s="3525"/>
      <c r="C2" s="4"/>
    </row>
    <row r="3" spans="1:11" ht="3.5" customHeight="1">
      <c r="A3" s="1"/>
      <c r="B3" s="1"/>
      <c r="C3" s="4"/>
    </row>
    <row r="4" spans="1:11">
      <c r="C4" s="4" t="s">
        <v>34</v>
      </c>
      <c r="D4" s="5" t="s">
        <v>36</v>
      </c>
      <c r="E4" s="6" t="s">
        <v>37</v>
      </c>
      <c r="F4" s="4" t="s">
        <v>25</v>
      </c>
    </row>
    <row r="5" spans="1:11">
      <c r="C5" s="4"/>
      <c r="H5" t="b">
        <f>H6=H7</f>
        <v>1</v>
      </c>
      <c r="I5" s="2590" t="b">
        <f>I6=I7</f>
        <v>1</v>
      </c>
      <c r="J5" t="b">
        <f>J6=J7</f>
        <v>1</v>
      </c>
      <c r="K5" t="b">
        <f>K6=K7</f>
        <v>1</v>
      </c>
    </row>
    <row r="6" spans="1:11" s="1" customFormat="1">
      <c r="A6" s="1" t="s">
        <v>17</v>
      </c>
      <c r="C6" s="10">
        <v>26141618</v>
      </c>
      <c r="D6" s="15">
        <f>+C6/C$6</f>
        <v>1</v>
      </c>
      <c r="E6" s="10">
        <v>1674</v>
      </c>
      <c r="F6" s="11">
        <v>516</v>
      </c>
      <c r="G6" s="10"/>
      <c r="H6" s="2586">
        <f>SUM(C7:C10)</f>
        <v>26141618</v>
      </c>
      <c r="I6" s="2587">
        <f>SUM(D7:D10)</f>
        <v>1</v>
      </c>
      <c r="J6" s="2586">
        <f>SUM(E7:E10)</f>
        <v>1674</v>
      </c>
      <c r="K6" s="2586">
        <f>SUM(F7:F10)</f>
        <v>516</v>
      </c>
    </row>
    <row r="7" spans="1:11" s="19" customFormat="1">
      <c r="A7" t="s">
        <v>13</v>
      </c>
      <c r="C7" s="4">
        <f>10508977</f>
        <v>10508977</v>
      </c>
      <c r="D7" s="16">
        <f>+C7/C$6</f>
        <v>0.40200178122103997</v>
      </c>
      <c r="E7" s="9">
        <v>516</v>
      </c>
      <c r="F7" s="6">
        <v>268</v>
      </c>
      <c r="G7" s="9"/>
      <c r="H7">
        <f>C6</f>
        <v>26141618</v>
      </c>
      <c r="I7" s="830">
        <f>D6</f>
        <v>1</v>
      </c>
      <c r="J7">
        <f>E6</f>
        <v>1674</v>
      </c>
      <c r="K7">
        <f>F6</f>
        <v>516</v>
      </c>
    </row>
    <row r="8" spans="1:11">
      <c r="A8" t="s">
        <v>14</v>
      </c>
      <c r="C8" s="4">
        <v>9842468</v>
      </c>
      <c r="D8" s="16">
        <f>+C8/C$6</f>
        <v>0.37650569295289987</v>
      </c>
      <c r="E8" s="20">
        <v>516</v>
      </c>
      <c r="F8" s="6">
        <v>237</v>
      </c>
    </row>
    <row r="9" spans="1:11">
      <c r="A9" t="s">
        <v>15</v>
      </c>
      <c r="C9" s="4">
        <v>5574934</v>
      </c>
      <c r="D9" s="16">
        <f>+C9/C$6</f>
        <v>0.21325894977120391</v>
      </c>
      <c r="E9" s="20">
        <v>452</v>
      </c>
      <c r="F9" s="4">
        <v>9</v>
      </c>
    </row>
    <row r="10" spans="1:11">
      <c r="A10" t="s">
        <v>28</v>
      </c>
      <c r="C10" s="4">
        <f>C6-(C7+C8+C9)</f>
        <v>215239</v>
      </c>
      <c r="D10" s="16">
        <f>+C10/C$6</f>
        <v>8.2335760548562838E-3</v>
      </c>
      <c r="E10" s="20">
        <f>E6-(E7+E8+E9)</f>
        <v>190</v>
      </c>
      <c r="F10" s="20">
        <f>F6-(F7+F8+F9)</f>
        <v>2</v>
      </c>
      <c r="H10" s="8"/>
      <c r="I10" s="2591"/>
      <c r="J10" s="8"/>
      <c r="K10" s="8"/>
    </row>
    <row r="11" spans="1:11">
      <c r="C11" s="9"/>
      <c r="D11" s="21"/>
      <c r="E11" s="20"/>
      <c r="F11" s="20"/>
      <c r="H11" t="b">
        <f>H12=H13</f>
        <v>1</v>
      </c>
      <c r="I11" s="2590" t="b">
        <f>I12=I13</f>
        <v>1</v>
      </c>
      <c r="J11" t="b">
        <f>J12=J13</f>
        <v>1</v>
      </c>
      <c r="K11" t="b">
        <f>K12=K13</f>
        <v>1</v>
      </c>
    </row>
    <row r="12" spans="1:11">
      <c r="A12" s="1" t="s">
        <v>18</v>
      </c>
      <c r="B12" s="1"/>
      <c r="C12" s="10">
        <v>1593843</v>
      </c>
      <c r="D12" s="15">
        <f t="shared" ref="D12:D17" si="0">+C12/C$12</f>
        <v>1</v>
      </c>
      <c r="E12" s="11">
        <v>148</v>
      </c>
      <c r="F12" s="11">
        <v>36</v>
      </c>
      <c r="H12" s="2586">
        <f>SUM(C13:C17)</f>
        <v>1593843</v>
      </c>
      <c r="I12" s="2587">
        <f>SUM(D13:D17)</f>
        <v>1</v>
      </c>
      <c r="J12" s="2586">
        <f>SUM(E13:E17)</f>
        <v>148</v>
      </c>
      <c r="K12" s="2586">
        <f>SUM(F13:F17)</f>
        <v>36</v>
      </c>
    </row>
    <row r="13" spans="1:11">
      <c r="A13" t="s">
        <v>13</v>
      </c>
      <c r="B13" s="8"/>
      <c r="C13" s="4">
        <v>412535</v>
      </c>
      <c r="D13" s="16">
        <f t="shared" si="0"/>
        <v>0.25883038668174974</v>
      </c>
      <c r="E13" s="9">
        <v>36</v>
      </c>
      <c r="F13" s="6">
        <v>8</v>
      </c>
      <c r="H13">
        <f>C12</f>
        <v>1593843</v>
      </c>
      <c r="I13" s="830">
        <f>D12</f>
        <v>1</v>
      </c>
      <c r="J13">
        <f>E12</f>
        <v>148</v>
      </c>
      <c r="K13">
        <f>F12</f>
        <v>36</v>
      </c>
    </row>
    <row r="14" spans="1:11">
      <c r="A14" t="s">
        <v>14</v>
      </c>
      <c r="C14" s="4">
        <v>745547</v>
      </c>
      <c r="D14" s="16">
        <f t="shared" si="0"/>
        <v>0.46776690050400194</v>
      </c>
      <c r="E14" s="20">
        <v>36</v>
      </c>
      <c r="F14" s="6">
        <v>24</v>
      </c>
    </row>
    <row r="15" spans="1:11">
      <c r="A15" t="s">
        <v>15</v>
      </c>
      <c r="C15" s="4">
        <v>255423</v>
      </c>
      <c r="D15" s="16">
        <f t="shared" si="0"/>
        <v>0.16025606035224296</v>
      </c>
      <c r="E15" s="20">
        <v>31</v>
      </c>
      <c r="F15" s="6">
        <v>2</v>
      </c>
    </row>
    <row r="16" spans="1:11">
      <c r="A16" t="s">
        <v>23</v>
      </c>
      <c r="C16" s="4">
        <v>171374</v>
      </c>
      <c r="D16" s="16">
        <f t="shared" si="0"/>
        <v>0.10752251005902087</v>
      </c>
      <c r="E16" s="9">
        <v>36</v>
      </c>
      <c r="F16" s="6">
        <v>2</v>
      </c>
    </row>
    <row r="17" spans="1:11">
      <c r="A17" t="s">
        <v>28</v>
      </c>
      <c r="C17" s="9">
        <f>+C12-SUM(C13:C16)</f>
        <v>8964</v>
      </c>
      <c r="D17" s="16">
        <f t="shared" si="0"/>
        <v>5.6241424029844847E-3</v>
      </c>
      <c r="E17" s="9">
        <f>+E12-SUM(E13:E16)</f>
        <v>9</v>
      </c>
      <c r="F17" s="9">
        <f>+F12-SUM(F13:F16)</f>
        <v>0</v>
      </c>
    </row>
    <row r="18" spans="1:11">
      <c r="C18" s="9"/>
      <c r="D18" s="21"/>
      <c r="E18" s="20"/>
      <c r="F18" s="20"/>
      <c r="H18" t="b">
        <f>H19=H20</f>
        <v>1</v>
      </c>
      <c r="I18" s="2590" t="b">
        <f>I19=I20</f>
        <v>1</v>
      </c>
      <c r="J18" t="b">
        <f>J19=J20</f>
        <v>1</v>
      </c>
      <c r="K18" t="b">
        <f>K19=K20</f>
        <v>1</v>
      </c>
    </row>
    <row r="19" spans="1:11">
      <c r="A19" s="1" t="s">
        <v>19</v>
      </c>
      <c r="B19" s="1"/>
      <c r="C19" s="10">
        <v>2887075</v>
      </c>
      <c r="D19" s="15">
        <f t="shared" ref="D19:D24" si="1">+C19/C$19</f>
        <v>1</v>
      </c>
      <c r="E19" s="11">
        <v>265</v>
      </c>
      <c r="F19" s="11">
        <v>71</v>
      </c>
      <c r="H19" s="2586">
        <f>SUM(C20:C24)</f>
        <v>2887075</v>
      </c>
      <c r="I19" s="2587">
        <f>SUM(D20:D24)</f>
        <v>1</v>
      </c>
      <c r="J19" s="2586">
        <f>SUM(E20:E24)</f>
        <v>265</v>
      </c>
      <c r="K19" s="2586">
        <f>SUM(F20:F24)</f>
        <v>71</v>
      </c>
    </row>
    <row r="20" spans="1:11" s="8" customFormat="1">
      <c r="A20" t="s">
        <v>13</v>
      </c>
      <c r="C20" s="4">
        <v>950668</v>
      </c>
      <c r="D20" s="16">
        <f t="shared" si="1"/>
        <v>0.32928413705913423</v>
      </c>
      <c r="E20" s="9">
        <v>71</v>
      </c>
      <c r="F20" s="6">
        <v>21</v>
      </c>
      <c r="G20" s="12"/>
      <c r="H20">
        <f>C19</f>
        <v>2887075</v>
      </c>
      <c r="I20" s="830">
        <f>D19</f>
        <v>1</v>
      </c>
      <c r="J20">
        <f>E19</f>
        <v>265</v>
      </c>
      <c r="K20">
        <f>F19</f>
        <v>71</v>
      </c>
    </row>
    <row r="21" spans="1:11">
      <c r="A21" t="s">
        <v>14</v>
      </c>
      <c r="C21" s="4">
        <v>1057601</v>
      </c>
      <c r="D21" s="16">
        <f t="shared" si="1"/>
        <v>0.36632266221002224</v>
      </c>
      <c r="E21" s="20">
        <v>71</v>
      </c>
      <c r="F21" s="6">
        <v>40</v>
      </c>
    </row>
    <row r="22" spans="1:11">
      <c r="A22" t="s">
        <v>15</v>
      </c>
      <c r="C22" s="4">
        <v>229162</v>
      </c>
      <c r="D22" s="16">
        <f t="shared" si="1"/>
        <v>7.9375146125403737E-2</v>
      </c>
      <c r="E22" s="20">
        <v>34</v>
      </c>
      <c r="F22" s="6">
        <v>3</v>
      </c>
    </row>
    <row r="23" spans="1:11">
      <c r="A23" t="s">
        <v>24</v>
      </c>
      <c r="C23" s="4">
        <v>633180</v>
      </c>
      <c r="D23" s="16">
        <f t="shared" si="1"/>
        <v>0.21931539707143044</v>
      </c>
      <c r="E23" s="20">
        <v>70</v>
      </c>
      <c r="F23" s="6">
        <v>7</v>
      </c>
    </row>
    <row r="24" spans="1:11">
      <c r="A24" t="s">
        <v>28</v>
      </c>
      <c r="C24" s="9">
        <f>+C19-SUM(C20:C23)</f>
        <v>16464</v>
      </c>
      <c r="D24" s="16">
        <f t="shared" si="1"/>
        <v>5.7026575340093349E-3</v>
      </c>
      <c r="E24" s="9">
        <f>+E19-SUM(E20:E23)</f>
        <v>19</v>
      </c>
      <c r="F24" s="9">
        <f>+F19-SUM(F20:F23)</f>
        <v>0</v>
      </c>
    </row>
    <row r="25" spans="1:11">
      <c r="C25" s="9"/>
      <c r="D25" s="21"/>
      <c r="E25" s="20"/>
      <c r="F25" s="20"/>
      <c r="H25" t="b">
        <f>H26=H27</f>
        <v>1</v>
      </c>
      <c r="I25" s="2590" t="b">
        <f>I26=I27</f>
        <v>1</v>
      </c>
      <c r="J25" t="b">
        <f>J26=J27</f>
        <v>1</v>
      </c>
      <c r="K25" t="b">
        <f>K26=K27</f>
        <v>1</v>
      </c>
    </row>
    <row r="26" spans="1:11">
      <c r="A26" s="1" t="s">
        <v>20</v>
      </c>
      <c r="B26" s="1"/>
      <c r="C26" s="10">
        <v>717626</v>
      </c>
      <c r="D26" s="15">
        <f t="shared" ref="D26:D37" si="2">+C26/C$26</f>
        <v>1</v>
      </c>
      <c r="E26" s="11">
        <v>48</v>
      </c>
      <c r="F26" s="11">
        <v>12</v>
      </c>
      <c r="H26" s="2586">
        <f>SUM(C27:C29,C31:C37)</f>
        <v>717626</v>
      </c>
      <c r="I26" s="2587">
        <f>SUM(D27:D29,D31:D37)</f>
        <v>1.0000000000000002</v>
      </c>
      <c r="J26" s="2586">
        <f>SUM(E27:E29,E31:E37)</f>
        <v>48</v>
      </c>
      <c r="K26" s="2586">
        <f>SUM(F27:F29,F31:F37)</f>
        <v>12</v>
      </c>
    </row>
    <row r="27" spans="1:11">
      <c r="A27" t="s">
        <v>68</v>
      </c>
      <c r="C27" s="9">
        <v>58656</v>
      </c>
      <c r="D27" s="16">
        <f t="shared" si="2"/>
        <v>8.1736168979384807E-2</v>
      </c>
      <c r="E27" s="20">
        <v>2</v>
      </c>
      <c r="F27" s="20">
        <v>1</v>
      </c>
      <c r="H27">
        <f>C26</f>
        <v>717626</v>
      </c>
      <c r="I27" s="830">
        <f>D26</f>
        <v>1</v>
      </c>
      <c r="J27">
        <f>E26</f>
        <v>48</v>
      </c>
      <c r="K27">
        <f>F26</f>
        <v>12</v>
      </c>
    </row>
    <row r="28" spans="1:11">
      <c r="A28" t="s">
        <v>69</v>
      </c>
      <c r="C28" s="9">
        <v>232103</v>
      </c>
      <c r="D28" s="16">
        <f t="shared" si="2"/>
        <v>0.32343170397951021</v>
      </c>
      <c r="E28" s="20">
        <v>7</v>
      </c>
      <c r="F28" s="20">
        <v>7</v>
      </c>
    </row>
    <row r="29" spans="1:11">
      <c r="A29" t="s">
        <v>32</v>
      </c>
      <c r="C29" s="9">
        <v>75944</v>
      </c>
      <c r="D29" s="16">
        <f t="shared" si="2"/>
        <v>0.10582671196417075</v>
      </c>
      <c r="E29" s="20">
        <v>3</v>
      </c>
      <c r="F29" s="20">
        <v>3</v>
      </c>
    </row>
    <row r="30" spans="1:11" s="8" customFormat="1">
      <c r="A30" s="8" t="s">
        <v>70</v>
      </c>
      <c r="C30" s="12">
        <f>SUM(C27:C29)</f>
        <v>366703</v>
      </c>
      <c r="D30" s="14">
        <f t="shared" si="2"/>
        <v>0.51099458492306582</v>
      </c>
      <c r="E30" s="12">
        <f>SUM(E27:E29)</f>
        <v>12</v>
      </c>
      <c r="F30" s="12">
        <f>SUM(F27:F29)</f>
        <v>11</v>
      </c>
      <c r="G30" s="12"/>
      <c r="H30"/>
      <c r="I30" s="2590"/>
      <c r="J30"/>
      <c r="K30"/>
    </row>
    <row r="31" spans="1:11" s="8" customFormat="1">
      <c r="A31" s="19" t="s">
        <v>71</v>
      </c>
      <c r="B31" s="19"/>
      <c r="C31" s="9">
        <v>22660</v>
      </c>
      <c r="D31" s="16">
        <f t="shared" si="2"/>
        <v>3.157633642036381E-2</v>
      </c>
      <c r="E31" s="9">
        <v>3</v>
      </c>
      <c r="F31" s="9">
        <v>0</v>
      </c>
      <c r="G31" s="12"/>
      <c r="H31"/>
      <c r="I31" s="2590"/>
      <c r="J31"/>
      <c r="K31"/>
    </row>
    <row r="32" spans="1:11" s="8" customFormat="1">
      <c r="A32" s="19" t="s">
        <v>72</v>
      </c>
      <c r="B32" s="19"/>
      <c r="C32" s="9">
        <v>17284</v>
      </c>
      <c r="D32" s="16">
        <f t="shared" si="2"/>
        <v>2.408496905073116E-2</v>
      </c>
      <c r="E32" s="9">
        <v>5</v>
      </c>
      <c r="F32" s="9">
        <v>0</v>
      </c>
      <c r="G32" s="12"/>
      <c r="H32"/>
      <c r="I32" s="2590"/>
      <c r="J32"/>
      <c r="K32"/>
    </row>
    <row r="33" spans="1:11" s="8" customFormat="1">
      <c r="A33" s="19" t="s">
        <v>73</v>
      </c>
      <c r="B33" s="19"/>
      <c r="C33" s="9">
        <v>15152</v>
      </c>
      <c r="D33" s="16">
        <f t="shared" si="2"/>
        <v>2.1114062199530118E-2</v>
      </c>
      <c r="E33" s="9">
        <v>4</v>
      </c>
      <c r="F33" s="9">
        <v>0</v>
      </c>
      <c r="G33" s="12"/>
      <c r="H33"/>
      <c r="I33" s="2590"/>
      <c r="J33"/>
      <c r="K33"/>
    </row>
    <row r="34" spans="1:11">
      <c r="A34" s="19" t="s">
        <v>75</v>
      </c>
      <c r="B34" s="19"/>
      <c r="C34" s="22">
        <v>160437</v>
      </c>
      <c r="D34" s="16">
        <f t="shared" si="2"/>
        <v>0.22356631448693332</v>
      </c>
      <c r="E34" s="20">
        <v>12</v>
      </c>
      <c r="F34" s="9">
        <v>1</v>
      </c>
    </row>
    <row r="35" spans="1:11">
      <c r="A35" s="19" t="s">
        <v>29</v>
      </c>
      <c r="B35" s="19"/>
      <c r="C35" s="22">
        <v>17593</v>
      </c>
      <c r="D35" s="16">
        <f t="shared" si="2"/>
        <v>2.4515555456463396E-2</v>
      </c>
      <c r="E35" s="20">
        <v>2</v>
      </c>
      <c r="F35" s="9">
        <v>0</v>
      </c>
    </row>
    <row r="36" spans="1:11">
      <c r="A36" s="19" t="s">
        <v>74</v>
      </c>
      <c r="B36" s="19"/>
      <c r="C36" s="22">
        <v>94301</v>
      </c>
      <c r="D36" s="16">
        <f t="shared" si="2"/>
        <v>0.13140688882509832</v>
      </c>
      <c r="E36" s="20">
        <v>7</v>
      </c>
      <c r="F36" s="9">
        <v>0</v>
      </c>
    </row>
    <row r="37" spans="1:11">
      <c r="A37" t="s">
        <v>28</v>
      </c>
      <c r="C37" s="22">
        <f>+C26-SUM(C30:C36)</f>
        <v>23496</v>
      </c>
      <c r="D37" s="16">
        <f t="shared" si="2"/>
        <v>3.2741288637814128E-2</v>
      </c>
      <c r="E37" s="22">
        <f>+E26-SUM(E30:E36)</f>
        <v>3</v>
      </c>
      <c r="F37" s="22">
        <f>+F26-SUM(F30:F36)</f>
        <v>0</v>
      </c>
    </row>
    <row r="38" spans="1:11">
      <c r="C38" s="22"/>
      <c r="D38" s="16"/>
      <c r="E38" s="20"/>
      <c r="F38" s="9"/>
      <c r="H38" t="b">
        <f>H39=H40</f>
        <v>1</v>
      </c>
      <c r="I38" s="2590" t="b">
        <f>I39=I40</f>
        <v>1</v>
      </c>
      <c r="J38" t="b">
        <f>J39=J40</f>
        <v>1</v>
      </c>
      <c r="K38" t="b">
        <f>K39=K40</f>
        <v>1</v>
      </c>
    </row>
    <row r="39" spans="1:11">
      <c r="A39" s="1" t="s">
        <v>35</v>
      </c>
      <c r="B39" s="1"/>
      <c r="C39" s="10">
        <f>+C19+C12+C6</f>
        <v>30622536</v>
      </c>
      <c r="D39" s="15">
        <f t="shared" ref="D39:D45" si="3">+C39/C$39</f>
        <v>1</v>
      </c>
      <c r="E39" s="10">
        <f>+E19+E12+E6</f>
        <v>2087</v>
      </c>
      <c r="F39" s="10">
        <f>+F19+F12+F6</f>
        <v>623</v>
      </c>
      <c r="H39" s="2586">
        <f>SUM(C40:C45)</f>
        <v>30622536</v>
      </c>
      <c r="I39" s="2587">
        <f>SUM(D40:D45)</f>
        <v>0.99999999999999989</v>
      </c>
      <c r="J39" s="2586">
        <f>SUM(E40:E45)</f>
        <v>2087</v>
      </c>
      <c r="K39" s="2586">
        <f>SUM(F40:F45)</f>
        <v>623</v>
      </c>
    </row>
    <row r="40" spans="1:11" s="8" customFormat="1">
      <c r="A40" t="s">
        <v>13</v>
      </c>
      <c r="C40" s="9">
        <f t="shared" ref="C40:C45" si="4">SUMIF(A$7:A$24,A40,C$7:C$24)</f>
        <v>11872180</v>
      </c>
      <c r="D40" s="16">
        <f t="shared" si="3"/>
        <v>0.3876942131768577</v>
      </c>
      <c r="E40" s="9">
        <f t="shared" ref="E40:E45" si="5">SUMIF(A$7:A$24,A40,E$7:E$24)</f>
        <v>623</v>
      </c>
      <c r="F40" s="9">
        <f t="shared" ref="F40:F45" si="6">SUMIF(A$7:A$24,A40,F$7:F$24)</f>
        <v>297</v>
      </c>
      <c r="G40" s="12"/>
      <c r="H40">
        <f>C39</f>
        <v>30622536</v>
      </c>
      <c r="I40" s="830">
        <f>D39</f>
        <v>1</v>
      </c>
      <c r="J40">
        <f>E39</f>
        <v>2087</v>
      </c>
      <c r="K40">
        <f>F39</f>
        <v>623</v>
      </c>
    </row>
    <row r="41" spans="1:11">
      <c r="A41" t="s">
        <v>14</v>
      </c>
      <c r="C41" s="9">
        <f t="shared" si="4"/>
        <v>11645616</v>
      </c>
      <c r="D41" s="16">
        <f t="shared" si="3"/>
        <v>0.38029560974309901</v>
      </c>
      <c r="E41" s="9">
        <f t="shared" si="5"/>
        <v>623</v>
      </c>
      <c r="F41" s="9">
        <f t="shared" si="6"/>
        <v>301</v>
      </c>
    </row>
    <row r="42" spans="1:11">
      <c r="A42" t="s">
        <v>15</v>
      </c>
      <c r="C42" s="9">
        <f t="shared" si="4"/>
        <v>6059519</v>
      </c>
      <c r="D42" s="16">
        <f t="shared" si="3"/>
        <v>0.19787776557761252</v>
      </c>
      <c r="E42" s="9">
        <f t="shared" si="5"/>
        <v>517</v>
      </c>
      <c r="F42" s="9">
        <f t="shared" si="6"/>
        <v>14</v>
      </c>
    </row>
    <row r="43" spans="1:11">
      <c r="A43" t="s">
        <v>23</v>
      </c>
      <c r="C43" s="9">
        <f t="shared" si="4"/>
        <v>171374</v>
      </c>
      <c r="D43" s="16">
        <f t="shared" si="3"/>
        <v>5.5963359794890923E-3</v>
      </c>
      <c r="E43" s="9">
        <f t="shared" si="5"/>
        <v>36</v>
      </c>
      <c r="F43" s="9">
        <f t="shared" si="6"/>
        <v>2</v>
      </c>
    </row>
    <row r="44" spans="1:11">
      <c r="A44" t="s">
        <v>24</v>
      </c>
      <c r="C44" s="9">
        <f t="shared" si="4"/>
        <v>633180</v>
      </c>
      <c r="D44" s="16">
        <f t="shared" si="3"/>
        <v>2.0676928912745828E-2</v>
      </c>
      <c r="E44" s="9">
        <f t="shared" si="5"/>
        <v>70</v>
      </c>
      <c r="F44" s="9">
        <f t="shared" si="6"/>
        <v>7</v>
      </c>
      <c r="H44" s="8"/>
      <c r="I44" s="2591"/>
      <c r="J44" s="8"/>
      <c r="K44" s="8"/>
    </row>
    <row r="45" spans="1:11">
      <c r="A45" t="s">
        <v>28</v>
      </c>
      <c r="C45" s="9">
        <f t="shared" si="4"/>
        <v>240667</v>
      </c>
      <c r="D45" s="16">
        <f t="shared" si="3"/>
        <v>7.8591466101958374E-3</v>
      </c>
      <c r="E45" s="9">
        <f t="shared" si="5"/>
        <v>218</v>
      </c>
      <c r="F45" s="9">
        <f t="shared" si="6"/>
        <v>2</v>
      </c>
    </row>
    <row r="46" spans="1:11">
      <c r="A46" s="1"/>
      <c r="B46" s="1"/>
      <c r="C46" s="22"/>
      <c r="D46" s="21"/>
      <c r="E46" s="20"/>
      <c r="F46" s="9"/>
      <c r="H46" t="b">
        <f>H47=H48</f>
        <v>1</v>
      </c>
      <c r="I46" s="2590" t="b">
        <f>I47=I48</f>
        <v>1</v>
      </c>
      <c r="J46" t="b">
        <f>J47=J48</f>
        <v>1</v>
      </c>
      <c r="K46" t="b">
        <f>K47=K48</f>
        <v>1</v>
      </c>
    </row>
    <row r="47" spans="1:11">
      <c r="A47" s="1" t="s">
        <v>46</v>
      </c>
      <c r="B47" s="1"/>
      <c r="C47" s="10">
        <f>+C39+C26</f>
        <v>31340162</v>
      </c>
      <c r="D47" s="15">
        <f t="shared" ref="D47:D53" si="7">+C47/C$47</f>
        <v>1</v>
      </c>
      <c r="E47" s="10">
        <f>+E39+E26</f>
        <v>2135</v>
      </c>
      <c r="F47" s="10">
        <f>+F39+F26</f>
        <v>635</v>
      </c>
      <c r="H47" s="2586">
        <f>SUM(C48:C53)</f>
        <v>31340162</v>
      </c>
      <c r="I47" s="2587">
        <f>SUM(D48:D53)</f>
        <v>1</v>
      </c>
      <c r="J47" s="2586">
        <f>SUM(E48:E53)</f>
        <v>2135</v>
      </c>
      <c r="K47" s="2586">
        <f>SUM(F48:F53)</f>
        <v>635</v>
      </c>
    </row>
    <row r="48" spans="1:11">
      <c r="A48" t="s">
        <v>13</v>
      </c>
      <c r="B48" s="8"/>
      <c r="C48" s="9">
        <f>+C40</f>
        <v>11872180</v>
      </c>
      <c r="D48" s="16">
        <f t="shared" si="7"/>
        <v>0.37881680381869115</v>
      </c>
      <c r="E48" s="9">
        <f t="shared" ref="E48:F50" si="8">+E40</f>
        <v>623</v>
      </c>
      <c r="F48" s="9">
        <f t="shared" si="8"/>
        <v>297</v>
      </c>
      <c r="H48">
        <f>C47</f>
        <v>31340162</v>
      </c>
      <c r="I48" s="830">
        <f>D47</f>
        <v>1</v>
      </c>
      <c r="J48">
        <f>E47</f>
        <v>2135</v>
      </c>
      <c r="K48">
        <f>F47</f>
        <v>635</v>
      </c>
    </row>
    <row r="49" spans="1:7">
      <c r="A49" t="s">
        <v>14</v>
      </c>
      <c r="C49" s="9">
        <f>+C41</f>
        <v>11645616</v>
      </c>
      <c r="D49" s="16">
        <f t="shared" si="7"/>
        <v>0.37158761336332596</v>
      </c>
      <c r="E49" s="9">
        <f t="shared" si="8"/>
        <v>623</v>
      </c>
      <c r="F49" s="9">
        <f t="shared" si="8"/>
        <v>301</v>
      </c>
      <c r="G49" s="18"/>
    </row>
    <row r="50" spans="1:7">
      <c r="A50" t="s">
        <v>15</v>
      </c>
      <c r="C50" s="9">
        <f>+C42</f>
        <v>6059519</v>
      </c>
      <c r="D50" s="16">
        <f t="shared" si="7"/>
        <v>0.19334676700139586</v>
      </c>
      <c r="E50" s="9">
        <f t="shared" si="8"/>
        <v>517</v>
      </c>
      <c r="F50" s="9">
        <f t="shared" si="8"/>
        <v>14</v>
      </c>
    </row>
    <row r="51" spans="1:7">
      <c r="A51" t="s">
        <v>23</v>
      </c>
      <c r="C51" s="9">
        <f>+C16</f>
        <v>171374</v>
      </c>
      <c r="D51" s="16">
        <f t="shared" si="7"/>
        <v>5.4681912620617593E-3</v>
      </c>
      <c r="E51" s="9">
        <f>+E16</f>
        <v>36</v>
      </c>
      <c r="F51" s="9">
        <f>+F16</f>
        <v>2</v>
      </c>
    </row>
    <row r="52" spans="1:7">
      <c r="A52" t="s">
        <v>24</v>
      </c>
      <c r="C52" s="9">
        <f>+C44</f>
        <v>633180</v>
      </c>
      <c r="D52" s="16">
        <f t="shared" si="7"/>
        <v>2.020346927370701E-2</v>
      </c>
      <c r="E52" s="9">
        <f>+E44</f>
        <v>70</v>
      </c>
      <c r="F52" s="9">
        <f>+F44</f>
        <v>7</v>
      </c>
    </row>
    <row r="53" spans="1:7">
      <c r="A53" t="s">
        <v>28</v>
      </c>
      <c r="C53" s="9">
        <f>+C47-SUM(C48:C52)</f>
        <v>958293</v>
      </c>
      <c r="D53" s="16">
        <f t="shared" si="7"/>
        <v>3.0577155280818266E-2</v>
      </c>
      <c r="E53" s="9">
        <f>+E47-SUM(E48:E52)</f>
        <v>266</v>
      </c>
      <c r="F53" s="9">
        <f>+F47-SUM(F48:F52)</f>
        <v>14</v>
      </c>
    </row>
    <row r="55" spans="1:7">
      <c r="A55" s="3" t="s">
        <v>21</v>
      </c>
      <c r="B55" s="7" t="s">
        <v>43</v>
      </c>
      <c r="D55"/>
      <c r="E55"/>
      <c r="F55"/>
      <c r="G55"/>
    </row>
  </sheetData>
  <mergeCells count="1">
    <mergeCell ref="A2:B2"/>
  </mergeCells>
  <phoneticPr fontId="10" type="noConversion"/>
  <conditionalFormatting sqref="H5:K5">
    <cfRule type="cellIs" dxfId="18" priority="6" operator="equal">
      <formula>"""FALSE"""</formula>
    </cfRule>
  </conditionalFormatting>
  <conditionalFormatting sqref="H11:K11">
    <cfRule type="cellIs" dxfId="17" priority="5" operator="equal">
      <formula>"""FALSE"""</formula>
    </cfRule>
  </conditionalFormatting>
  <conditionalFormatting sqref="H18:K18">
    <cfRule type="cellIs" dxfId="16" priority="4" operator="equal">
      <formula>"""FALSE"""</formula>
    </cfRule>
  </conditionalFormatting>
  <conditionalFormatting sqref="H25:K25">
    <cfRule type="cellIs" dxfId="15" priority="3" operator="equal">
      <formula>"""FALSE"""</formula>
    </cfRule>
  </conditionalFormatting>
  <conditionalFormatting sqref="H38:K38">
    <cfRule type="cellIs" dxfId="14" priority="2" operator="equal">
      <formula>"""FALSE"""</formula>
    </cfRule>
  </conditionalFormatting>
  <conditionalFormatting sqref="H46:K46">
    <cfRule type="cellIs" dxfId="13" priority="1" operator="equal">
      <formula>"""FALSE"""</formula>
    </cfRule>
  </conditionalFormatting>
  <pageMargins left="0.75" right="0.75" top="1" bottom="1" header="0.5" footer="0.5"/>
  <pageSetup paperSize="9" orientation="portrait" horizontalDpi="1200"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90">
    <pageSetUpPr fitToPage="1"/>
  </sheetPr>
  <dimension ref="A1:K54"/>
  <sheetViews>
    <sheetView topLeftCell="A3" workbookViewId="0">
      <selection activeCell="O68" sqref="O68"/>
    </sheetView>
  </sheetViews>
  <sheetFormatPr baseColWidth="10" defaultColWidth="9" defaultRowHeight="13"/>
  <cols>
    <col min="1" max="1" width="7.19921875" customWidth="1"/>
    <col min="2" max="2" width="23.19921875" customWidth="1"/>
    <col min="3" max="3" width="13.796875" style="2" customWidth="1"/>
    <col min="4" max="4" width="11.59765625" style="5" customWidth="1"/>
    <col min="5" max="5" width="9.796875" style="6" customWidth="1"/>
    <col min="6" max="6" width="10.19921875" style="4" customWidth="1"/>
    <col min="7" max="7" width="13" style="4" customWidth="1"/>
    <col min="8" max="8" width="12" customWidth="1"/>
    <col min="9" max="9" width="11.3984375" style="2590" customWidth="1"/>
    <col min="10" max="10" width="13.796875" customWidth="1"/>
    <col min="12" max="12" width="13" customWidth="1"/>
    <col min="14" max="14" width="10.19921875" customWidth="1"/>
    <col min="15" max="16" width="12.59765625" customWidth="1"/>
  </cols>
  <sheetData>
    <row r="1" spans="1:11">
      <c r="A1" s="1" t="s">
        <v>67</v>
      </c>
      <c r="B1" s="1"/>
      <c r="C1" s="4"/>
    </row>
    <row r="2" spans="1:11">
      <c r="A2" s="3524">
        <v>37174</v>
      </c>
      <c r="B2" s="3525"/>
      <c r="C2" s="4"/>
    </row>
    <row r="3" spans="1:11" ht="3.5" customHeight="1">
      <c r="A3" s="1"/>
      <c r="B3" s="1"/>
      <c r="C3" s="4"/>
    </row>
    <row r="4" spans="1:11">
      <c r="C4" s="4" t="s">
        <v>34</v>
      </c>
      <c r="D4" s="5" t="s">
        <v>36</v>
      </c>
      <c r="E4" s="6" t="s">
        <v>37</v>
      </c>
      <c r="F4" s="4" t="s">
        <v>25</v>
      </c>
    </row>
    <row r="5" spans="1:11">
      <c r="C5" s="4"/>
      <c r="H5" t="b">
        <f>H6=H7</f>
        <v>1</v>
      </c>
      <c r="I5" s="2590" t="b">
        <f>I6=I7</f>
        <v>1</v>
      </c>
      <c r="J5" t="b">
        <f>J6=J7</f>
        <v>1</v>
      </c>
      <c r="K5" t="b">
        <f>K6=K7</f>
        <v>1</v>
      </c>
    </row>
    <row r="6" spans="1:11" s="1" customFormat="1">
      <c r="A6" s="1" t="s">
        <v>17</v>
      </c>
      <c r="C6" s="10">
        <v>24191069</v>
      </c>
      <c r="D6" s="15">
        <f>+C6/C$6</f>
        <v>1</v>
      </c>
      <c r="E6" s="10">
        <v>1766</v>
      </c>
      <c r="F6" s="11">
        <v>516</v>
      </c>
      <c r="G6" s="10"/>
      <c r="H6" s="2586">
        <f>SUM(C7:C10)</f>
        <v>24191069</v>
      </c>
      <c r="I6" s="2587">
        <f>SUM(D7:D10)</f>
        <v>1</v>
      </c>
      <c r="J6" s="2586">
        <f>SUM(E7:E10)</f>
        <v>1766</v>
      </c>
      <c r="K6" s="2586">
        <f>SUM(F7:F10)</f>
        <v>516</v>
      </c>
    </row>
    <row r="7" spans="1:11" s="19" customFormat="1">
      <c r="A7" t="s">
        <v>13</v>
      </c>
      <c r="C7" s="4">
        <f>9414008</f>
        <v>9414008</v>
      </c>
      <c r="D7" s="16">
        <f>+C7/C$6</f>
        <v>0.38915221150417123</v>
      </c>
      <c r="E7" s="9">
        <v>515</v>
      </c>
      <c r="F7" s="6">
        <v>253</v>
      </c>
      <c r="G7" s="9"/>
      <c r="H7">
        <f>C6</f>
        <v>24191069</v>
      </c>
      <c r="I7" s="830">
        <f>D6</f>
        <v>1</v>
      </c>
      <c r="J7">
        <f>E6</f>
        <v>1766</v>
      </c>
      <c r="K7">
        <f>F6</f>
        <v>516</v>
      </c>
    </row>
    <row r="8" spans="1:11">
      <c r="A8" t="s">
        <v>14</v>
      </c>
      <c r="C8" s="4">
        <v>9695051</v>
      </c>
      <c r="D8" s="16">
        <f>+C8/C$6</f>
        <v>0.40076984609485428</v>
      </c>
      <c r="E8" s="20">
        <v>516</v>
      </c>
      <c r="F8" s="6">
        <v>255</v>
      </c>
    </row>
    <row r="9" spans="1:11">
      <c r="A9" t="s">
        <v>15</v>
      </c>
      <c r="C9" s="4">
        <v>4878792</v>
      </c>
      <c r="D9" s="16">
        <f>+C9/C$6</f>
        <v>0.20167740416928248</v>
      </c>
      <c r="E9" s="20">
        <v>515</v>
      </c>
      <c r="F9" s="6">
        <v>8</v>
      </c>
    </row>
    <row r="10" spans="1:11">
      <c r="A10" t="s">
        <v>28</v>
      </c>
      <c r="C10" s="4">
        <f>C6-(C7+C8+C9)</f>
        <v>203218</v>
      </c>
      <c r="D10" s="16">
        <f>+C10/C$6</f>
        <v>8.4005382316920344E-3</v>
      </c>
      <c r="E10" s="20">
        <f>E6-(E7+E8+E9)</f>
        <v>220</v>
      </c>
      <c r="F10" s="20">
        <f>F6-(F7+F8+F9)</f>
        <v>0</v>
      </c>
      <c r="H10" s="8"/>
      <c r="I10" s="2591"/>
      <c r="J10" s="8"/>
      <c r="K10" s="8"/>
    </row>
    <row r="11" spans="1:11">
      <c r="C11" s="9"/>
      <c r="D11" s="21"/>
      <c r="E11" s="20"/>
      <c r="F11" s="20"/>
      <c r="H11" t="b">
        <f>H12=H13</f>
        <v>1</v>
      </c>
      <c r="I11" s="2590" t="b">
        <f>I12=I13</f>
        <v>1</v>
      </c>
      <c r="J11" t="b">
        <f>J12=J13</f>
        <v>1</v>
      </c>
      <c r="K11" t="b">
        <f>K12=K13</f>
        <v>1</v>
      </c>
    </row>
    <row r="12" spans="1:11">
      <c r="A12" s="1" t="s">
        <v>18</v>
      </c>
      <c r="B12" s="1"/>
      <c r="C12" s="10">
        <v>1537840</v>
      </c>
      <c r="D12" s="15">
        <f t="shared" ref="D12:D17" si="0">+C12/C$12</f>
        <v>1</v>
      </c>
      <c r="E12" s="11">
        <v>150</v>
      </c>
      <c r="F12" s="11">
        <v>36</v>
      </c>
      <c r="H12" s="2586">
        <f>SUM(C13:C17)</f>
        <v>1537840</v>
      </c>
      <c r="I12" s="2587">
        <f>SUM(D13:D17)</f>
        <v>1</v>
      </c>
      <c r="J12" s="2586">
        <f>SUM(E13:E17)</f>
        <v>150</v>
      </c>
      <c r="K12" s="2586">
        <f>SUM(F13:F17)</f>
        <v>36</v>
      </c>
    </row>
    <row r="13" spans="1:11">
      <c r="A13" t="s">
        <v>13</v>
      </c>
      <c r="B13" s="8"/>
      <c r="C13" s="4">
        <v>367230</v>
      </c>
      <c r="D13" s="16">
        <f t="shared" si="0"/>
        <v>0.23879597357332363</v>
      </c>
      <c r="E13" s="9">
        <v>36</v>
      </c>
      <c r="F13" s="6">
        <v>8</v>
      </c>
      <c r="H13">
        <f>C12</f>
        <v>1537840</v>
      </c>
      <c r="I13" s="830">
        <f>D12</f>
        <v>1</v>
      </c>
      <c r="J13">
        <f>E12</f>
        <v>150</v>
      </c>
      <c r="K13">
        <f>F12</f>
        <v>36</v>
      </c>
    </row>
    <row r="14" spans="1:11">
      <c r="A14" t="s">
        <v>14</v>
      </c>
      <c r="C14" s="4">
        <v>761447</v>
      </c>
      <c r="D14" s="16">
        <f t="shared" si="0"/>
        <v>0.49514058679706602</v>
      </c>
      <c r="E14" s="20">
        <v>36</v>
      </c>
      <c r="F14" s="6">
        <v>23</v>
      </c>
    </row>
    <row r="15" spans="1:11">
      <c r="A15" t="s">
        <v>15</v>
      </c>
      <c r="C15" s="4">
        <v>239057</v>
      </c>
      <c r="D15" s="16">
        <f t="shared" si="0"/>
        <v>0.15544985174010301</v>
      </c>
      <c r="E15" s="20">
        <v>36</v>
      </c>
      <c r="F15" s="6">
        <v>2</v>
      </c>
    </row>
    <row r="16" spans="1:11">
      <c r="A16" t="s">
        <v>23</v>
      </c>
      <c r="C16" s="4">
        <v>166321</v>
      </c>
      <c r="D16" s="16">
        <f t="shared" si="0"/>
        <v>0.1081523435467929</v>
      </c>
      <c r="E16" s="9">
        <v>36</v>
      </c>
      <c r="F16" s="6">
        <v>3</v>
      </c>
    </row>
    <row r="17" spans="1:11">
      <c r="A17" t="s">
        <v>28</v>
      </c>
      <c r="C17" s="9">
        <f>+C12-SUM(C13:C16)</f>
        <v>3785</v>
      </c>
      <c r="D17" s="16">
        <f t="shared" si="0"/>
        <v>2.4612443427144567E-3</v>
      </c>
      <c r="E17" s="9">
        <f>+E12-SUM(E13:E16)</f>
        <v>6</v>
      </c>
      <c r="F17" s="9">
        <f>+F12-SUM(F13:F16)</f>
        <v>0</v>
      </c>
    </row>
    <row r="18" spans="1:11">
      <c r="C18" s="9"/>
      <c r="D18" s="21"/>
      <c r="E18" s="20"/>
      <c r="F18" s="20"/>
      <c r="H18" t="b">
        <f>H19=H20</f>
        <v>1</v>
      </c>
      <c r="I18" s="2590" t="b">
        <f>I19=I20</f>
        <v>1</v>
      </c>
      <c r="J18" t="b">
        <f>J19=J20</f>
        <v>1</v>
      </c>
      <c r="K18" t="b">
        <f>K19=K20</f>
        <v>1</v>
      </c>
    </row>
    <row r="19" spans="1:11">
      <c r="A19" s="1" t="s">
        <v>19</v>
      </c>
      <c r="B19" s="1"/>
      <c r="C19" s="10">
        <v>2758101</v>
      </c>
      <c r="D19" s="15">
        <f t="shared" ref="D19:D24" si="1">+C19/C$19</f>
        <v>1</v>
      </c>
      <c r="E19" s="11">
        <v>293</v>
      </c>
      <c r="F19" s="11">
        <v>71</v>
      </c>
      <c r="H19" s="2586">
        <f>SUM(C20:C24)</f>
        <v>2758101</v>
      </c>
      <c r="I19" s="2587">
        <f>SUM(D20:D24)</f>
        <v>0.99999999999999989</v>
      </c>
      <c r="J19" s="2586">
        <f>SUM(E20:E24)</f>
        <v>293</v>
      </c>
      <c r="K19" s="2586">
        <f>SUM(F20:F24)</f>
        <v>71</v>
      </c>
    </row>
    <row r="20" spans="1:11" s="8" customFormat="1">
      <c r="A20" t="s">
        <v>13</v>
      </c>
      <c r="C20" s="4">
        <v>681327</v>
      </c>
      <c r="D20" s="16">
        <f t="shared" si="1"/>
        <v>0.24702757440717363</v>
      </c>
      <c r="E20" s="9">
        <v>71</v>
      </c>
      <c r="F20" s="6">
        <v>16</v>
      </c>
      <c r="G20" s="12"/>
      <c r="H20">
        <f>C19</f>
        <v>2758101</v>
      </c>
      <c r="I20" s="830">
        <f>D19</f>
        <v>1</v>
      </c>
      <c r="J20">
        <f>E19</f>
        <v>293</v>
      </c>
      <c r="K20">
        <f>F19</f>
        <v>71</v>
      </c>
    </row>
    <row r="21" spans="1:11">
      <c r="A21" t="s">
        <v>14</v>
      </c>
      <c r="C21" s="4">
        <v>1000581</v>
      </c>
      <c r="D21" s="16">
        <f t="shared" si="1"/>
        <v>0.36277895552048312</v>
      </c>
      <c r="E21" s="20">
        <v>71</v>
      </c>
      <c r="F21" s="6">
        <v>41</v>
      </c>
    </row>
    <row r="22" spans="1:11">
      <c r="A22" t="s">
        <v>15</v>
      </c>
      <c r="C22" s="4">
        <v>228855</v>
      </c>
      <c r="D22" s="16">
        <f t="shared" si="1"/>
        <v>8.2975569060016297E-2</v>
      </c>
      <c r="E22" s="20">
        <v>68</v>
      </c>
      <c r="F22" s="6">
        <v>3</v>
      </c>
    </row>
    <row r="23" spans="1:11">
      <c r="A23" t="s">
        <v>24</v>
      </c>
      <c r="C23" s="4">
        <v>839617</v>
      </c>
      <c r="D23" s="16">
        <f t="shared" si="1"/>
        <v>0.30441851114226781</v>
      </c>
      <c r="E23" s="20">
        <v>71</v>
      </c>
      <c r="F23" s="6">
        <v>11</v>
      </c>
    </row>
    <row r="24" spans="1:11">
      <c r="A24" t="s">
        <v>28</v>
      </c>
      <c r="C24" s="9">
        <f>+C19-SUM(C20:C23)</f>
        <v>7721</v>
      </c>
      <c r="D24" s="16">
        <f t="shared" si="1"/>
        <v>2.7993898700591456E-3</v>
      </c>
      <c r="E24" s="9">
        <f>+E19-SUM(E20:E23)</f>
        <v>12</v>
      </c>
      <c r="F24" s="9">
        <f>+F19-SUM(F20:F23)</f>
        <v>0</v>
      </c>
    </row>
    <row r="25" spans="1:11">
      <c r="C25" s="9"/>
      <c r="D25" s="21"/>
      <c r="E25" s="20"/>
      <c r="F25" s="20"/>
      <c r="H25" t="b">
        <f>H26=H27</f>
        <v>1</v>
      </c>
      <c r="I25" s="2590" t="b">
        <f>I26=I27</f>
        <v>1</v>
      </c>
      <c r="J25" t="b">
        <f>J26=J27</f>
        <v>1</v>
      </c>
      <c r="K25" t="b">
        <f>K26=K27</f>
        <v>1</v>
      </c>
    </row>
    <row r="26" spans="1:11">
      <c r="A26" s="1" t="s">
        <v>20</v>
      </c>
      <c r="B26" s="1"/>
      <c r="C26" s="10">
        <v>702094</v>
      </c>
      <c r="D26" s="15">
        <f t="shared" ref="D26:D36" si="2">+C26/C$26</f>
        <v>1</v>
      </c>
      <c r="E26" s="11">
        <v>43</v>
      </c>
      <c r="F26" s="11">
        <v>12</v>
      </c>
      <c r="H26" s="2586">
        <f>SUM(C27:C29,C31:C37)</f>
        <v>702094</v>
      </c>
      <c r="I26" s="2587">
        <f>SUM(D27:D29,D31:D37)</f>
        <v>1</v>
      </c>
      <c r="J26" s="2586">
        <f>SUM(E27:E29,E31:E37)</f>
        <v>43</v>
      </c>
      <c r="K26" s="2586">
        <f>SUM(F27:F29,F31:F37)</f>
        <v>12</v>
      </c>
    </row>
    <row r="27" spans="1:11">
      <c r="A27" t="s">
        <v>68</v>
      </c>
      <c r="C27" s="9">
        <v>59451</v>
      </c>
      <c r="D27" s="16">
        <f t="shared" si="2"/>
        <v>8.4676695713109637E-2</v>
      </c>
      <c r="E27" s="20">
        <v>2</v>
      </c>
      <c r="F27" s="20">
        <v>1</v>
      </c>
      <c r="H27">
        <f>C26</f>
        <v>702094</v>
      </c>
      <c r="I27" s="830">
        <f>D26</f>
        <v>1</v>
      </c>
      <c r="J27">
        <f>E26</f>
        <v>43</v>
      </c>
      <c r="K27">
        <f>F26</f>
        <v>12</v>
      </c>
    </row>
    <row r="28" spans="1:11">
      <c r="A28" t="s">
        <v>69</v>
      </c>
      <c r="C28" s="9">
        <v>256065</v>
      </c>
      <c r="D28" s="16">
        <f t="shared" si="2"/>
        <v>0.36471612063341946</v>
      </c>
      <c r="E28" s="20">
        <v>7</v>
      </c>
      <c r="F28" s="20">
        <v>6</v>
      </c>
    </row>
    <row r="29" spans="1:11">
      <c r="A29" t="s">
        <v>32</v>
      </c>
      <c r="C29" s="9">
        <v>92262</v>
      </c>
      <c r="D29" s="16">
        <f t="shared" si="2"/>
        <v>0.13140975424943099</v>
      </c>
      <c r="E29" s="20">
        <v>3</v>
      </c>
      <c r="F29" s="20">
        <v>3</v>
      </c>
    </row>
    <row r="30" spans="1:11" s="8" customFormat="1">
      <c r="A30" s="8" t="s">
        <v>70</v>
      </c>
      <c r="C30" s="12">
        <f>SUM(C27:C29)</f>
        <v>407778</v>
      </c>
      <c r="D30" s="14">
        <f t="shared" si="2"/>
        <v>0.58080257059596008</v>
      </c>
      <c r="E30" s="12">
        <f>SUM(E27:E29)</f>
        <v>12</v>
      </c>
      <c r="F30" s="12">
        <f>SUM(F27:F29)</f>
        <v>10</v>
      </c>
      <c r="G30" s="12"/>
      <c r="H30"/>
      <c r="I30" s="2590"/>
      <c r="J30"/>
      <c r="K30"/>
    </row>
    <row r="31" spans="1:11" s="8" customFormat="1">
      <c r="A31" s="19" t="s">
        <v>71</v>
      </c>
      <c r="C31" s="9">
        <v>44644</v>
      </c>
      <c r="D31" s="16">
        <f t="shared" si="2"/>
        <v>6.3586927106626751E-2</v>
      </c>
      <c r="E31" s="12">
        <v>5</v>
      </c>
      <c r="F31" s="9">
        <v>0</v>
      </c>
      <c r="G31" s="12"/>
      <c r="H31"/>
      <c r="I31" s="2590"/>
      <c r="J31"/>
      <c r="K31"/>
    </row>
    <row r="32" spans="1:11" s="8" customFormat="1">
      <c r="A32" s="19" t="s">
        <v>72</v>
      </c>
      <c r="C32" s="9">
        <v>11539</v>
      </c>
      <c r="D32" s="16">
        <f t="shared" si="2"/>
        <v>1.643512122308409E-2</v>
      </c>
      <c r="E32" s="12">
        <v>3</v>
      </c>
      <c r="F32" s="9">
        <v>0</v>
      </c>
      <c r="G32" s="12"/>
      <c r="H32"/>
      <c r="I32" s="2590"/>
      <c r="J32"/>
      <c r="K32"/>
    </row>
    <row r="33" spans="1:11" s="8" customFormat="1">
      <c r="A33" s="19" t="s">
        <v>73</v>
      </c>
      <c r="C33" s="9">
        <v>21633</v>
      </c>
      <c r="D33" s="16">
        <f t="shared" si="2"/>
        <v>3.0812113477682476E-2</v>
      </c>
      <c r="E33" s="12">
        <v>5</v>
      </c>
      <c r="F33" s="9">
        <v>0</v>
      </c>
      <c r="G33" s="12"/>
      <c r="H33"/>
      <c r="I33" s="2590"/>
      <c r="J33"/>
      <c r="K33"/>
    </row>
    <row r="34" spans="1:11">
      <c r="A34" t="s">
        <v>75</v>
      </c>
      <c r="C34" s="22">
        <v>154193</v>
      </c>
      <c r="D34" s="16">
        <f t="shared" si="2"/>
        <v>0.21961874051052993</v>
      </c>
      <c r="E34" s="20">
        <v>9</v>
      </c>
      <c r="F34" s="9">
        <v>1</v>
      </c>
    </row>
    <row r="35" spans="1:11">
      <c r="A35" t="s">
        <v>29</v>
      </c>
      <c r="C35" s="22">
        <v>20454</v>
      </c>
      <c r="D35" s="16">
        <f t="shared" si="2"/>
        <v>2.9132851156682724E-2</v>
      </c>
      <c r="E35" s="20">
        <v>2</v>
      </c>
      <c r="F35" s="9">
        <v>0</v>
      </c>
    </row>
    <row r="36" spans="1:11">
      <c r="A36" t="s">
        <v>28</v>
      </c>
      <c r="C36" s="22">
        <f>+C26-SUM(C30:C35)</f>
        <v>41853</v>
      </c>
      <c r="D36" s="16">
        <f t="shared" si="2"/>
        <v>5.9611675929433949E-2</v>
      </c>
      <c r="E36" s="22">
        <f>+E26-SUM(E30:E35)</f>
        <v>7</v>
      </c>
      <c r="F36" s="22">
        <f>+F26-SUM(F30:F35)</f>
        <v>1</v>
      </c>
    </row>
    <row r="37" spans="1:11">
      <c r="C37" s="22"/>
      <c r="D37" s="16"/>
      <c r="E37" s="20"/>
      <c r="F37" s="9"/>
    </row>
    <row r="38" spans="1:11">
      <c r="A38" s="1" t="s">
        <v>35</v>
      </c>
      <c r="B38" s="1"/>
      <c r="C38" s="10">
        <f>+C19+C12+C6</f>
        <v>28487010</v>
      </c>
      <c r="D38" s="15">
        <f t="shared" ref="D38:D44" si="3">+C38/C$38</f>
        <v>1</v>
      </c>
      <c r="E38" s="10">
        <f>+E19+E12+E6</f>
        <v>2209</v>
      </c>
      <c r="F38" s="10">
        <f>+F19+F12+F6</f>
        <v>623</v>
      </c>
      <c r="H38" t="b">
        <f>H39=H40</f>
        <v>1</v>
      </c>
      <c r="I38" s="2590" t="b">
        <f>I39=I40</f>
        <v>1</v>
      </c>
      <c r="J38" t="b">
        <f>J39=J40</f>
        <v>1</v>
      </c>
      <c r="K38" t="b">
        <f>K39=K40</f>
        <v>1</v>
      </c>
    </row>
    <row r="39" spans="1:11" s="8" customFormat="1">
      <c r="A39" t="s">
        <v>13</v>
      </c>
      <c r="C39" s="9">
        <f t="shared" ref="C39:C44" si="4">SUMIF(A$7:A$24,A39,C$7:C$24)</f>
        <v>10462565</v>
      </c>
      <c r="D39" s="16">
        <f t="shared" si="3"/>
        <v>0.36727494391303261</v>
      </c>
      <c r="E39" s="9">
        <f t="shared" ref="E39:E44" si="5">SUMIF(A$7:A$24,A39,E$7:E$24)</f>
        <v>622</v>
      </c>
      <c r="F39" s="9">
        <f t="shared" ref="F39:F44" si="6">SUMIF(A$7:A$24,A39,F$7:F$24)</f>
        <v>277</v>
      </c>
      <c r="G39" s="12"/>
      <c r="H39" s="2586">
        <f>SUM(C39:C44)</f>
        <v>28487010</v>
      </c>
      <c r="I39" s="2587">
        <f>SUM(D39:D44)</f>
        <v>1</v>
      </c>
      <c r="J39" s="2586">
        <f>SUM(E39:E44)</f>
        <v>2209</v>
      </c>
      <c r="K39" s="2586">
        <f>SUM(F39:F44)</f>
        <v>623</v>
      </c>
    </row>
    <row r="40" spans="1:11">
      <c r="A40" t="s">
        <v>14</v>
      </c>
      <c r="C40" s="9">
        <f t="shared" si="4"/>
        <v>11457079</v>
      </c>
      <c r="D40" s="16">
        <f t="shared" si="3"/>
        <v>0.40218608411342571</v>
      </c>
      <c r="E40" s="9">
        <f t="shared" si="5"/>
        <v>623</v>
      </c>
      <c r="F40" s="9">
        <f t="shared" si="6"/>
        <v>319</v>
      </c>
      <c r="H40">
        <f>C38</f>
        <v>28487010</v>
      </c>
      <c r="I40" s="830">
        <f>D38</f>
        <v>1</v>
      </c>
      <c r="J40">
        <f>E38</f>
        <v>2209</v>
      </c>
      <c r="K40">
        <f>F38</f>
        <v>623</v>
      </c>
    </row>
    <row r="41" spans="1:11">
      <c r="A41" t="s">
        <v>15</v>
      </c>
      <c r="C41" s="9">
        <f t="shared" si="4"/>
        <v>5346704</v>
      </c>
      <c r="D41" s="16">
        <f t="shared" si="3"/>
        <v>0.18768919588261457</v>
      </c>
      <c r="E41" s="9">
        <f t="shared" si="5"/>
        <v>619</v>
      </c>
      <c r="F41" s="9">
        <f t="shared" si="6"/>
        <v>13</v>
      </c>
    </row>
    <row r="42" spans="1:11">
      <c r="A42" t="s">
        <v>23</v>
      </c>
      <c r="C42" s="9">
        <f t="shared" si="4"/>
        <v>166321</v>
      </c>
      <c r="D42" s="16">
        <f t="shared" si="3"/>
        <v>5.8384856817194925E-3</v>
      </c>
      <c r="E42" s="9">
        <f t="shared" si="5"/>
        <v>36</v>
      </c>
      <c r="F42" s="9">
        <f t="shared" si="6"/>
        <v>3</v>
      </c>
    </row>
    <row r="43" spans="1:11">
      <c r="A43" t="s">
        <v>24</v>
      </c>
      <c r="C43" s="9">
        <f t="shared" si="4"/>
        <v>839617</v>
      </c>
      <c r="D43" s="16">
        <f t="shared" si="3"/>
        <v>2.9473679406859476E-2</v>
      </c>
      <c r="E43" s="9">
        <f t="shared" si="5"/>
        <v>71</v>
      </c>
      <c r="F43" s="9">
        <f t="shared" si="6"/>
        <v>11</v>
      </c>
    </row>
    <row r="44" spans="1:11">
      <c r="A44" t="s">
        <v>28</v>
      </c>
      <c r="C44" s="9">
        <f t="shared" si="4"/>
        <v>214724</v>
      </c>
      <c r="D44" s="16">
        <f t="shared" si="3"/>
        <v>7.5376110023480875E-3</v>
      </c>
      <c r="E44" s="9">
        <f t="shared" si="5"/>
        <v>238</v>
      </c>
      <c r="F44" s="9">
        <f t="shared" si="6"/>
        <v>0</v>
      </c>
      <c r="H44" s="8"/>
      <c r="I44" s="2591"/>
      <c r="J44" s="8"/>
      <c r="K44" s="8"/>
    </row>
    <row r="45" spans="1:11">
      <c r="A45" s="1"/>
      <c r="B45" s="1"/>
      <c r="C45" s="22"/>
      <c r="D45" s="21"/>
      <c r="E45" s="20"/>
      <c r="F45" s="9"/>
    </row>
    <row r="46" spans="1:11">
      <c r="A46" s="1" t="s">
        <v>46</v>
      </c>
      <c r="B46" s="1"/>
      <c r="C46" s="10">
        <f>+C38+C26</f>
        <v>29189104</v>
      </c>
      <c r="D46" s="15">
        <f t="shared" ref="D46:D52" si="7">+C46/C$46</f>
        <v>1</v>
      </c>
      <c r="E46" s="10">
        <f>+E38+E26</f>
        <v>2252</v>
      </c>
      <c r="F46" s="10">
        <f>+F38+F26</f>
        <v>635</v>
      </c>
      <c r="H46" t="b">
        <f>H47=H48</f>
        <v>1</v>
      </c>
      <c r="I46" s="2590" t="b">
        <f>I47=I48</f>
        <v>1</v>
      </c>
      <c r="J46" t="b">
        <f>J47=J48</f>
        <v>1</v>
      </c>
      <c r="K46" t="b">
        <f>K47=K48</f>
        <v>1</v>
      </c>
    </row>
    <row r="47" spans="1:11">
      <c r="A47" t="s">
        <v>13</v>
      </c>
      <c r="B47" s="8"/>
      <c r="C47" s="9">
        <f>+C39</f>
        <v>10462565</v>
      </c>
      <c r="D47" s="16">
        <f t="shared" si="7"/>
        <v>0.35844077296788557</v>
      </c>
      <c r="E47" s="9">
        <f t="shared" ref="E47:F49" si="8">+E39</f>
        <v>622</v>
      </c>
      <c r="F47" s="9">
        <f t="shared" si="8"/>
        <v>277</v>
      </c>
      <c r="H47" s="2586">
        <f>SUM(C47:C52)</f>
        <v>29189104</v>
      </c>
      <c r="I47" s="2587">
        <f>SUM(D47:D52)</f>
        <v>1</v>
      </c>
      <c r="J47" s="2586">
        <f>SUM(E47:E52)</f>
        <v>2252</v>
      </c>
      <c r="K47" s="2586">
        <f>SUM(F47:F52)</f>
        <v>635</v>
      </c>
    </row>
    <row r="48" spans="1:11">
      <c r="A48" t="s">
        <v>14</v>
      </c>
      <c r="C48" s="9">
        <f>+C40</f>
        <v>11457079</v>
      </c>
      <c r="D48" s="16">
        <f t="shared" si="7"/>
        <v>0.39251218536889654</v>
      </c>
      <c r="E48" s="9">
        <f t="shared" si="8"/>
        <v>623</v>
      </c>
      <c r="F48" s="9">
        <f t="shared" si="8"/>
        <v>319</v>
      </c>
      <c r="G48" s="18"/>
      <c r="H48">
        <f>C46</f>
        <v>29189104</v>
      </c>
      <c r="I48" s="830">
        <f>D46</f>
        <v>1</v>
      </c>
      <c r="J48">
        <f>E46</f>
        <v>2252</v>
      </c>
      <c r="K48">
        <f>F46</f>
        <v>635</v>
      </c>
    </row>
    <row r="49" spans="1:7">
      <c r="A49" t="s">
        <v>15</v>
      </c>
      <c r="C49" s="9">
        <f>+C41</f>
        <v>5346704</v>
      </c>
      <c r="D49" s="16">
        <f t="shared" si="7"/>
        <v>0.18317465311713577</v>
      </c>
      <c r="E49" s="9">
        <f t="shared" si="8"/>
        <v>619</v>
      </c>
      <c r="F49" s="9">
        <f t="shared" si="8"/>
        <v>13</v>
      </c>
    </row>
    <row r="50" spans="1:7">
      <c r="A50" t="s">
        <v>23</v>
      </c>
      <c r="C50" s="9">
        <f>+C16</f>
        <v>166321</v>
      </c>
      <c r="D50" s="16">
        <f t="shared" si="7"/>
        <v>5.6980508891262983E-3</v>
      </c>
      <c r="E50" s="9">
        <f>+E16</f>
        <v>36</v>
      </c>
      <c r="F50" s="9">
        <f>+F16</f>
        <v>3</v>
      </c>
    </row>
    <row r="51" spans="1:7">
      <c r="A51" t="s">
        <v>24</v>
      </c>
      <c r="C51" s="9">
        <f>+C43</f>
        <v>839617</v>
      </c>
      <c r="D51" s="16">
        <f t="shared" si="7"/>
        <v>2.8764740431909113E-2</v>
      </c>
      <c r="E51" s="9">
        <f>+E43</f>
        <v>71</v>
      </c>
      <c r="F51" s="9">
        <f>+F43</f>
        <v>11</v>
      </c>
    </row>
    <row r="52" spans="1:7">
      <c r="A52" t="s">
        <v>28</v>
      </c>
      <c r="C52" s="9">
        <f>+C46-SUM(C47:C51)</f>
        <v>916818</v>
      </c>
      <c r="D52" s="16">
        <f t="shared" si="7"/>
        <v>3.1409597225046715E-2</v>
      </c>
      <c r="E52" s="9">
        <f>+E46-SUM(E47:E51)</f>
        <v>281</v>
      </c>
      <c r="F52" s="9">
        <f>+F46-SUM(F47:F51)</f>
        <v>12</v>
      </c>
    </row>
    <row r="54" spans="1:7">
      <c r="A54" s="3" t="s">
        <v>21</v>
      </c>
      <c r="B54" s="7" t="s">
        <v>43</v>
      </c>
      <c r="D54"/>
      <c r="E54"/>
      <c r="F54"/>
      <c r="G54"/>
    </row>
  </sheetData>
  <mergeCells count="1">
    <mergeCell ref="A2:B2"/>
  </mergeCells>
  <phoneticPr fontId="10" type="noConversion"/>
  <conditionalFormatting sqref="H5:K5">
    <cfRule type="cellIs" dxfId="12" priority="6" operator="equal">
      <formula>"""FALSE"""</formula>
    </cfRule>
  </conditionalFormatting>
  <conditionalFormatting sqref="H11:K11">
    <cfRule type="cellIs" dxfId="11" priority="5" operator="equal">
      <formula>"""FALSE"""</formula>
    </cfRule>
  </conditionalFormatting>
  <conditionalFormatting sqref="H18:K18">
    <cfRule type="cellIs" dxfId="10" priority="4" operator="equal">
      <formula>"""FALSE"""</formula>
    </cfRule>
  </conditionalFormatting>
  <conditionalFormatting sqref="H25:K25">
    <cfRule type="cellIs" dxfId="9" priority="3" operator="equal">
      <formula>"""FALSE"""</formula>
    </cfRule>
  </conditionalFormatting>
  <conditionalFormatting sqref="H38:K38">
    <cfRule type="cellIs" dxfId="8" priority="2" operator="equal">
      <formula>"""FALSE"""</formula>
    </cfRule>
  </conditionalFormatting>
  <conditionalFormatting sqref="H46:K46">
    <cfRule type="cellIs" dxfId="7" priority="1" operator="equal">
      <formula>"""FALSE"""</formula>
    </cfRule>
  </conditionalFormatting>
  <pageMargins left="0.75" right="0.75" top="1" bottom="1" header="0.5" footer="0.5"/>
  <pageSetup paperSize="9" orientation="portrait" horizontalDpi="120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91">
    <pageSetUpPr fitToPage="1"/>
  </sheetPr>
  <dimension ref="A1:K56"/>
  <sheetViews>
    <sheetView topLeftCell="A16" workbookViewId="0">
      <selection activeCell="O68" sqref="O68"/>
    </sheetView>
  </sheetViews>
  <sheetFormatPr baseColWidth="10" defaultColWidth="9" defaultRowHeight="13"/>
  <cols>
    <col min="1" max="1" width="7.19921875" customWidth="1"/>
    <col min="2" max="2" width="23.19921875" customWidth="1"/>
    <col min="3" max="3" width="14.3984375" style="2" customWidth="1"/>
    <col min="4" max="4" width="11.59765625" style="5" customWidth="1"/>
    <col min="5" max="5" width="9.796875" style="6" customWidth="1"/>
    <col min="6" max="6" width="10.19921875" style="4" customWidth="1"/>
    <col min="7" max="7" width="13" style="4" customWidth="1"/>
    <col min="8" max="8" width="12" customWidth="1"/>
    <col min="9" max="9" width="11.3984375" style="2590" customWidth="1"/>
    <col min="10" max="10" width="13.796875" customWidth="1"/>
    <col min="12" max="12" width="13" customWidth="1"/>
    <col min="14" max="14" width="10.19921875" customWidth="1"/>
    <col min="15" max="16" width="12.59765625" customWidth="1"/>
  </cols>
  <sheetData>
    <row r="1" spans="1:11">
      <c r="A1" s="1" t="s">
        <v>76</v>
      </c>
      <c r="B1" s="1"/>
      <c r="C1" s="4"/>
    </row>
    <row r="2" spans="1:11">
      <c r="A2" s="3524">
        <v>37014</v>
      </c>
      <c r="B2" s="3525"/>
      <c r="C2" s="4"/>
    </row>
    <row r="3" spans="1:11" ht="3.5" customHeight="1">
      <c r="A3" s="1"/>
      <c r="B3" s="1"/>
      <c r="C3" s="4"/>
    </row>
    <row r="4" spans="1:11">
      <c r="C4" s="4" t="s">
        <v>34</v>
      </c>
      <c r="D4" s="5" t="s">
        <v>36</v>
      </c>
      <c r="E4" s="6" t="s">
        <v>37</v>
      </c>
      <c r="F4" s="4" t="s">
        <v>25</v>
      </c>
    </row>
    <row r="5" spans="1:11">
      <c r="C5" s="4"/>
      <c r="H5" t="b">
        <f>H6=H7</f>
        <v>1</v>
      </c>
      <c r="I5" s="2590" t="b">
        <f>I6=I7</f>
        <v>1</v>
      </c>
      <c r="J5" t="b">
        <f>J6=J7</f>
        <v>1</v>
      </c>
      <c r="K5" t="b">
        <f>K6=K7</f>
        <v>1</v>
      </c>
    </row>
    <row r="6" spans="1:11" s="1" customFormat="1">
      <c r="A6" s="1" t="s">
        <v>17</v>
      </c>
      <c r="C6" s="10">
        <v>25972250</v>
      </c>
      <c r="D6" s="15">
        <f>+C6/C$6</f>
        <v>1</v>
      </c>
      <c r="E6" s="10">
        <v>2074</v>
      </c>
      <c r="F6" s="11">
        <v>516</v>
      </c>
      <c r="G6" s="10"/>
      <c r="H6" s="2586">
        <f>SUM(C7:C10)</f>
        <v>25972250</v>
      </c>
      <c r="I6" s="2587">
        <f>SUM(D7:D10)</f>
        <v>1</v>
      </c>
      <c r="J6" s="2586">
        <f>SUM(E7:E10)</f>
        <v>2074</v>
      </c>
      <c r="K6" s="2586">
        <f>SUM(F7:F10)</f>
        <v>516</v>
      </c>
    </row>
    <row r="7" spans="1:11" s="19" customFormat="1">
      <c r="A7" t="s">
        <v>13</v>
      </c>
      <c r="C7" s="4">
        <v>12255514</v>
      </c>
      <c r="D7" s="16">
        <f>+C7/C$6</f>
        <v>0.47186955308069189</v>
      </c>
      <c r="E7" s="9">
        <v>516</v>
      </c>
      <c r="F7" s="6">
        <v>306</v>
      </c>
      <c r="G7" s="9"/>
      <c r="H7">
        <f>C6</f>
        <v>25972250</v>
      </c>
      <c r="I7" s="830">
        <f>D6</f>
        <v>1</v>
      </c>
      <c r="J7">
        <f>E6</f>
        <v>2074</v>
      </c>
      <c r="K7">
        <f>F6</f>
        <v>516</v>
      </c>
    </row>
    <row r="8" spans="1:11">
      <c r="A8" t="s">
        <v>14</v>
      </c>
      <c r="C8" s="4">
        <v>9525280</v>
      </c>
      <c r="D8" s="16">
        <f>+C8/C$6</f>
        <v>0.36674835641887016</v>
      </c>
      <c r="E8" s="20">
        <v>516</v>
      </c>
      <c r="F8" s="6">
        <v>203</v>
      </c>
    </row>
    <row r="9" spans="1:11">
      <c r="A9" t="s">
        <v>15</v>
      </c>
      <c r="C9" s="4">
        <v>3878055</v>
      </c>
      <c r="D9" s="16">
        <f>+C9/C$6</f>
        <v>0.14931532693547922</v>
      </c>
      <c r="E9" s="20">
        <v>506</v>
      </c>
      <c r="F9" s="6">
        <v>7</v>
      </c>
    </row>
    <row r="10" spans="1:11">
      <c r="A10" t="s">
        <v>28</v>
      </c>
      <c r="C10" s="4">
        <f>C6-(C7+C8+C9)</f>
        <v>313401</v>
      </c>
      <c r="D10" s="16">
        <f>+C10/C$6</f>
        <v>1.2066763564958755E-2</v>
      </c>
      <c r="E10" s="20">
        <f>E6-(E7+E8+E9)</f>
        <v>536</v>
      </c>
      <c r="F10" s="20">
        <f>F6-(F7+F8+F9)</f>
        <v>0</v>
      </c>
      <c r="H10" s="8"/>
      <c r="I10" s="2591"/>
      <c r="J10" s="8"/>
      <c r="K10" s="8"/>
    </row>
    <row r="11" spans="1:11">
      <c r="C11" s="9"/>
      <c r="D11" s="21"/>
      <c r="E11" s="20"/>
      <c r="F11" s="20"/>
      <c r="H11" t="b">
        <f>H12=H13</f>
        <v>1</v>
      </c>
      <c r="I11" s="2590" t="b">
        <f>I12=I13</f>
        <v>1</v>
      </c>
      <c r="J11" t="b">
        <f>J12=J13</f>
        <v>1</v>
      </c>
      <c r="K11" t="b">
        <f>K12=K13</f>
        <v>1</v>
      </c>
    </row>
    <row r="12" spans="1:11">
      <c r="A12" s="1" t="s">
        <v>18</v>
      </c>
      <c r="B12" s="1"/>
      <c r="C12" s="10">
        <v>1636588</v>
      </c>
      <c r="D12" s="15">
        <f t="shared" ref="D12:D17" si="0">+C12/C$12</f>
        <v>1</v>
      </c>
      <c r="E12" s="11">
        <v>154</v>
      </c>
      <c r="F12" s="11">
        <v>36</v>
      </c>
      <c r="H12" s="2586">
        <f>SUM(C13:C17)</f>
        <v>1636588</v>
      </c>
      <c r="I12" s="2587">
        <f>SUM(D13:D17)</f>
        <v>1</v>
      </c>
      <c r="J12" s="2586">
        <f>SUM(E13:E17)</f>
        <v>154</v>
      </c>
      <c r="K12" s="2586">
        <f>SUM(F13:F17)</f>
        <v>36</v>
      </c>
    </row>
    <row r="13" spans="1:11">
      <c r="A13" t="s">
        <v>13</v>
      </c>
      <c r="B13" s="8"/>
      <c r="C13" s="4">
        <v>526254</v>
      </c>
      <c r="D13" s="16">
        <f t="shared" si="0"/>
        <v>0.32155557782410721</v>
      </c>
      <c r="E13" s="9">
        <v>35</v>
      </c>
      <c r="F13" s="6">
        <v>11</v>
      </c>
      <c r="H13">
        <f>C12</f>
        <v>1636588</v>
      </c>
      <c r="I13" s="830">
        <f>D12</f>
        <v>1</v>
      </c>
      <c r="J13">
        <f>E12</f>
        <v>154</v>
      </c>
      <c r="K13">
        <f>F12</f>
        <v>36</v>
      </c>
    </row>
    <row r="14" spans="1:11">
      <c r="A14" t="s">
        <v>14</v>
      </c>
      <c r="C14" s="4">
        <f>795493</f>
        <v>795493</v>
      </c>
      <c r="D14" s="16">
        <f t="shared" si="0"/>
        <v>0.48606796579224582</v>
      </c>
      <c r="E14" s="20">
        <v>36</v>
      </c>
      <c r="F14" s="6">
        <v>22</v>
      </c>
    </row>
    <row r="15" spans="1:11">
      <c r="A15" t="s">
        <v>15</v>
      </c>
      <c r="C15" s="4">
        <v>173525</v>
      </c>
      <c r="D15" s="16">
        <f t="shared" si="0"/>
        <v>0.10602851786766125</v>
      </c>
      <c r="E15" s="20">
        <v>28</v>
      </c>
      <c r="F15" s="6">
        <v>1</v>
      </c>
    </row>
    <row r="16" spans="1:11">
      <c r="A16" t="s">
        <v>23</v>
      </c>
      <c r="C16" s="4">
        <v>132544</v>
      </c>
      <c r="D16" s="16">
        <f t="shared" si="0"/>
        <v>8.0988006755518191E-2</v>
      </c>
      <c r="E16" s="9">
        <v>36</v>
      </c>
      <c r="F16" s="6">
        <v>2</v>
      </c>
    </row>
    <row r="17" spans="1:11">
      <c r="A17" t="s">
        <v>28</v>
      </c>
      <c r="C17" s="9">
        <f>+C12-SUM(C13:C16)</f>
        <v>8772</v>
      </c>
      <c r="D17" s="16">
        <f t="shared" si="0"/>
        <v>5.3599317604675093E-3</v>
      </c>
      <c r="E17" s="9">
        <f>+E12-SUM(E13:E16)</f>
        <v>19</v>
      </c>
      <c r="F17" s="9">
        <f>+F12-SUM(F13:F16)</f>
        <v>0</v>
      </c>
    </row>
    <row r="18" spans="1:11">
      <c r="C18" s="9"/>
      <c r="D18" s="21"/>
      <c r="E18" s="20"/>
      <c r="F18" s="20"/>
      <c r="H18" t="b">
        <f>H19=H20</f>
        <v>1</v>
      </c>
      <c r="I18" s="2590" t="b">
        <f>I19=I20</f>
        <v>1</v>
      </c>
      <c r="J18" t="b">
        <f>J19=J20</f>
        <v>1</v>
      </c>
      <c r="K18" t="b">
        <f>K19=K20</f>
        <v>1</v>
      </c>
    </row>
    <row r="19" spans="1:11">
      <c r="A19" s="1" t="s">
        <v>19</v>
      </c>
      <c r="B19" s="1"/>
      <c r="C19" s="10">
        <v>2916637</v>
      </c>
      <c r="D19" s="15">
        <f t="shared" ref="D19:D24" si="1">+C19/C$19</f>
        <v>1</v>
      </c>
      <c r="E19" s="11">
        <v>284</v>
      </c>
      <c r="F19" s="11">
        <v>71</v>
      </c>
      <c r="H19" s="2586">
        <f>SUM(C20:C24)</f>
        <v>2916637</v>
      </c>
      <c r="I19" s="2587">
        <f>SUM(D20:D24)</f>
        <v>1</v>
      </c>
      <c r="J19" s="2586">
        <f>SUM(E20:E24)</f>
        <v>284</v>
      </c>
      <c r="K19" s="2586">
        <f>SUM(F20:F24)</f>
        <v>71</v>
      </c>
    </row>
    <row r="20" spans="1:11" s="8" customFormat="1">
      <c r="A20" t="s">
        <v>13</v>
      </c>
      <c r="C20" s="4">
        <v>916155</v>
      </c>
      <c r="D20" s="16">
        <f t="shared" si="1"/>
        <v>0.31411348069711797</v>
      </c>
      <c r="E20" s="9">
        <v>71</v>
      </c>
      <c r="F20" s="6">
        <v>22</v>
      </c>
      <c r="G20" s="12"/>
      <c r="H20">
        <f>C19</f>
        <v>2916637</v>
      </c>
      <c r="I20" s="830">
        <f>D19</f>
        <v>1</v>
      </c>
      <c r="J20">
        <f>E19</f>
        <v>284</v>
      </c>
      <c r="K20">
        <f>F19</f>
        <v>71</v>
      </c>
    </row>
    <row r="21" spans="1:11">
      <c r="A21" t="s">
        <v>14</v>
      </c>
      <c r="C21" s="4">
        <v>1211445</v>
      </c>
      <c r="D21" s="16">
        <f t="shared" si="1"/>
        <v>0.41535679620055566</v>
      </c>
      <c r="E21" s="20">
        <v>71</v>
      </c>
      <c r="F21" s="6">
        <v>44</v>
      </c>
    </row>
    <row r="22" spans="1:11">
      <c r="A22" t="s">
        <v>15</v>
      </c>
      <c r="C22" s="4">
        <v>262224</v>
      </c>
      <c r="D22" s="16">
        <f t="shared" si="1"/>
        <v>8.9906285903936622E-2</v>
      </c>
      <c r="E22" s="20">
        <v>43</v>
      </c>
      <c r="F22" s="6">
        <v>3</v>
      </c>
    </row>
    <row r="23" spans="1:11">
      <c r="A23" t="s">
        <v>24</v>
      </c>
      <c r="C23" s="4">
        <v>504259</v>
      </c>
      <c r="D23" s="16">
        <f t="shared" si="1"/>
        <v>0.1728905585439669</v>
      </c>
      <c r="E23" s="20">
        <v>71</v>
      </c>
      <c r="F23" s="6">
        <v>2</v>
      </c>
    </row>
    <row r="24" spans="1:11">
      <c r="A24" t="s">
        <v>28</v>
      </c>
      <c r="C24" s="9">
        <f>+C19-SUM(C20:C23)</f>
        <v>22554</v>
      </c>
      <c r="D24" s="16">
        <f t="shared" si="1"/>
        <v>7.7328786544228851E-3</v>
      </c>
      <c r="E24" s="9">
        <f>+E19-SUM(E20:E23)</f>
        <v>28</v>
      </c>
      <c r="F24" s="9">
        <f>+F19-SUM(F20:F23)</f>
        <v>0</v>
      </c>
    </row>
    <row r="25" spans="1:11">
      <c r="C25" s="9"/>
      <c r="D25" s="21"/>
      <c r="E25" s="20"/>
      <c r="F25" s="20"/>
      <c r="H25" t="b">
        <f>H26=H27</f>
        <v>1</v>
      </c>
      <c r="I25" s="2590" t="b">
        <f>I26=I27</f>
        <v>1</v>
      </c>
      <c r="J25" t="b">
        <f>J26=J27</f>
        <v>1</v>
      </c>
      <c r="K25" t="b">
        <f>K26=K27</f>
        <v>1</v>
      </c>
    </row>
    <row r="26" spans="1:11">
      <c r="A26" s="1" t="s">
        <v>20</v>
      </c>
      <c r="B26" s="1"/>
      <c r="C26" s="10">
        <v>695887</v>
      </c>
      <c r="D26" s="15">
        <f t="shared" ref="D26:D38" si="2">+C26/C$26</f>
        <v>1</v>
      </c>
      <c r="E26" s="11">
        <v>64</v>
      </c>
      <c r="F26" s="11">
        <v>12</v>
      </c>
      <c r="H26" s="2586">
        <f>SUM(C27:C31,C33:C38)</f>
        <v>695887</v>
      </c>
      <c r="I26" s="2587">
        <f>SUM(D27:D31,D33:D38)</f>
        <v>1</v>
      </c>
      <c r="J26" s="2586">
        <f>SUM(E27:E31,E33:E38)</f>
        <v>64</v>
      </c>
      <c r="K26" s="2586">
        <f>SUM(F27:F31,F33:F38)</f>
        <v>12</v>
      </c>
    </row>
    <row r="27" spans="1:11">
      <c r="A27" t="s">
        <v>68</v>
      </c>
      <c r="C27" s="9">
        <v>70975</v>
      </c>
      <c r="D27" s="16">
        <f t="shared" si="2"/>
        <v>0.10199213378034078</v>
      </c>
      <c r="E27" s="20">
        <v>5</v>
      </c>
      <c r="F27" s="20">
        <v>3</v>
      </c>
      <c r="H27">
        <f>C26</f>
        <v>695887</v>
      </c>
      <c r="I27" s="830">
        <f>D26</f>
        <v>1</v>
      </c>
      <c r="J27">
        <f>E26</f>
        <v>64</v>
      </c>
      <c r="K27">
        <f>F26</f>
        <v>12</v>
      </c>
    </row>
    <row r="28" spans="1:11">
      <c r="A28" t="s">
        <v>83</v>
      </c>
      <c r="C28" s="9">
        <v>8021</v>
      </c>
      <c r="D28" s="16">
        <f t="shared" si="2"/>
        <v>1.152629665448557E-2</v>
      </c>
      <c r="E28" s="20">
        <v>3</v>
      </c>
      <c r="F28" s="20">
        <v>0</v>
      </c>
    </row>
    <row r="29" spans="1:11">
      <c r="A29" t="s">
        <v>31</v>
      </c>
      <c r="C29" s="9">
        <v>254578</v>
      </c>
      <c r="D29" s="16">
        <f t="shared" si="2"/>
        <v>0.36583238370597526</v>
      </c>
      <c r="E29" s="20">
        <v>11</v>
      </c>
      <c r="F29" s="20">
        <v>5</v>
      </c>
    </row>
    <row r="30" spans="1:11">
      <c r="A30" t="s">
        <v>77</v>
      </c>
      <c r="C30" s="9">
        <v>39856</v>
      </c>
      <c r="D30" s="16">
        <f t="shared" si="2"/>
        <v>5.7273666557932541E-2</v>
      </c>
      <c r="E30" s="20">
        <v>2</v>
      </c>
      <c r="F30" s="20">
        <v>1</v>
      </c>
    </row>
    <row r="31" spans="1:11" s="8" customFormat="1">
      <c r="A31" s="19" t="s">
        <v>78</v>
      </c>
      <c r="C31" s="9">
        <v>36989</v>
      </c>
      <c r="D31" s="16">
        <f t="shared" si="2"/>
        <v>5.3153744789024654E-2</v>
      </c>
      <c r="E31" s="9">
        <v>1</v>
      </c>
      <c r="F31" s="9">
        <v>1</v>
      </c>
      <c r="G31" s="12"/>
      <c r="H31"/>
      <c r="I31" s="2590"/>
      <c r="J31"/>
      <c r="K31"/>
    </row>
    <row r="32" spans="1:11" s="8" customFormat="1">
      <c r="A32" s="8" t="s">
        <v>79</v>
      </c>
      <c r="C32" s="12">
        <f>SUM(C27:C31)</f>
        <v>410419</v>
      </c>
      <c r="D32" s="14">
        <f t="shared" si="2"/>
        <v>0.58977822548775882</v>
      </c>
      <c r="E32" s="12">
        <f>SUM(E27:E31)</f>
        <v>22</v>
      </c>
      <c r="F32" s="12">
        <f>SUM(F27:F31)</f>
        <v>10</v>
      </c>
      <c r="G32" s="12"/>
      <c r="H32"/>
      <c r="I32" s="2590"/>
      <c r="J32"/>
      <c r="K32"/>
    </row>
    <row r="33" spans="1:11" s="8" customFormat="1">
      <c r="A33" s="19" t="s">
        <v>71</v>
      </c>
      <c r="C33" s="9">
        <v>82892</v>
      </c>
      <c r="D33" s="16">
        <f t="shared" si="2"/>
        <v>0.11911704055399799</v>
      </c>
      <c r="E33" s="9">
        <v>12</v>
      </c>
      <c r="F33" s="9">
        <v>0</v>
      </c>
      <c r="G33" s="12"/>
      <c r="H33"/>
      <c r="I33" s="2590"/>
      <c r="J33"/>
      <c r="K33"/>
    </row>
    <row r="34" spans="1:11" s="8" customFormat="1">
      <c r="A34" s="19" t="s">
        <v>80</v>
      </c>
      <c r="C34" s="9">
        <v>23086</v>
      </c>
      <c r="D34" s="16">
        <f t="shared" si="2"/>
        <v>3.3174926388910841E-2</v>
      </c>
      <c r="E34" s="9">
        <v>4</v>
      </c>
      <c r="F34" s="9">
        <v>0</v>
      </c>
      <c r="G34" s="12"/>
      <c r="H34"/>
      <c r="I34" s="2590"/>
      <c r="J34"/>
      <c r="K34"/>
    </row>
    <row r="35" spans="1:11" s="8" customFormat="1">
      <c r="A35" s="19" t="s">
        <v>72</v>
      </c>
      <c r="C35" s="9">
        <v>4411</v>
      </c>
      <c r="D35" s="16">
        <f t="shared" si="2"/>
        <v>6.3386728017623553E-3</v>
      </c>
      <c r="E35" s="9">
        <v>3</v>
      </c>
      <c r="F35" s="9">
        <v>0</v>
      </c>
      <c r="G35" s="12"/>
      <c r="H35"/>
      <c r="I35" s="2590"/>
      <c r="J35"/>
      <c r="K35"/>
    </row>
    <row r="36" spans="1:11" s="8" customFormat="1">
      <c r="A36" s="19" t="s">
        <v>81</v>
      </c>
      <c r="C36" s="9">
        <v>12098</v>
      </c>
      <c r="D36" s="16">
        <f t="shared" si="2"/>
        <v>1.7385006473752206E-2</v>
      </c>
      <c r="E36" s="9">
        <v>7</v>
      </c>
      <c r="F36" s="9">
        <v>0</v>
      </c>
      <c r="G36" s="12"/>
      <c r="H36"/>
      <c r="I36" s="2590"/>
      <c r="J36"/>
      <c r="K36"/>
    </row>
    <row r="37" spans="1:11">
      <c r="A37" t="s">
        <v>75</v>
      </c>
      <c r="C37" s="22">
        <v>126325</v>
      </c>
      <c r="D37" s="16">
        <f t="shared" si="2"/>
        <v>0.18153090947237124</v>
      </c>
      <c r="E37" s="20">
        <v>9</v>
      </c>
      <c r="F37" s="9">
        <v>1</v>
      </c>
    </row>
    <row r="38" spans="1:11">
      <c r="A38" t="s">
        <v>28</v>
      </c>
      <c r="C38" s="22">
        <f>+C26-SUM(C32:C37)</f>
        <v>36656</v>
      </c>
      <c r="D38" s="16">
        <f t="shared" si="2"/>
        <v>5.2675218821446587E-2</v>
      </c>
      <c r="E38" s="22">
        <f>+E26-SUM(E32:E37)</f>
        <v>7</v>
      </c>
      <c r="F38" s="22">
        <f>+F26-SUM(F32:F37)</f>
        <v>1</v>
      </c>
    </row>
    <row r="39" spans="1:11">
      <c r="C39" s="22"/>
      <c r="D39" s="16"/>
      <c r="E39" s="20"/>
      <c r="F39" s="9"/>
      <c r="H39" t="b">
        <f>H40=H41</f>
        <v>1</v>
      </c>
      <c r="I39" s="2590" t="b">
        <f>I40=I41</f>
        <v>1</v>
      </c>
      <c r="J39" t="b">
        <f>J40=J41</f>
        <v>1</v>
      </c>
      <c r="K39" t="b">
        <f>K40=K41</f>
        <v>1</v>
      </c>
    </row>
    <row r="40" spans="1:11">
      <c r="A40" s="1" t="s">
        <v>35</v>
      </c>
      <c r="B40" s="1"/>
      <c r="C40" s="10">
        <f>+C19+C12+C6</f>
        <v>30525475</v>
      </c>
      <c r="D40" s="15">
        <f t="shared" ref="D40:D46" si="3">+C40/C$40</f>
        <v>1</v>
      </c>
      <c r="E40" s="10">
        <f>+E19+E12+E6</f>
        <v>2512</v>
      </c>
      <c r="F40" s="10">
        <f>+F19+F12+F6</f>
        <v>623</v>
      </c>
      <c r="H40" s="2586">
        <f>SUM(C41:C46)</f>
        <v>30525475</v>
      </c>
      <c r="I40" s="2587">
        <f>SUM(D41:D46)</f>
        <v>1</v>
      </c>
      <c r="J40" s="2586">
        <f>SUM(E41:E46)</f>
        <v>2512</v>
      </c>
      <c r="K40" s="2586">
        <f>SUM(F41:F46)</f>
        <v>623</v>
      </c>
    </row>
    <row r="41" spans="1:11" s="8" customFormat="1">
      <c r="A41" t="s">
        <v>13</v>
      </c>
      <c r="C41" s="9">
        <f t="shared" ref="C41:C46" si="4">SUMIF(A$7:A$24,A41,C$7:C$24)</f>
        <v>13697923</v>
      </c>
      <c r="D41" s="16">
        <f t="shared" si="3"/>
        <v>0.44873742341437767</v>
      </c>
      <c r="E41" s="9">
        <f t="shared" ref="E41:E46" si="5">SUMIF(A$7:A$24,A41,E$7:E$24)</f>
        <v>622</v>
      </c>
      <c r="F41" s="9">
        <f t="shared" ref="F41:F46" si="6">SUMIF(A$7:A$24,A41,F$7:F$24)</f>
        <v>339</v>
      </c>
      <c r="G41" s="12"/>
      <c r="H41">
        <f>C40</f>
        <v>30525475</v>
      </c>
      <c r="I41" s="830">
        <f>D40</f>
        <v>1</v>
      </c>
      <c r="J41">
        <f>E40</f>
        <v>2512</v>
      </c>
      <c r="K41">
        <f>F40</f>
        <v>623</v>
      </c>
    </row>
    <row r="42" spans="1:11">
      <c r="A42" t="s">
        <v>14</v>
      </c>
      <c r="C42" s="9">
        <f t="shared" si="4"/>
        <v>11532218</v>
      </c>
      <c r="D42" s="16">
        <f t="shared" si="3"/>
        <v>0.37778996068038251</v>
      </c>
      <c r="E42" s="9">
        <f t="shared" si="5"/>
        <v>623</v>
      </c>
      <c r="F42" s="9">
        <f>SUMIF(A$7:A$24,A42,F$7:F$24)</f>
        <v>269</v>
      </c>
    </row>
    <row r="43" spans="1:11">
      <c r="A43" t="s">
        <v>15</v>
      </c>
      <c r="C43" s="9">
        <f t="shared" si="4"/>
        <v>4313804</v>
      </c>
      <c r="D43" s="16">
        <f t="shared" si="3"/>
        <v>0.14131816130625321</v>
      </c>
      <c r="E43" s="9">
        <f t="shared" si="5"/>
        <v>577</v>
      </c>
      <c r="F43" s="9">
        <f t="shared" si="6"/>
        <v>11</v>
      </c>
    </row>
    <row r="44" spans="1:11">
      <c r="A44" t="s">
        <v>23</v>
      </c>
      <c r="C44" s="9">
        <f t="shared" si="4"/>
        <v>132544</v>
      </c>
      <c r="D44" s="16">
        <f t="shared" si="3"/>
        <v>4.3420782149991115E-3</v>
      </c>
      <c r="E44" s="9">
        <f t="shared" si="5"/>
        <v>36</v>
      </c>
      <c r="F44" s="9">
        <f t="shared" si="6"/>
        <v>2</v>
      </c>
    </row>
    <row r="45" spans="1:11">
      <c r="A45" t="s">
        <v>24</v>
      </c>
      <c r="C45" s="9">
        <f t="shared" si="4"/>
        <v>504259</v>
      </c>
      <c r="D45" s="16">
        <f t="shared" si="3"/>
        <v>1.6519284302701269E-2</v>
      </c>
      <c r="E45" s="9">
        <f t="shared" si="5"/>
        <v>71</v>
      </c>
      <c r="F45" s="9">
        <f t="shared" si="6"/>
        <v>2</v>
      </c>
      <c r="H45" s="8"/>
      <c r="I45" s="2591"/>
      <c r="J45" s="8"/>
      <c r="K45" s="8"/>
    </row>
    <row r="46" spans="1:11">
      <c r="A46" t="s">
        <v>28</v>
      </c>
      <c r="C46" s="9">
        <f t="shared" si="4"/>
        <v>344727</v>
      </c>
      <c r="D46" s="16">
        <f t="shared" si="3"/>
        <v>1.1293092081286205E-2</v>
      </c>
      <c r="E46" s="9">
        <f t="shared" si="5"/>
        <v>583</v>
      </c>
      <c r="F46" s="9">
        <f t="shared" si="6"/>
        <v>0</v>
      </c>
    </row>
    <row r="47" spans="1:11">
      <c r="A47" s="1"/>
      <c r="B47" s="1"/>
      <c r="C47" s="22"/>
      <c r="D47" s="21"/>
      <c r="E47" s="20"/>
      <c r="F47" s="9"/>
      <c r="H47" t="b">
        <f>H48=H49</f>
        <v>1</v>
      </c>
      <c r="I47" s="2590" t="b">
        <f>I48=I49</f>
        <v>1</v>
      </c>
      <c r="J47" t="b">
        <f>J48=J49</f>
        <v>1</v>
      </c>
      <c r="K47" t="b">
        <f>K48=K49</f>
        <v>1</v>
      </c>
    </row>
    <row r="48" spans="1:11">
      <c r="A48" s="1" t="s">
        <v>46</v>
      </c>
      <c r="B48" s="1"/>
      <c r="C48" s="10">
        <f>+C40+C26</f>
        <v>31221362</v>
      </c>
      <c r="D48" s="15">
        <f t="shared" ref="D48:D54" si="7">+C48/C$48</f>
        <v>1</v>
      </c>
      <c r="E48" s="10">
        <f>+E40+E26</f>
        <v>2576</v>
      </c>
      <c r="F48" s="10">
        <f>+F40+F26</f>
        <v>635</v>
      </c>
      <c r="H48" s="2586">
        <f>SUM(C49:C54)</f>
        <v>31221362</v>
      </c>
      <c r="I48" s="2587">
        <f>SUM(D49:D54)</f>
        <v>1</v>
      </c>
      <c r="J48" s="2586">
        <f>SUM(E49:E54)</f>
        <v>2576</v>
      </c>
      <c r="K48" s="2586">
        <f>SUM(F49:F54)</f>
        <v>635</v>
      </c>
    </row>
    <row r="49" spans="1:11">
      <c r="A49" t="s">
        <v>13</v>
      </c>
      <c r="B49" s="8"/>
      <c r="C49" s="9">
        <f>+C41</f>
        <v>13697923</v>
      </c>
      <c r="D49" s="16">
        <f t="shared" si="7"/>
        <v>0.43873560032390646</v>
      </c>
      <c r="E49" s="9">
        <f t="shared" ref="E49:F51" si="8">+E41</f>
        <v>622</v>
      </c>
      <c r="F49" s="9">
        <f t="shared" si="8"/>
        <v>339</v>
      </c>
      <c r="H49">
        <f>C48</f>
        <v>31221362</v>
      </c>
      <c r="I49" s="830">
        <f>D48</f>
        <v>1</v>
      </c>
      <c r="J49">
        <f>E48</f>
        <v>2576</v>
      </c>
      <c r="K49">
        <f>F48</f>
        <v>635</v>
      </c>
    </row>
    <row r="50" spans="1:11">
      <c r="A50" t="s">
        <v>14</v>
      </c>
      <c r="C50" s="9">
        <f>+C42</f>
        <v>11532218</v>
      </c>
      <c r="D50" s="16">
        <f t="shared" si="7"/>
        <v>0.36936947209413862</v>
      </c>
      <c r="E50" s="9">
        <f t="shared" si="8"/>
        <v>623</v>
      </c>
      <c r="F50" s="9">
        <f t="shared" si="8"/>
        <v>269</v>
      </c>
      <c r="G50" s="18"/>
    </row>
    <row r="51" spans="1:11">
      <c r="A51" t="s">
        <v>15</v>
      </c>
      <c r="C51" s="9">
        <f>+C43</f>
        <v>4313804</v>
      </c>
      <c r="D51" s="16">
        <f t="shared" si="7"/>
        <v>0.13816834768451164</v>
      </c>
      <c r="E51" s="9">
        <f t="shared" si="8"/>
        <v>577</v>
      </c>
      <c r="F51" s="9">
        <f t="shared" si="8"/>
        <v>11</v>
      </c>
    </row>
    <row r="52" spans="1:11">
      <c r="A52" t="s">
        <v>23</v>
      </c>
      <c r="C52" s="9">
        <f>+C16</f>
        <v>132544</v>
      </c>
      <c r="D52" s="16">
        <f t="shared" si="7"/>
        <v>4.2452984594330001E-3</v>
      </c>
      <c r="E52" s="9">
        <f>+E16</f>
        <v>36</v>
      </c>
      <c r="F52" s="9">
        <f>+F16</f>
        <v>2</v>
      </c>
    </row>
    <row r="53" spans="1:11">
      <c r="A53" t="s">
        <v>24</v>
      </c>
      <c r="C53" s="9">
        <f>+C45</f>
        <v>504259</v>
      </c>
      <c r="D53" s="16">
        <f t="shared" si="7"/>
        <v>1.6151089116483771E-2</v>
      </c>
      <c r="E53" s="9">
        <f>+E45</f>
        <v>71</v>
      </c>
      <c r="F53" s="9">
        <f>+F45</f>
        <v>2</v>
      </c>
    </row>
    <row r="54" spans="1:11">
      <c r="A54" t="s">
        <v>28</v>
      </c>
      <c r="C54" s="9">
        <f>+C48-SUM(C49:C53)</f>
        <v>1040614</v>
      </c>
      <c r="D54" s="16">
        <f t="shared" si="7"/>
        <v>3.3330192321526522E-2</v>
      </c>
      <c r="E54" s="9">
        <f>+E48-SUM(E49:E53)</f>
        <v>647</v>
      </c>
      <c r="F54" s="9">
        <f>+F48-SUM(F49:F53)</f>
        <v>12</v>
      </c>
    </row>
    <row r="56" spans="1:11">
      <c r="A56" s="3" t="s">
        <v>21</v>
      </c>
      <c r="B56" s="7" t="s">
        <v>43</v>
      </c>
      <c r="D56"/>
      <c r="E56"/>
      <c r="F56"/>
      <c r="G56"/>
    </row>
  </sheetData>
  <mergeCells count="1">
    <mergeCell ref="A2:B2"/>
  </mergeCells>
  <phoneticPr fontId="10" type="noConversion"/>
  <conditionalFormatting sqref="H5:K5">
    <cfRule type="cellIs" dxfId="6" priority="6" operator="equal">
      <formula>"""FALSE"""</formula>
    </cfRule>
  </conditionalFormatting>
  <conditionalFormatting sqref="H11:K11">
    <cfRule type="cellIs" dxfId="5" priority="5" operator="equal">
      <formula>"""FALSE"""</formula>
    </cfRule>
  </conditionalFormatting>
  <conditionalFormatting sqref="H18:K18">
    <cfRule type="cellIs" dxfId="4" priority="4" operator="equal">
      <formula>"""FALSE"""</formula>
    </cfRule>
  </conditionalFormatting>
  <conditionalFormatting sqref="H25:K25">
    <cfRule type="cellIs" dxfId="3" priority="3" operator="equal">
      <formula>"""FALSE"""</formula>
    </cfRule>
  </conditionalFormatting>
  <conditionalFormatting sqref="H39:K39">
    <cfRule type="cellIs" dxfId="2" priority="2" operator="equal">
      <formula>"""FALSE"""</formula>
    </cfRule>
  </conditionalFormatting>
  <conditionalFormatting sqref="H47:K47">
    <cfRule type="cellIs" dxfId="1" priority="1" operator="equal">
      <formula>"""FALSE"""</formula>
    </cfRule>
  </conditionalFormatting>
  <pageMargins left="0.75" right="0.75" top="1" bottom="1" header="0.5" footer="0.5"/>
  <pageSetup paperSize="9" scale="99" orientation="portrait" horizontalDpi="1200"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92">
    <pageSetUpPr fitToPage="1"/>
  </sheetPr>
  <dimension ref="A1:K64"/>
  <sheetViews>
    <sheetView workbookViewId="0">
      <selection activeCell="O68" sqref="O68"/>
    </sheetView>
  </sheetViews>
  <sheetFormatPr baseColWidth="10" defaultColWidth="9" defaultRowHeight="13"/>
  <cols>
    <col min="1" max="1" width="7.19921875" customWidth="1"/>
    <col min="2" max="2" width="23.19921875" customWidth="1"/>
    <col min="3" max="3" width="12.3984375" style="2" customWidth="1"/>
    <col min="4" max="4" width="11.59765625" style="5" customWidth="1"/>
    <col min="5" max="5" width="9.796875" style="6" customWidth="1"/>
    <col min="6" max="6" width="10.19921875" style="4" customWidth="1"/>
    <col min="7" max="7" width="13" style="4" customWidth="1"/>
    <col min="8" max="8" width="12" customWidth="1"/>
    <col min="9" max="9" width="11.3984375" style="2596" customWidth="1"/>
    <col min="10" max="10" width="13.796875" customWidth="1"/>
    <col min="12" max="12" width="13" customWidth="1"/>
    <col min="14" max="14" width="10.19921875" customWidth="1"/>
    <col min="15" max="16" width="12.59765625" customWidth="1"/>
  </cols>
  <sheetData>
    <row r="1" spans="1:11">
      <c r="A1" s="1" t="s">
        <v>84</v>
      </c>
      <c r="B1" s="1"/>
      <c r="C1" s="4"/>
    </row>
    <row r="2" spans="1:11">
      <c r="A2" s="3524">
        <v>37051</v>
      </c>
      <c r="B2" s="3525"/>
      <c r="C2" s="4"/>
    </row>
    <row r="3" spans="1:11" ht="3.5" customHeight="1">
      <c r="A3" s="1"/>
      <c r="B3" s="1"/>
      <c r="C3" s="4"/>
    </row>
    <row r="4" spans="1:11">
      <c r="C4" s="4" t="s">
        <v>34</v>
      </c>
      <c r="D4" s="5" t="s">
        <v>36</v>
      </c>
      <c r="E4" s="6" t="s">
        <v>37</v>
      </c>
      <c r="F4" s="4" t="s">
        <v>25</v>
      </c>
    </row>
    <row r="5" spans="1:11">
      <c r="C5" s="4"/>
      <c r="H5" t="b">
        <f>H6=H7</f>
        <v>1</v>
      </c>
      <c r="I5" t="b">
        <f>I6=I7</f>
        <v>1</v>
      </c>
      <c r="J5" t="b">
        <f>J6=J7</f>
        <v>1</v>
      </c>
      <c r="K5" t="b">
        <f>K6=K7</f>
        <v>1</v>
      </c>
    </row>
    <row r="6" spans="1:11" s="1" customFormat="1">
      <c r="A6" s="1" t="s">
        <v>17</v>
      </c>
      <c r="C6" s="10">
        <v>25472646</v>
      </c>
      <c r="D6" s="15">
        <f t="shared" ref="D6:D12" si="0">+C6/C$6</f>
        <v>1</v>
      </c>
      <c r="E6" s="10">
        <v>2000</v>
      </c>
      <c r="F6" s="11">
        <v>523</v>
      </c>
      <c r="G6" s="10"/>
      <c r="H6" s="2586">
        <f>SUM(C7:C10,C12)</f>
        <v>25472646</v>
      </c>
      <c r="I6" s="2597">
        <f>SUM(D7:D10,D12)</f>
        <v>1</v>
      </c>
      <c r="J6" s="2586">
        <f>SUM(E7:E10,E12)</f>
        <v>2000</v>
      </c>
      <c r="K6" s="2586">
        <f>SUM(F7:F10,F12)</f>
        <v>523</v>
      </c>
    </row>
    <row r="7" spans="1:11" s="19" customFormat="1">
      <c r="A7" t="s">
        <v>13</v>
      </c>
      <c r="C7" s="4">
        <v>11711519</v>
      </c>
      <c r="D7" s="16">
        <f t="shared" si="0"/>
        <v>0.4597684512241092</v>
      </c>
      <c r="E7" s="9">
        <v>523</v>
      </c>
      <c r="F7" s="6">
        <v>362</v>
      </c>
      <c r="G7" s="9"/>
      <c r="H7">
        <f>C6</f>
        <v>25472646</v>
      </c>
      <c r="I7" s="2598">
        <f>D6</f>
        <v>1</v>
      </c>
      <c r="J7">
        <f>E6</f>
        <v>2000</v>
      </c>
      <c r="K7">
        <f>F6</f>
        <v>523</v>
      </c>
    </row>
    <row r="8" spans="1:11">
      <c r="A8" t="s">
        <v>14</v>
      </c>
      <c r="C8" s="4">
        <v>6862422</v>
      </c>
      <c r="D8" s="16">
        <f t="shared" si="0"/>
        <v>0.26940357903925649</v>
      </c>
      <c r="E8" s="20">
        <v>523</v>
      </c>
      <c r="F8" s="6">
        <v>148</v>
      </c>
    </row>
    <row r="9" spans="1:11">
      <c r="A9" t="s">
        <v>15</v>
      </c>
      <c r="C9" s="4">
        <v>3658903</v>
      </c>
      <c r="D9" s="16">
        <f t="shared" si="0"/>
        <v>0.14364047614056272</v>
      </c>
      <c r="E9" s="20">
        <v>267</v>
      </c>
      <c r="F9" s="6">
        <v>10</v>
      </c>
    </row>
    <row r="10" spans="1:11">
      <c r="A10" t="s">
        <v>85</v>
      </c>
      <c r="C10" s="4">
        <v>3056054</v>
      </c>
      <c r="D10" s="16">
        <f t="shared" si="0"/>
        <v>0.11997395166564165</v>
      </c>
      <c r="E10" s="20">
        <v>256</v>
      </c>
      <c r="F10" s="6">
        <v>3</v>
      </c>
      <c r="H10" s="8"/>
      <c r="J10" s="8"/>
      <c r="K10" s="8"/>
    </row>
    <row r="11" spans="1:11" s="8" customFormat="1">
      <c r="A11" s="8" t="s">
        <v>86</v>
      </c>
      <c r="C11" s="12">
        <f>+C10+C9</f>
        <v>6714957</v>
      </c>
      <c r="D11" s="14">
        <f t="shared" si="0"/>
        <v>0.26361442780620437</v>
      </c>
      <c r="E11" s="12">
        <f>+E10+E9</f>
        <v>523</v>
      </c>
      <c r="F11" s="12">
        <f>+F10+F9</f>
        <v>13</v>
      </c>
      <c r="G11" s="12"/>
      <c r="H11"/>
      <c r="I11" s="2596"/>
      <c r="J11"/>
      <c r="K11"/>
    </row>
    <row r="12" spans="1:11">
      <c r="A12" t="s">
        <v>28</v>
      </c>
      <c r="C12" s="4">
        <f>+C6-SUM(C7:C10)</f>
        <v>183748</v>
      </c>
      <c r="D12" s="16">
        <f t="shared" si="0"/>
        <v>7.2135419304299991E-3</v>
      </c>
      <c r="E12" s="4">
        <f>+E6-SUM(E7:E10)</f>
        <v>431</v>
      </c>
      <c r="F12" s="4">
        <f>+F6-SUM(F7:F10)</f>
        <v>0</v>
      </c>
    </row>
    <row r="13" spans="1:11">
      <c r="C13" s="9"/>
      <c r="D13" s="21"/>
      <c r="E13" s="20"/>
      <c r="F13" s="20"/>
      <c r="H13" t="b">
        <f>H14=H15</f>
        <v>1</v>
      </c>
      <c r="I13" t="b">
        <f>I14=I15</f>
        <v>1</v>
      </c>
      <c r="J13" t="b">
        <f>J14=J15</f>
        <v>1</v>
      </c>
      <c r="K13" t="b">
        <f>K14=K15</f>
        <v>1</v>
      </c>
    </row>
    <row r="14" spans="1:11">
      <c r="A14" s="1" t="s">
        <v>18</v>
      </c>
      <c r="B14" s="1"/>
      <c r="C14" s="10">
        <v>1608986</v>
      </c>
      <c r="D14" s="15">
        <f t="shared" ref="D14:D21" si="1">+C14/C$14</f>
        <v>1</v>
      </c>
      <c r="E14" s="11">
        <v>169</v>
      </c>
      <c r="F14" s="11">
        <v>38</v>
      </c>
      <c r="H14" s="2586">
        <f>SUM(C15:C18,C20:C21)</f>
        <v>1608986</v>
      </c>
      <c r="I14" s="2597">
        <f>SUM(D15:D18,D20:D21)</f>
        <v>1</v>
      </c>
      <c r="J14" s="2586">
        <f>SUM(E15:E18,E20:E21)</f>
        <v>169</v>
      </c>
      <c r="K14" s="2586">
        <f>SUM(F15:F18,F20:F21)</f>
        <v>38</v>
      </c>
    </row>
    <row r="15" spans="1:11">
      <c r="A15" t="s">
        <v>13</v>
      </c>
      <c r="B15" s="8"/>
      <c r="C15" s="4">
        <v>499310</v>
      </c>
      <c r="D15" s="16">
        <f t="shared" si="1"/>
        <v>0.31032588226373631</v>
      </c>
      <c r="E15" s="9">
        <v>38</v>
      </c>
      <c r="F15" s="6">
        <v>14</v>
      </c>
      <c r="H15">
        <f>C14</f>
        <v>1608986</v>
      </c>
      <c r="I15" s="2598">
        <f>D14</f>
        <v>1</v>
      </c>
      <c r="J15">
        <f>E14</f>
        <v>169</v>
      </c>
      <c r="K15">
        <f>F14</f>
        <v>38</v>
      </c>
    </row>
    <row r="16" spans="1:11">
      <c r="A16" t="s">
        <v>14</v>
      </c>
      <c r="C16" s="4">
        <v>603858</v>
      </c>
      <c r="D16" s="16">
        <f t="shared" si="1"/>
        <v>0.37530345198777365</v>
      </c>
      <c r="E16" s="20">
        <v>38</v>
      </c>
      <c r="F16" s="6">
        <v>20</v>
      </c>
    </row>
    <row r="17" spans="1:11">
      <c r="A17" t="s">
        <v>15</v>
      </c>
      <c r="C17" s="4">
        <v>194988</v>
      </c>
      <c r="D17" s="16">
        <f t="shared" si="1"/>
        <v>0.12118688416182614</v>
      </c>
      <c r="E17" s="20">
        <v>19</v>
      </c>
      <c r="F17" s="6">
        <v>2</v>
      </c>
    </row>
    <row r="18" spans="1:11">
      <c r="A18" t="s">
        <v>85</v>
      </c>
      <c r="C18" s="4">
        <v>178370</v>
      </c>
      <c r="D18" s="16">
        <f>+C18/C$14</f>
        <v>0.1108586401621891</v>
      </c>
      <c r="E18" s="20">
        <v>19</v>
      </c>
      <c r="F18" s="6">
        <v>0</v>
      </c>
    </row>
    <row r="19" spans="1:11" s="8" customFormat="1">
      <c r="A19" s="8" t="s">
        <v>86</v>
      </c>
      <c r="C19" s="12">
        <f>+C18+C17</f>
        <v>373358</v>
      </c>
      <c r="D19" s="16">
        <f>+C19/C$14</f>
        <v>0.23204552432401526</v>
      </c>
      <c r="E19" s="12">
        <f>+E18+E17</f>
        <v>38</v>
      </c>
      <c r="F19" s="12">
        <f>+F18+F17</f>
        <v>2</v>
      </c>
      <c r="G19" s="12"/>
      <c r="I19" s="2596"/>
    </row>
    <row r="20" spans="1:11">
      <c r="A20" t="s">
        <v>23</v>
      </c>
      <c r="C20" s="4">
        <v>125309</v>
      </c>
      <c r="D20" s="16">
        <f t="shared" si="1"/>
        <v>7.7880727364936675E-2</v>
      </c>
      <c r="E20" s="9">
        <v>38</v>
      </c>
      <c r="F20" s="6">
        <v>2</v>
      </c>
    </row>
    <row r="21" spans="1:11">
      <c r="A21" t="s">
        <v>28</v>
      </c>
      <c r="C21" s="9">
        <f>+C14-C15-C16-C19-C20</f>
        <v>7151</v>
      </c>
      <c r="D21" s="16">
        <f t="shared" si="1"/>
        <v>4.4444140595381191E-3</v>
      </c>
      <c r="E21" s="9">
        <f>+E14-E15-E16-E19-E20</f>
        <v>17</v>
      </c>
      <c r="F21" s="9">
        <f>+F14-F15-F16-F19-F20</f>
        <v>0</v>
      </c>
    </row>
    <row r="22" spans="1:11">
      <c r="C22" s="9"/>
      <c r="D22" s="21"/>
      <c r="E22" s="20"/>
      <c r="F22" s="20"/>
      <c r="H22" t="b">
        <f>H23=H24</f>
        <v>1</v>
      </c>
      <c r="I22" s="2590" t="b">
        <f>I23=I24</f>
        <v>1</v>
      </c>
      <c r="J22" t="b">
        <f>J23=J24</f>
        <v>1</v>
      </c>
      <c r="K22" t="b">
        <f>K23=K24</f>
        <v>1</v>
      </c>
    </row>
    <row r="23" spans="1:11">
      <c r="A23" s="1" t="s">
        <v>19</v>
      </c>
      <c r="B23" s="1"/>
      <c r="C23" s="10">
        <v>2824580</v>
      </c>
      <c r="D23" s="15">
        <f t="shared" ref="D23:D29" si="2">+C23/C$23</f>
        <v>1</v>
      </c>
      <c r="E23" s="11">
        <v>314</v>
      </c>
      <c r="F23" s="11">
        <v>72</v>
      </c>
      <c r="H23" s="2586">
        <f>SUM(C24:C27,C29:C30)</f>
        <v>2824580</v>
      </c>
      <c r="I23" s="2597">
        <f>SUM(D24:D27,D29:D30)</f>
        <v>1</v>
      </c>
      <c r="J23" s="2586">
        <f>SUM(E24:E27,E29:E30)</f>
        <v>314</v>
      </c>
      <c r="K23" s="2586">
        <f>SUM(F24:F27,F29:F30)</f>
        <v>72</v>
      </c>
    </row>
    <row r="24" spans="1:11" s="8" customFormat="1">
      <c r="A24" t="s">
        <v>13</v>
      </c>
      <c r="C24" s="4">
        <v>801487</v>
      </c>
      <c r="D24" s="16">
        <f>+C24/C$23</f>
        <v>0.28375439888408188</v>
      </c>
      <c r="E24" s="9">
        <v>72</v>
      </c>
      <c r="F24" s="6">
        <v>21</v>
      </c>
      <c r="G24" s="12"/>
      <c r="H24">
        <f>C23</f>
        <v>2824580</v>
      </c>
      <c r="I24" s="2598">
        <f>D23</f>
        <v>1</v>
      </c>
      <c r="J24">
        <f>E23</f>
        <v>314</v>
      </c>
      <c r="K24">
        <f>F23</f>
        <v>72</v>
      </c>
    </row>
    <row r="25" spans="1:11">
      <c r="A25" t="s">
        <v>14</v>
      </c>
      <c r="C25" s="4">
        <v>990654</v>
      </c>
      <c r="D25" s="16">
        <f t="shared" si="2"/>
        <v>0.35072612565407957</v>
      </c>
      <c r="E25" s="20">
        <v>72</v>
      </c>
      <c r="F25" s="6">
        <v>41</v>
      </c>
    </row>
    <row r="26" spans="1:11">
      <c r="A26" t="s">
        <v>15</v>
      </c>
      <c r="C26" s="4">
        <v>356224</v>
      </c>
      <c r="D26" s="16">
        <f t="shared" si="2"/>
        <v>0.12611574110133189</v>
      </c>
      <c r="E26" s="20">
        <v>36</v>
      </c>
      <c r="F26" s="6">
        <v>5</v>
      </c>
    </row>
    <row r="27" spans="1:11">
      <c r="A27" t="s">
        <v>85</v>
      </c>
      <c r="C27" s="4">
        <v>336410</v>
      </c>
      <c r="D27" s="16">
        <f>+C27/C$23</f>
        <v>0.11910089287610902</v>
      </c>
      <c r="E27" s="20">
        <v>36</v>
      </c>
      <c r="F27" s="6">
        <v>3</v>
      </c>
    </row>
    <row r="28" spans="1:11" s="8" customFormat="1">
      <c r="A28" s="8" t="s">
        <v>86</v>
      </c>
      <c r="C28" s="12">
        <f>+C27+C26</f>
        <v>692634</v>
      </c>
      <c r="D28" s="14">
        <f>+C28/C$23</f>
        <v>0.2452166339774409</v>
      </c>
      <c r="E28" s="12">
        <f>+E27+E26</f>
        <v>72</v>
      </c>
      <c r="F28" s="12">
        <f>+F27+F26</f>
        <v>8</v>
      </c>
      <c r="G28" s="12"/>
      <c r="H28"/>
      <c r="I28" s="2596"/>
      <c r="J28"/>
      <c r="K28"/>
    </row>
    <row r="29" spans="1:11">
      <c r="A29" t="s">
        <v>24</v>
      </c>
      <c r="C29" s="4">
        <v>331975</v>
      </c>
      <c r="D29" s="16">
        <f t="shared" si="2"/>
        <v>0.11753074793420615</v>
      </c>
      <c r="E29" s="20">
        <v>72</v>
      </c>
      <c r="F29" s="6">
        <v>2</v>
      </c>
      <c r="H29" s="8"/>
      <c r="J29" s="8"/>
      <c r="K29" s="8"/>
    </row>
    <row r="30" spans="1:11">
      <c r="A30" t="s">
        <v>28</v>
      </c>
      <c r="C30" s="9">
        <f>+C23-C24-C25-C28-C29</f>
        <v>7830</v>
      </c>
      <c r="D30" s="16">
        <f>+C30/C$23</f>
        <v>2.7720935501915327E-3</v>
      </c>
      <c r="E30" s="9">
        <f>+E23-E24-E25-E28-E29</f>
        <v>26</v>
      </c>
      <c r="F30" s="9">
        <f>+F23-F24-F25-F28-F29</f>
        <v>0</v>
      </c>
    </row>
    <row r="31" spans="1:11">
      <c r="C31" s="9"/>
      <c r="D31" s="21"/>
      <c r="E31" s="20"/>
      <c r="F31" s="20"/>
      <c r="H31" t="b">
        <f>H32=H33</f>
        <v>1</v>
      </c>
      <c r="I31" t="b">
        <f>I32=I33</f>
        <v>1</v>
      </c>
      <c r="J31" t="b">
        <f>J32=J33</f>
        <v>1</v>
      </c>
      <c r="K31" t="b">
        <f>K32=K33</f>
        <v>1</v>
      </c>
    </row>
    <row r="32" spans="1:11">
      <c r="A32" s="1" t="s">
        <v>20</v>
      </c>
      <c r="B32" s="1"/>
      <c r="C32" s="10">
        <v>764925</v>
      </c>
      <c r="D32" s="15">
        <f t="shared" ref="D32:D42" si="3">+C32/C$32</f>
        <v>1</v>
      </c>
      <c r="E32" s="11">
        <v>95</v>
      </c>
      <c r="F32" s="11">
        <v>17</v>
      </c>
      <c r="H32" s="2586">
        <f>SUM(C33:C36,C38:C42)</f>
        <v>764925</v>
      </c>
      <c r="I32" s="2596">
        <f>SUM(D33:D36,D38:D42)</f>
        <v>0.99999999999999989</v>
      </c>
      <c r="J32" s="2586">
        <f>SUM(E33:E36,E38:E42)</f>
        <v>95</v>
      </c>
      <c r="K32" s="2586">
        <f>SUM(F33:F36,F38:F42)</f>
        <v>17</v>
      </c>
    </row>
    <row r="33" spans="1:11">
      <c r="A33" t="s">
        <v>68</v>
      </c>
      <c r="C33" s="9">
        <v>152749</v>
      </c>
      <c r="D33" s="16">
        <f t="shared" si="3"/>
        <v>0.19969147302023074</v>
      </c>
      <c r="E33" s="20">
        <v>14</v>
      </c>
      <c r="F33" s="20">
        <v>3</v>
      </c>
      <c r="H33">
        <f>C32</f>
        <v>764925</v>
      </c>
      <c r="I33" s="2596">
        <f>D32</f>
        <v>1</v>
      </c>
      <c r="J33">
        <f>E32</f>
        <v>95</v>
      </c>
      <c r="K33">
        <f>F32</f>
        <v>17</v>
      </c>
    </row>
    <row r="34" spans="1:11">
      <c r="A34" t="s">
        <v>87</v>
      </c>
      <c r="C34" s="9">
        <v>22861</v>
      </c>
      <c r="D34" s="16">
        <f t="shared" si="3"/>
        <v>2.9886590188580579E-2</v>
      </c>
      <c r="E34" s="20">
        <v>1</v>
      </c>
      <c r="F34" s="20">
        <v>1</v>
      </c>
    </row>
    <row r="35" spans="1:11">
      <c r="A35" t="s">
        <v>31</v>
      </c>
      <c r="C35" s="9">
        <v>259952</v>
      </c>
      <c r="D35" s="16">
        <f t="shared" si="3"/>
        <v>0.33983985358041641</v>
      </c>
      <c r="E35" s="20">
        <v>16</v>
      </c>
      <c r="F35" s="20">
        <v>11</v>
      </c>
    </row>
    <row r="36" spans="1:11" s="8" customFormat="1">
      <c r="A36" s="19" t="s">
        <v>78</v>
      </c>
      <c r="C36" s="9">
        <v>1134</v>
      </c>
      <c r="D36" s="16">
        <f t="shared" si="3"/>
        <v>1.4824982841455045E-3</v>
      </c>
      <c r="E36" s="9">
        <v>1</v>
      </c>
      <c r="F36" s="9">
        <v>0</v>
      </c>
      <c r="G36" s="12"/>
      <c r="H36"/>
      <c r="I36" s="2596"/>
      <c r="J36"/>
      <c r="K36"/>
    </row>
    <row r="37" spans="1:11" s="8" customFormat="1">
      <c r="A37" s="8" t="s">
        <v>79</v>
      </c>
      <c r="C37" s="12">
        <f>SUM(C33:C36)</f>
        <v>436696</v>
      </c>
      <c r="D37" s="14">
        <f t="shared" si="3"/>
        <v>0.57090041507337319</v>
      </c>
      <c r="E37" s="12">
        <f>SUM(E33:E36)</f>
        <v>32</v>
      </c>
      <c r="F37" s="12">
        <f>SUM(F33:F36)</f>
        <v>15</v>
      </c>
      <c r="G37" s="12"/>
      <c r="H37"/>
      <c r="I37" s="2596"/>
      <c r="J37"/>
      <c r="K37"/>
    </row>
    <row r="38" spans="1:11" s="8" customFormat="1">
      <c r="A38" s="19" t="s">
        <v>71</v>
      </c>
      <c r="C38" s="9">
        <v>61275</v>
      </c>
      <c r="D38" s="16">
        <f t="shared" si="3"/>
        <v>8.0105892734581824E-2</v>
      </c>
      <c r="E38" s="9">
        <v>12</v>
      </c>
      <c r="F38" s="9">
        <v>0</v>
      </c>
      <c r="G38" s="12"/>
      <c r="H38"/>
      <c r="I38" s="2596"/>
      <c r="J38"/>
      <c r="K38"/>
    </row>
    <row r="39" spans="1:11" s="8" customFormat="1">
      <c r="A39" t="s">
        <v>75</v>
      </c>
      <c r="C39" s="9">
        <v>137012</v>
      </c>
      <c r="D39" s="16">
        <f t="shared" si="3"/>
        <v>0.17911821420400692</v>
      </c>
      <c r="E39" s="9">
        <v>17</v>
      </c>
      <c r="F39" s="9">
        <v>1</v>
      </c>
      <c r="G39" s="12"/>
      <c r="H39"/>
      <c r="I39" s="2596"/>
      <c r="J39"/>
      <c r="K39"/>
    </row>
    <row r="40" spans="1:11" s="8" customFormat="1">
      <c r="A40" s="19" t="s">
        <v>27</v>
      </c>
      <c r="C40" s="9">
        <v>102701</v>
      </c>
      <c r="D40" s="16">
        <f t="shared" si="3"/>
        <v>0.13426283622577376</v>
      </c>
      <c r="E40" s="9">
        <v>14</v>
      </c>
      <c r="F40" s="9">
        <v>1</v>
      </c>
      <c r="G40" s="12"/>
      <c r="H40"/>
      <c r="I40" s="2596"/>
      <c r="J40"/>
      <c r="K40"/>
    </row>
    <row r="41" spans="1:11" s="8" customFormat="1">
      <c r="A41" s="19" t="s">
        <v>88</v>
      </c>
      <c r="C41" s="9">
        <v>14650</v>
      </c>
      <c r="D41" s="16">
        <f t="shared" si="3"/>
        <v>1.9152204464489984E-2</v>
      </c>
      <c r="E41" s="9">
        <v>14</v>
      </c>
      <c r="F41" s="9">
        <v>0</v>
      </c>
      <c r="G41" s="12"/>
      <c r="H41"/>
      <c r="I41" s="2596"/>
      <c r="J41"/>
      <c r="K41"/>
    </row>
    <row r="42" spans="1:11">
      <c r="A42" t="s">
        <v>28</v>
      </c>
      <c r="C42" s="22">
        <f>+C32-SUM(C37:C41)</f>
        <v>12591</v>
      </c>
      <c r="D42" s="16">
        <f t="shared" si="3"/>
        <v>1.6460437297774293E-2</v>
      </c>
      <c r="E42" s="22">
        <f>+E32-SUM(E37:E41)</f>
        <v>6</v>
      </c>
      <c r="F42" s="22">
        <f>+F32-SUM(F37:F41)</f>
        <v>0</v>
      </c>
    </row>
    <row r="43" spans="1:11">
      <c r="C43" s="22"/>
      <c r="D43" s="16"/>
      <c r="E43" s="20"/>
      <c r="F43" s="9"/>
      <c r="H43" t="b">
        <f>H44=H45</f>
        <v>1</v>
      </c>
      <c r="I43" t="b">
        <f>I44=I45</f>
        <v>1</v>
      </c>
      <c r="J43" t="b">
        <f>J44=J45</f>
        <v>1</v>
      </c>
      <c r="K43" t="b">
        <f>K44=K45</f>
        <v>1</v>
      </c>
    </row>
    <row r="44" spans="1:11">
      <c r="A44" s="1" t="s">
        <v>35</v>
      </c>
      <c r="B44" s="1"/>
      <c r="C44" s="10">
        <f>+C23+C14+C6</f>
        <v>29906212</v>
      </c>
      <c r="D44" s="15">
        <f t="shared" ref="D44:D52" si="4">+C44/C$44</f>
        <v>1</v>
      </c>
      <c r="E44" s="10">
        <f>+E23+E14+E6</f>
        <v>2483</v>
      </c>
      <c r="F44" s="10">
        <f>+F23+F14+F6</f>
        <v>633</v>
      </c>
      <c r="H44" s="2586">
        <f>SUM(C45:C48,C50:C52)</f>
        <v>29906212</v>
      </c>
      <c r="I44" s="2596">
        <f>SUM(D45:D48,D50:D52)</f>
        <v>1</v>
      </c>
      <c r="J44" s="2586">
        <f>SUM(E45:E48,E50:E52)</f>
        <v>2483</v>
      </c>
      <c r="K44" s="2586">
        <f>SUM(F45:F48,F50:F52)</f>
        <v>633</v>
      </c>
    </row>
    <row r="45" spans="1:11" s="8" customFormat="1">
      <c r="A45" t="s">
        <v>13</v>
      </c>
      <c r="C45" s="9">
        <f t="shared" ref="C45:C52" si="5">SUMIF(A$7:A$30,A45,C$7:C$30)</f>
        <v>13012316</v>
      </c>
      <c r="D45" s="16">
        <f t="shared" si="4"/>
        <v>0.43510411816782413</v>
      </c>
      <c r="E45" s="9">
        <f t="shared" ref="E45:E52" si="6">SUMIF(A$7:A$30,A45,E$7:E$30)</f>
        <v>633</v>
      </c>
      <c r="F45" s="9">
        <f t="shared" ref="F45:F52" si="7">SUMIF(A$7:A$30,A45,F$7:F$30)</f>
        <v>397</v>
      </c>
      <c r="G45" s="12"/>
      <c r="H45">
        <f>C44</f>
        <v>29906212</v>
      </c>
      <c r="I45" s="2596">
        <f>D44</f>
        <v>1</v>
      </c>
      <c r="J45">
        <f>E44</f>
        <v>2483</v>
      </c>
      <c r="K45">
        <f>F44</f>
        <v>633</v>
      </c>
    </row>
    <row r="46" spans="1:11">
      <c r="A46" t="s">
        <v>14</v>
      </c>
      <c r="C46" s="9">
        <f t="shared" si="5"/>
        <v>8456934</v>
      </c>
      <c r="D46" s="16">
        <f t="shared" si="4"/>
        <v>0.28278185147620838</v>
      </c>
      <c r="E46" s="9">
        <f t="shared" si="6"/>
        <v>633</v>
      </c>
      <c r="F46" s="9">
        <f t="shared" si="7"/>
        <v>209</v>
      </c>
    </row>
    <row r="47" spans="1:11">
      <c r="A47" t="s">
        <v>15</v>
      </c>
      <c r="C47" s="9">
        <f t="shared" si="5"/>
        <v>4210115</v>
      </c>
      <c r="D47" s="16">
        <f t="shared" si="4"/>
        <v>0.14077727396568981</v>
      </c>
      <c r="E47" s="9">
        <f t="shared" si="6"/>
        <v>322</v>
      </c>
      <c r="F47" s="9">
        <f t="shared" si="7"/>
        <v>17</v>
      </c>
      <c r="H47" s="8"/>
      <c r="J47" s="8"/>
      <c r="K47" s="8"/>
    </row>
    <row r="48" spans="1:11">
      <c r="A48" t="s">
        <v>85</v>
      </c>
      <c r="C48" s="9">
        <f>SUMIF(A$7:A$30,A48,C$7:C$30)</f>
        <v>3570834</v>
      </c>
      <c r="D48" s="16">
        <f t="shared" si="4"/>
        <v>0.1194010796151649</v>
      </c>
      <c r="E48" s="9">
        <f>SUMIF(A$7:A$30,A48,E$7:E$30)</f>
        <v>311</v>
      </c>
      <c r="F48" s="9">
        <f>SUMIF(A$7:A$30,A48,F$7:F$30)</f>
        <v>6</v>
      </c>
    </row>
    <row r="49" spans="1:11">
      <c r="A49" s="8" t="s">
        <v>86</v>
      </c>
      <c r="C49" s="12">
        <f>SUMIF(A$7:A$30,A49,C$7:C$30)</f>
        <v>7780949</v>
      </c>
      <c r="D49" s="14">
        <f t="shared" si="4"/>
        <v>0.26017835358085473</v>
      </c>
      <c r="E49" s="12">
        <f>SUMIF(A$7:A$30,A49,E$7:E$30)</f>
        <v>633</v>
      </c>
      <c r="F49" s="12">
        <f>SUMIF(A$7:A$30,A49,F$7:F$30)</f>
        <v>23</v>
      </c>
    </row>
    <row r="50" spans="1:11">
      <c r="A50" t="s">
        <v>23</v>
      </c>
      <c r="C50" s="9">
        <f t="shared" si="5"/>
        <v>125309</v>
      </c>
      <c r="D50" s="16">
        <f t="shared" si="4"/>
        <v>4.190065930115121E-3</v>
      </c>
      <c r="E50" s="9">
        <f t="shared" si="6"/>
        <v>38</v>
      </c>
      <c r="F50" s="9">
        <f t="shared" si="7"/>
        <v>2</v>
      </c>
    </row>
    <row r="51" spans="1:11">
      <c r="A51" t="s">
        <v>24</v>
      </c>
      <c r="C51" s="9">
        <f t="shared" si="5"/>
        <v>331975</v>
      </c>
      <c r="D51" s="16">
        <f t="shared" si="4"/>
        <v>1.1100536570796729E-2</v>
      </c>
      <c r="E51" s="9">
        <f t="shared" si="6"/>
        <v>72</v>
      </c>
      <c r="F51" s="9">
        <f t="shared" si="7"/>
        <v>2</v>
      </c>
    </row>
    <row r="52" spans="1:11">
      <c r="A52" t="s">
        <v>28</v>
      </c>
      <c r="C52" s="9">
        <f t="shared" si="5"/>
        <v>198729</v>
      </c>
      <c r="D52" s="16">
        <f t="shared" si="4"/>
        <v>6.6450742742009588E-3</v>
      </c>
      <c r="E52" s="9">
        <f t="shared" si="6"/>
        <v>474</v>
      </c>
      <c r="F52" s="9">
        <f t="shared" si="7"/>
        <v>0</v>
      </c>
    </row>
    <row r="53" spans="1:11">
      <c r="A53" s="1"/>
      <c r="B53" s="1"/>
      <c r="C53" s="22"/>
      <c r="D53" s="21"/>
      <c r="E53" s="20"/>
      <c r="F53" s="9"/>
      <c r="H53" t="b">
        <f>H54=H55</f>
        <v>1</v>
      </c>
      <c r="I53" t="b">
        <f>I54=I55</f>
        <v>1</v>
      </c>
      <c r="J53" t="b">
        <f>J54=J55</f>
        <v>1</v>
      </c>
      <c r="K53" t="b">
        <f>K54=K55</f>
        <v>1</v>
      </c>
    </row>
    <row r="54" spans="1:11">
      <c r="A54" s="1" t="s">
        <v>46</v>
      </c>
      <c r="B54" s="1"/>
      <c r="C54" s="10">
        <f>+C44+C32</f>
        <v>30671137</v>
      </c>
      <c r="D54" s="15">
        <f t="shared" ref="D54:D62" si="8">+C54/C$54</f>
        <v>1</v>
      </c>
      <c r="E54" s="10">
        <f>+E44+E32</f>
        <v>2578</v>
      </c>
      <c r="F54" s="10">
        <f>+F44+F32</f>
        <v>650</v>
      </c>
      <c r="H54" s="2586">
        <f>SUM(C55:C58,C60:C62)</f>
        <v>30671137</v>
      </c>
      <c r="I54" s="2596">
        <f>SUM(D55:D58,D60:D62)</f>
        <v>1.0000000000000002</v>
      </c>
      <c r="J54" s="2586">
        <f>SUM(E55:E58,E60:E62)</f>
        <v>2578</v>
      </c>
      <c r="K54" s="2586">
        <f>SUM(F55:F58,F60:F62)</f>
        <v>650</v>
      </c>
    </row>
    <row r="55" spans="1:11">
      <c r="A55" t="s">
        <v>13</v>
      </c>
      <c r="B55" s="8"/>
      <c r="C55" s="9">
        <f>+C45</f>
        <v>13012316</v>
      </c>
      <c r="D55" s="16">
        <f t="shared" si="8"/>
        <v>0.42425280810424471</v>
      </c>
      <c r="E55" s="9">
        <f t="shared" ref="E55:F59" si="9">+E45</f>
        <v>633</v>
      </c>
      <c r="F55" s="9">
        <f t="shared" si="9"/>
        <v>397</v>
      </c>
      <c r="H55">
        <f>C54</f>
        <v>30671137</v>
      </c>
      <c r="I55" s="2596">
        <f>D54</f>
        <v>1</v>
      </c>
      <c r="J55">
        <f>E54</f>
        <v>2578</v>
      </c>
      <c r="K55">
        <f>F54</f>
        <v>650</v>
      </c>
    </row>
    <row r="56" spans="1:11">
      <c r="A56" t="s">
        <v>14</v>
      </c>
      <c r="C56" s="9">
        <f>+C46</f>
        <v>8456934</v>
      </c>
      <c r="D56" s="16">
        <f t="shared" si="8"/>
        <v>0.27572939340331598</v>
      </c>
      <c r="E56" s="9">
        <f t="shared" si="9"/>
        <v>633</v>
      </c>
      <c r="F56" s="9">
        <f t="shared" si="9"/>
        <v>209</v>
      </c>
      <c r="G56" s="18"/>
    </row>
    <row r="57" spans="1:11">
      <c r="A57" t="s">
        <v>15</v>
      </c>
      <c r="C57" s="9">
        <f>+C47</f>
        <v>4210115</v>
      </c>
      <c r="D57" s="16">
        <f t="shared" si="8"/>
        <v>0.13726634914121377</v>
      </c>
      <c r="E57" s="9">
        <f t="shared" si="9"/>
        <v>322</v>
      </c>
      <c r="F57" s="9">
        <f t="shared" si="9"/>
        <v>17</v>
      </c>
    </row>
    <row r="58" spans="1:11">
      <c r="A58" t="s">
        <v>85</v>
      </c>
      <c r="C58" s="9">
        <f>+C48</f>
        <v>3570834</v>
      </c>
      <c r="D58" s="16">
        <f t="shared" si="8"/>
        <v>0.11642326790819656</v>
      </c>
      <c r="E58" s="9">
        <f t="shared" si="9"/>
        <v>311</v>
      </c>
      <c r="F58" s="9">
        <f t="shared" si="9"/>
        <v>6</v>
      </c>
    </row>
    <row r="59" spans="1:11">
      <c r="A59" s="8" t="s">
        <v>86</v>
      </c>
      <c r="C59" s="12">
        <f>+C49</f>
        <v>7780949</v>
      </c>
      <c r="D59" s="14">
        <f t="shared" si="8"/>
        <v>0.25368961704941034</v>
      </c>
      <c r="E59" s="12">
        <f t="shared" si="9"/>
        <v>633</v>
      </c>
      <c r="F59" s="12">
        <f t="shared" si="9"/>
        <v>23</v>
      </c>
    </row>
    <row r="60" spans="1:11">
      <c r="A60" t="s">
        <v>23</v>
      </c>
      <c r="C60" s="9">
        <f>+C20</f>
        <v>125309</v>
      </c>
      <c r="D60" s="16">
        <f t="shared" si="8"/>
        <v>4.0855674832009003E-3</v>
      </c>
      <c r="E60" s="9">
        <f>+E20</f>
        <v>38</v>
      </c>
      <c r="F60" s="9">
        <f>+F20</f>
        <v>2</v>
      </c>
    </row>
    <row r="61" spans="1:11">
      <c r="A61" t="s">
        <v>24</v>
      </c>
      <c r="C61" s="9">
        <f>+C51</f>
        <v>331975</v>
      </c>
      <c r="D61" s="16">
        <f t="shared" si="8"/>
        <v>1.0823693950439464E-2</v>
      </c>
      <c r="E61" s="9">
        <f>+E51</f>
        <v>72</v>
      </c>
      <c r="F61" s="9">
        <f>+F51</f>
        <v>2</v>
      </c>
    </row>
    <row r="62" spans="1:11">
      <c r="A62" t="s">
        <v>28</v>
      </c>
      <c r="C62" s="9">
        <f>+C54-C55-C56-C59-C60-C61</f>
        <v>963654</v>
      </c>
      <c r="D62" s="16">
        <f t="shared" si="8"/>
        <v>3.1418920009388632E-2</v>
      </c>
      <c r="E62" s="9">
        <f>+E54-E55-E56-E59-E60-E61</f>
        <v>569</v>
      </c>
      <c r="F62" s="9">
        <f>+F54-F55-F56-F59-F60-F61</f>
        <v>17</v>
      </c>
    </row>
    <row r="64" spans="1:11">
      <c r="A64" s="3" t="s">
        <v>21</v>
      </c>
      <c r="B64" s="7" t="s">
        <v>43</v>
      </c>
      <c r="D64"/>
      <c r="E64"/>
      <c r="F64"/>
      <c r="G64"/>
    </row>
  </sheetData>
  <mergeCells count="1">
    <mergeCell ref="A2:B2"/>
  </mergeCells>
  <phoneticPr fontId="10" type="noConversion"/>
  <conditionalFormatting sqref="H22:K22">
    <cfRule type="cellIs" dxfId="0" priority="1" operator="equal">
      <formula>"""FALSE"""</formula>
    </cfRule>
  </conditionalFormatting>
  <pageMargins left="0.75" right="0.75" top="1" bottom="1" header="0.5" footer="0.5"/>
  <pageSetup paperSize="9" scale="86" orientation="portrait" horizontalDpi="1200"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93">
    <pageSetUpPr fitToPage="1"/>
  </sheetPr>
  <dimension ref="A1:K64"/>
  <sheetViews>
    <sheetView topLeftCell="A22" workbookViewId="0">
      <selection activeCell="O68" sqref="O68"/>
    </sheetView>
  </sheetViews>
  <sheetFormatPr baseColWidth="10" defaultColWidth="9" defaultRowHeight="13"/>
  <cols>
    <col min="1" max="1" width="7.19921875" customWidth="1"/>
    <col min="2" max="2" width="23.19921875" customWidth="1"/>
    <col min="3" max="3" width="13.59765625" style="2" customWidth="1"/>
    <col min="4" max="4" width="11.59765625" style="5" customWidth="1"/>
    <col min="5" max="5" width="9.796875" style="6" customWidth="1"/>
    <col min="6" max="6" width="10.19921875" style="4" customWidth="1"/>
    <col min="7" max="7" width="13" style="4" customWidth="1"/>
    <col min="8" max="8" width="12" customWidth="1"/>
    <col min="9" max="9" width="11.3984375" style="2594" customWidth="1"/>
    <col min="10" max="10" width="13.796875" customWidth="1"/>
    <col min="12" max="12" width="13" customWidth="1"/>
    <col min="14" max="14" width="10.19921875" customWidth="1"/>
    <col min="15" max="16" width="12.59765625" customWidth="1"/>
  </cols>
  <sheetData>
    <row r="1" spans="1:11">
      <c r="A1" s="1" t="s">
        <v>89</v>
      </c>
      <c r="B1" s="1"/>
      <c r="C1" s="4"/>
    </row>
    <row r="2" spans="1:11">
      <c r="A2" s="3524">
        <v>37053</v>
      </c>
      <c r="B2" s="3525"/>
      <c r="C2" s="4"/>
    </row>
    <row r="3" spans="1:11" ht="3.5" customHeight="1">
      <c r="A3" s="1"/>
      <c r="B3" s="1"/>
      <c r="C3" s="4"/>
    </row>
    <row r="4" spans="1:11">
      <c r="C4" s="4" t="s">
        <v>34</v>
      </c>
      <c r="D4" s="5" t="s">
        <v>36</v>
      </c>
      <c r="E4" s="6" t="s">
        <v>37</v>
      </c>
      <c r="F4" s="4" t="s">
        <v>25</v>
      </c>
    </row>
    <row r="5" spans="1:11">
      <c r="C5" s="4"/>
      <c r="H5" t="b">
        <f>H6=H7</f>
        <v>1</v>
      </c>
      <c r="I5" s="2590" t="b">
        <f>I6=I7</f>
        <v>1</v>
      </c>
      <c r="J5" t="b">
        <f>J6=J7</f>
        <v>1</v>
      </c>
      <c r="K5" t="b">
        <f>K6=K7</f>
        <v>1</v>
      </c>
    </row>
    <row r="6" spans="1:11" s="1" customFormat="1">
      <c r="A6" s="1" t="s">
        <v>17</v>
      </c>
      <c r="C6" s="10">
        <v>27133522</v>
      </c>
      <c r="D6" s="15">
        <f t="shared" ref="D6:D12" si="0">+C6/C$6</f>
        <v>1</v>
      </c>
      <c r="E6" s="10">
        <v>1782</v>
      </c>
      <c r="F6" s="11">
        <v>523</v>
      </c>
      <c r="G6" s="10"/>
      <c r="H6" s="2586">
        <f>SUM(C7:C10,C12)</f>
        <v>27133522</v>
      </c>
      <c r="I6" s="2587">
        <f>SUM(D7:D10,D12)</f>
        <v>1.0000000000000002</v>
      </c>
      <c r="J6" s="2586">
        <f>SUM(E7:E10,E12)</f>
        <v>1782</v>
      </c>
      <c r="K6" s="2586">
        <f>SUM(F7:F10,F12)</f>
        <v>523</v>
      </c>
    </row>
    <row r="7" spans="1:11" s="19" customFormat="1">
      <c r="A7" t="s">
        <v>13</v>
      </c>
      <c r="C7" s="4">
        <f>12546186</f>
        <v>12546186</v>
      </c>
      <c r="D7" s="16">
        <f t="shared" si="0"/>
        <v>0.46238693229725208</v>
      </c>
      <c r="E7" s="9">
        <v>523</v>
      </c>
      <c r="F7" s="6">
        <v>358</v>
      </c>
      <c r="G7" s="9"/>
      <c r="H7">
        <f>C6</f>
        <v>27133522</v>
      </c>
      <c r="I7" s="2590">
        <f>D6</f>
        <v>1</v>
      </c>
      <c r="J7">
        <f>E6</f>
        <v>1782</v>
      </c>
      <c r="K7">
        <f>F6</f>
        <v>523</v>
      </c>
    </row>
    <row r="8" spans="1:11">
      <c r="A8" t="s">
        <v>14</v>
      </c>
      <c r="C8" s="4">
        <v>8006466</v>
      </c>
      <c r="D8" s="16">
        <f t="shared" si="0"/>
        <v>0.29507654774783754</v>
      </c>
      <c r="E8" s="20">
        <v>523</v>
      </c>
      <c r="F8" s="6">
        <v>155</v>
      </c>
    </row>
    <row r="9" spans="1:11">
      <c r="A9" t="s">
        <v>15</v>
      </c>
      <c r="C9" s="4">
        <v>3684813</v>
      </c>
      <c r="D9" s="16">
        <f t="shared" si="0"/>
        <v>0.13580297463779306</v>
      </c>
      <c r="E9" s="20">
        <v>271</v>
      </c>
      <c r="F9" s="6">
        <v>7</v>
      </c>
    </row>
    <row r="10" spans="1:11">
      <c r="A10" t="s">
        <v>85</v>
      </c>
      <c r="C10" s="4">
        <v>2782537</v>
      </c>
      <c r="D10" s="16">
        <f t="shared" si="0"/>
        <v>0.10254979062430598</v>
      </c>
      <c r="E10" s="20">
        <v>252</v>
      </c>
      <c r="F10" s="6">
        <v>3</v>
      </c>
      <c r="H10" s="8"/>
      <c r="J10" s="8"/>
      <c r="K10" s="8"/>
    </row>
    <row r="11" spans="1:11" s="8" customFormat="1">
      <c r="A11" s="8" t="s">
        <v>86</v>
      </c>
      <c r="C11" s="12">
        <f>+C10+C9</f>
        <v>6467350</v>
      </c>
      <c r="D11" s="14">
        <f t="shared" si="0"/>
        <v>0.23835276526209903</v>
      </c>
      <c r="E11" s="12">
        <f>+E10+E9</f>
        <v>523</v>
      </c>
      <c r="F11" s="12">
        <f>+F10+F9</f>
        <v>10</v>
      </c>
      <c r="G11" s="12"/>
      <c r="H11"/>
      <c r="I11" s="2594"/>
      <c r="J11"/>
      <c r="K11"/>
    </row>
    <row r="12" spans="1:11">
      <c r="A12" t="s">
        <v>28</v>
      </c>
      <c r="C12" s="4">
        <f>+C6-SUM(C7:C10)</f>
        <v>113520</v>
      </c>
      <c r="D12" s="16">
        <f t="shared" si="0"/>
        <v>4.1837546928113496E-3</v>
      </c>
      <c r="E12" s="4">
        <f>+E6-SUM(E7:E10)</f>
        <v>213</v>
      </c>
      <c r="F12" s="4">
        <f>+F6-SUM(F7:F10)</f>
        <v>0</v>
      </c>
    </row>
    <row r="13" spans="1:11">
      <c r="C13" s="9"/>
      <c r="D13" s="21"/>
      <c r="E13" s="20"/>
      <c r="F13" s="20"/>
      <c r="H13" t="b">
        <f>H14=H15</f>
        <v>1</v>
      </c>
      <c r="I13" s="2590" t="b">
        <f>I14=I15</f>
        <v>1</v>
      </c>
      <c r="J13" t="b">
        <f>J14=J15</f>
        <v>1</v>
      </c>
      <c r="K13" t="b">
        <f>K14=K15</f>
        <v>1</v>
      </c>
    </row>
    <row r="14" spans="1:11">
      <c r="A14" s="1" t="s">
        <v>18</v>
      </c>
      <c r="B14" s="1"/>
      <c r="C14" s="10">
        <v>1698096</v>
      </c>
      <c r="D14" s="15">
        <f t="shared" ref="D14:D21" si="1">+C14/C$14</f>
        <v>1</v>
      </c>
      <c r="E14" s="11">
        <v>158</v>
      </c>
      <c r="F14" s="11">
        <v>38</v>
      </c>
      <c r="H14" s="2586">
        <f>SUM(C15:C18,C20:C21)</f>
        <v>1698096</v>
      </c>
      <c r="I14" s="2587">
        <f>SUM(D15:D18,D20:D21)</f>
        <v>0.99999999999999989</v>
      </c>
      <c r="J14" s="2586">
        <f>SUM(E15:E18,E20:E21)</f>
        <v>158</v>
      </c>
      <c r="K14" s="2586">
        <f>SUM(F15:F18,F20:F21)</f>
        <v>38</v>
      </c>
    </row>
    <row r="15" spans="1:11">
      <c r="A15" t="s">
        <v>13</v>
      </c>
      <c r="B15" s="8"/>
      <c r="C15" s="4">
        <v>501316</v>
      </c>
      <c r="D15" s="16">
        <f t="shared" si="1"/>
        <v>0.29522241380934883</v>
      </c>
      <c r="E15" s="9">
        <v>38</v>
      </c>
      <c r="F15" s="6">
        <v>8</v>
      </c>
      <c r="H15">
        <f>C14</f>
        <v>1698096</v>
      </c>
      <c r="I15" s="2590">
        <f>D14</f>
        <v>1</v>
      </c>
      <c r="J15">
        <f>E14</f>
        <v>158</v>
      </c>
      <c r="K15">
        <f>F14</f>
        <v>38</v>
      </c>
    </row>
    <row r="16" spans="1:11">
      <c r="A16" t="s">
        <v>14</v>
      </c>
      <c r="C16" s="4">
        <v>765209</v>
      </c>
      <c r="D16" s="16">
        <f t="shared" si="1"/>
        <v>0.45062764413790501</v>
      </c>
      <c r="E16" s="20">
        <v>38</v>
      </c>
      <c r="F16" s="6">
        <v>24</v>
      </c>
    </row>
    <row r="17" spans="1:11">
      <c r="A17" t="s">
        <v>15</v>
      </c>
      <c r="C17" s="4">
        <v>181427</v>
      </c>
      <c r="D17" s="16">
        <f t="shared" si="1"/>
        <v>0.10684142710423911</v>
      </c>
      <c r="E17" s="20">
        <v>20</v>
      </c>
      <c r="F17" s="6">
        <v>3</v>
      </c>
    </row>
    <row r="18" spans="1:11">
      <c r="A18" t="s">
        <v>85</v>
      </c>
      <c r="C18" s="4">
        <v>122803</v>
      </c>
      <c r="D18" s="16">
        <f t="shared" si="1"/>
        <v>7.2318055045180019E-2</v>
      </c>
      <c r="E18" s="20">
        <v>18</v>
      </c>
      <c r="F18" s="6">
        <v>0</v>
      </c>
    </row>
    <row r="19" spans="1:11" s="8" customFormat="1">
      <c r="A19" s="8" t="s">
        <v>86</v>
      </c>
      <c r="C19" s="12">
        <f>+C18+C17</f>
        <v>304230</v>
      </c>
      <c r="D19" s="16">
        <f t="shared" si="1"/>
        <v>0.17915948214941912</v>
      </c>
      <c r="E19" s="12">
        <f>+E18+E17</f>
        <v>38</v>
      </c>
      <c r="F19" s="12">
        <f>+F18+F17</f>
        <v>3</v>
      </c>
      <c r="G19" s="12"/>
      <c r="I19" s="2594"/>
    </row>
    <row r="20" spans="1:11">
      <c r="A20" t="s">
        <v>23</v>
      </c>
      <c r="C20" s="4">
        <v>123599</v>
      </c>
      <c r="D20" s="16">
        <f t="shared" si="1"/>
        <v>7.2786815350840001E-2</v>
      </c>
      <c r="E20" s="9">
        <v>38</v>
      </c>
      <c r="F20" s="6">
        <v>3</v>
      </c>
    </row>
    <row r="21" spans="1:11">
      <c r="A21" t="s">
        <v>28</v>
      </c>
      <c r="C21" s="9">
        <f>+C14-C15-C16-C19-C20</f>
        <v>3742</v>
      </c>
      <c r="D21" s="16">
        <f t="shared" si="1"/>
        <v>2.2036445524870208E-3</v>
      </c>
      <c r="E21" s="9">
        <f>+E14-E15-E16-E19-E20</f>
        <v>6</v>
      </c>
      <c r="F21" s="9">
        <f>+F14-F15-F16-F19-F20</f>
        <v>0</v>
      </c>
    </row>
    <row r="22" spans="1:11">
      <c r="C22" s="9"/>
      <c r="D22" s="21"/>
      <c r="E22" s="20"/>
      <c r="F22" s="20"/>
      <c r="H22" t="b">
        <f>H23=H24</f>
        <v>1</v>
      </c>
      <c r="I22" s="2590" t="b">
        <f>I23=I24</f>
        <v>1</v>
      </c>
      <c r="J22" t="b">
        <f>J23=J24</f>
        <v>1</v>
      </c>
      <c r="K22" t="b">
        <f>K23=K24</f>
        <v>1</v>
      </c>
    </row>
    <row r="23" spans="1:11">
      <c r="A23" s="1" t="s">
        <v>19</v>
      </c>
      <c r="B23" s="1"/>
      <c r="C23" s="10">
        <v>2967808</v>
      </c>
      <c r="D23" s="15">
        <f>+C23/C$23</f>
        <v>1</v>
      </c>
      <c r="E23" s="11">
        <v>308</v>
      </c>
      <c r="F23" s="11">
        <v>72</v>
      </c>
      <c r="H23" s="2586">
        <f>SUM(C24:C27,C29:C30)</f>
        <v>2967808</v>
      </c>
      <c r="I23" s="2587">
        <f>SUM(D24:D27,D29:D30)</f>
        <v>1</v>
      </c>
      <c r="J23" s="2586">
        <f>SUM(E24:E27,E29:E30)</f>
        <v>308</v>
      </c>
      <c r="K23" s="2586">
        <f>SUM(F24:F27,F29:F30)</f>
        <v>72</v>
      </c>
    </row>
    <row r="24" spans="1:11" s="8" customFormat="1">
      <c r="A24" t="s">
        <v>13</v>
      </c>
      <c r="C24" s="4">
        <v>713081</v>
      </c>
      <c r="D24" s="16">
        <f>+C24/C$23</f>
        <v>0.24027194481583714</v>
      </c>
      <c r="E24" s="9">
        <v>72</v>
      </c>
      <c r="F24" s="6">
        <v>10</v>
      </c>
      <c r="G24" s="12"/>
      <c r="H24">
        <f>C23</f>
        <v>2967808</v>
      </c>
      <c r="I24" s="2590">
        <f>D23</f>
        <v>1</v>
      </c>
      <c r="J24">
        <f>E23</f>
        <v>308</v>
      </c>
      <c r="K24">
        <f>F23</f>
        <v>72</v>
      </c>
    </row>
    <row r="25" spans="1:11">
      <c r="A25" t="s">
        <v>14</v>
      </c>
      <c r="C25" s="4">
        <v>1258132</v>
      </c>
      <c r="D25" s="16">
        <f t="shared" ref="D25:D30" si="2">+C25/C$23</f>
        <v>0.42392634563961012</v>
      </c>
      <c r="E25" s="20">
        <v>72</v>
      </c>
      <c r="F25" s="6">
        <v>50</v>
      </c>
    </row>
    <row r="26" spans="1:11">
      <c r="A26" t="s">
        <v>15</v>
      </c>
      <c r="C26" s="4">
        <v>307210</v>
      </c>
      <c r="D26" s="16">
        <f t="shared" si="2"/>
        <v>0.10351410872940568</v>
      </c>
      <c r="E26" s="20">
        <v>36</v>
      </c>
      <c r="F26" s="6">
        <v>7</v>
      </c>
    </row>
    <row r="27" spans="1:11">
      <c r="A27" t="s">
        <v>85</v>
      </c>
      <c r="C27" s="4">
        <v>262843</v>
      </c>
      <c r="D27" s="16">
        <f t="shared" si="2"/>
        <v>8.8564691516432328E-2</v>
      </c>
      <c r="E27" s="20">
        <v>36</v>
      </c>
      <c r="F27" s="6">
        <v>2</v>
      </c>
    </row>
    <row r="28" spans="1:11" s="8" customFormat="1">
      <c r="A28" s="8" t="s">
        <v>86</v>
      </c>
      <c r="C28" s="12">
        <f>+C27+C26</f>
        <v>570053</v>
      </c>
      <c r="D28" s="16">
        <f t="shared" si="2"/>
        <v>0.19207880024583801</v>
      </c>
      <c r="E28" s="12">
        <f>+E27+E26</f>
        <v>72</v>
      </c>
      <c r="F28" s="12">
        <f>+F27+F26</f>
        <v>9</v>
      </c>
      <c r="G28" s="12"/>
      <c r="H28"/>
      <c r="I28" s="2594"/>
      <c r="J28"/>
      <c r="K28"/>
    </row>
    <row r="29" spans="1:11">
      <c r="A29" t="s">
        <v>24</v>
      </c>
      <c r="C29" s="4">
        <v>416473</v>
      </c>
      <c r="D29" s="16">
        <f t="shared" si="2"/>
        <v>0.1403301696066592</v>
      </c>
      <c r="E29" s="20">
        <v>71</v>
      </c>
      <c r="F29" s="6">
        <v>3</v>
      </c>
      <c r="H29" s="8"/>
      <c r="J29" s="8"/>
      <c r="K29" s="8"/>
    </row>
    <row r="30" spans="1:11">
      <c r="A30" t="s">
        <v>28</v>
      </c>
      <c r="C30" s="9">
        <f>+C23-C24-C25-C28-C29</f>
        <v>10069</v>
      </c>
      <c r="D30" s="16">
        <f t="shared" si="2"/>
        <v>3.392739692055551E-3</v>
      </c>
      <c r="E30" s="9">
        <f>+E23-E24-E25-E28-E29</f>
        <v>21</v>
      </c>
      <c r="F30" s="9">
        <f>+F23-F24-F25-F28-F29</f>
        <v>0</v>
      </c>
    </row>
    <row r="31" spans="1:11">
      <c r="C31" s="9"/>
      <c r="D31" s="21"/>
      <c r="E31" s="20"/>
      <c r="F31" s="20"/>
      <c r="H31" t="b">
        <f>H32=H33</f>
        <v>1</v>
      </c>
      <c r="I31" s="2590" t="b">
        <f>I32=I33</f>
        <v>1</v>
      </c>
      <c r="J31" t="b">
        <f>J32=J33</f>
        <v>1</v>
      </c>
      <c r="K31" t="b">
        <f>K32=K33</f>
        <v>1</v>
      </c>
    </row>
    <row r="32" spans="1:11">
      <c r="A32" s="1" t="s">
        <v>20</v>
      </c>
      <c r="B32" s="1"/>
      <c r="C32" s="10">
        <v>730152</v>
      </c>
      <c r="D32" s="15">
        <f t="shared" ref="D32:D42" si="3">+C32/C$32</f>
        <v>1</v>
      </c>
      <c r="E32" s="11">
        <v>77</v>
      </c>
      <c r="F32" s="11">
        <v>17</v>
      </c>
      <c r="H32" s="2586">
        <f>SUM(C33:C36,C38:C42)</f>
        <v>730152</v>
      </c>
      <c r="I32" s="2594">
        <f>SUM(D33:D36,D38:D42)</f>
        <v>1</v>
      </c>
      <c r="J32" s="2586">
        <f>SUM(E33:E36,E38:E42)</f>
        <v>77</v>
      </c>
      <c r="K32" s="2586">
        <f>SUM(F33:F36,F38:F42)</f>
        <v>17</v>
      </c>
    </row>
    <row r="33" spans="1:11">
      <c r="A33" t="s">
        <v>68</v>
      </c>
      <c r="C33" s="9">
        <v>85642</v>
      </c>
      <c r="D33" s="16">
        <f t="shared" si="3"/>
        <v>0.11729338548685753</v>
      </c>
      <c r="E33" s="20">
        <v>4</v>
      </c>
      <c r="F33" s="20">
        <v>3</v>
      </c>
      <c r="H33">
        <f>C32</f>
        <v>730152</v>
      </c>
      <c r="I33" s="2594">
        <f>D32</f>
        <v>1</v>
      </c>
      <c r="J33">
        <f>E32</f>
        <v>77</v>
      </c>
      <c r="K33">
        <f>F32</f>
        <v>17</v>
      </c>
    </row>
    <row r="34" spans="1:11">
      <c r="A34" t="s">
        <v>87</v>
      </c>
      <c r="C34" s="9">
        <v>18420</v>
      </c>
      <c r="D34" s="16">
        <f t="shared" si="3"/>
        <v>2.5227623837228413E-2</v>
      </c>
      <c r="E34" s="20">
        <v>1</v>
      </c>
      <c r="F34" s="20">
        <v>1</v>
      </c>
    </row>
    <row r="35" spans="1:11">
      <c r="A35" t="s">
        <v>31</v>
      </c>
      <c r="C35" s="9">
        <v>276230</v>
      </c>
      <c r="D35" s="16">
        <f t="shared" si="3"/>
        <v>0.37831848710953336</v>
      </c>
      <c r="E35" s="20">
        <v>12</v>
      </c>
      <c r="F35" s="20">
        <v>9</v>
      </c>
    </row>
    <row r="36" spans="1:11" s="8" customFormat="1">
      <c r="A36" s="19" t="s">
        <v>78</v>
      </c>
      <c r="C36" s="9">
        <v>20138</v>
      </c>
      <c r="D36" s="16">
        <f t="shared" si="3"/>
        <v>2.7580558568626807E-2</v>
      </c>
      <c r="E36" s="9">
        <v>2</v>
      </c>
      <c r="F36" s="9">
        <v>0</v>
      </c>
      <c r="G36" s="12"/>
      <c r="H36"/>
      <c r="I36" s="2594"/>
      <c r="J36"/>
      <c r="K36"/>
    </row>
    <row r="37" spans="1:11" s="8" customFormat="1">
      <c r="A37" s="8" t="s">
        <v>79</v>
      </c>
      <c r="C37" s="12">
        <f>SUM(C33:C36)</f>
        <v>400430</v>
      </c>
      <c r="D37" s="14">
        <f t="shared" si="3"/>
        <v>0.54842005500224611</v>
      </c>
      <c r="E37" s="12">
        <f>SUM(E33:E36)</f>
        <v>19</v>
      </c>
      <c r="F37" s="12">
        <f>SUM(F33:F36)</f>
        <v>13</v>
      </c>
      <c r="G37" s="12"/>
      <c r="H37"/>
      <c r="I37" s="2594"/>
      <c r="J37"/>
      <c r="K37"/>
    </row>
    <row r="38" spans="1:11" s="8" customFormat="1">
      <c r="A38" s="19" t="s">
        <v>71</v>
      </c>
      <c r="C38" s="9">
        <v>72671</v>
      </c>
      <c r="D38" s="16">
        <f t="shared" si="3"/>
        <v>9.9528591307015524E-2</v>
      </c>
      <c r="E38" s="9">
        <v>16</v>
      </c>
      <c r="F38" s="9">
        <v>0</v>
      </c>
      <c r="G38" s="12"/>
      <c r="H38"/>
      <c r="I38" s="2594"/>
      <c r="J38"/>
      <c r="K38"/>
    </row>
    <row r="39" spans="1:11" s="8" customFormat="1">
      <c r="A39" t="s">
        <v>75</v>
      </c>
      <c r="C39" s="9">
        <v>154087</v>
      </c>
      <c r="D39" s="16">
        <f t="shared" si="3"/>
        <v>0.21103414083642857</v>
      </c>
      <c r="E39" s="9">
        <v>13</v>
      </c>
      <c r="F39" s="9">
        <v>3</v>
      </c>
      <c r="G39" s="12"/>
      <c r="H39"/>
      <c r="I39" s="2594"/>
      <c r="J39"/>
      <c r="K39"/>
    </row>
    <row r="40" spans="1:11" s="8" customFormat="1">
      <c r="A40" s="19" t="s">
        <v>27</v>
      </c>
      <c r="C40" s="9">
        <v>83389</v>
      </c>
      <c r="D40" s="16">
        <f t="shared" si="3"/>
        <v>0.11420772661034963</v>
      </c>
      <c r="E40" s="9">
        <v>14</v>
      </c>
      <c r="F40" s="9">
        <v>1</v>
      </c>
      <c r="G40" s="12"/>
      <c r="H40"/>
      <c r="I40" s="2594"/>
      <c r="J40"/>
      <c r="K40"/>
    </row>
    <row r="41" spans="1:11" s="8" customFormat="1">
      <c r="A41" s="19" t="s">
        <v>88</v>
      </c>
      <c r="C41" s="9">
        <v>19294</v>
      </c>
      <c r="D41" s="16">
        <f t="shared" si="3"/>
        <v>2.6424634870547501E-2</v>
      </c>
      <c r="E41" s="9">
        <v>14</v>
      </c>
      <c r="F41" s="9">
        <v>0</v>
      </c>
      <c r="G41" s="12"/>
      <c r="H41"/>
      <c r="I41" s="2594"/>
      <c r="J41"/>
      <c r="K41"/>
    </row>
    <row r="42" spans="1:11">
      <c r="A42" t="s">
        <v>28</v>
      </c>
      <c r="C42" s="22">
        <f>+C32-SUM(C37:C41)</f>
        <v>281</v>
      </c>
      <c r="D42" s="16">
        <f t="shared" si="3"/>
        <v>3.8485137341265927E-4</v>
      </c>
      <c r="E42" s="22">
        <f>+E32-SUM(E37:E41)</f>
        <v>1</v>
      </c>
      <c r="F42" s="22">
        <f>+F32-SUM(F37:F41)</f>
        <v>0</v>
      </c>
    </row>
    <row r="43" spans="1:11">
      <c r="C43" s="22"/>
      <c r="D43" s="16"/>
      <c r="E43" s="20"/>
      <c r="F43" s="9"/>
      <c r="H43" t="b">
        <f>H44=H45</f>
        <v>1</v>
      </c>
      <c r="I43" s="2590" t="b">
        <f>I44=I45</f>
        <v>1</v>
      </c>
      <c r="J43" t="b">
        <f>J44=J45</f>
        <v>1</v>
      </c>
      <c r="K43" t="b">
        <f>K44=K45</f>
        <v>1</v>
      </c>
    </row>
    <row r="44" spans="1:11">
      <c r="A44" s="1" t="s">
        <v>35</v>
      </c>
      <c r="B44" s="1"/>
      <c r="C44" s="10">
        <f>+C23+C14+C6</f>
        <v>31799426</v>
      </c>
      <c r="D44" s="15">
        <f t="shared" ref="D44:D52" si="4">+C44/C$44</f>
        <v>1</v>
      </c>
      <c r="E44" s="10">
        <f>+E23+E14+E6</f>
        <v>2248</v>
      </c>
      <c r="F44" s="10">
        <f>+F23+F14+F6</f>
        <v>633</v>
      </c>
      <c r="H44" s="2586">
        <f>SUM(C45:C48,C50:C52)</f>
        <v>31799426</v>
      </c>
      <c r="I44" s="2594">
        <f>SUM(D45:D48,D50:D52)</f>
        <v>1</v>
      </c>
      <c r="J44" s="2586">
        <f>SUM(E45:E48,E50:E52)</f>
        <v>2248</v>
      </c>
      <c r="K44" s="2586">
        <f>SUM(F45:F48,F50:F52)</f>
        <v>633</v>
      </c>
    </row>
    <row r="45" spans="1:11" s="8" customFormat="1">
      <c r="A45" t="s">
        <v>13</v>
      </c>
      <c r="C45" s="9">
        <f t="shared" ref="C45:C52" si="5">SUMIF(A$7:A$30,A45,C$7:C$30)</f>
        <v>13760583</v>
      </c>
      <c r="D45" s="16">
        <f t="shared" si="4"/>
        <v>0.43273054677150463</v>
      </c>
      <c r="E45" s="9">
        <f t="shared" ref="E45:E52" si="6">SUMIF(A$7:A$30,A45,E$7:E$30)</f>
        <v>633</v>
      </c>
      <c r="F45" s="9">
        <f t="shared" ref="F45:F52" si="7">SUMIF(A$7:A$30,A45,F$7:F$30)</f>
        <v>376</v>
      </c>
      <c r="G45" s="12"/>
      <c r="H45">
        <f>C44</f>
        <v>31799426</v>
      </c>
      <c r="I45" s="2594">
        <f>D44</f>
        <v>1</v>
      </c>
      <c r="J45">
        <f>E44</f>
        <v>2248</v>
      </c>
      <c r="K45">
        <f>F44</f>
        <v>633</v>
      </c>
    </row>
    <row r="46" spans="1:11">
      <c r="A46" t="s">
        <v>14</v>
      </c>
      <c r="C46" s="9">
        <f t="shared" si="5"/>
        <v>10029807</v>
      </c>
      <c r="D46" s="16">
        <f t="shared" si="4"/>
        <v>0.31540842907038635</v>
      </c>
      <c r="E46" s="9">
        <f t="shared" si="6"/>
        <v>633</v>
      </c>
      <c r="F46" s="9">
        <f t="shared" si="7"/>
        <v>229</v>
      </c>
    </row>
    <row r="47" spans="1:11">
      <c r="A47" t="s">
        <v>15</v>
      </c>
      <c r="C47" s="9">
        <f t="shared" si="5"/>
        <v>4173450</v>
      </c>
      <c r="D47" s="16">
        <f t="shared" si="4"/>
        <v>0.13124293501398421</v>
      </c>
      <c r="E47" s="9">
        <f t="shared" si="6"/>
        <v>327</v>
      </c>
      <c r="F47" s="9">
        <f t="shared" si="7"/>
        <v>17</v>
      </c>
      <c r="H47" s="8"/>
      <c r="J47" s="8"/>
      <c r="K47" s="8"/>
    </row>
    <row r="48" spans="1:11">
      <c r="A48" t="s">
        <v>85</v>
      </c>
      <c r="C48" s="9">
        <f t="shared" si="5"/>
        <v>3168183</v>
      </c>
      <c r="D48" s="16">
        <f t="shared" si="4"/>
        <v>9.963019458275757E-2</v>
      </c>
      <c r="E48" s="9">
        <f t="shared" si="6"/>
        <v>306</v>
      </c>
      <c r="F48" s="9">
        <f t="shared" si="7"/>
        <v>5</v>
      </c>
    </row>
    <row r="49" spans="1:11">
      <c r="A49" s="8" t="s">
        <v>86</v>
      </c>
      <c r="C49" s="12">
        <f t="shared" si="5"/>
        <v>7341633</v>
      </c>
      <c r="D49" s="14">
        <f t="shared" si="4"/>
        <v>0.23087312959674178</v>
      </c>
      <c r="E49" s="12">
        <f t="shared" si="6"/>
        <v>633</v>
      </c>
      <c r="F49" s="12">
        <f t="shared" si="7"/>
        <v>22</v>
      </c>
    </row>
    <row r="50" spans="1:11">
      <c r="A50" t="s">
        <v>23</v>
      </c>
      <c r="C50" s="9">
        <f t="shared" si="5"/>
        <v>123599</v>
      </c>
      <c r="D50" s="16">
        <f t="shared" si="4"/>
        <v>3.8868311648141071E-3</v>
      </c>
      <c r="E50" s="9">
        <f t="shared" si="6"/>
        <v>38</v>
      </c>
      <c r="F50" s="9">
        <f t="shared" si="7"/>
        <v>3</v>
      </c>
    </row>
    <row r="51" spans="1:11">
      <c r="A51" t="s">
        <v>24</v>
      </c>
      <c r="C51" s="9">
        <f t="shared" si="5"/>
        <v>416473</v>
      </c>
      <c r="D51" s="16">
        <f t="shared" si="4"/>
        <v>1.309687162277709E-2</v>
      </c>
      <c r="E51" s="9">
        <f t="shared" si="6"/>
        <v>71</v>
      </c>
      <c r="F51" s="9">
        <f t="shared" si="7"/>
        <v>3</v>
      </c>
    </row>
    <row r="52" spans="1:11">
      <c r="A52" t="s">
        <v>28</v>
      </c>
      <c r="C52" s="9">
        <f t="shared" si="5"/>
        <v>127331</v>
      </c>
      <c r="D52" s="16">
        <f t="shared" si="4"/>
        <v>4.0041917737760422E-3</v>
      </c>
      <c r="E52" s="9">
        <f t="shared" si="6"/>
        <v>240</v>
      </c>
      <c r="F52" s="9">
        <f t="shared" si="7"/>
        <v>0</v>
      </c>
    </row>
    <row r="53" spans="1:11">
      <c r="A53" s="1"/>
      <c r="B53" s="1"/>
      <c r="C53" s="22"/>
      <c r="D53" s="21"/>
      <c r="E53" s="20"/>
      <c r="F53" s="9"/>
      <c r="H53" t="b">
        <f>H54=H55</f>
        <v>1</v>
      </c>
      <c r="I53" s="2590" t="b">
        <f>I54=I55</f>
        <v>1</v>
      </c>
      <c r="J53" t="b">
        <f>J54=J55</f>
        <v>1</v>
      </c>
      <c r="K53" t="b">
        <f>K54=K55</f>
        <v>1</v>
      </c>
    </row>
    <row r="54" spans="1:11">
      <c r="A54" s="1" t="s">
        <v>46</v>
      </c>
      <c r="B54" s="1"/>
      <c r="C54" s="10">
        <f>+C44+C32</f>
        <v>32529578</v>
      </c>
      <c r="D54" s="15">
        <f t="shared" ref="D54:D62" si="8">+C54/C$54</f>
        <v>1</v>
      </c>
      <c r="E54" s="10">
        <f>+E44+E32</f>
        <v>2325</v>
      </c>
      <c r="F54" s="10">
        <f>+F44+F32</f>
        <v>650</v>
      </c>
      <c r="H54" s="2586">
        <f>SUM(C55:C58,C60:C62)</f>
        <v>32529578</v>
      </c>
      <c r="I54" s="2594">
        <f>SUM(D55:D58,D60:D62)</f>
        <v>1</v>
      </c>
      <c r="J54" s="2586">
        <f>SUM(E55:E58,E60:E62)</f>
        <v>2325</v>
      </c>
      <c r="K54" s="2586">
        <f>SUM(F55:F58,F60:F62)</f>
        <v>650</v>
      </c>
    </row>
    <row r="55" spans="1:11">
      <c r="A55" t="s">
        <v>13</v>
      </c>
      <c r="B55" s="8"/>
      <c r="C55" s="9">
        <f>+C45</f>
        <v>13760583</v>
      </c>
      <c r="D55" s="16">
        <f t="shared" si="8"/>
        <v>0.42301756881076047</v>
      </c>
      <c r="E55" s="9">
        <f t="shared" ref="E55:F59" si="9">+E45</f>
        <v>633</v>
      </c>
      <c r="F55" s="9">
        <f t="shared" si="9"/>
        <v>376</v>
      </c>
      <c r="H55">
        <f>C54</f>
        <v>32529578</v>
      </c>
      <c r="I55" s="2594">
        <f>D54</f>
        <v>1</v>
      </c>
      <c r="J55">
        <f>E54</f>
        <v>2325</v>
      </c>
      <c r="K55">
        <f>F54</f>
        <v>650</v>
      </c>
    </row>
    <row r="56" spans="1:11">
      <c r="A56" t="s">
        <v>14</v>
      </c>
      <c r="C56" s="9">
        <f>+C46</f>
        <v>10029807</v>
      </c>
      <c r="D56" s="16">
        <f t="shared" si="8"/>
        <v>0.30832883844973336</v>
      </c>
      <c r="E56" s="9">
        <f t="shared" si="9"/>
        <v>633</v>
      </c>
      <c r="F56" s="9">
        <f t="shared" si="9"/>
        <v>229</v>
      </c>
      <c r="G56" s="18"/>
    </row>
    <row r="57" spans="1:11">
      <c r="A57" t="s">
        <v>15</v>
      </c>
      <c r="C57" s="9">
        <f>+C47</f>
        <v>4173450</v>
      </c>
      <c r="D57" s="16">
        <f t="shared" si="8"/>
        <v>0.12829708396463058</v>
      </c>
      <c r="E57" s="9">
        <f t="shared" si="9"/>
        <v>327</v>
      </c>
      <c r="F57" s="9">
        <f t="shared" si="9"/>
        <v>17</v>
      </c>
    </row>
    <row r="58" spans="1:11">
      <c r="A58" t="s">
        <v>85</v>
      </c>
      <c r="C58" s="9">
        <f>+C48</f>
        <v>3168183</v>
      </c>
      <c r="D58" s="16">
        <f t="shared" si="8"/>
        <v>9.7393916392029434E-2</v>
      </c>
      <c r="E58" s="9">
        <f t="shared" si="9"/>
        <v>306</v>
      </c>
      <c r="F58" s="9">
        <f t="shared" si="9"/>
        <v>5</v>
      </c>
    </row>
    <row r="59" spans="1:11">
      <c r="A59" s="8" t="s">
        <v>86</v>
      </c>
      <c r="C59" s="12">
        <f>+C49</f>
        <v>7341633</v>
      </c>
      <c r="D59" s="14">
        <f t="shared" si="8"/>
        <v>0.22569100035666001</v>
      </c>
      <c r="E59" s="12">
        <f t="shared" si="9"/>
        <v>633</v>
      </c>
      <c r="F59" s="12">
        <f t="shared" si="9"/>
        <v>22</v>
      </c>
    </row>
    <row r="60" spans="1:11">
      <c r="A60" t="s">
        <v>23</v>
      </c>
      <c r="C60" s="9">
        <f>+C20</f>
        <v>123599</v>
      </c>
      <c r="D60" s="16">
        <f t="shared" si="8"/>
        <v>3.7995881778730731E-3</v>
      </c>
      <c r="E60" s="9">
        <f>+E20</f>
        <v>38</v>
      </c>
      <c r="F60" s="9">
        <f>+F20</f>
        <v>3</v>
      </c>
    </row>
    <row r="61" spans="1:11">
      <c r="A61" t="s">
        <v>24</v>
      </c>
      <c r="C61" s="9">
        <f>+C51</f>
        <v>416473</v>
      </c>
      <c r="D61" s="16">
        <f t="shared" si="8"/>
        <v>1.2802902023506115E-2</v>
      </c>
      <c r="E61" s="9">
        <f>+E51</f>
        <v>71</v>
      </c>
      <c r="F61" s="9">
        <f>+F51</f>
        <v>3</v>
      </c>
    </row>
    <row r="62" spans="1:11">
      <c r="A62" t="s">
        <v>28</v>
      </c>
      <c r="C62" s="9">
        <f>+C54-C55-C56-C59-C60-C61</f>
        <v>857483</v>
      </c>
      <c r="D62" s="16">
        <f t="shared" si="8"/>
        <v>2.636010218146697E-2</v>
      </c>
      <c r="E62" s="9">
        <f>+E54-E55-E56-E59-E60-E61</f>
        <v>317</v>
      </c>
      <c r="F62" s="9">
        <f>+F54-F55-F56-F59-F60-F61</f>
        <v>17</v>
      </c>
    </row>
    <row r="64" spans="1:11">
      <c r="A64" s="3" t="s">
        <v>21</v>
      </c>
      <c r="B64" s="7" t="s">
        <v>43</v>
      </c>
      <c r="D64"/>
      <c r="E64"/>
      <c r="F64"/>
      <c r="G64"/>
    </row>
  </sheetData>
  <mergeCells count="1">
    <mergeCell ref="A2:B2"/>
  </mergeCells>
  <phoneticPr fontId="10" type="noConversion"/>
  <pageMargins left="0.75" right="0.75" top="1" bottom="1" header="0.5" footer="0.5"/>
  <pageSetup paperSize="9" scale="86" orientation="portrait" horizontalDpi="1200"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94">
    <pageSetUpPr fitToPage="1"/>
  </sheetPr>
  <dimension ref="A1:K52"/>
  <sheetViews>
    <sheetView topLeftCell="A11" workbookViewId="0">
      <selection activeCell="O68" sqref="O68"/>
    </sheetView>
  </sheetViews>
  <sheetFormatPr baseColWidth="10" defaultColWidth="9" defaultRowHeight="13"/>
  <cols>
    <col min="1" max="1" width="7.19921875" customWidth="1"/>
    <col min="2" max="2" width="23.19921875" customWidth="1"/>
    <col min="3" max="3" width="12" style="2" customWidth="1"/>
    <col min="4" max="4" width="11.59765625" style="5" customWidth="1"/>
    <col min="5" max="5" width="11.19921875" style="6" customWidth="1"/>
    <col min="6" max="6" width="10.19921875" style="4" customWidth="1"/>
    <col min="7" max="7" width="13" style="4" customWidth="1"/>
    <col min="8" max="8" width="12" customWidth="1"/>
    <col min="9" max="9" width="11.3984375" style="2594" customWidth="1"/>
    <col min="10" max="10" width="13.796875" customWidth="1"/>
    <col min="12" max="12" width="13" customWidth="1"/>
    <col min="14" max="14" width="10.19921875" customWidth="1"/>
    <col min="15" max="16" width="12.59765625" customWidth="1"/>
  </cols>
  <sheetData>
    <row r="1" spans="1:11">
      <c r="A1" s="1" t="s">
        <v>90</v>
      </c>
      <c r="B1" s="1"/>
      <c r="C1" s="4"/>
    </row>
    <row r="2" spans="1:11">
      <c r="A2" s="3524">
        <v>36990</v>
      </c>
      <c r="B2" s="3525"/>
      <c r="C2" s="4"/>
    </row>
    <row r="3" spans="1:11" ht="3.5" customHeight="1">
      <c r="A3" s="1"/>
      <c r="B3" s="1"/>
      <c r="C3" s="4"/>
    </row>
    <row r="4" spans="1:11">
      <c r="C4" s="4" t="s">
        <v>34</v>
      </c>
      <c r="D4" s="5" t="s">
        <v>36</v>
      </c>
      <c r="E4" s="6" t="s">
        <v>37</v>
      </c>
      <c r="F4" s="4" t="s">
        <v>25</v>
      </c>
    </row>
    <row r="5" spans="1:11">
      <c r="C5" s="4"/>
      <c r="H5" t="b">
        <f>H6=H7</f>
        <v>1</v>
      </c>
      <c r="I5" s="2590" t="b">
        <f>I6=I7</f>
        <v>1</v>
      </c>
      <c r="J5" t="b">
        <f>J6=J7</f>
        <v>1</v>
      </c>
      <c r="K5" t="b">
        <f>K6=K7</f>
        <v>1</v>
      </c>
    </row>
    <row r="6" spans="1:11" s="1" customFormat="1">
      <c r="A6" s="1" t="s">
        <v>17</v>
      </c>
      <c r="C6" s="10">
        <v>28148506</v>
      </c>
      <c r="D6" s="15">
        <f>+C6/C$6</f>
        <v>1</v>
      </c>
      <c r="E6" s="10">
        <v>2328</v>
      </c>
      <c r="F6" s="11">
        <v>524</v>
      </c>
      <c r="G6" s="10"/>
      <c r="H6" s="2586">
        <f>SUM(C7:C10)</f>
        <v>28148506</v>
      </c>
      <c r="I6" s="2587">
        <f>SUM(D7:D10)</f>
        <v>1</v>
      </c>
      <c r="J6" s="2586">
        <f>SUM(E7:E10)</f>
        <v>2328</v>
      </c>
      <c r="K6" s="2586">
        <f>SUM(F7:F10)</f>
        <v>524</v>
      </c>
    </row>
    <row r="7" spans="1:11" s="19" customFormat="1">
      <c r="A7" t="s">
        <v>13</v>
      </c>
      <c r="C7" s="4">
        <v>12796772</v>
      </c>
      <c r="D7" s="16">
        <f>+C7/C$6</f>
        <v>0.45461638354802913</v>
      </c>
      <c r="E7" s="9">
        <v>524</v>
      </c>
      <c r="F7" s="6">
        <v>319</v>
      </c>
      <c r="G7" s="9"/>
      <c r="H7">
        <f>C6</f>
        <v>28148506</v>
      </c>
      <c r="I7" s="830">
        <f>D6</f>
        <v>1</v>
      </c>
      <c r="J7">
        <f>E6</f>
        <v>2328</v>
      </c>
      <c r="K7">
        <f>F6</f>
        <v>524</v>
      </c>
    </row>
    <row r="8" spans="1:11">
      <c r="A8" t="s">
        <v>14</v>
      </c>
      <c r="C8" s="4">
        <v>9551910</v>
      </c>
      <c r="D8" s="16">
        <f>+C8/C$6</f>
        <v>0.33933985697144992</v>
      </c>
      <c r="E8" s="20">
        <v>524</v>
      </c>
      <c r="F8" s="6">
        <v>195</v>
      </c>
    </row>
    <row r="9" spans="1:11">
      <c r="A9" t="s">
        <v>22</v>
      </c>
      <c r="C9" s="4">
        <v>5398293</v>
      </c>
      <c r="D9" s="16">
        <f>+C9/C$6</f>
        <v>0.19177902372509575</v>
      </c>
      <c r="E9" s="20">
        <v>522</v>
      </c>
      <c r="F9" s="6">
        <v>10</v>
      </c>
    </row>
    <row r="10" spans="1:11">
      <c r="A10" t="s">
        <v>28</v>
      </c>
      <c r="C10" s="4">
        <f>+C6-SUM(C7:C9)</f>
        <v>401531</v>
      </c>
      <c r="D10" s="16">
        <f>+C10/C$6</f>
        <v>1.4264735755425173E-2</v>
      </c>
      <c r="E10" s="4">
        <f>+E6-SUM(E7:E9)</f>
        <v>758</v>
      </c>
      <c r="F10" s="4">
        <f>+F6-SUM(F7:F9)</f>
        <v>0</v>
      </c>
      <c r="H10" s="8"/>
      <c r="J10" s="8"/>
      <c r="K10" s="8"/>
    </row>
    <row r="11" spans="1:11">
      <c r="C11" s="9"/>
      <c r="D11" s="21"/>
      <c r="E11" s="20"/>
      <c r="F11" s="20"/>
    </row>
    <row r="12" spans="1:11">
      <c r="A12" s="1" t="s">
        <v>18</v>
      </c>
      <c r="B12" s="1"/>
      <c r="C12" s="10">
        <v>1748777</v>
      </c>
      <c r="D12" s="15">
        <f t="shared" ref="D12:D17" si="0">+C12/C$12</f>
        <v>1</v>
      </c>
      <c r="E12" s="11">
        <v>180</v>
      </c>
      <c r="F12" s="11">
        <v>38</v>
      </c>
    </row>
    <row r="13" spans="1:11">
      <c r="A13" t="s">
        <v>13</v>
      </c>
      <c r="B13" s="8"/>
      <c r="C13" s="4">
        <v>499677</v>
      </c>
      <c r="D13" s="16">
        <f t="shared" si="0"/>
        <v>0.28572939831665217</v>
      </c>
      <c r="E13" s="9">
        <v>38</v>
      </c>
      <c r="F13" s="6">
        <v>6</v>
      </c>
      <c r="H13" t="b">
        <f>H14=H15</f>
        <v>1</v>
      </c>
      <c r="I13" s="2590" t="b">
        <f>I14=I15</f>
        <v>1</v>
      </c>
      <c r="J13" t="b">
        <f>J14=J15</f>
        <v>1</v>
      </c>
      <c r="K13" t="b">
        <f>K14=K15</f>
        <v>1</v>
      </c>
    </row>
    <row r="14" spans="1:11">
      <c r="A14" t="s">
        <v>14</v>
      </c>
      <c r="C14" s="4">
        <v>865663</v>
      </c>
      <c r="D14" s="16">
        <f t="shared" si="0"/>
        <v>0.4950105130614138</v>
      </c>
      <c r="E14" s="20">
        <v>38</v>
      </c>
      <c r="F14" s="6">
        <v>27</v>
      </c>
      <c r="H14" s="2586">
        <f>SUM(C13:C17)</f>
        <v>1748777</v>
      </c>
      <c r="I14" s="2587">
        <f>SUM(D13:D17)</f>
        <v>1</v>
      </c>
      <c r="J14" s="2586">
        <f>SUM(E13:E17)</f>
        <v>180</v>
      </c>
      <c r="K14" s="2586">
        <f>SUM(F13:F17)</f>
        <v>38</v>
      </c>
    </row>
    <row r="15" spans="1:11">
      <c r="A15" t="s">
        <v>22</v>
      </c>
      <c r="C15" s="4">
        <v>217457</v>
      </c>
      <c r="D15" s="16">
        <f t="shared" si="0"/>
        <v>0.12434804437615544</v>
      </c>
      <c r="E15" s="20">
        <v>38</v>
      </c>
      <c r="F15" s="6">
        <v>1</v>
      </c>
      <c r="H15">
        <f>C12</f>
        <v>1748777</v>
      </c>
      <c r="I15" s="830">
        <f>D12</f>
        <v>1</v>
      </c>
      <c r="J15">
        <f>E12</f>
        <v>180</v>
      </c>
      <c r="K15">
        <f>F12</f>
        <v>38</v>
      </c>
    </row>
    <row r="16" spans="1:11">
      <c r="A16" t="s">
        <v>23</v>
      </c>
      <c r="C16" s="4">
        <v>154947</v>
      </c>
      <c r="D16" s="16">
        <f t="shared" si="0"/>
        <v>8.8603063741117358E-2</v>
      </c>
      <c r="E16" s="9">
        <v>35</v>
      </c>
      <c r="F16" s="6">
        <v>4</v>
      </c>
    </row>
    <row r="17" spans="1:11">
      <c r="A17" t="s">
        <v>28</v>
      </c>
      <c r="C17" s="9">
        <f>+C12-SUM(C13:C16)</f>
        <v>11033</v>
      </c>
      <c r="D17" s="16">
        <f t="shared" si="0"/>
        <v>6.3089805046612577E-3</v>
      </c>
      <c r="E17" s="9">
        <f>+E12-SUM(E13:E16)</f>
        <v>31</v>
      </c>
      <c r="F17" s="9">
        <f>+F12-SUM(F13:F16)</f>
        <v>0</v>
      </c>
    </row>
    <row r="18" spans="1:11">
      <c r="C18" s="9"/>
      <c r="D18" s="21"/>
      <c r="E18" s="20"/>
      <c r="F18" s="20"/>
    </row>
    <row r="19" spans="1:11">
      <c r="A19" s="1" t="s">
        <v>19</v>
      </c>
      <c r="B19" s="1"/>
      <c r="C19" s="10">
        <v>2931698</v>
      </c>
      <c r="D19" s="15">
        <f t="shared" ref="D19:D24" si="1">+C19/C$19</f>
        <v>1</v>
      </c>
      <c r="E19" s="11">
        <v>341</v>
      </c>
      <c r="F19" s="11">
        <v>72</v>
      </c>
      <c r="H19" t="b">
        <f>H20=H21</f>
        <v>1</v>
      </c>
      <c r="I19" s="2590" t="b">
        <f>I20=I21</f>
        <v>1</v>
      </c>
      <c r="J19" t="b">
        <f>J20=J21</f>
        <v>1</v>
      </c>
      <c r="K19" t="b">
        <f>K20=K21</f>
        <v>1</v>
      </c>
    </row>
    <row r="20" spans="1:11" s="8" customFormat="1">
      <c r="A20" t="s">
        <v>13</v>
      </c>
      <c r="C20" s="4">
        <v>751950</v>
      </c>
      <c r="D20" s="16">
        <f t="shared" si="1"/>
        <v>0.25648958385208842</v>
      </c>
      <c r="E20" s="9">
        <v>72</v>
      </c>
      <c r="F20" s="6">
        <v>11</v>
      </c>
      <c r="G20" s="12"/>
      <c r="H20" s="2586">
        <f>SUM(C20:C24)</f>
        <v>2931698</v>
      </c>
      <c r="I20" s="2587">
        <f>SUM(D20:D24)</f>
        <v>1</v>
      </c>
      <c r="J20" s="2586">
        <f>SUM(E20:E24)</f>
        <v>341</v>
      </c>
      <c r="K20" s="2586">
        <f>SUM(F20:F24)</f>
        <v>72</v>
      </c>
    </row>
    <row r="21" spans="1:11">
      <c r="A21" t="s">
        <v>14</v>
      </c>
      <c r="C21" s="4">
        <v>1142911</v>
      </c>
      <c r="D21" s="16">
        <f t="shared" si="1"/>
        <v>0.38984608919472608</v>
      </c>
      <c r="E21" s="20">
        <v>72</v>
      </c>
      <c r="F21" s="6">
        <v>49</v>
      </c>
      <c r="H21">
        <f>C19</f>
        <v>2931698</v>
      </c>
      <c r="I21" s="830">
        <f>D19</f>
        <v>1</v>
      </c>
      <c r="J21">
        <f>E19</f>
        <v>341</v>
      </c>
      <c r="K21">
        <f>F19</f>
        <v>72</v>
      </c>
    </row>
    <row r="22" spans="1:11">
      <c r="A22" t="s">
        <v>22</v>
      </c>
      <c r="C22" s="4">
        <v>383856</v>
      </c>
      <c r="D22" s="16">
        <f t="shared" si="1"/>
        <v>0.13093299514479323</v>
      </c>
      <c r="E22" s="20">
        <v>72</v>
      </c>
      <c r="F22" s="6">
        <v>9</v>
      </c>
    </row>
    <row r="23" spans="1:11">
      <c r="A23" t="s">
        <v>24</v>
      </c>
      <c r="C23" s="4">
        <v>629564</v>
      </c>
      <c r="D23" s="16">
        <f t="shared" si="1"/>
        <v>0.21474381058349121</v>
      </c>
      <c r="E23" s="20">
        <v>72</v>
      </c>
      <c r="F23" s="6">
        <v>3</v>
      </c>
    </row>
    <row r="24" spans="1:11">
      <c r="A24" t="s">
        <v>28</v>
      </c>
      <c r="C24" s="9">
        <f>+C19-SUM(C20:C23)</f>
        <v>23417</v>
      </c>
      <c r="D24" s="16">
        <f t="shared" si="1"/>
        <v>7.9875212249010639E-3</v>
      </c>
      <c r="E24" s="9">
        <f>+E19-SUM(E20:E23)</f>
        <v>53</v>
      </c>
      <c r="F24" s="9">
        <f>+F19-SUM(F20:F23)</f>
        <v>0</v>
      </c>
    </row>
    <row r="25" spans="1:11">
      <c r="C25" s="9"/>
      <c r="D25" s="21"/>
      <c r="E25" s="20"/>
      <c r="F25" s="20"/>
    </row>
    <row r="26" spans="1:11">
      <c r="A26" s="1" t="s">
        <v>20</v>
      </c>
      <c r="B26" s="1"/>
      <c r="C26" s="10">
        <v>785093</v>
      </c>
      <c r="D26" s="15">
        <f t="shared" ref="D26:D34" si="2">+C26/C$26</f>
        <v>1</v>
      </c>
      <c r="E26" s="11">
        <v>100</v>
      </c>
      <c r="F26" s="11">
        <v>17</v>
      </c>
      <c r="H26" t="b">
        <f>H27=H28</f>
        <v>1</v>
      </c>
      <c r="I26" s="2590" t="b">
        <f>I27=I28</f>
        <v>1</v>
      </c>
      <c r="J26" t="b">
        <f>J27=J28</f>
        <v>1</v>
      </c>
      <c r="K26" t="b">
        <f>K27=K28</f>
        <v>1</v>
      </c>
    </row>
    <row r="27" spans="1:11">
      <c r="A27" s="19" t="s">
        <v>13</v>
      </c>
      <c r="B27" s="1"/>
      <c r="C27" s="9">
        <v>44608</v>
      </c>
      <c r="D27" s="16">
        <f t="shared" si="2"/>
        <v>5.681874631413094E-2</v>
      </c>
      <c r="E27" s="20">
        <v>11</v>
      </c>
      <c r="F27" s="20">
        <v>0</v>
      </c>
      <c r="H27" s="2586">
        <f>SUM(C27:C34)</f>
        <v>785093</v>
      </c>
      <c r="I27" s="2587">
        <f>SUM(D27:D34)</f>
        <v>1</v>
      </c>
      <c r="J27" s="2586">
        <f>SUM(E27:E34)</f>
        <v>100</v>
      </c>
      <c r="K27" s="2586">
        <f>SUM(F27:F34)</f>
        <v>17</v>
      </c>
    </row>
    <row r="28" spans="1:11">
      <c r="A28" t="s">
        <v>31</v>
      </c>
      <c r="C28" s="9">
        <v>271049</v>
      </c>
      <c r="D28" s="16">
        <f t="shared" si="2"/>
        <v>0.34524444874683635</v>
      </c>
      <c r="E28" s="20">
        <v>13</v>
      </c>
      <c r="F28" s="20">
        <v>9</v>
      </c>
      <c r="H28">
        <f>C26</f>
        <v>785093</v>
      </c>
      <c r="I28" s="830">
        <f>D26</f>
        <v>1</v>
      </c>
      <c r="J28">
        <f>E26</f>
        <v>100</v>
      </c>
      <c r="K28">
        <f>F26</f>
        <v>17</v>
      </c>
    </row>
    <row r="29" spans="1:11">
      <c r="A29" t="s">
        <v>68</v>
      </c>
      <c r="C29" s="9">
        <v>103039</v>
      </c>
      <c r="D29" s="16">
        <f t="shared" si="2"/>
        <v>0.13124432392086033</v>
      </c>
      <c r="E29" s="20">
        <v>7</v>
      </c>
      <c r="F29" s="20">
        <v>3</v>
      </c>
    </row>
    <row r="30" spans="1:11">
      <c r="A30" t="s">
        <v>87</v>
      </c>
      <c r="C30" s="9">
        <v>19305</v>
      </c>
      <c r="D30" s="16">
        <f t="shared" si="2"/>
        <v>2.4589443543631136E-2</v>
      </c>
      <c r="E30" s="20">
        <v>1</v>
      </c>
      <c r="F30" s="20">
        <v>1</v>
      </c>
    </row>
    <row r="31" spans="1:11" s="8" customFormat="1">
      <c r="A31" t="s">
        <v>75</v>
      </c>
      <c r="C31" s="9">
        <v>184445</v>
      </c>
      <c r="D31" s="16">
        <f t="shared" si="2"/>
        <v>0.23493395050013183</v>
      </c>
      <c r="E31" s="9">
        <v>13</v>
      </c>
      <c r="F31" s="9">
        <v>4</v>
      </c>
      <c r="G31" s="12"/>
      <c r="H31"/>
      <c r="I31" s="2594"/>
      <c r="J31"/>
      <c r="K31"/>
    </row>
    <row r="32" spans="1:11" s="8" customFormat="1">
      <c r="A32" s="19" t="s">
        <v>71</v>
      </c>
      <c r="C32" s="9">
        <v>68665</v>
      </c>
      <c r="D32" s="16">
        <f t="shared" si="2"/>
        <v>8.7460975960809734E-2</v>
      </c>
      <c r="E32" s="9">
        <v>16</v>
      </c>
      <c r="F32" s="9">
        <v>0</v>
      </c>
      <c r="G32" s="12"/>
      <c r="H32"/>
      <c r="I32" s="2594"/>
      <c r="J32"/>
      <c r="K32"/>
    </row>
    <row r="33" spans="1:11" s="8" customFormat="1">
      <c r="A33" s="19" t="s">
        <v>27</v>
      </c>
      <c r="C33" s="9">
        <v>78291</v>
      </c>
      <c r="D33" s="16">
        <f t="shared" si="2"/>
        <v>9.9721943769719004E-2</v>
      </c>
      <c r="E33" s="9">
        <v>14</v>
      </c>
      <c r="F33" s="9">
        <v>0</v>
      </c>
      <c r="G33" s="12"/>
      <c r="H33"/>
      <c r="I33" s="2594"/>
      <c r="J33"/>
      <c r="K33"/>
    </row>
    <row r="34" spans="1:11">
      <c r="A34" t="s">
        <v>28</v>
      </c>
      <c r="C34" s="22">
        <f>+C26-SUM(C27:C33)</f>
        <v>15691</v>
      </c>
      <c r="D34" s="16">
        <f t="shared" si="2"/>
        <v>1.9986167243880661E-2</v>
      </c>
      <c r="E34" s="9">
        <f>+E26-SUM(E27:E33)</f>
        <v>25</v>
      </c>
      <c r="F34" s="9">
        <f>+F26-SUM(F27:F33)</f>
        <v>0</v>
      </c>
    </row>
    <row r="35" spans="1:11">
      <c r="C35" s="22"/>
      <c r="D35" s="16"/>
      <c r="E35" s="20"/>
      <c r="F35" s="9"/>
    </row>
    <row r="36" spans="1:11">
      <c r="A36" s="1" t="s">
        <v>35</v>
      </c>
      <c r="B36" s="1"/>
      <c r="C36" s="10">
        <f>+C19+C12+C6</f>
        <v>32828981</v>
      </c>
      <c r="D36" s="15">
        <f t="shared" ref="D36:D42" si="3">+C36/C$36</f>
        <v>1</v>
      </c>
      <c r="E36" s="10">
        <f>+E19+E12+E6</f>
        <v>2849</v>
      </c>
      <c r="F36" s="10">
        <f>+F19+F12+F6</f>
        <v>634</v>
      </c>
      <c r="H36" t="b">
        <f>H37=H38</f>
        <v>1</v>
      </c>
      <c r="I36" s="2590" t="b">
        <f>I37=I38</f>
        <v>1</v>
      </c>
      <c r="J36" t="b">
        <f>J37=J38</f>
        <v>1</v>
      </c>
      <c r="K36" t="b">
        <f>K37=K38</f>
        <v>1</v>
      </c>
    </row>
    <row r="37" spans="1:11" s="8" customFormat="1">
      <c r="A37" t="s">
        <v>13</v>
      </c>
      <c r="C37" s="9">
        <f t="shared" ref="C37:C42" si="4">SUMIF(A$7:A$24,A37,C$7:C$24)</f>
        <v>14048399</v>
      </c>
      <c r="D37" s="16">
        <f t="shared" si="3"/>
        <v>0.42792674557885302</v>
      </c>
      <c r="E37" s="9">
        <f t="shared" ref="E37:E42" si="5">SUMIF(A$7:A$24,A37,E$7:E$24)</f>
        <v>634</v>
      </c>
      <c r="F37" s="9">
        <f t="shared" ref="F37:F42" si="6">SUMIF(A$7:A$24,A37,F$7:F$24)</f>
        <v>336</v>
      </c>
      <c r="G37" s="12"/>
      <c r="H37" s="2586">
        <f>SUM(C37:C42)</f>
        <v>32828981</v>
      </c>
      <c r="I37" s="2587">
        <f>SUM(D37:D42)</f>
        <v>1.0000000000000002</v>
      </c>
      <c r="J37" s="2586">
        <f>SUM(E37:E42)</f>
        <v>2849</v>
      </c>
      <c r="K37" s="2586">
        <f>SUM(F37:F42)</f>
        <v>634</v>
      </c>
    </row>
    <row r="38" spans="1:11">
      <c r="A38" t="s">
        <v>14</v>
      </c>
      <c r="C38" s="9">
        <f t="shared" si="4"/>
        <v>11560484</v>
      </c>
      <c r="D38" s="16">
        <f t="shared" si="3"/>
        <v>0.35214263884706015</v>
      </c>
      <c r="E38" s="9">
        <f t="shared" si="5"/>
        <v>634</v>
      </c>
      <c r="F38" s="9">
        <f t="shared" si="6"/>
        <v>271</v>
      </c>
      <c r="H38">
        <f>C36</f>
        <v>32828981</v>
      </c>
      <c r="I38" s="830">
        <f>D36</f>
        <v>1</v>
      </c>
      <c r="J38">
        <f>E36</f>
        <v>2849</v>
      </c>
      <c r="K38">
        <f>F36</f>
        <v>634</v>
      </c>
    </row>
    <row r="39" spans="1:11">
      <c r="A39" t="s">
        <v>22</v>
      </c>
      <c r="C39" s="9">
        <f t="shared" si="4"/>
        <v>5999606</v>
      </c>
      <c r="D39" s="16">
        <f t="shared" si="3"/>
        <v>0.18275334223745782</v>
      </c>
      <c r="E39" s="9">
        <f t="shared" si="5"/>
        <v>632</v>
      </c>
      <c r="F39" s="9">
        <f t="shared" si="6"/>
        <v>20</v>
      </c>
    </row>
    <row r="40" spans="1:11">
      <c r="A40" t="s">
        <v>23</v>
      </c>
      <c r="C40" s="9">
        <f t="shared" si="4"/>
        <v>154947</v>
      </c>
      <c r="D40" s="16">
        <f t="shared" si="3"/>
        <v>4.7198236216957207E-3</v>
      </c>
      <c r="E40" s="9">
        <f t="shared" si="5"/>
        <v>35</v>
      </c>
      <c r="F40" s="9">
        <f t="shared" si="6"/>
        <v>4</v>
      </c>
      <c r="H40" s="8"/>
      <c r="J40" s="8"/>
      <c r="K40" s="8"/>
    </row>
    <row r="41" spans="1:11">
      <c r="A41" t="s">
        <v>24</v>
      </c>
      <c r="C41" s="9">
        <f t="shared" si="4"/>
        <v>629564</v>
      </c>
      <c r="D41" s="16">
        <f t="shared" si="3"/>
        <v>1.9177080153660573E-2</v>
      </c>
      <c r="E41" s="9">
        <f t="shared" si="5"/>
        <v>72</v>
      </c>
      <c r="F41" s="9">
        <f t="shared" si="6"/>
        <v>3</v>
      </c>
    </row>
    <row r="42" spans="1:11">
      <c r="A42" t="s">
        <v>28</v>
      </c>
      <c r="C42" s="9">
        <f t="shared" si="4"/>
        <v>435981</v>
      </c>
      <c r="D42" s="16">
        <f t="shared" si="3"/>
        <v>1.3280369561272706E-2</v>
      </c>
      <c r="E42" s="9">
        <f t="shared" si="5"/>
        <v>842</v>
      </c>
      <c r="F42" s="9">
        <f t="shared" si="6"/>
        <v>0</v>
      </c>
    </row>
    <row r="43" spans="1:11">
      <c r="A43" s="1"/>
      <c r="B43" s="1"/>
      <c r="C43" s="22"/>
      <c r="D43" s="21"/>
      <c r="E43" s="20"/>
      <c r="F43" s="9"/>
    </row>
    <row r="44" spans="1:11">
      <c r="A44" s="1" t="s">
        <v>46</v>
      </c>
      <c r="B44" s="1"/>
      <c r="C44" s="10">
        <f>+C36+C26</f>
        <v>33614074</v>
      </c>
      <c r="D44" s="15">
        <f t="shared" ref="D44:D50" si="7">+C44/C$44</f>
        <v>1</v>
      </c>
      <c r="E44" s="10">
        <f>+E36+E26</f>
        <v>2949</v>
      </c>
      <c r="F44" s="10">
        <f>+F36+F26</f>
        <v>651</v>
      </c>
      <c r="H44" t="b">
        <f>H45=H46</f>
        <v>1</v>
      </c>
      <c r="I44" s="2590" t="b">
        <f>I45=I46</f>
        <v>1</v>
      </c>
      <c r="J44" t="b">
        <f>J45=J46</f>
        <v>1</v>
      </c>
      <c r="K44" t="b">
        <f>K45=K46</f>
        <v>1</v>
      </c>
    </row>
    <row r="45" spans="1:11">
      <c r="A45" t="s">
        <v>13</v>
      </c>
      <c r="B45" s="8"/>
      <c r="C45" s="9">
        <f>+C37+C27</f>
        <v>14093007</v>
      </c>
      <c r="D45" s="16">
        <f t="shared" si="7"/>
        <v>0.41925911747561451</v>
      </c>
      <c r="E45" s="9">
        <f>+E37+E27</f>
        <v>645</v>
      </c>
      <c r="F45" s="9">
        <f>+F37+F27</f>
        <v>336</v>
      </c>
      <c r="H45" s="2586">
        <f>SUM(C45:C50)</f>
        <v>33614074</v>
      </c>
      <c r="I45" s="2587">
        <f>SUM(D45:D50)</f>
        <v>1</v>
      </c>
      <c r="J45" s="2586">
        <f>SUM(E45:E50)</f>
        <v>2949</v>
      </c>
      <c r="K45" s="2586">
        <f>SUM(F45:F50)</f>
        <v>651</v>
      </c>
    </row>
    <row r="46" spans="1:11">
      <c r="A46" t="s">
        <v>14</v>
      </c>
      <c r="C46" s="9">
        <f>+C38</f>
        <v>11560484</v>
      </c>
      <c r="D46" s="16">
        <f t="shared" si="7"/>
        <v>0.34391796721813606</v>
      </c>
      <c r="E46" s="9">
        <f>+E38</f>
        <v>634</v>
      </c>
      <c r="F46" s="9">
        <f>+F38</f>
        <v>271</v>
      </c>
      <c r="G46" s="18"/>
      <c r="H46">
        <f>C44</f>
        <v>33614074</v>
      </c>
      <c r="I46" s="830">
        <f>D44</f>
        <v>1</v>
      </c>
      <c r="J46">
        <f>E44</f>
        <v>2949</v>
      </c>
      <c r="K46">
        <f>F44</f>
        <v>651</v>
      </c>
    </row>
    <row r="47" spans="1:11">
      <c r="A47" t="s">
        <v>22</v>
      </c>
      <c r="C47" s="9">
        <f>+C39</f>
        <v>5999606</v>
      </c>
      <c r="D47" s="16">
        <f t="shared" si="7"/>
        <v>0.17848494056388403</v>
      </c>
      <c r="E47" s="9">
        <f>+E39</f>
        <v>632</v>
      </c>
      <c r="F47" s="9">
        <f>+F39</f>
        <v>20</v>
      </c>
    </row>
    <row r="48" spans="1:11">
      <c r="A48" t="s">
        <v>23</v>
      </c>
      <c r="C48" s="9">
        <f>+C16</f>
        <v>154947</v>
      </c>
      <c r="D48" s="16">
        <f t="shared" si="7"/>
        <v>4.6095870438079001E-3</v>
      </c>
      <c r="E48" s="9">
        <f>+E16</f>
        <v>35</v>
      </c>
      <c r="F48" s="9">
        <f>+F16</f>
        <v>4</v>
      </c>
    </row>
    <row r="49" spans="1:7">
      <c r="A49" t="s">
        <v>24</v>
      </c>
      <c r="C49" s="9">
        <f>+C41</f>
        <v>629564</v>
      </c>
      <c r="D49" s="16">
        <f t="shared" si="7"/>
        <v>1.8729178736263865E-2</v>
      </c>
      <c r="E49" s="9">
        <f>+E41</f>
        <v>72</v>
      </c>
      <c r="F49" s="9">
        <f>+F41</f>
        <v>3</v>
      </c>
    </row>
    <row r="50" spans="1:7">
      <c r="A50" t="s">
        <v>28</v>
      </c>
      <c r="C50" s="9">
        <f>+C44-SUM(C45:C49)</f>
        <v>1176466</v>
      </c>
      <c r="D50" s="16">
        <f t="shared" si="7"/>
        <v>3.4999208962293589E-2</v>
      </c>
      <c r="E50" s="9">
        <f>+E44-SUM(E45:E49)</f>
        <v>931</v>
      </c>
      <c r="F50" s="9">
        <f>+F44-SUM(F45:F49)</f>
        <v>17</v>
      </c>
    </row>
    <row r="52" spans="1:7">
      <c r="A52" s="3" t="s">
        <v>21</v>
      </c>
      <c r="B52" s="7" t="s">
        <v>43</v>
      </c>
      <c r="D52"/>
      <c r="E52"/>
      <c r="F52"/>
      <c r="G52"/>
    </row>
  </sheetData>
  <mergeCells count="1">
    <mergeCell ref="A2:B2"/>
  </mergeCells>
  <phoneticPr fontId="10" type="noConversion"/>
  <pageMargins left="0.75" right="0.75" top="1" bottom="1" header="0.5" footer="0.5"/>
  <pageSetup paperSize="9" orientation="portrait" horizontalDpi="1200"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95">
    <pageSetUpPr fitToPage="1"/>
  </sheetPr>
  <dimension ref="A1:K53"/>
  <sheetViews>
    <sheetView topLeftCell="A9" workbookViewId="0">
      <selection activeCell="O68" sqref="O68"/>
    </sheetView>
  </sheetViews>
  <sheetFormatPr baseColWidth="10" defaultColWidth="9" defaultRowHeight="13"/>
  <cols>
    <col min="1" max="1" width="7.19921875" customWidth="1"/>
    <col min="2" max="2" width="25.796875" customWidth="1"/>
    <col min="3" max="3" width="11.3984375" style="2" bestFit="1" customWidth="1"/>
    <col min="4" max="4" width="11.59765625" style="5" customWidth="1"/>
    <col min="5" max="5" width="9.796875" style="6" customWidth="1"/>
    <col min="6" max="6" width="10.19921875" style="4" customWidth="1"/>
    <col min="7" max="7" width="13" style="4" customWidth="1"/>
    <col min="8" max="8" width="12" customWidth="1"/>
    <col min="9" max="9" width="11.3984375" style="2595" customWidth="1"/>
    <col min="10" max="10" width="13.796875" customWidth="1"/>
    <col min="12" max="12" width="13" customWidth="1"/>
    <col min="14" max="14" width="10.19921875" customWidth="1"/>
    <col min="15" max="16" width="12.59765625" customWidth="1"/>
  </cols>
  <sheetData>
    <row r="1" spans="1:11">
      <c r="A1" s="1" t="s">
        <v>91</v>
      </c>
      <c r="B1" s="1"/>
      <c r="C1" s="4"/>
    </row>
    <row r="2" spans="1:11">
      <c r="A2" s="3524">
        <v>37012</v>
      </c>
      <c r="B2" s="3525"/>
      <c r="C2" s="4"/>
    </row>
    <row r="3" spans="1:11" ht="3.5" customHeight="1">
      <c r="A3" s="1"/>
      <c r="B3" s="1"/>
      <c r="C3" s="4"/>
    </row>
    <row r="4" spans="1:11">
      <c r="C4" s="4" t="s">
        <v>34</v>
      </c>
      <c r="D4" s="5" t="s">
        <v>36</v>
      </c>
      <c r="E4" s="6" t="s">
        <v>37</v>
      </c>
      <c r="F4" s="4" t="s">
        <v>25</v>
      </c>
    </row>
    <row r="5" spans="1:11">
      <c r="C5" s="4"/>
      <c r="H5" t="b">
        <f>H6=H7</f>
        <v>1</v>
      </c>
      <c r="I5" s="838" t="b">
        <f>I6=I7</f>
        <v>1</v>
      </c>
      <c r="J5" t="b">
        <f>J6=J7</f>
        <v>1</v>
      </c>
      <c r="K5" t="b">
        <f>K6=K7</f>
        <v>1</v>
      </c>
    </row>
    <row r="6" spans="1:11" s="1" customFormat="1">
      <c r="A6" s="1" t="s">
        <v>17</v>
      </c>
      <c r="C6" s="10">
        <v>26058712</v>
      </c>
      <c r="D6" s="15">
        <f>+C6/C$6</f>
        <v>1</v>
      </c>
      <c r="E6" s="10">
        <v>2945</v>
      </c>
      <c r="F6" s="11">
        <v>529</v>
      </c>
      <c r="G6" s="10"/>
      <c r="H6" s="2586">
        <f>SUM(C7:C10)</f>
        <v>26058712</v>
      </c>
      <c r="I6" s="2592">
        <f>SUM(D7:D10)</f>
        <v>1</v>
      </c>
      <c r="J6" s="2586">
        <f>SUM(E7:E10)</f>
        <v>2945</v>
      </c>
      <c r="K6" s="2586">
        <f>SUM(F7:F10)</f>
        <v>529</v>
      </c>
    </row>
    <row r="7" spans="1:11" s="19" customFormat="1">
      <c r="A7" t="s">
        <v>13</v>
      </c>
      <c r="C7" s="4">
        <v>8780881</v>
      </c>
      <c r="D7" s="16">
        <f>+C7/C$6</f>
        <v>0.33696527288071643</v>
      </c>
      <c r="E7" s="9">
        <v>528</v>
      </c>
      <c r="F7" s="6">
        <v>165</v>
      </c>
      <c r="G7" s="9"/>
      <c r="H7">
        <f>C6</f>
        <v>26058712</v>
      </c>
      <c r="I7" s="2593">
        <f>D6</f>
        <v>1</v>
      </c>
      <c r="J7">
        <f>E6</f>
        <v>2945</v>
      </c>
      <c r="K7">
        <f>F6</f>
        <v>529</v>
      </c>
    </row>
    <row r="8" spans="1:11">
      <c r="A8" t="s">
        <v>14</v>
      </c>
      <c r="C8" s="4">
        <v>11347882</v>
      </c>
      <c r="D8" s="16">
        <f>+C8/C$6</f>
        <v>0.43547363353952412</v>
      </c>
      <c r="E8" s="20">
        <v>527</v>
      </c>
      <c r="F8" s="6">
        <v>328</v>
      </c>
    </row>
    <row r="9" spans="1:11">
      <c r="A9" t="s">
        <v>22</v>
      </c>
      <c r="C9" s="4">
        <v>4677565</v>
      </c>
      <c r="D9" s="16">
        <f>+C9/C$6</f>
        <v>0.17950100526841081</v>
      </c>
      <c r="E9" s="20">
        <v>527</v>
      </c>
      <c r="F9" s="6">
        <v>34</v>
      </c>
    </row>
    <row r="10" spans="1:11">
      <c r="A10" t="s">
        <v>28</v>
      </c>
      <c r="C10" s="4">
        <f>+C6-SUM(C7:C9)</f>
        <v>1252384</v>
      </c>
      <c r="D10" s="16">
        <f>+C10/C$6</f>
        <v>4.8060088311348621E-2</v>
      </c>
      <c r="E10" s="4">
        <f>+E6-SUM(E7:E9)</f>
        <v>1363</v>
      </c>
      <c r="F10" s="4">
        <f>+F6-SUM(F7:F9)</f>
        <v>2</v>
      </c>
      <c r="H10" s="8"/>
      <c r="J10" s="8"/>
      <c r="K10" s="8"/>
    </row>
    <row r="11" spans="1:11">
      <c r="C11" s="9"/>
      <c r="D11" s="21"/>
      <c r="E11" s="20"/>
      <c r="F11" s="20"/>
    </row>
    <row r="12" spans="1:11">
      <c r="A12" s="1" t="s">
        <v>18</v>
      </c>
      <c r="B12" s="1"/>
      <c r="C12" s="10">
        <v>1620062</v>
      </c>
      <c r="D12" s="15">
        <f t="shared" ref="D12:D17" si="0">+C12/C$12</f>
        <v>1</v>
      </c>
      <c r="E12" s="11">
        <v>223</v>
      </c>
      <c r="F12" s="11">
        <v>40</v>
      </c>
    </row>
    <row r="13" spans="1:11">
      <c r="A13" t="s">
        <v>13</v>
      </c>
      <c r="B13" s="8"/>
      <c r="C13" s="4">
        <v>317145</v>
      </c>
      <c r="D13" s="16">
        <f t="shared" si="0"/>
        <v>0.19576102642985269</v>
      </c>
      <c r="E13" s="9">
        <v>40</v>
      </c>
      <c r="F13" s="6">
        <v>0</v>
      </c>
      <c r="H13" t="b">
        <f>H14=H15</f>
        <v>1</v>
      </c>
      <c r="I13" s="838" t="b">
        <f>I14=I15</f>
        <v>1</v>
      </c>
      <c r="J13" t="b">
        <f>J14=J15</f>
        <v>1</v>
      </c>
      <c r="K13" t="b">
        <f>K14=K15</f>
        <v>1</v>
      </c>
    </row>
    <row r="14" spans="1:11">
      <c r="A14" t="s">
        <v>14</v>
      </c>
      <c r="C14" s="4">
        <v>886935</v>
      </c>
      <c r="D14" s="16">
        <f t="shared" si="0"/>
        <v>0.5474697881932914</v>
      </c>
      <c r="E14" s="20">
        <v>40</v>
      </c>
      <c r="F14" s="6">
        <v>34</v>
      </c>
      <c r="H14" s="2586">
        <f>SUM(C13:C17)</f>
        <v>1620062</v>
      </c>
      <c r="I14" s="2592">
        <f>SUM(D13:D17)</f>
        <v>1</v>
      </c>
      <c r="J14" s="2586">
        <f>SUM(E13:E17)</f>
        <v>223</v>
      </c>
      <c r="K14" s="2586">
        <f>SUM(F13:F17)</f>
        <v>40</v>
      </c>
    </row>
    <row r="15" spans="1:11">
      <c r="A15" t="s">
        <v>22</v>
      </c>
      <c r="C15" s="4">
        <v>200020</v>
      </c>
      <c r="D15" s="16">
        <f t="shared" si="0"/>
        <v>0.12346441062132189</v>
      </c>
      <c r="E15" s="20">
        <v>40</v>
      </c>
      <c r="F15" s="6">
        <v>2</v>
      </c>
      <c r="H15">
        <f>C12</f>
        <v>1620062</v>
      </c>
      <c r="I15" s="2593">
        <f>D12</f>
        <v>1</v>
      </c>
      <c r="J15">
        <f>E12</f>
        <v>223</v>
      </c>
      <c r="K15">
        <f>F12</f>
        <v>40</v>
      </c>
    </row>
    <row r="16" spans="1:11">
      <c r="A16" t="s">
        <v>23</v>
      </c>
      <c r="C16" s="4">
        <v>161030</v>
      </c>
      <c r="D16" s="16">
        <f t="shared" si="0"/>
        <v>9.9397430468710454E-2</v>
      </c>
      <c r="E16" s="9">
        <v>40</v>
      </c>
      <c r="F16" s="6">
        <v>4</v>
      </c>
    </row>
    <row r="17" spans="1:11">
      <c r="A17" t="s">
        <v>28</v>
      </c>
      <c r="C17" s="9">
        <f>+C12-SUM(C13:C16)</f>
        <v>54932</v>
      </c>
      <c r="D17" s="16">
        <f t="shared" si="0"/>
        <v>3.3907344286823592E-2</v>
      </c>
      <c r="E17" s="9">
        <f>+E12-SUM(E13:E16)</f>
        <v>63</v>
      </c>
      <c r="F17" s="9">
        <f>+F12-SUM(F13:F16)</f>
        <v>0</v>
      </c>
    </row>
    <row r="18" spans="1:11">
      <c r="C18" s="9"/>
      <c r="D18" s="21"/>
      <c r="E18" s="20"/>
      <c r="F18" s="20"/>
    </row>
    <row r="19" spans="1:11">
      <c r="A19" s="1" t="s">
        <v>19</v>
      </c>
      <c r="B19" s="1"/>
      <c r="C19" s="10">
        <v>2816748</v>
      </c>
      <c r="D19" s="15">
        <f t="shared" ref="D19:D24" si="1">+C19/C$19</f>
        <v>1</v>
      </c>
      <c r="E19" s="11">
        <v>431</v>
      </c>
      <c r="F19" s="11">
        <v>72</v>
      </c>
      <c r="H19" t="b">
        <f>H20=H21</f>
        <v>1</v>
      </c>
      <c r="I19" s="838" t="b">
        <f>I20=I21</f>
        <v>1</v>
      </c>
      <c r="J19" t="b">
        <f>J20=J21</f>
        <v>1</v>
      </c>
      <c r="K19" t="b">
        <f>K20=K21</f>
        <v>1</v>
      </c>
    </row>
    <row r="20" spans="1:11" s="8" customFormat="1">
      <c r="A20" t="s">
        <v>13</v>
      </c>
      <c r="C20" s="4">
        <v>493059</v>
      </c>
      <c r="D20" s="16">
        <f t="shared" si="1"/>
        <v>0.17504547797673062</v>
      </c>
      <c r="E20" s="9">
        <v>72</v>
      </c>
      <c r="F20" s="6">
        <v>0</v>
      </c>
      <c r="G20" s="12"/>
      <c r="H20" s="2586">
        <f>SUM(C20:C24)</f>
        <v>2816748</v>
      </c>
      <c r="I20" s="2592">
        <f>SUM(D20:D24)</f>
        <v>1</v>
      </c>
      <c r="J20" s="2586">
        <f>SUM(E20:E24)</f>
        <v>431</v>
      </c>
      <c r="K20" s="2586">
        <f>SUM(F20:F24)</f>
        <v>72</v>
      </c>
    </row>
    <row r="21" spans="1:11">
      <c r="A21" t="s">
        <v>14</v>
      </c>
      <c r="C21" s="4">
        <v>1283350</v>
      </c>
      <c r="D21" s="16">
        <f t="shared" si="1"/>
        <v>0.4556140627418569</v>
      </c>
      <c r="E21" s="20">
        <v>72</v>
      </c>
      <c r="F21" s="6">
        <v>56</v>
      </c>
      <c r="H21">
        <f>C19</f>
        <v>2816748</v>
      </c>
      <c r="I21" s="2593">
        <f>D19</f>
        <v>1</v>
      </c>
      <c r="J21">
        <f>E19</f>
        <v>431</v>
      </c>
      <c r="K21">
        <f>F19</f>
        <v>72</v>
      </c>
    </row>
    <row r="22" spans="1:11">
      <c r="A22" t="s">
        <v>22</v>
      </c>
      <c r="C22" s="4">
        <v>365362</v>
      </c>
      <c r="D22" s="16">
        <f t="shared" si="1"/>
        <v>0.1297105740378621</v>
      </c>
      <c r="E22" s="20">
        <v>72</v>
      </c>
      <c r="F22" s="6">
        <v>10</v>
      </c>
    </row>
    <row r="23" spans="1:11">
      <c r="A23" t="s">
        <v>24</v>
      </c>
      <c r="C23" s="4">
        <v>621550</v>
      </c>
      <c r="D23" s="16">
        <f t="shared" si="1"/>
        <v>0.22066226726707536</v>
      </c>
      <c r="E23" s="20">
        <v>72</v>
      </c>
      <c r="F23" s="6">
        <v>6</v>
      </c>
    </row>
    <row r="24" spans="1:11">
      <c r="A24" t="s">
        <v>28</v>
      </c>
      <c r="C24" s="9">
        <f>+C19-SUM(C20:C23)</f>
        <v>53427</v>
      </c>
      <c r="D24" s="16">
        <f t="shared" si="1"/>
        <v>1.8967617976474997E-2</v>
      </c>
      <c r="E24" s="9">
        <f>+E19-SUM(E20:E23)</f>
        <v>143</v>
      </c>
      <c r="F24" s="9">
        <f>+F19-SUM(F20:F23)</f>
        <v>0</v>
      </c>
    </row>
    <row r="25" spans="1:11">
      <c r="C25" s="9"/>
      <c r="D25" s="21"/>
      <c r="E25" s="20"/>
      <c r="F25" s="20"/>
    </row>
    <row r="26" spans="1:11">
      <c r="A26" s="1" t="s">
        <v>20</v>
      </c>
      <c r="B26" s="1"/>
      <c r="C26" s="10">
        <v>790762</v>
      </c>
      <c r="D26" s="15">
        <f t="shared" ref="D26:D35" si="2">+C26/C$26</f>
        <v>1</v>
      </c>
      <c r="E26" s="11">
        <v>125</v>
      </c>
      <c r="F26" s="11">
        <v>18</v>
      </c>
      <c r="H26" t="b">
        <f>H27=H28</f>
        <v>1</v>
      </c>
      <c r="I26" s="838" t="b">
        <f>I27=I28</f>
        <v>1</v>
      </c>
      <c r="J26" t="b">
        <f>J27=J28</f>
        <v>1</v>
      </c>
      <c r="K26" t="b">
        <f>K27=K28</f>
        <v>1</v>
      </c>
    </row>
    <row r="27" spans="1:11">
      <c r="A27" s="19" t="s">
        <v>13</v>
      </c>
      <c r="B27" s="1"/>
      <c r="C27" s="9">
        <v>9858</v>
      </c>
      <c r="D27" s="16">
        <f t="shared" si="2"/>
        <v>1.2466456405340672E-2</v>
      </c>
      <c r="E27" s="20">
        <v>8</v>
      </c>
      <c r="F27" s="20">
        <v>0</v>
      </c>
      <c r="H27" s="2586">
        <f>SUM(C27:C35)</f>
        <v>790762</v>
      </c>
      <c r="I27" s="2592">
        <f>SUM(D27:D35)</f>
        <v>1</v>
      </c>
      <c r="J27" s="2586">
        <f>SUM(E27:E35)</f>
        <v>125</v>
      </c>
      <c r="K27" s="2586">
        <f>SUM(F27:F35)</f>
        <v>18</v>
      </c>
    </row>
    <row r="28" spans="1:11">
      <c r="A28" t="s">
        <v>31</v>
      </c>
      <c r="C28" s="9">
        <v>258349</v>
      </c>
      <c r="D28" s="16">
        <f t="shared" si="2"/>
        <v>0.32670892126834622</v>
      </c>
      <c r="E28" s="20">
        <v>16</v>
      </c>
      <c r="F28" s="20">
        <v>10</v>
      </c>
      <c r="H28">
        <f>C26</f>
        <v>790762</v>
      </c>
      <c r="I28" s="2593">
        <f>D26</f>
        <v>1</v>
      </c>
      <c r="J28">
        <f>E26</f>
        <v>125</v>
      </c>
      <c r="K28">
        <f>F26</f>
        <v>18</v>
      </c>
    </row>
    <row r="29" spans="1:11">
      <c r="A29" t="s">
        <v>68</v>
      </c>
      <c r="C29" s="9">
        <v>107348</v>
      </c>
      <c r="D29" s="16">
        <f t="shared" si="2"/>
        <v>0.13575260318528204</v>
      </c>
      <c r="E29" s="20">
        <v>9</v>
      </c>
      <c r="F29" s="20">
        <v>2</v>
      </c>
    </row>
    <row r="30" spans="1:11">
      <c r="A30" t="s">
        <v>92</v>
      </c>
      <c r="C30" s="9">
        <v>12817</v>
      </c>
      <c r="D30" s="16">
        <f t="shared" si="2"/>
        <v>1.6208416691747961E-2</v>
      </c>
      <c r="E30" s="20">
        <v>1</v>
      </c>
      <c r="F30" s="20">
        <v>1</v>
      </c>
    </row>
    <row r="31" spans="1:11">
      <c r="A31" t="s">
        <v>93</v>
      </c>
      <c r="C31" s="9">
        <v>10928</v>
      </c>
      <c r="D31" s="16">
        <f t="shared" si="2"/>
        <v>1.3819581618742428E-2</v>
      </c>
      <c r="E31" s="20">
        <v>3</v>
      </c>
      <c r="F31" s="20">
        <v>0</v>
      </c>
    </row>
    <row r="32" spans="1:11" s="8" customFormat="1">
      <c r="A32" t="s">
        <v>75</v>
      </c>
      <c r="C32" s="9">
        <v>190814</v>
      </c>
      <c r="D32" s="16">
        <f t="shared" si="2"/>
        <v>0.24130395744863814</v>
      </c>
      <c r="E32" s="9">
        <v>18</v>
      </c>
      <c r="F32" s="9">
        <v>3</v>
      </c>
      <c r="G32" s="12"/>
      <c r="H32"/>
      <c r="I32" s="2595"/>
      <c r="J32"/>
      <c r="K32"/>
    </row>
    <row r="33" spans="1:11" s="8" customFormat="1">
      <c r="A33" s="19" t="s">
        <v>71</v>
      </c>
      <c r="C33" s="9">
        <v>62972</v>
      </c>
      <c r="D33" s="16">
        <f t="shared" si="2"/>
        <v>7.9634580316201339E-2</v>
      </c>
      <c r="E33" s="9">
        <v>17</v>
      </c>
      <c r="F33" s="9">
        <v>0</v>
      </c>
      <c r="G33" s="12"/>
      <c r="H33"/>
      <c r="I33" s="2595"/>
      <c r="J33"/>
      <c r="K33"/>
    </row>
    <row r="34" spans="1:11" s="8" customFormat="1">
      <c r="A34" s="19" t="s">
        <v>27</v>
      </c>
      <c r="C34" s="9">
        <v>126921</v>
      </c>
      <c r="D34" s="16">
        <f t="shared" si="2"/>
        <v>0.16050467776650876</v>
      </c>
      <c r="E34" s="9">
        <v>17</v>
      </c>
      <c r="F34" s="9">
        <v>2</v>
      </c>
      <c r="G34" s="12"/>
      <c r="H34"/>
      <c r="I34" s="2595"/>
      <c r="J34"/>
      <c r="K34"/>
    </row>
    <row r="35" spans="1:11">
      <c r="A35" t="s">
        <v>28</v>
      </c>
      <c r="C35" s="22">
        <f>+C26-SUM(C27:C34)</f>
        <v>10755</v>
      </c>
      <c r="D35" s="16">
        <f t="shared" si="2"/>
        <v>1.3600805299192425E-2</v>
      </c>
      <c r="E35" s="9">
        <f>+E26-SUM(E27:E34)</f>
        <v>36</v>
      </c>
      <c r="F35" s="9">
        <f>+F26-SUM(F27:F34)</f>
        <v>0</v>
      </c>
    </row>
    <row r="36" spans="1:11">
      <c r="C36" s="22"/>
      <c r="D36" s="16"/>
      <c r="E36" s="20"/>
      <c r="F36" s="9"/>
      <c r="H36" t="b">
        <f>H37=H38</f>
        <v>1</v>
      </c>
      <c r="I36" s="838" t="b">
        <f>I37=I38</f>
        <v>1</v>
      </c>
      <c r="J36" t="b">
        <f>J37=J38</f>
        <v>1</v>
      </c>
      <c r="K36" t="b">
        <f>K37=K38</f>
        <v>1</v>
      </c>
    </row>
    <row r="37" spans="1:11">
      <c r="A37" s="1" t="s">
        <v>35</v>
      </c>
      <c r="B37" s="1"/>
      <c r="C37" s="10">
        <f>+C19+C12+C6</f>
        <v>30495522</v>
      </c>
      <c r="D37" s="15">
        <f t="shared" ref="D37:D43" si="3">+C37/C$37</f>
        <v>1</v>
      </c>
      <c r="E37" s="10">
        <f>+E19+E12+E6</f>
        <v>3599</v>
      </c>
      <c r="F37" s="10">
        <f>+F19+F12+F6</f>
        <v>641</v>
      </c>
      <c r="H37" s="2586">
        <f>SUM(C38:C43)</f>
        <v>30495522</v>
      </c>
      <c r="I37" s="2592">
        <f>SUM(D38:D43)</f>
        <v>1</v>
      </c>
      <c r="J37" s="2586">
        <f>SUM(E38:E43)</f>
        <v>3599</v>
      </c>
      <c r="K37" s="2586">
        <f>SUM(F38:F43)</f>
        <v>641</v>
      </c>
    </row>
    <row r="38" spans="1:11" s="8" customFormat="1">
      <c r="A38" t="s">
        <v>13</v>
      </c>
      <c r="C38" s="9">
        <f t="shared" ref="C38:C43" si="4">SUMIF(A$7:A$24,A38,C$7:C$24)</f>
        <v>9591085</v>
      </c>
      <c r="D38" s="16">
        <f t="shared" si="3"/>
        <v>0.31450797923708274</v>
      </c>
      <c r="E38" s="9">
        <f t="shared" ref="E38:E43" si="5">SUMIF(A$7:A$24,A38,E$7:E$24)</f>
        <v>640</v>
      </c>
      <c r="F38" s="9">
        <f t="shared" ref="F38:F43" si="6">SUMIF(A$7:A$24,A38,F$7:F$24)</f>
        <v>165</v>
      </c>
      <c r="G38" s="12"/>
      <c r="H38">
        <f>C37</f>
        <v>30495522</v>
      </c>
      <c r="I38" s="2593">
        <f>D37</f>
        <v>1</v>
      </c>
      <c r="J38">
        <f>E37</f>
        <v>3599</v>
      </c>
      <c r="K38">
        <f>F37</f>
        <v>641</v>
      </c>
    </row>
    <row r="39" spans="1:11">
      <c r="A39" t="s">
        <v>14</v>
      </c>
      <c r="C39" s="9">
        <f t="shared" si="4"/>
        <v>13518167</v>
      </c>
      <c r="D39" s="16">
        <f t="shared" si="3"/>
        <v>0.44328367292745474</v>
      </c>
      <c r="E39" s="9">
        <f t="shared" si="5"/>
        <v>639</v>
      </c>
      <c r="F39" s="9">
        <f t="shared" si="6"/>
        <v>418</v>
      </c>
    </row>
    <row r="40" spans="1:11">
      <c r="A40" t="s">
        <v>22</v>
      </c>
      <c r="C40" s="9">
        <f t="shared" si="4"/>
        <v>5242947</v>
      </c>
      <c r="D40" s="16">
        <f t="shared" si="3"/>
        <v>0.1719251436325635</v>
      </c>
      <c r="E40" s="9">
        <f t="shared" si="5"/>
        <v>639</v>
      </c>
      <c r="F40" s="9">
        <f t="shared" si="6"/>
        <v>46</v>
      </c>
      <c r="H40" s="8"/>
      <c r="J40" s="8"/>
      <c r="K40" s="8"/>
    </row>
    <row r="41" spans="1:11">
      <c r="A41" t="s">
        <v>23</v>
      </c>
      <c r="C41" s="9">
        <f t="shared" si="4"/>
        <v>161030</v>
      </c>
      <c r="D41" s="16">
        <f t="shared" si="3"/>
        <v>5.2804474047042057E-3</v>
      </c>
      <c r="E41" s="9">
        <f t="shared" si="5"/>
        <v>40</v>
      </c>
      <c r="F41" s="9">
        <f t="shared" si="6"/>
        <v>4</v>
      </c>
    </row>
    <row r="42" spans="1:11">
      <c r="A42" t="s">
        <v>24</v>
      </c>
      <c r="C42" s="9">
        <f t="shared" si="4"/>
        <v>621550</v>
      </c>
      <c r="D42" s="16">
        <f t="shared" si="3"/>
        <v>2.0381680956305652E-2</v>
      </c>
      <c r="E42" s="9">
        <f t="shared" si="5"/>
        <v>72</v>
      </c>
      <c r="F42" s="9">
        <f t="shared" si="6"/>
        <v>6</v>
      </c>
    </row>
    <row r="43" spans="1:11">
      <c r="A43" t="s">
        <v>28</v>
      </c>
      <c r="C43" s="9">
        <f t="shared" si="4"/>
        <v>1360743</v>
      </c>
      <c r="D43" s="16">
        <f t="shared" si="3"/>
        <v>4.462107584188918E-2</v>
      </c>
      <c r="E43" s="9">
        <f t="shared" si="5"/>
        <v>1569</v>
      </c>
      <c r="F43" s="9">
        <f t="shared" si="6"/>
        <v>2</v>
      </c>
    </row>
    <row r="44" spans="1:11">
      <c r="A44" s="1"/>
      <c r="B44" s="1"/>
      <c r="C44" s="22"/>
      <c r="D44" s="21"/>
      <c r="E44" s="20"/>
      <c r="F44" s="9"/>
      <c r="H44" t="b">
        <f>H45=H46</f>
        <v>1</v>
      </c>
      <c r="I44" s="838" t="b">
        <f>I45=I46</f>
        <v>1</v>
      </c>
      <c r="J44" t="b">
        <f>J45=J46</f>
        <v>1</v>
      </c>
      <c r="K44" t="b">
        <f>K45=K46</f>
        <v>1</v>
      </c>
    </row>
    <row r="45" spans="1:11">
      <c r="A45" s="1" t="s">
        <v>46</v>
      </c>
      <c r="B45" s="1"/>
      <c r="C45" s="10">
        <f>+C37+C26</f>
        <v>31286284</v>
      </c>
      <c r="D45" s="15">
        <f t="shared" ref="D45:D51" si="7">+C45/C$45</f>
        <v>1</v>
      </c>
      <c r="E45" s="10">
        <f>+E37+E26</f>
        <v>3724</v>
      </c>
      <c r="F45" s="10">
        <f>+F37+F26</f>
        <v>659</v>
      </c>
      <c r="H45" s="2586">
        <f>SUM(C46:C51)</f>
        <v>31286284</v>
      </c>
      <c r="I45" s="2592">
        <f>SUM(D46:D51)</f>
        <v>1</v>
      </c>
      <c r="J45" s="2586">
        <f>SUM(E46:E51)</f>
        <v>3724</v>
      </c>
      <c r="K45" s="2586">
        <f>SUM(F46:F51)</f>
        <v>659</v>
      </c>
    </row>
    <row r="46" spans="1:11">
      <c r="A46" t="s">
        <v>13</v>
      </c>
      <c r="B46" s="8"/>
      <c r="C46" s="9">
        <f>+C38+C27</f>
        <v>9600943</v>
      </c>
      <c r="D46" s="16">
        <f t="shared" si="7"/>
        <v>0.3068738684338479</v>
      </c>
      <c r="E46" s="9">
        <f>+E38+E27</f>
        <v>648</v>
      </c>
      <c r="F46" s="9">
        <f>+F38+F27</f>
        <v>165</v>
      </c>
      <c r="H46">
        <f>C45</f>
        <v>31286284</v>
      </c>
      <c r="I46" s="2593">
        <f>D45</f>
        <v>1</v>
      </c>
      <c r="J46">
        <f>E45</f>
        <v>3724</v>
      </c>
      <c r="K46">
        <f>F45</f>
        <v>659</v>
      </c>
    </row>
    <row r="47" spans="1:11">
      <c r="A47" t="s">
        <v>14</v>
      </c>
      <c r="C47" s="9">
        <f>+C39</f>
        <v>13518167</v>
      </c>
      <c r="D47" s="16">
        <f t="shared" si="7"/>
        <v>0.43207966148999988</v>
      </c>
      <c r="E47" s="9">
        <f>+E39</f>
        <v>639</v>
      </c>
      <c r="F47" s="9">
        <f>+F39</f>
        <v>418</v>
      </c>
      <c r="G47" s="18"/>
    </row>
    <row r="48" spans="1:11">
      <c r="A48" t="s">
        <v>22</v>
      </c>
      <c r="C48" s="9">
        <f>+C40</f>
        <v>5242947</v>
      </c>
      <c r="D48" s="16">
        <f t="shared" si="7"/>
        <v>0.16757972918739727</v>
      </c>
      <c r="E48" s="9">
        <f>+E40</f>
        <v>639</v>
      </c>
      <c r="F48" s="9">
        <f>+F40</f>
        <v>46</v>
      </c>
    </row>
    <row r="49" spans="1:7">
      <c r="A49" t="s">
        <v>23</v>
      </c>
      <c r="C49" s="9">
        <f>+C16</f>
        <v>161030</v>
      </c>
      <c r="D49" s="16">
        <f t="shared" si="7"/>
        <v>5.1469838987589578E-3</v>
      </c>
      <c r="E49" s="9">
        <f>+E16</f>
        <v>40</v>
      </c>
      <c r="F49" s="9">
        <f>+F16</f>
        <v>4</v>
      </c>
    </row>
    <row r="50" spans="1:7">
      <c r="A50" t="s">
        <v>24</v>
      </c>
      <c r="C50" s="9">
        <f>+C42</f>
        <v>621550</v>
      </c>
      <c r="D50" s="16">
        <f t="shared" si="7"/>
        <v>1.9866533206692107E-2</v>
      </c>
      <c r="E50" s="9">
        <f>+E42</f>
        <v>72</v>
      </c>
      <c r="F50" s="9">
        <f>+F42</f>
        <v>6</v>
      </c>
    </row>
    <row r="51" spans="1:7">
      <c r="A51" t="s">
        <v>28</v>
      </c>
      <c r="C51" s="9">
        <f>+C45-SUM(C46:C50)</f>
        <v>2141647</v>
      </c>
      <c r="D51" s="16">
        <f t="shared" si="7"/>
        <v>6.8453223783303888E-2</v>
      </c>
      <c r="E51" s="9">
        <f>+E45-SUM(E46:E50)</f>
        <v>1686</v>
      </c>
      <c r="F51" s="9">
        <f>+F45-SUM(F46:F50)</f>
        <v>20</v>
      </c>
    </row>
    <row r="53" spans="1:7">
      <c r="A53" s="3" t="s">
        <v>21</v>
      </c>
      <c r="B53" s="7" t="s">
        <v>43</v>
      </c>
      <c r="D53"/>
      <c r="E53"/>
      <c r="F53"/>
      <c r="G53"/>
    </row>
  </sheetData>
  <mergeCells count="1">
    <mergeCell ref="A2:B2"/>
  </mergeCells>
  <phoneticPr fontId="10" type="noConversion"/>
  <pageMargins left="0.75" right="0.75" top="1" bottom="1" header="0.5" footer="0.5"/>
  <pageSetup paperSize="9" orientation="portrait" horizontalDpi="120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96"/>
  <dimension ref="A1:K53"/>
  <sheetViews>
    <sheetView workbookViewId="0">
      <selection activeCell="O68" sqref="O68"/>
    </sheetView>
  </sheetViews>
  <sheetFormatPr baseColWidth="10" defaultColWidth="9.3984375" defaultRowHeight="13"/>
  <cols>
    <col min="1" max="1" width="7.19921875" style="55" customWidth="1"/>
    <col min="2" max="2" width="25.796875" style="55" customWidth="1"/>
    <col min="3" max="3" width="13.3984375" style="75" customWidth="1"/>
    <col min="4" max="4" width="11.59765625" style="53" customWidth="1"/>
    <col min="5" max="5" width="9.796875" style="54" customWidth="1"/>
    <col min="6" max="6" width="10.19921875" style="52" customWidth="1"/>
    <col min="7" max="7" width="13" style="52" customWidth="1"/>
    <col min="8" max="8" width="12" customWidth="1"/>
    <col min="9" max="9" width="11.3984375" style="2594" customWidth="1"/>
    <col min="10" max="10" width="13.796875" customWidth="1"/>
    <col min="12" max="12" width="13" style="55" customWidth="1"/>
    <col min="13" max="13" width="9.3984375" style="55"/>
    <col min="14" max="14" width="10.19921875" style="55" customWidth="1"/>
    <col min="15" max="16" width="12.59765625" style="55" customWidth="1"/>
    <col min="17" max="16384" width="9.3984375" style="55"/>
  </cols>
  <sheetData>
    <row r="1" spans="1:11">
      <c r="A1" s="51" t="s">
        <v>1266</v>
      </c>
      <c r="B1" s="51"/>
      <c r="C1" s="52"/>
    </row>
    <row r="2" spans="1:11">
      <c r="A2" s="3526">
        <v>37049</v>
      </c>
      <c r="B2" s="3527"/>
      <c r="C2" s="52"/>
    </row>
    <row r="3" spans="1:11" ht="3.5" customHeight="1">
      <c r="A3" s="51"/>
      <c r="B3" s="51"/>
      <c r="C3" s="52"/>
    </row>
    <row r="4" spans="1:11">
      <c r="C4" s="52" t="s">
        <v>34</v>
      </c>
      <c r="D4" s="53" t="s">
        <v>36</v>
      </c>
      <c r="E4" s="54" t="s">
        <v>37</v>
      </c>
      <c r="F4" s="52" t="s">
        <v>25</v>
      </c>
    </row>
    <row r="5" spans="1:11">
      <c r="C5" s="56"/>
      <c r="D5" s="57"/>
      <c r="E5" s="58"/>
      <c r="F5" s="56"/>
      <c r="G5" s="56"/>
      <c r="H5" t="b">
        <f>H6=H7</f>
        <v>1</v>
      </c>
      <c r="I5" s="2590" t="b">
        <f>I6=I7</f>
        <v>1</v>
      </c>
      <c r="J5" t="b">
        <f>J6=J7</f>
        <v>1</v>
      </c>
      <c r="K5" t="b">
        <f>K6=K7</f>
        <v>1</v>
      </c>
    </row>
    <row r="6" spans="1:11" s="51" customFormat="1">
      <c r="A6" s="51" t="s">
        <v>17</v>
      </c>
      <c r="C6" s="59">
        <v>21870762</v>
      </c>
      <c r="D6" s="60">
        <f>+C6/C$6</f>
        <v>1</v>
      </c>
      <c r="E6" s="59">
        <v>2588</v>
      </c>
      <c r="F6" s="61">
        <v>529</v>
      </c>
      <c r="G6" s="59"/>
      <c r="H6" s="2586">
        <f>SUM(C7:C10)</f>
        <v>21870762</v>
      </c>
      <c r="I6" s="2587">
        <f>SUM(D7:D10)</f>
        <v>1</v>
      </c>
      <c r="J6" s="2586">
        <f>SUM(E7:E10)</f>
        <v>2588</v>
      </c>
      <c r="K6" s="2586">
        <f>SUM(F7:F10)</f>
        <v>529</v>
      </c>
    </row>
    <row r="7" spans="1:11" s="62" customFormat="1">
      <c r="A7" s="55" t="s">
        <v>13</v>
      </c>
      <c r="C7" s="56">
        <v>7705870</v>
      </c>
      <c r="D7" s="63">
        <f>+C7/C$6</f>
        <v>0.35233660354403745</v>
      </c>
      <c r="E7" s="64">
        <v>529</v>
      </c>
      <c r="F7" s="58">
        <v>165</v>
      </c>
      <c r="G7" s="64"/>
      <c r="H7">
        <f>C6</f>
        <v>21870762</v>
      </c>
      <c r="I7" s="830">
        <f>D6</f>
        <v>1</v>
      </c>
      <c r="J7">
        <f>E6</f>
        <v>2588</v>
      </c>
      <c r="K7">
        <f>F6</f>
        <v>529</v>
      </c>
    </row>
    <row r="8" spans="1:11">
      <c r="A8" s="55" t="s">
        <v>14</v>
      </c>
      <c r="C8" s="56">
        <v>9056824</v>
      </c>
      <c r="D8" s="63">
        <f>+C8/C$6</f>
        <v>0.41410646780391097</v>
      </c>
      <c r="E8" s="65">
        <v>529</v>
      </c>
      <c r="F8" s="58">
        <v>323</v>
      </c>
      <c r="G8" s="56"/>
    </row>
    <row r="9" spans="1:11">
      <c r="A9" s="55" t="s">
        <v>22</v>
      </c>
      <c r="C9" s="56">
        <v>4246853</v>
      </c>
      <c r="D9" s="63">
        <f>+C9/C$6</f>
        <v>0.19417947120452411</v>
      </c>
      <c r="E9" s="65">
        <v>528</v>
      </c>
      <c r="F9" s="58">
        <v>40</v>
      </c>
      <c r="G9" s="56"/>
    </row>
    <row r="10" spans="1:11">
      <c r="A10" s="55" t="s">
        <v>28</v>
      </c>
      <c r="C10" s="56">
        <f>+C6-SUM(C7:C9)</f>
        <v>861215</v>
      </c>
      <c r="D10" s="63">
        <f>+C10/C$6</f>
        <v>3.9377457447527436E-2</v>
      </c>
      <c r="E10" s="56">
        <f>+E6-SUM(E7:E9)</f>
        <v>1002</v>
      </c>
      <c r="F10" s="56">
        <f>+F6-SUM(F7:F9)</f>
        <v>1</v>
      </c>
      <c r="G10" s="56"/>
      <c r="H10" s="8"/>
      <c r="J10" s="8"/>
      <c r="K10" s="8"/>
    </row>
    <row r="11" spans="1:11">
      <c r="C11" s="64"/>
      <c r="D11" s="66"/>
      <c r="E11" s="65"/>
      <c r="F11" s="65"/>
      <c r="G11" s="56"/>
    </row>
    <row r="12" spans="1:11">
      <c r="A12" s="51" t="s">
        <v>18</v>
      </c>
      <c r="B12" s="51"/>
      <c r="C12" s="59">
        <v>1372546</v>
      </c>
      <c r="D12" s="60">
        <f t="shared" ref="D12:D17" si="0">+C12/C$12</f>
        <v>1</v>
      </c>
      <c r="E12" s="61">
        <v>224</v>
      </c>
      <c r="F12" s="61">
        <v>40</v>
      </c>
      <c r="G12" s="56"/>
    </row>
    <row r="13" spans="1:11">
      <c r="A13" s="55" t="s">
        <v>13</v>
      </c>
      <c r="B13" s="67"/>
      <c r="C13" s="56">
        <v>268665</v>
      </c>
      <c r="D13" s="63">
        <f t="shared" si="0"/>
        <v>0.19574207348970454</v>
      </c>
      <c r="E13" s="64">
        <v>40</v>
      </c>
      <c r="F13" s="58">
        <v>0</v>
      </c>
      <c r="G13" s="56"/>
      <c r="H13" t="b">
        <f>H14=H15</f>
        <v>1</v>
      </c>
      <c r="I13" s="2590" t="b">
        <f>I14=I15</f>
        <v>1</v>
      </c>
      <c r="J13" t="b">
        <f>J14=J15</f>
        <v>1</v>
      </c>
      <c r="K13" t="b">
        <f>K14=K15</f>
        <v>1</v>
      </c>
    </row>
    <row r="14" spans="1:11">
      <c r="A14" s="55" t="s">
        <v>14</v>
      </c>
      <c r="C14" s="56">
        <v>666956</v>
      </c>
      <c r="D14" s="63">
        <f t="shared" si="0"/>
        <v>0.48592615475182616</v>
      </c>
      <c r="E14" s="65">
        <v>40</v>
      </c>
      <c r="F14" s="58">
        <v>34</v>
      </c>
      <c r="G14" s="56"/>
      <c r="H14" s="2586">
        <f>SUM(C13:C17)</f>
        <v>1372546</v>
      </c>
      <c r="I14" s="2587">
        <f>SUM(D13:D17)</f>
        <v>1</v>
      </c>
      <c r="J14" s="2586">
        <f>SUM(E13:E17)</f>
        <v>224</v>
      </c>
      <c r="K14" s="2586">
        <f>SUM(F13:F17)</f>
        <v>40</v>
      </c>
    </row>
    <row r="15" spans="1:11">
      <c r="A15" s="55" t="s">
        <v>22</v>
      </c>
      <c r="C15" s="56">
        <v>189434</v>
      </c>
      <c r="D15" s="63">
        <f t="shared" si="0"/>
        <v>0.13801650363630799</v>
      </c>
      <c r="E15" s="65">
        <v>40</v>
      </c>
      <c r="F15" s="58">
        <v>2</v>
      </c>
      <c r="G15" s="56"/>
      <c r="H15">
        <f>C12</f>
        <v>1372546</v>
      </c>
      <c r="I15" s="830">
        <f>D12</f>
        <v>1</v>
      </c>
      <c r="J15">
        <f>E12</f>
        <v>224</v>
      </c>
      <c r="K15">
        <f>F12</f>
        <v>40</v>
      </c>
    </row>
    <row r="16" spans="1:11">
      <c r="A16" s="55" t="s">
        <v>23</v>
      </c>
      <c r="C16" s="56">
        <v>195893</v>
      </c>
      <c r="D16" s="63">
        <f t="shared" si="0"/>
        <v>0.14272235684632792</v>
      </c>
      <c r="E16" s="64">
        <v>40</v>
      </c>
      <c r="F16" s="58">
        <v>4</v>
      </c>
      <c r="G16" s="56"/>
    </row>
    <row r="17" spans="1:11">
      <c r="A17" s="55" t="s">
        <v>28</v>
      </c>
      <c r="C17" s="64">
        <f>+C12-SUM(C13:C16)</f>
        <v>51598</v>
      </c>
      <c r="D17" s="63">
        <f t="shared" si="0"/>
        <v>3.7592911275833377E-2</v>
      </c>
      <c r="E17" s="64">
        <f>+E12-SUM(E13:E16)</f>
        <v>64</v>
      </c>
      <c r="F17" s="64">
        <f>+F12-SUM(F13:F16)</f>
        <v>0</v>
      </c>
      <c r="G17" s="56"/>
    </row>
    <row r="18" spans="1:11">
      <c r="C18" s="64"/>
      <c r="D18" s="66"/>
      <c r="E18" s="65"/>
      <c r="F18" s="65"/>
      <c r="G18" s="56"/>
    </row>
    <row r="19" spans="1:11">
      <c r="A19" s="51" t="s">
        <v>19</v>
      </c>
      <c r="B19" s="51"/>
      <c r="C19" s="59">
        <v>2313701</v>
      </c>
      <c r="D19" s="60">
        <f t="shared" ref="D19:D24" si="1">+C19/C$19</f>
        <v>1</v>
      </c>
      <c r="E19" s="61">
        <v>407</v>
      </c>
      <c r="F19" s="61">
        <v>72</v>
      </c>
      <c r="H19" t="b">
        <f>H20=H21</f>
        <v>1</v>
      </c>
      <c r="I19" s="2590" t="b">
        <f>I20=I21</f>
        <v>1</v>
      </c>
      <c r="J19" t="b">
        <f>J20=J21</f>
        <v>1</v>
      </c>
      <c r="K19" t="b">
        <f>K20=K21</f>
        <v>1</v>
      </c>
    </row>
    <row r="20" spans="1:11" s="67" customFormat="1">
      <c r="A20" s="55" t="s">
        <v>13</v>
      </c>
      <c r="C20" s="56">
        <v>360658</v>
      </c>
      <c r="D20" s="63">
        <f t="shared" si="1"/>
        <v>0.15587926011182948</v>
      </c>
      <c r="E20" s="64">
        <v>71</v>
      </c>
      <c r="F20" s="58">
        <v>1</v>
      </c>
      <c r="G20" s="68"/>
      <c r="H20" s="2586">
        <f>SUM(C20:C24)</f>
        <v>2313701</v>
      </c>
      <c r="I20" s="2587">
        <f>SUM(D20:D24)</f>
        <v>1</v>
      </c>
      <c r="J20" s="2586">
        <f>SUM(E20:E24)</f>
        <v>407</v>
      </c>
      <c r="K20" s="2586">
        <f>SUM(F20:F24)</f>
        <v>72</v>
      </c>
    </row>
    <row r="21" spans="1:11">
      <c r="A21" s="55" t="s">
        <v>14</v>
      </c>
      <c r="C21" s="56">
        <v>1001173</v>
      </c>
      <c r="D21" s="63">
        <f t="shared" si="1"/>
        <v>0.43271494458445581</v>
      </c>
      <c r="E21" s="65">
        <v>71</v>
      </c>
      <c r="F21" s="58">
        <v>55</v>
      </c>
      <c r="H21">
        <f>C19</f>
        <v>2313701</v>
      </c>
      <c r="I21" s="830">
        <f>D19</f>
        <v>1</v>
      </c>
      <c r="J21">
        <f>E19</f>
        <v>407</v>
      </c>
      <c r="K21">
        <f>F19</f>
        <v>72</v>
      </c>
    </row>
    <row r="22" spans="1:11">
      <c r="A22" s="55" t="s">
        <v>22</v>
      </c>
      <c r="C22" s="56">
        <v>378034</v>
      </c>
      <c r="D22" s="63">
        <f t="shared" si="1"/>
        <v>0.16338930570544768</v>
      </c>
      <c r="E22" s="65">
        <v>71</v>
      </c>
      <c r="F22" s="58">
        <v>10</v>
      </c>
    </row>
    <row r="23" spans="1:11">
      <c r="A23" s="55" t="s">
        <v>24</v>
      </c>
      <c r="C23" s="56">
        <v>464314</v>
      </c>
      <c r="D23" s="63">
        <f t="shared" si="1"/>
        <v>0.20068020889475346</v>
      </c>
      <c r="E23" s="65">
        <v>72</v>
      </c>
      <c r="F23" s="58">
        <v>5</v>
      </c>
    </row>
    <row r="24" spans="1:11">
      <c r="A24" s="55" t="s">
        <v>28</v>
      </c>
      <c r="C24" s="64">
        <f>+C19-SUM(C20:C23)</f>
        <v>109522</v>
      </c>
      <c r="D24" s="63">
        <f t="shared" si="1"/>
        <v>4.7336280703513547E-2</v>
      </c>
      <c r="E24" s="64">
        <f>+E19-SUM(E20:E23)</f>
        <v>122</v>
      </c>
      <c r="F24" s="64">
        <f>+F19-SUM(F20:F23)</f>
        <v>1</v>
      </c>
    </row>
    <row r="25" spans="1:11">
      <c r="C25" s="64"/>
      <c r="D25" s="66"/>
      <c r="E25" s="65"/>
      <c r="F25" s="65"/>
    </row>
    <row r="26" spans="1:11">
      <c r="A26" s="51" t="s">
        <v>20</v>
      </c>
      <c r="B26" s="51"/>
      <c r="C26" s="59">
        <v>810374</v>
      </c>
      <c r="D26" s="60">
        <f t="shared" ref="D26:D32" si="2">+C26/C$26</f>
        <v>1</v>
      </c>
      <c r="E26" s="61">
        <v>100</v>
      </c>
      <c r="F26" s="61">
        <v>18</v>
      </c>
      <c r="H26" t="b">
        <f>H27=H28</f>
        <v>1</v>
      </c>
      <c r="I26" s="2590" t="b">
        <f>I27=I28</f>
        <v>1</v>
      </c>
      <c r="J26" t="b">
        <f>J27=J28</f>
        <v>1</v>
      </c>
      <c r="K26" t="b">
        <f>K27=K28</f>
        <v>1</v>
      </c>
    </row>
    <row r="27" spans="1:11">
      <c r="A27" s="62" t="s">
        <v>13</v>
      </c>
      <c r="B27" s="51"/>
      <c r="C27" s="64">
        <v>2422</v>
      </c>
      <c r="D27" s="63">
        <f>+C27/C$26</f>
        <v>2.9887434690649009E-3</v>
      </c>
      <c r="E27" s="65">
        <v>3</v>
      </c>
      <c r="F27" s="65">
        <v>0</v>
      </c>
      <c r="H27" s="2586">
        <f>SUM(C27:C34)</f>
        <v>810374</v>
      </c>
      <c r="I27" s="2587">
        <f>SUM(D27:D34)</f>
        <v>1</v>
      </c>
      <c r="J27" s="2586">
        <f>SUM(E27:E34)</f>
        <v>100</v>
      </c>
      <c r="K27" s="2586">
        <f>SUM(F27:F34)</f>
        <v>18</v>
      </c>
    </row>
    <row r="28" spans="1:11">
      <c r="A28" s="55" t="s">
        <v>31</v>
      </c>
      <c r="C28" s="64">
        <v>216839</v>
      </c>
      <c r="D28" s="63">
        <f t="shared" si="2"/>
        <v>0.26757892035035674</v>
      </c>
      <c r="E28" s="65">
        <v>17</v>
      </c>
      <c r="F28" s="65">
        <v>6</v>
      </c>
      <c r="H28">
        <f>C26</f>
        <v>810374</v>
      </c>
      <c r="I28" s="830">
        <f>D26</f>
        <v>1</v>
      </c>
      <c r="J28">
        <f>E26</f>
        <v>100</v>
      </c>
      <c r="K28">
        <f>F26</f>
        <v>18</v>
      </c>
    </row>
    <row r="29" spans="1:11">
      <c r="A29" s="55" t="s">
        <v>68</v>
      </c>
      <c r="C29" s="64">
        <v>181999</v>
      </c>
      <c r="D29" s="63">
        <f t="shared" si="2"/>
        <v>0.22458642552697891</v>
      </c>
      <c r="E29" s="65">
        <v>14</v>
      </c>
      <c r="F29" s="65">
        <v>5</v>
      </c>
    </row>
    <row r="30" spans="1:11">
      <c r="A30" s="55" t="s">
        <v>92</v>
      </c>
      <c r="C30" s="64">
        <v>13509</v>
      </c>
      <c r="D30" s="63">
        <f t="shared" si="2"/>
        <v>1.6670080728157614E-2</v>
      </c>
      <c r="E30" s="65">
        <v>1</v>
      </c>
      <c r="F30" s="65">
        <v>0</v>
      </c>
    </row>
    <row r="31" spans="1:11" s="67" customFormat="1">
      <c r="A31" s="55" t="s">
        <v>75</v>
      </c>
      <c r="C31" s="64">
        <v>169865</v>
      </c>
      <c r="D31" s="63">
        <f t="shared" si="2"/>
        <v>0.20961309222655219</v>
      </c>
      <c r="E31" s="64">
        <v>18</v>
      </c>
      <c r="F31" s="64">
        <v>3</v>
      </c>
      <c r="G31" s="68"/>
      <c r="H31"/>
      <c r="I31" s="2594"/>
      <c r="J31"/>
      <c r="K31"/>
    </row>
    <row r="32" spans="1:11" s="67" customFormat="1">
      <c r="A32" s="62" t="s">
        <v>71</v>
      </c>
      <c r="C32" s="64">
        <v>28999</v>
      </c>
      <c r="D32" s="63">
        <f t="shared" si="2"/>
        <v>3.5784711750376987E-2</v>
      </c>
      <c r="E32" s="64">
        <v>10</v>
      </c>
      <c r="F32" s="64">
        <v>0</v>
      </c>
      <c r="G32" s="68"/>
      <c r="H32"/>
      <c r="I32" s="2594"/>
      <c r="J32"/>
      <c r="K32"/>
    </row>
    <row r="33" spans="1:11" s="67" customFormat="1">
      <c r="A33" s="62" t="s">
        <v>27</v>
      </c>
      <c r="C33" s="64">
        <v>175933</v>
      </c>
      <c r="D33" s="63">
        <f>+C33/C$26</f>
        <v>0.21710099287489479</v>
      </c>
      <c r="E33" s="64">
        <v>18</v>
      </c>
      <c r="F33" s="64">
        <v>4</v>
      </c>
      <c r="G33" s="68"/>
      <c r="H33"/>
      <c r="I33" s="2594"/>
      <c r="J33"/>
      <c r="K33"/>
    </row>
    <row r="34" spans="1:11">
      <c r="A34" s="55" t="s">
        <v>28</v>
      </c>
      <c r="C34" s="69">
        <f>+C26-SUM(C27:C33)</f>
        <v>20808</v>
      </c>
      <c r="D34" s="63">
        <f>+C34/C$26</f>
        <v>2.567703307361786E-2</v>
      </c>
      <c r="E34" s="64">
        <f>+E26-SUM(E27:E33)</f>
        <v>19</v>
      </c>
      <c r="F34" s="64">
        <f>+F26-SUM(F27:F33)</f>
        <v>0</v>
      </c>
    </row>
    <row r="35" spans="1:11">
      <c r="C35" s="69"/>
      <c r="D35" s="63"/>
      <c r="E35" s="65"/>
      <c r="F35" s="64"/>
      <c r="G35" s="56"/>
    </row>
    <row r="36" spans="1:11">
      <c r="C36" s="69"/>
      <c r="D36" s="63"/>
      <c r="E36" s="65"/>
      <c r="F36" s="64"/>
      <c r="G36" s="56"/>
      <c r="H36" t="b">
        <f>H37=H38</f>
        <v>1</v>
      </c>
      <c r="I36" s="2590" t="b">
        <f>I37=I38</f>
        <v>1</v>
      </c>
      <c r="J36" t="b">
        <f>J37=J38</f>
        <v>1</v>
      </c>
      <c r="K36" t="b">
        <f>K37=K38</f>
        <v>1</v>
      </c>
    </row>
    <row r="37" spans="1:11">
      <c r="A37" s="51" t="s">
        <v>35</v>
      </c>
      <c r="B37" s="51"/>
      <c r="C37" s="59">
        <f>+C19+C12+C6</f>
        <v>25557009</v>
      </c>
      <c r="D37" s="60">
        <f t="shared" ref="D37:D43" si="3">+C37/C$37</f>
        <v>1</v>
      </c>
      <c r="E37" s="59">
        <f>+E19+E12+E6</f>
        <v>3219</v>
      </c>
      <c r="F37" s="59">
        <f>+F19+F12+F6</f>
        <v>641</v>
      </c>
      <c r="G37" s="56"/>
      <c r="H37" s="2586">
        <f>SUM(C38:C43)</f>
        <v>25557009</v>
      </c>
      <c r="I37" s="2587">
        <f>SUM(D38:D43)</f>
        <v>1</v>
      </c>
      <c r="J37" s="2586">
        <f>SUM(E38:E43)</f>
        <v>3219</v>
      </c>
      <c r="K37" s="2586">
        <f>SUM(F38:F43)</f>
        <v>641</v>
      </c>
    </row>
    <row r="38" spans="1:11" s="67" customFormat="1">
      <c r="A38" s="55" t="s">
        <v>13</v>
      </c>
      <c r="C38" s="64">
        <f t="shared" ref="C38:C43" si="4">SUMIF(A$7:A$24,A38,C$7:C$24)</f>
        <v>8335193</v>
      </c>
      <c r="D38" s="63">
        <f t="shared" si="3"/>
        <v>0.32614117716200669</v>
      </c>
      <c r="E38" s="64">
        <f t="shared" ref="E38:E43" si="5">SUMIF(A$7:A$24,A38,E$7:E$24)</f>
        <v>640</v>
      </c>
      <c r="F38" s="64">
        <f t="shared" ref="F38:F43" si="6">SUMIF(A$7:A$24,A38,F$7:F$24)</f>
        <v>166</v>
      </c>
      <c r="G38" s="70"/>
      <c r="H38">
        <f>C37</f>
        <v>25557009</v>
      </c>
      <c r="I38" s="830">
        <f>D37</f>
        <v>1</v>
      </c>
      <c r="J38">
        <f>E37</f>
        <v>3219</v>
      </c>
      <c r="K38">
        <f>F37</f>
        <v>641</v>
      </c>
    </row>
    <row r="39" spans="1:11">
      <c r="A39" s="55" t="s">
        <v>14</v>
      </c>
      <c r="C39" s="64">
        <f t="shared" si="4"/>
        <v>10724953</v>
      </c>
      <c r="D39" s="63">
        <f t="shared" si="3"/>
        <v>0.41964820687741666</v>
      </c>
      <c r="E39" s="64">
        <f t="shared" si="5"/>
        <v>640</v>
      </c>
      <c r="F39" s="64">
        <f t="shared" si="6"/>
        <v>412</v>
      </c>
      <c r="G39" s="56"/>
    </row>
    <row r="40" spans="1:11">
      <c r="A40" s="55" t="s">
        <v>22</v>
      </c>
      <c r="C40" s="64">
        <f t="shared" si="4"/>
        <v>4814321</v>
      </c>
      <c r="D40" s="63">
        <f t="shared" si="3"/>
        <v>0.18837576024643574</v>
      </c>
      <c r="E40" s="64">
        <f t="shared" si="5"/>
        <v>639</v>
      </c>
      <c r="F40" s="64">
        <f t="shared" si="6"/>
        <v>52</v>
      </c>
      <c r="G40" s="56"/>
      <c r="H40" s="8"/>
      <c r="J40" s="8"/>
      <c r="K40" s="8"/>
    </row>
    <row r="41" spans="1:11">
      <c r="A41" s="55" t="s">
        <v>23</v>
      </c>
      <c r="C41" s="64">
        <f t="shared" si="4"/>
        <v>195893</v>
      </c>
      <c r="D41" s="63">
        <f t="shared" si="3"/>
        <v>7.6649423256062556E-3</v>
      </c>
      <c r="E41" s="64">
        <f t="shared" si="5"/>
        <v>40</v>
      </c>
      <c r="F41" s="64">
        <f t="shared" si="6"/>
        <v>4</v>
      </c>
      <c r="G41" s="56"/>
    </row>
    <row r="42" spans="1:11">
      <c r="A42" s="55" t="s">
        <v>24</v>
      </c>
      <c r="C42" s="64">
        <f t="shared" si="4"/>
        <v>464314</v>
      </c>
      <c r="D42" s="63">
        <f t="shared" si="3"/>
        <v>1.8167775423172564E-2</v>
      </c>
      <c r="E42" s="64">
        <f t="shared" si="5"/>
        <v>72</v>
      </c>
      <c r="F42" s="64">
        <f t="shared" si="6"/>
        <v>5</v>
      </c>
      <c r="G42" s="56"/>
    </row>
    <row r="43" spans="1:11">
      <c r="A43" s="55" t="s">
        <v>28</v>
      </c>
      <c r="C43" s="64">
        <f t="shared" si="4"/>
        <v>1022335</v>
      </c>
      <c r="D43" s="63">
        <f t="shared" si="3"/>
        <v>4.0002137965362068E-2</v>
      </c>
      <c r="E43" s="64">
        <f t="shared" si="5"/>
        <v>1188</v>
      </c>
      <c r="F43" s="64">
        <f t="shared" si="6"/>
        <v>2</v>
      </c>
      <c r="G43" s="56"/>
    </row>
    <row r="44" spans="1:11">
      <c r="A44" s="51"/>
      <c r="B44" s="51"/>
      <c r="C44" s="69"/>
      <c r="D44" s="66"/>
      <c r="E44" s="65"/>
      <c r="F44" s="64"/>
      <c r="G44" s="56"/>
      <c r="H44" t="b">
        <f>H45=H46</f>
        <v>1</v>
      </c>
      <c r="I44" s="2590" t="b">
        <f>I45=I46</f>
        <v>1</v>
      </c>
      <c r="J44" t="b">
        <f>J45=J46</f>
        <v>1</v>
      </c>
      <c r="K44" t="b">
        <f>K45=K46</f>
        <v>1</v>
      </c>
    </row>
    <row r="45" spans="1:11">
      <c r="A45" s="51" t="s">
        <v>46</v>
      </c>
      <c r="B45" s="51"/>
      <c r="C45" s="59">
        <f>+C37+C26</f>
        <v>26367383</v>
      </c>
      <c r="D45" s="60">
        <f t="shared" ref="D45:D51" si="7">+C45/C$45</f>
        <v>1</v>
      </c>
      <c r="E45" s="59">
        <f>+E37+E26</f>
        <v>3319</v>
      </c>
      <c r="F45" s="59">
        <f>+F37+F26</f>
        <v>659</v>
      </c>
      <c r="G45" s="56"/>
      <c r="H45" s="2586">
        <f>SUM(C46:C51)</f>
        <v>26367383</v>
      </c>
      <c r="I45" s="2587">
        <f>SUM(D46:D51)</f>
        <v>1</v>
      </c>
      <c r="J45" s="2586">
        <f>SUM(E46:E51)</f>
        <v>3319</v>
      </c>
      <c r="K45" s="2586">
        <f>SUM(F46:F51)</f>
        <v>659</v>
      </c>
    </row>
    <row r="46" spans="1:11">
      <c r="A46" s="55" t="s">
        <v>13</v>
      </c>
      <c r="B46" s="67"/>
      <c r="C46" s="64">
        <f>+C38+C27</f>
        <v>8337615</v>
      </c>
      <c r="D46" s="63">
        <f t="shared" si="7"/>
        <v>0.31620942434825633</v>
      </c>
      <c r="E46" s="64">
        <f>+E38+E27</f>
        <v>643</v>
      </c>
      <c r="F46" s="64">
        <f>+F38+F27</f>
        <v>166</v>
      </c>
      <c r="G46" s="56"/>
      <c r="H46">
        <f>C45</f>
        <v>26367383</v>
      </c>
      <c r="I46" s="830">
        <f>D45</f>
        <v>1</v>
      </c>
      <c r="J46">
        <f>E45</f>
        <v>3319</v>
      </c>
      <c r="K46">
        <f>F45</f>
        <v>659</v>
      </c>
    </row>
    <row r="47" spans="1:11">
      <c r="A47" s="55" t="s">
        <v>14</v>
      </c>
      <c r="C47" s="64">
        <f>+C39</f>
        <v>10724953</v>
      </c>
      <c r="D47" s="63">
        <f t="shared" si="7"/>
        <v>0.40675075717601555</v>
      </c>
      <c r="E47" s="64">
        <f>+E39</f>
        <v>640</v>
      </c>
      <c r="F47" s="64">
        <f>+F39</f>
        <v>412</v>
      </c>
      <c r="G47" s="71"/>
    </row>
    <row r="48" spans="1:11">
      <c r="A48" s="55" t="s">
        <v>22</v>
      </c>
      <c r="C48" s="64">
        <f>+C40</f>
        <v>4814321</v>
      </c>
      <c r="D48" s="63">
        <f t="shared" si="7"/>
        <v>0.18258622784066209</v>
      </c>
      <c r="E48" s="64">
        <f>+E40</f>
        <v>639</v>
      </c>
      <c r="F48" s="64">
        <f>+F40</f>
        <v>52</v>
      </c>
      <c r="G48" s="56"/>
    </row>
    <row r="49" spans="1:7">
      <c r="A49" s="55" t="s">
        <v>23</v>
      </c>
      <c r="C49" s="64">
        <f>+C16</f>
        <v>195893</v>
      </c>
      <c r="D49" s="63">
        <f t="shared" si="7"/>
        <v>7.4293683222184017E-3</v>
      </c>
      <c r="E49" s="64">
        <f>+E16</f>
        <v>40</v>
      </c>
      <c r="F49" s="64">
        <f>+F16</f>
        <v>4</v>
      </c>
      <c r="G49" s="56"/>
    </row>
    <row r="50" spans="1:7">
      <c r="A50" s="55" t="s">
        <v>24</v>
      </c>
      <c r="C50" s="64">
        <f>+C42</f>
        <v>464314</v>
      </c>
      <c r="D50" s="63">
        <f t="shared" si="7"/>
        <v>1.7609407805090099E-2</v>
      </c>
      <c r="E50" s="64">
        <f>+E42</f>
        <v>72</v>
      </c>
      <c r="F50" s="64">
        <f>+F42</f>
        <v>5</v>
      </c>
      <c r="G50" s="56"/>
    </row>
    <row r="51" spans="1:7">
      <c r="A51" s="55" t="s">
        <v>28</v>
      </c>
      <c r="C51" s="64">
        <f>+C45-SUM(C46:C50)</f>
        <v>1830287</v>
      </c>
      <c r="D51" s="63">
        <f t="shared" si="7"/>
        <v>6.9414814507757563E-2</v>
      </c>
      <c r="E51" s="64">
        <f>+E45-SUM(E46:E50)</f>
        <v>1285</v>
      </c>
      <c r="F51" s="64">
        <f>+F45-SUM(F46:F50)</f>
        <v>20</v>
      </c>
      <c r="G51" s="56"/>
    </row>
    <row r="52" spans="1:7">
      <c r="C52" s="72"/>
      <c r="D52" s="57"/>
      <c r="E52" s="58"/>
      <c r="F52" s="56"/>
      <c r="G52" s="56"/>
    </row>
    <row r="53" spans="1:7">
      <c r="A53" s="73" t="s">
        <v>21</v>
      </c>
      <c r="B53" s="74" t="s">
        <v>811</v>
      </c>
      <c r="D53" s="55"/>
      <c r="E53" s="55"/>
      <c r="F53" s="55"/>
      <c r="G53" s="55"/>
    </row>
  </sheetData>
  <mergeCells count="1">
    <mergeCell ref="A2:B2"/>
  </mergeCells>
  <pageMargins left="0.7" right="0.7" top="0.75" bottom="0.75" header="0.3" footer="0.3"/>
  <pageSetup paperSize="9" orientation="portrait" horizontalDpi="1200" verticalDpi="120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97"/>
  <dimension ref="A1:K53"/>
  <sheetViews>
    <sheetView topLeftCell="A8" workbookViewId="0">
      <selection activeCell="O68" sqref="O68"/>
    </sheetView>
  </sheetViews>
  <sheetFormatPr baseColWidth="10" defaultColWidth="9.3984375" defaultRowHeight="13"/>
  <cols>
    <col min="1" max="1" width="7.19921875" style="55" customWidth="1"/>
    <col min="2" max="2" width="25.796875" style="55" customWidth="1"/>
    <col min="3" max="3" width="13.3984375" style="75" customWidth="1"/>
    <col min="4" max="4" width="11.59765625" style="53" customWidth="1"/>
    <col min="5" max="5" width="9.796875" style="54" customWidth="1"/>
    <col min="6" max="6" width="10.19921875" style="52" customWidth="1"/>
    <col min="7" max="7" width="13" style="52" customWidth="1"/>
    <col min="8" max="8" width="12" customWidth="1"/>
    <col min="9" max="9" width="11.3984375" style="2594" customWidth="1"/>
    <col min="10" max="10" width="13.796875" customWidth="1"/>
    <col min="12" max="12" width="13" style="55" customWidth="1"/>
    <col min="13" max="13" width="9.3984375" style="55"/>
    <col min="14" max="14" width="10.19921875" style="55" customWidth="1"/>
    <col min="15" max="16" width="12.59765625" style="55" customWidth="1"/>
    <col min="17" max="16384" width="9.3984375" style="55"/>
  </cols>
  <sheetData>
    <row r="1" spans="1:11">
      <c r="A1" s="51" t="s">
        <v>1267</v>
      </c>
      <c r="B1" s="51"/>
      <c r="C1" s="52"/>
    </row>
    <row r="2" spans="1:11">
      <c r="A2" s="3526">
        <v>38477</v>
      </c>
      <c r="B2" s="3527"/>
      <c r="C2" s="52"/>
    </row>
    <row r="3" spans="1:11" ht="3.5" customHeight="1">
      <c r="A3" s="51"/>
      <c r="B3" s="51"/>
      <c r="C3" s="52"/>
    </row>
    <row r="4" spans="1:11">
      <c r="C4" s="52" t="s">
        <v>34</v>
      </c>
      <c r="D4" s="53" t="s">
        <v>36</v>
      </c>
      <c r="E4" s="54" t="s">
        <v>37</v>
      </c>
      <c r="F4" s="52" t="s">
        <v>25</v>
      </c>
    </row>
    <row r="5" spans="1:11">
      <c r="C5" s="56"/>
      <c r="D5" s="57"/>
      <c r="E5" s="58"/>
      <c r="F5" s="56"/>
      <c r="G5" s="56"/>
      <c r="H5" t="b">
        <f>H6=H7</f>
        <v>1</v>
      </c>
      <c r="I5" s="2590" t="b">
        <f>I6=I7</f>
        <v>1</v>
      </c>
      <c r="J5" t="b">
        <f>J6=J7</f>
        <v>1</v>
      </c>
      <c r="K5" t="b">
        <f>K6=K7</f>
        <v>1</v>
      </c>
    </row>
    <row r="6" spans="1:11" s="51" customFormat="1">
      <c r="A6" s="51" t="s">
        <v>17</v>
      </c>
      <c r="C6" s="59">
        <v>22704302</v>
      </c>
      <c r="D6" s="60">
        <f>+C6/C$6</f>
        <v>1</v>
      </c>
      <c r="E6" s="59">
        <v>2817</v>
      </c>
      <c r="F6" s="61">
        <v>529</v>
      </c>
      <c r="G6" s="59"/>
      <c r="H6" s="2586">
        <f>SUM(C7:C10)</f>
        <v>22704302</v>
      </c>
      <c r="I6" s="2587">
        <f>SUM(D7:D10)</f>
        <v>1</v>
      </c>
      <c r="J6" s="2586">
        <f>SUM(E7:E10)</f>
        <v>2817</v>
      </c>
      <c r="K6" s="2586">
        <f>SUM(F7:F10)</f>
        <v>529</v>
      </c>
    </row>
    <row r="7" spans="1:11" s="62" customFormat="1">
      <c r="A7" s="55" t="s">
        <v>13</v>
      </c>
      <c r="C7" s="56">
        <v>8114979</v>
      </c>
      <c r="D7" s="63">
        <f>+C7/C$6</f>
        <v>0.35742032501153304</v>
      </c>
      <c r="E7" s="64">
        <v>529</v>
      </c>
      <c r="F7" s="58">
        <v>194</v>
      </c>
      <c r="G7" s="64"/>
      <c r="H7">
        <f>C6</f>
        <v>22704302</v>
      </c>
      <c r="I7" s="2590">
        <f>D6</f>
        <v>1</v>
      </c>
      <c r="J7">
        <f>E6</f>
        <v>2817</v>
      </c>
      <c r="K7">
        <f>F6</f>
        <v>529</v>
      </c>
    </row>
    <row r="8" spans="1:11">
      <c r="A8" s="55" t="s">
        <v>14</v>
      </c>
      <c r="C8" s="56">
        <v>8050366</v>
      </c>
      <c r="D8" s="63">
        <f>+C8/C$6</f>
        <v>0.35457447667847264</v>
      </c>
      <c r="E8" s="65">
        <v>529</v>
      </c>
      <c r="F8" s="58">
        <v>286</v>
      </c>
      <c r="G8" s="56"/>
    </row>
    <row r="9" spans="1:11">
      <c r="A9" s="55" t="s">
        <v>22</v>
      </c>
      <c r="C9" s="56">
        <v>5201129</v>
      </c>
      <c r="D9" s="63">
        <f>+C9/C$6</f>
        <v>0.22908121112906268</v>
      </c>
      <c r="E9" s="65">
        <v>528</v>
      </c>
      <c r="F9" s="58">
        <v>47</v>
      </c>
      <c r="G9" s="56"/>
    </row>
    <row r="10" spans="1:11">
      <c r="A10" s="55" t="s">
        <v>28</v>
      </c>
      <c r="C10" s="56">
        <f>+C6-SUM(C7:C9)</f>
        <v>1337828</v>
      </c>
      <c r="D10" s="63">
        <f>+C10/C$6</f>
        <v>5.8923987180931614E-2</v>
      </c>
      <c r="E10" s="56">
        <f>+E6-SUM(E7:E9)</f>
        <v>1231</v>
      </c>
      <c r="F10" s="56">
        <f>+F6-SUM(F7:F9)</f>
        <v>2</v>
      </c>
      <c r="G10" s="56"/>
      <c r="H10" s="8"/>
      <c r="J10" s="8"/>
      <c r="K10" s="8"/>
    </row>
    <row r="11" spans="1:11">
      <c r="C11" s="64"/>
      <c r="D11" s="66"/>
      <c r="E11" s="65"/>
      <c r="F11" s="65"/>
      <c r="G11" s="56"/>
      <c r="H11" t="b">
        <f>H12=H13</f>
        <v>1</v>
      </c>
      <c r="I11" s="2590" t="b">
        <f>I12=I13</f>
        <v>1</v>
      </c>
      <c r="J11" t="b">
        <f>J12=J13</f>
        <v>1</v>
      </c>
      <c r="K11" t="b">
        <f>K12=K13</f>
        <v>1</v>
      </c>
    </row>
    <row r="12" spans="1:11">
      <c r="A12" s="51" t="s">
        <v>18</v>
      </c>
      <c r="B12" s="51"/>
      <c r="C12" s="59">
        <v>1392719</v>
      </c>
      <c r="D12" s="60">
        <f t="shared" ref="D12:D17" si="0">+C12/C$12</f>
        <v>1</v>
      </c>
      <c r="E12" s="61">
        <v>250</v>
      </c>
      <c r="F12" s="61">
        <v>40</v>
      </c>
      <c r="G12" s="56"/>
      <c r="H12" s="2586">
        <f>SUM(C13:C17)</f>
        <v>1392719</v>
      </c>
      <c r="I12" s="2587">
        <f>SUM(D13:D17)</f>
        <v>0.99999999999999989</v>
      </c>
      <c r="J12" s="2586">
        <f>SUM(E13:E17)</f>
        <v>250</v>
      </c>
      <c r="K12" s="2586">
        <f>SUM(F13:F17)</f>
        <v>40</v>
      </c>
    </row>
    <row r="13" spans="1:11">
      <c r="A13" s="55" t="s">
        <v>13</v>
      </c>
      <c r="B13" s="67"/>
      <c r="C13" s="56">
        <v>297830</v>
      </c>
      <c r="D13" s="63">
        <f t="shared" si="0"/>
        <v>0.21384787598934171</v>
      </c>
      <c r="E13" s="64">
        <v>40</v>
      </c>
      <c r="F13" s="58">
        <v>3</v>
      </c>
      <c r="G13" s="56"/>
      <c r="H13">
        <f>C12</f>
        <v>1392719</v>
      </c>
      <c r="I13" s="2590">
        <f>D12</f>
        <v>1</v>
      </c>
      <c r="J13">
        <f>E12</f>
        <v>250</v>
      </c>
      <c r="K13">
        <f>F12</f>
        <v>40</v>
      </c>
    </row>
    <row r="14" spans="1:11">
      <c r="A14" s="55" t="s">
        <v>14</v>
      </c>
      <c r="C14" s="56">
        <v>594821</v>
      </c>
      <c r="D14" s="63">
        <f t="shared" si="0"/>
        <v>0.42709333325674453</v>
      </c>
      <c r="E14" s="65">
        <v>40</v>
      </c>
      <c r="F14" s="58">
        <v>29</v>
      </c>
      <c r="G14" s="56"/>
    </row>
    <row r="15" spans="1:11">
      <c r="A15" s="55" t="s">
        <v>22</v>
      </c>
      <c r="C15" s="56">
        <v>256249</v>
      </c>
      <c r="D15" s="63">
        <f t="shared" si="0"/>
        <v>0.18399188924686172</v>
      </c>
      <c r="E15" s="65">
        <v>40</v>
      </c>
      <c r="F15" s="58">
        <v>4</v>
      </c>
      <c r="G15" s="56"/>
    </row>
    <row r="16" spans="1:11">
      <c r="A16" s="55" t="s">
        <v>23</v>
      </c>
      <c r="C16" s="56">
        <v>174838</v>
      </c>
      <c r="D16" s="63">
        <f t="shared" si="0"/>
        <v>0.12553716866072767</v>
      </c>
      <c r="E16" s="64">
        <v>40</v>
      </c>
      <c r="F16" s="58">
        <v>3</v>
      </c>
      <c r="G16" s="56"/>
    </row>
    <row r="17" spans="1:11">
      <c r="A17" s="55" t="s">
        <v>28</v>
      </c>
      <c r="C17" s="64">
        <f>+C12-SUM(C13:C16)</f>
        <v>68981</v>
      </c>
      <c r="D17" s="63">
        <f t="shared" si="0"/>
        <v>4.9529732846324351E-2</v>
      </c>
      <c r="E17" s="64">
        <f>+E12-SUM(E13:E16)</f>
        <v>90</v>
      </c>
      <c r="F17" s="64">
        <f>+F12-SUM(F13:F16)</f>
        <v>1</v>
      </c>
      <c r="G17" s="56"/>
    </row>
    <row r="18" spans="1:11">
      <c r="C18" s="64"/>
      <c r="D18" s="66"/>
      <c r="E18" s="65"/>
      <c r="F18" s="65"/>
      <c r="G18" s="56"/>
    </row>
    <row r="19" spans="1:11">
      <c r="A19" s="51" t="s">
        <v>19</v>
      </c>
      <c r="B19" s="51"/>
      <c r="C19" s="59">
        <v>2333887</v>
      </c>
      <c r="D19" s="60">
        <f t="shared" ref="D19:D24" si="1">+C19/C$19</f>
        <v>1</v>
      </c>
      <c r="E19" s="61">
        <v>382</v>
      </c>
      <c r="F19" s="61">
        <v>59</v>
      </c>
      <c r="H19" t="b">
        <f>H20=H21</f>
        <v>1</v>
      </c>
      <c r="I19" s="2590" t="b">
        <f>I20=I21</f>
        <v>1</v>
      </c>
      <c r="J19" t="b">
        <f>J20=J21</f>
        <v>1</v>
      </c>
      <c r="K19" t="b">
        <f>K20=K21</f>
        <v>1</v>
      </c>
    </row>
    <row r="20" spans="1:11" s="67" customFormat="1">
      <c r="A20" s="55" t="s">
        <v>13</v>
      </c>
      <c r="C20" s="56">
        <v>369388</v>
      </c>
      <c r="D20" s="63">
        <f t="shared" si="1"/>
        <v>0.15827158727050625</v>
      </c>
      <c r="E20" s="64">
        <v>58</v>
      </c>
      <c r="F20" s="58">
        <v>1</v>
      </c>
      <c r="G20" s="68"/>
      <c r="H20" s="2586">
        <f>SUM(C20:C24)</f>
        <v>2333887</v>
      </c>
      <c r="I20" s="2587">
        <f>SUM(D20:D24)</f>
        <v>0.99999999999999989</v>
      </c>
      <c r="J20" s="2586">
        <f>SUM(E20:E24)</f>
        <v>382</v>
      </c>
      <c r="K20" s="2586">
        <f>SUM(F20:F24)</f>
        <v>59</v>
      </c>
    </row>
    <row r="21" spans="1:11">
      <c r="A21" s="55" t="s">
        <v>14</v>
      </c>
      <c r="C21" s="56">
        <v>907249</v>
      </c>
      <c r="D21" s="63">
        <f t="shared" si="1"/>
        <v>0.38872876021846814</v>
      </c>
      <c r="E21" s="65">
        <v>58</v>
      </c>
      <c r="F21" s="58">
        <v>40</v>
      </c>
      <c r="H21">
        <f>C19</f>
        <v>2333887</v>
      </c>
      <c r="I21" s="2590">
        <f>D19</f>
        <v>1</v>
      </c>
      <c r="J21">
        <f>E19</f>
        <v>382</v>
      </c>
      <c r="K21">
        <f>F19</f>
        <v>59</v>
      </c>
    </row>
    <row r="22" spans="1:11">
      <c r="A22" s="55" t="s">
        <v>22</v>
      </c>
      <c r="C22" s="56">
        <v>528076</v>
      </c>
      <c r="D22" s="63">
        <f t="shared" si="1"/>
        <v>0.22626459635792134</v>
      </c>
      <c r="E22" s="65">
        <v>58</v>
      </c>
      <c r="F22" s="58">
        <v>11</v>
      </c>
    </row>
    <row r="23" spans="1:11">
      <c r="A23" s="55" t="s">
        <v>24</v>
      </c>
      <c r="C23" s="56">
        <v>412267</v>
      </c>
      <c r="D23" s="63">
        <f t="shared" si="1"/>
        <v>0.17664394205889145</v>
      </c>
      <c r="E23" s="65">
        <v>59</v>
      </c>
      <c r="F23" s="58">
        <v>6</v>
      </c>
    </row>
    <row r="24" spans="1:11">
      <c r="A24" s="55" t="s">
        <v>28</v>
      </c>
      <c r="C24" s="64">
        <f>+C19-SUM(C20:C23)</f>
        <v>116907</v>
      </c>
      <c r="D24" s="63">
        <f t="shared" si="1"/>
        <v>5.0091114094212789E-2</v>
      </c>
      <c r="E24" s="64">
        <f>+E19-SUM(E20:E23)</f>
        <v>149</v>
      </c>
      <c r="F24" s="64">
        <f>+F19-SUM(F20:F23)</f>
        <v>1</v>
      </c>
    </row>
    <row r="25" spans="1:11">
      <c r="C25" s="64"/>
      <c r="D25" s="66"/>
      <c r="E25" s="65"/>
      <c r="F25" s="65"/>
    </row>
    <row r="26" spans="1:11">
      <c r="A26" s="51" t="s">
        <v>20</v>
      </c>
      <c r="B26" s="51"/>
      <c r="C26" s="59">
        <v>717602</v>
      </c>
      <c r="D26" s="60">
        <f t="shared" ref="D26:D31" si="2">+C26/C$26</f>
        <v>1</v>
      </c>
      <c r="E26" s="61">
        <v>105</v>
      </c>
      <c r="F26" s="61">
        <v>18</v>
      </c>
      <c r="H26" t="b">
        <f>H27=H28</f>
        <v>1</v>
      </c>
      <c r="I26" s="2590" t="b">
        <f>I27=I28</f>
        <v>1</v>
      </c>
      <c r="J26" t="b">
        <f>J27=J28</f>
        <v>1</v>
      </c>
      <c r="K26" t="b">
        <f>K27=K28</f>
        <v>1</v>
      </c>
    </row>
    <row r="27" spans="1:11">
      <c r="A27" s="62" t="s">
        <v>13</v>
      </c>
      <c r="B27" s="51"/>
      <c r="C27" s="64">
        <v>2718</v>
      </c>
      <c r="D27" s="63">
        <f t="shared" si="2"/>
        <v>3.7876148617200065E-3</v>
      </c>
      <c r="E27" s="65">
        <v>3</v>
      </c>
      <c r="F27" s="65">
        <v>0</v>
      </c>
      <c r="H27" s="2586">
        <f>SUM(C27:C33)</f>
        <v>717602</v>
      </c>
      <c r="I27" s="2587">
        <f>SUM(D27:D33)</f>
        <v>0.99999999999999989</v>
      </c>
      <c r="J27" s="2586">
        <f>SUM(E27:E33)</f>
        <v>105</v>
      </c>
      <c r="K27" s="2586">
        <f>SUM(F27:F33)</f>
        <v>18</v>
      </c>
    </row>
    <row r="28" spans="1:11">
      <c r="A28" s="55" t="s">
        <v>31</v>
      </c>
      <c r="C28" s="64">
        <v>127414</v>
      </c>
      <c r="D28" s="63">
        <f t="shared" si="2"/>
        <v>0.17755524650154264</v>
      </c>
      <c r="E28" s="65">
        <v>18</v>
      </c>
      <c r="F28" s="65">
        <v>1</v>
      </c>
      <c r="H28">
        <f>C26</f>
        <v>717602</v>
      </c>
      <c r="I28" s="2590">
        <f>D26</f>
        <v>1</v>
      </c>
      <c r="J28">
        <f>E26</f>
        <v>105</v>
      </c>
      <c r="K28">
        <f>F26</f>
        <v>18</v>
      </c>
    </row>
    <row r="29" spans="1:11">
      <c r="A29" s="55" t="s">
        <v>68</v>
      </c>
      <c r="C29" s="64">
        <v>241856</v>
      </c>
      <c r="D29" s="63">
        <f t="shared" si="2"/>
        <v>0.33703362030763573</v>
      </c>
      <c r="E29" s="65">
        <v>18</v>
      </c>
      <c r="F29" s="65">
        <v>9</v>
      </c>
    </row>
    <row r="30" spans="1:11" s="67" customFormat="1">
      <c r="A30" s="55" t="s">
        <v>75</v>
      </c>
      <c r="C30" s="64">
        <v>125626</v>
      </c>
      <c r="D30" s="63">
        <f t="shared" si="2"/>
        <v>0.17506361464990342</v>
      </c>
      <c r="E30" s="64">
        <v>18</v>
      </c>
      <c r="F30" s="64">
        <v>3</v>
      </c>
      <c r="G30" s="68"/>
      <c r="H30"/>
      <c r="I30" s="2594"/>
      <c r="J30"/>
      <c r="K30"/>
    </row>
    <row r="31" spans="1:11" s="67" customFormat="1">
      <c r="A31" s="62" t="s">
        <v>71</v>
      </c>
      <c r="C31" s="64">
        <v>28291</v>
      </c>
      <c r="D31" s="63">
        <f t="shared" si="2"/>
        <v>3.9424360578705187E-2</v>
      </c>
      <c r="E31" s="64">
        <v>12</v>
      </c>
      <c r="F31" s="64">
        <v>0</v>
      </c>
      <c r="G31" s="68"/>
      <c r="H31"/>
      <c r="I31" s="2594"/>
      <c r="J31"/>
      <c r="K31"/>
    </row>
    <row r="32" spans="1:11" s="67" customFormat="1">
      <c r="A32" s="62" t="s">
        <v>27</v>
      </c>
      <c r="C32" s="64">
        <v>174530</v>
      </c>
      <c r="D32" s="63">
        <f>+C32/C$26</f>
        <v>0.24321281155849622</v>
      </c>
      <c r="E32" s="64">
        <v>18</v>
      </c>
      <c r="F32" s="64">
        <v>5</v>
      </c>
      <c r="G32" s="68"/>
      <c r="H32"/>
      <c r="I32" s="2594"/>
      <c r="J32"/>
      <c r="K32"/>
    </row>
    <row r="33" spans="1:11">
      <c r="A33" s="55" t="s">
        <v>28</v>
      </c>
      <c r="C33" s="69">
        <f>+C26-SUM(C27:C32)</f>
        <v>17167</v>
      </c>
      <c r="D33" s="63">
        <f>+C33/C$26</f>
        <v>2.3922731541996818E-2</v>
      </c>
      <c r="E33" s="64">
        <f>+E26-SUM(E27:E32)</f>
        <v>18</v>
      </c>
      <c r="F33" s="64">
        <f>+F26-SUM(F27:F32)</f>
        <v>0</v>
      </c>
    </row>
    <row r="34" spans="1:11">
      <c r="C34" s="69"/>
      <c r="D34" s="63"/>
      <c r="E34" s="65"/>
      <c r="F34" s="64"/>
      <c r="G34" s="56"/>
    </row>
    <row r="35" spans="1:11">
      <c r="C35" s="69"/>
      <c r="D35" s="63"/>
      <c r="E35" s="65"/>
      <c r="F35" s="64"/>
      <c r="G35" s="56"/>
    </row>
    <row r="36" spans="1:11">
      <c r="C36" s="69"/>
      <c r="D36" s="63"/>
      <c r="E36" s="65"/>
      <c r="F36" s="64"/>
      <c r="G36" s="56"/>
      <c r="H36" t="b">
        <f>H37=H38</f>
        <v>1</v>
      </c>
      <c r="I36" s="2590" t="b">
        <f>I37=I38</f>
        <v>1</v>
      </c>
      <c r="J36" t="b">
        <f>J37=J38</f>
        <v>1</v>
      </c>
      <c r="K36" t="b">
        <f>K37=K38</f>
        <v>1</v>
      </c>
    </row>
    <row r="37" spans="1:11">
      <c r="A37" s="51" t="s">
        <v>35</v>
      </c>
      <c r="B37" s="51"/>
      <c r="C37" s="59">
        <f>+C19+C12+C6</f>
        <v>26430908</v>
      </c>
      <c r="D37" s="60">
        <f t="shared" ref="D37:D43" si="3">+C37/C$37</f>
        <v>1</v>
      </c>
      <c r="E37" s="59">
        <f>+E19+E12+E6</f>
        <v>3449</v>
      </c>
      <c r="F37" s="59">
        <f>+F19+F12+F6</f>
        <v>628</v>
      </c>
      <c r="G37" s="56"/>
      <c r="H37" s="2586">
        <f>SUM(C38:C43)</f>
        <v>26430908</v>
      </c>
      <c r="I37" s="2587">
        <f>SUM(D38:D43)</f>
        <v>1.0000000000000002</v>
      </c>
      <c r="J37" s="2586">
        <f>SUM(E38:E43)</f>
        <v>3449</v>
      </c>
      <c r="K37" s="2586">
        <f>SUM(F38:F43)</f>
        <v>628</v>
      </c>
    </row>
    <row r="38" spans="1:11" s="67" customFormat="1">
      <c r="A38" s="55" t="s">
        <v>13</v>
      </c>
      <c r="C38" s="64">
        <f t="shared" ref="C38:C43" si="4">SUMIF(A$7:A$24,A38,C$7:C$24)</f>
        <v>8782197</v>
      </c>
      <c r="D38" s="63">
        <f t="shared" si="3"/>
        <v>0.33226996968851769</v>
      </c>
      <c r="E38" s="64">
        <f t="shared" ref="E38:E43" si="5">SUMIF(A$7:A$24,A38,E$7:E$24)</f>
        <v>627</v>
      </c>
      <c r="F38" s="64">
        <f t="shared" ref="F38:F43" si="6">SUMIF(A$7:A$24,A38,F$7:F$24)</f>
        <v>198</v>
      </c>
      <c r="G38" s="70"/>
      <c r="H38">
        <f>C37</f>
        <v>26430908</v>
      </c>
      <c r="I38" s="2590">
        <f>D37</f>
        <v>1</v>
      </c>
      <c r="J38">
        <f>E37</f>
        <v>3449</v>
      </c>
      <c r="K38">
        <f>F37</f>
        <v>628</v>
      </c>
    </row>
    <row r="39" spans="1:11">
      <c r="A39" s="55" t="s">
        <v>14</v>
      </c>
      <c r="C39" s="64">
        <f t="shared" si="4"/>
        <v>9552436</v>
      </c>
      <c r="D39" s="63">
        <f t="shared" si="3"/>
        <v>0.36141157163423976</v>
      </c>
      <c r="E39" s="64">
        <f t="shared" si="5"/>
        <v>627</v>
      </c>
      <c r="F39" s="64">
        <f t="shared" si="6"/>
        <v>355</v>
      </c>
      <c r="G39" s="56"/>
    </row>
    <row r="40" spans="1:11">
      <c r="A40" s="55" t="s">
        <v>22</v>
      </c>
      <c r="C40" s="64">
        <f t="shared" si="4"/>
        <v>5985454</v>
      </c>
      <c r="D40" s="63">
        <f t="shared" si="3"/>
        <v>0.22645661662474856</v>
      </c>
      <c r="E40" s="64">
        <f t="shared" si="5"/>
        <v>626</v>
      </c>
      <c r="F40" s="64">
        <f t="shared" si="6"/>
        <v>62</v>
      </c>
      <c r="G40" s="56"/>
      <c r="H40" s="8"/>
      <c r="J40" s="8"/>
      <c r="K40" s="8"/>
    </row>
    <row r="41" spans="1:11">
      <c r="A41" s="55" t="s">
        <v>23</v>
      </c>
      <c r="C41" s="64">
        <f t="shared" si="4"/>
        <v>174838</v>
      </c>
      <c r="D41" s="63">
        <f t="shared" si="3"/>
        <v>6.6149070625950495E-3</v>
      </c>
      <c r="E41" s="64">
        <f t="shared" si="5"/>
        <v>40</v>
      </c>
      <c r="F41" s="64">
        <f t="shared" si="6"/>
        <v>3</v>
      </c>
      <c r="G41" s="56"/>
    </row>
    <row r="42" spans="1:11">
      <c r="A42" s="55" t="s">
        <v>24</v>
      </c>
      <c r="C42" s="64">
        <f t="shared" si="4"/>
        <v>412267</v>
      </c>
      <c r="D42" s="63">
        <f t="shared" si="3"/>
        <v>1.5597912867768297E-2</v>
      </c>
      <c r="E42" s="64">
        <f t="shared" si="5"/>
        <v>59</v>
      </c>
      <c r="F42" s="64">
        <f t="shared" si="6"/>
        <v>6</v>
      </c>
      <c r="G42" s="56"/>
    </row>
    <row r="43" spans="1:11">
      <c r="A43" s="55" t="s">
        <v>28</v>
      </c>
      <c r="C43" s="64">
        <f t="shared" si="4"/>
        <v>1523716</v>
      </c>
      <c r="D43" s="63">
        <f t="shared" si="3"/>
        <v>5.7649022122130654E-2</v>
      </c>
      <c r="E43" s="64">
        <f t="shared" si="5"/>
        <v>1470</v>
      </c>
      <c r="F43" s="64">
        <f t="shared" si="6"/>
        <v>4</v>
      </c>
      <c r="G43" s="56"/>
    </row>
    <row r="44" spans="1:11">
      <c r="A44" s="51"/>
      <c r="B44" s="51"/>
      <c r="C44" s="69"/>
      <c r="D44" s="66"/>
      <c r="E44" s="65"/>
      <c r="F44" s="64"/>
      <c r="G44" s="56"/>
      <c r="H44" t="b">
        <f>H45=H46</f>
        <v>1</v>
      </c>
      <c r="I44" s="2590" t="b">
        <f>I45=I46</f>
        <v>1</v>
      </c>
      <c r="J44" t="b">
        <f>J45=J46</f>
        <v>1</v>
      </c>
      <c r="K44" t="b">
        <f>K45=K46</f>
        <v>1</v>
      </c>
    </row>
    <row r="45" spans="1:11">
      <c r="A45" s="51" t="s">
        <v>46</v>
      </c>
      <c r="B45" s="51"/>
      <c r="C45" s="59">
        <f>+C37+C26</f>
        <v>27148510</v>
      </c>
      <c r="D45" s="60">
        <f t="shared" ref="D45:D51" si="7">+C45/C$45</f>
        <v>1</v>
      </c>
      <c r="E45" s="59">
        <f>+E37+E26</f>
        <v>3554</v>
      </c>
      <c r="F45" s="59">
        <f>+F37+F26</f>
        <v>646</v>
      </c>
      <c r="G45" s="56"/>
      <c r="H45" s="2586">
        <f>SUM(C46:C51)</f>
        <v>27148510</v>
      </c>
      <c r="I45" s="2587">
        <f>SUM(D46:D51)</f>
        <v>1</v>
      </c>
      <c r="J45" s="2586">
        <f>SUM(E46:E51)</f>
        <v>3554</v>
      </c>
      <c r="K45" s="2586">
        <f>SUM(F46:F51)</f>
        <v>646</v>
      </c>
    </row>
    <row r="46" spans="1:11">
      <c r="A46" s="55" t="s">
        <v>13</v>
      </c>
      <c r="B46" s="67"/>
      <c r="C46" s="64">
        <f>+C38+C27</f>
        <v>8784915</v>
      </c>
      <c r="D46" s="63">
        <f t="shared" si="7"/>
        <v>0.32358737182998254</v>
      </c>
      <c r="E46" s="64">
        <f>+E38+E27</f>
        <v>630</v>
      </c>
      <c r="F46" s="64">
        <f>+F38+F27</f>
        <v>198</v>
      </c>
      <c r="G46" s="56"/>
      <c r="H46">
        <f>C45</f>
        <v>27148510</v>
      </c>
      <c r="I46" s="2590">
        <f>D45</f>
        <v>1</v>
      </c>
      <c r="J46">
        <f>E45</f>
        <v>3554</v>
      </c>
      <c r="K46">
        <f>F45</f>
        <v>646</v>
      </c>
    </row>
    <row r="47" spans="1:11">
      <c r="A47" s="55" t="s">
        <v>14</v>
      </c>
      <c r="C47" s="64">
        <f>+C39</f>
        <v>9552436</v>
      </c>
      <c r="D47" s="63">
        <f t="shared" si="7"/>
        <v>0.35185857345393912</v>
      </c>
      <c r="E47" s="64">
        <f>+E39</f>
        <v>627</v>
      </c>
      <c r="F47" s="64">
        <f>+F39</f>
        <v>355</v>
      </c>
      <c r="G47" s="71"/>
    </row>
    <row r="48" spans="1:11">
      <c r="A48" s="55" t="s">
        <v>22</v>
      </c>
      <c r="C48" s="64">
        <f>+C40</f>
        <v>5985454</v>
      </c>
      <c r="D48" s="63">
        <f t="shared" si="7"/>
        <v>0.2204708103685985</v>
      </c>
      <c r="E48" s="64">
        <f>+E40</f>
        <v>626</v>
      </c>
      <c r="F48" s="64">
        <f>+F40</f>
        <v>62</v>
      </c>
      <c r="G48" s="56"/>
    </row>
    <row r="49" spans="1:7">
      <c r="A49" s="55" t="s">
        <v>23</v>
      </c>
      <c r="C49" s="64">
        <f>+C16</f>
        <v>174838</v>
      </c>
      <c r="D49" s="63">
        <f t="shared" si="7"/>
        <v>6.4400587730229029E-3</v>
      </c>
      <c r="E49" s="64">
        <f>+E16</f>
        <v>40</v>
      </c>
      <c r="F49" s="64">
        <f>+F16</f>
        <v>3</v>
      </c>
      <c r="G49" s="56"/>
    </row>
    <row r="50" spans="1:7">
      <c r="A50" s="55" t="s">
        <v>24</v>
      </c>
      <c r="C50" s="64">
        <f>+C42</f>
        <v>412267</v>
      </c>
      <c r="D50" s="63">
        <f t="shared" si="7"/>
        <v>1.5185621605016261E-2</v>
      </c>
      <c r="E50" s="64">
        <f>+E42</f>
        <v>59</v>
      </c>
      <c r="F50" s="64">
        <f>+F42</f>
        <v>6</v>
      </c>
      <c r="G50" s="56"/>
    </row>
    <row r="51" spans="1:7">
      <c r="A51" s="55" t="s">
        <v>28</v>
      </c>
      <c r="C51" s="64">
        <f>+C45-SUM(C46:C50)</f>
        <v>2238600</v>
      </c>
      <c r="D51" s="63">
        <f t="shared" si="7"/>
        <v>8.2457563969440678E-2</v>
      </c>
      <c r="E51" s="64">
        <f>+E45-SUM(E46:E50)</f>
        <v>1572</v>
      </c>
      <c r="F51" s="64">
        <f>+F45-SUM(F46:F50)</f>
        <v>22</v>
      </c>
      <c r="G51" s="56"/>
    </row>
    <row r="52" spans="1:7">
      <c r="C52" s="72"/>
      <c r="D52" s="57"/>
      <c r="E52" s="58"/>
      <c r="F52" s="56"/>
      <c r="G52" s="56"/>
    </row>
    <row r="53" spans="1:7">
      <c r="A53" s="73" t="s">
        <v>21</v>
      </c>
      <c r="B53" s="74" t="s">
        <v>811</v>
      </c>
      <c r="D53" s="55"/>
      <c r="E53" s="55"/>
      <c r="F53" s="55"/>
      <c r="G53" s="55"/>
    </row>
  </sheetData>
  <mergeCells count="1">
    <mergeCell ref="A2:B2"/>
  </mergeCells>
  <pageMargins left="0.7" right="0.7" top="0.75" bottom="0.75" header="0.3" footer="0.3"/>
  <pageSetup paperSize="9" orientation="portrait" horizontalDpi="1200" verticalDpi="1200"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98"/>
  <dimension ref="A1:K51"/>
  <sheetViews>
    <sheetView workbookViewId="0">
      <selection activeCell="O68" sqref="O68"/>
    </sheetView>
  </sheetViews>
  <sheetFormatPr baseColWidth="10" defaultColWidth="9.3984375" defaultRowHeight="13"/>
  <cols>
    <col min="1" max="1" width="7.19921875" style="55" customWidth="1"/>
    <col min="2" max="2" width="25.796875" style="55" customWidth="1"/>
    <col min="3" max="3" width="17" style="75" customWidth="1"/>
    <col min="4" max="4" width="11.59765625" style="53" customWidth="1"/>
    <col min="5" max="5" width="9.796875" style="54" customWidth="1"/>
    <col min="6" max="6" width="10.19921875" style="52" customWidth="1"/>
    <col min="7" max="7" width="13" style="52" customWidth="1"/>
    <col min="8" max="8" width="12" customWidth="1"/>
    <col min="9" max="9" width="11.3984375" style="2595" customWidth="1"/>
    <col min="10" max="10" width="13.796875" customWidth="1"/>
    <col min="12" max="12" width="13" style="55" customWidth="1"/>
    <col min="13" max="13" width="9.3984375" style="55"/>
    <col min="14" max="14" width="10.19921875" style="55" customWidth="1"/>
    <col min="15" max="16" width="12.59765625" style="55" customWidth="1"/>
    <col min="17" max="16384" width="9.3984375" style="55"/>
  </cols>
  <sheetData>
    <row r="1" spans="1:11">
      <c r="A1" s="51" t="s">
        <v>1268</v>
      </c>
      <c r="B1" s="51"/>
      <c r="C1" s="52"/>
    </row>
    <row r="2" spans="1:11">
      <c r="A2" s="3526">
        <v>40304</v>
      </c>
      <c r="B2" s="3527"/>
      <c r="C2" s="52"/>
    </row>
    <row r="3" spans="1:11" ht="3.5" customHeight="1">
      <c r="A3" s="51"/>
      <c r="B3" s="51"/>
      <c r="C3" s="52"/>
    </row>
    <row r="4" spans="1:11">
      <c r="C4" s="52" t="s">
        <v>34</v>
      </c>
      <c r="D4" s="53" t="s">
        <v>36</v>
      </c>
      <c r="E4" s="54" t="s">
        <v>37</v>
      </c>
      <c r="F4" s="52" t="s">
        <v>25</v>
      </c>
    </row>
    <row r="5" spans="1:11">
      <c r="C5" s="52"/>
      <c r="H5" t="b">
        <f>H6=H7</f>
        <v>1</v>
      </c>
      <c r="I5" s="838" t="b">
        <f>I6=I7</f>
        <v>1</v>
      </c>
      <c r="J5" t="b">
        <f>J6=J7</f>
        <v>1</v>
      </c>
      <c r="K5" t="b">
        <f>K6=K7</f>
        <v>1</v>
      </c>
    </row>
    <row r="6" spans="1:11" s="51" customFormat="1">
      <c r="A6" s="51" t="s">
        <v>17</v>
      </c>
      <c r="C6" s="76">
        <v>25081268</v>
      </c>
      <c r="D6" s="15">
        <f>+C6/C$6</f>
        <v>1</v>
      </c>
      <c r="E6" s="76">
        <f>SUM(E7:E10)</f>
        <v>3425</v>
      </c>
      <c r="F6" s="77">
        <v>533</v>
      </c>
      <c r="G6" s="76"/>
      <c r="H6" s="2586">
        <f>SUM(C7:C10)</f>
        <v>25081268</v>
      </c>
      <c r="I6" s="2592">
        <f>SUM(D7:D10)</f>
        <v>1</v>
      </c>
      <c r="J6" s="2586">
        <f>SUM(E7:E10)</f>
        <v>3425</v>
      </c>
      <c r="K6" s="2586">
        <f>SUM(F7:F10)</f>
        <v>533</v>
      </c>
    </row>
    <row r="7" spans="1:11" s="62" customFormat="1">
      <c r="A7" s="55" t="s">
        <v>13</v>
      </c>
      <c r="C7" s="52">
        <v>9908019</v>
      </c>
      <c r="D7" s="50">
        <f>+C7/C$6</f>
        <v>0.39503660660218615</v>
      </c>
      <c r="E7" s="78">
        <v>532</v>
      </c>
      <c r="F7" s="54">
        <v>297</v>
      </c>
      <c r="G7" s="78"/>
      <c r="H7">
        <f>C6</f>
        <v>25081268</v>
      </c>
      <c r="I7" s="2593">
        <f>D6</f>
        <v>1</v>
      </c>
      <c r="J7">
        <f>E6</f>
        <v>3425</v>
      </c>
      <c r="K7">
        <f>F6</f>
        <v>533</v>
      </c>
    </row>
    <row r="8" spans="1:11">
      <c r="A8" s="55" t="s">
        <v>14</v>
      </c>
      <c r="C8" s="52">
        <v>7039387</v>
      </c>
      <c r="D8" s="50">
        <f>+C8/C$6</f>
        <v>0.28066312277353761</v>
      </c>
      <c r="E8" s="79">
        <v>532</v>
      </c>
      <c r="F8" s="54">
        <v>191</v>
      </c>
    </row>
    <row r="9" spans="1:11">
      <c r="A9" s="55" t="s">
        <v>22</v>
      </c>
      <c r="C9" s="52">
        <v>6075613</v>
      </c>
      <c r="D9" s="50">
        <f>+C9/C$6</f>
        <v>0.24223707509524639</v>
      </c>
      <c r="E9" s="79">
        <v>532</v>
      </c>
      <c r="F9" s="54">
        <v>43</v>
      </c>
    </row>
    <row r="10" spans="1:11">
      <c r="A10" s="55" t="s">
        <v>28</v>
      </c>
      <c r="C10" s="52">
        <f>+C6-SUM(C7:C9)</f>
        <v>2058249</v>
      </c>
      <c r="D10" s="50">
        <f>+C10/C$6</f>
        <v>8.2063195529029867E-2</v>
      </c>
      <c r="E10" s="52">
        <v>1829</v>
      </c>
      <c r="F10" s="52">
        <v>2</v>
      </c>
      <c r="H10" s="8"/>
      <c r="J10" s="8"/>
      <c r="K10" s="8"/>
    </row>
    <row r="11" spans="1:11">
      <c r="C11" s="78"/>
      <c r="D11" s="80"/>
      <c r="E11" s="79"/>
      <c r="F11" s="79"/>
      <c r="H11" t="b">
        <f>H12=H13</f>
        <v>1</v>
      </c>
      <c r="I11" s="838" t="b">
        <f>I12=I13</f>
        <v>1</v>
      </c>
      <c r="J11" t="b">
        <f>J12=J13</f>
        <v>1</v>
      </c>
      <c r="K11" t="b">
        <f>K12=K13</f>
        <v>1</v>
      </c>
    </row>
    <row r="12" spans="1:11">
      <c r="A12" s="51" t="s">
        <v>18</v>
      </c>
      <c r="B12" s="51"/>
      <c r="C12" s="76">
        <v>1466685</v>
      </c>
      <c r="D12" s="15">
        <f t="shared" ref="D12:D17" si="0">+C12/C$12</f>
        <v>1</v>
      </c>
      <c r="E12" s="77">
        <v>268</v>
      </c>
      <c r="F12" s="77">
        <v>40</v>
      </c>
      <c r="H12" s="2586">
        <f>SUM(C13:C17)</f>
        <v>1466685</v>
      </c>
      <c r="I12" s="2592">
        <f>SUM(D13:D17)</f>
        <v>0.99999999999999989</v>
      </c>
      <c r="J12" s="2586">
        <f>SUM(E13:E17)</f>
        <v>268</v>
      </c>
      <c r="K12" s="2586">
        <f>SUM(F13:F17)</f>
        <v>40</v>
      </c>
    </row>
    <row r="13" spans="1:11">
      <c r="A13" s="55" t="s">
        <v>13</v>
      </c>
      <c r="B13" s="67"/>
      <c r="C13" s="52">
        <v>382730</v>
      </c>
      <c r="D13" s="50">
        <f t="shared" si="0"/>
        <v>0.2609490108646369</v>
      </c>
      <c r="E13" s="78">
        <v>40</v>
      </c>
      <c r="F13" s="54">
        <v>8</v>
      </c>
      <c r="H13">
        <f>C12</f>
        <v>1466685</v>
      </c>
      <c r="I13" s="2593">
        <f>D12</f>
        <v>1</v>
      </c>
      <c r="J13">
        <f>E12</f>
        <v>268</v>
      </c>
      <c r="K13">
        <f>F12</f>
        <v>40</v>
      </c>
    </row>
    <row r="14" spans="1:11">
      <c r="A14" s="55" t="s">
        <v>14</v>
      </c>
      <c r="C14" s="52">
        <v>531602</v>
      </c>
      <c r="D14" s="50">
        <f t="shared" si="0"/>
        <v>0.36245137844867847</v>
      </c>
      <c r="E14" s="79">
        <v>40</v>
      </c>
      <c r="F14" s="54">
        <v>26</v>
      </c>
    </row>
    <row r="15" spans="1:11">
      <c r="A15" s="55" t="s">
        <v>22</v>
      </c>
      <c r="C15" s="52">
        <v>295164</v>
      </c>
      <c r="D15" s="50">
        <f t="shared" si="0"/>
        <v>0.20124566624735374</v>
      </c>
      <c r="E15" s="79">
        <v>40</v>
      </c>
      <c r="F15" s="54">
        <v>3</v>
      </c>
    </row>
    <row r="16" spans="1:11">
      <c r="A16" s="55" t="s">
        <v>23</v>
      </c>
      <c r="C16" s="52">
        <v>165394</v>
      </c>
      <c r="D16" s="50">
        <f t="shared" si="0"/>
        <v>0.1127672267733017</v>
      </c>
      <c r="E16" s="78">
        <v>40</v>
      </c>
      <c r="F16" s="54">
        <v>3</v>
      </c>
    </row>
    <row r="17" spans="1:11">
      <c r="A17" s="55" t="s">
        <v>28</v>
      </c>
      <c r="C17" s="78">
        <f>+C12-SUM(C13:C16)</f>
        <v>91795</v>
      </c>
      <c r="D17" s="50">
        <f t="shared" si="0"/>
        <v>6.2586717666029176E-2</v>
      </c>
      <c r="E17" s="78">
        <f>+E12-SUM(E13:E16)</f>
        <v>108</v>
      </c>
      <c r="F17" s="78">
        <f>+F12-SUM(F13:F16)</f>
        <v>0</v>
      </c>
    </row>
    <row r="18" spans="1:11">
      <c r="C18" s="78"/>
      <c r="D18" s="80"/>
      <c r="E18" s="79"/>
      <c r="F18" s="79"/>
    </row>
    <row r="19" spans="1:11">
      <c r="A19" s="51" t="s">
        <v>19</v>
      </c>
      <c r="B19" s="51"/>
      <c r="C19" s="76">
        <v>2465780</v>
      </c>
      <c r="D19" s="15">
        <f>+C19/C$19</f>
        <v>1</v>
      </c>
      <c r="E19" s="77">
        <v>349</v>
      </c>
      <c r="F19" s="77">
        <v>59</v>
      </c>
      <c r="H19" t="b">
        <f>H20=H21</f>
        <v>1</v>
      </c>
      <c r="I19" s="838" t="b">
        <f>I20=I21</f>
        <v>1</v>
      </c>
      <c r="J19" t="b">
        <f>J20=J21</f>
        <v>1</v>
      </c>
      <c r="K19" t="b">
        <f>K20=K21</f>
        <v>1</v>
      </c>
    </row>
    <row r="20" spans="1:11" s="67" customFormat="1">
      <c r="A20" s="55" t="s">
        <v>13</v>
      </c>
      <c r="C20" s="52">
        <v>412905</v>
      </c>
      <c r="D20" s="50">
        <f>+C20/C$19</f>
        <v>0.16745411188346082</v>
      </c>
      <c r="E20" s="78">
        <v>59</v>
      </c>
      <c r="F20" s="54">
        <v>1</v>
      </c>
      <c r="G20" s="68"/>
      <c r="H20" s="2586">
        <f>SUM(C20:C24)</f>
        <v>2465780</v>
      </c>
      <c r="I20" s="2592">
        <f>SUM(D20:D24)</f>
        <v>1</v>
      </c>
      <c r="J20" s="2586">
        <f>SUM(E20:E24)</f>
        <v>349</v>
      </c>
      <c r="K20" s="2586">
        <f>SUM(F20:F24)</f>
        <v>59</v>
      </c>
    </row>
    <row r="21" spans="1:11">
      <c r="A21" s="55" t="s">
        <v>14</v>
      </c>
      <c r="C21" s="52">
        <v>1035528</v>
      </c>
      <c r="D21" s="50">
        <f>C21/C$19</f>
        <v>0.41995960710201236</v>
      </c>
      <c r="E21" s="79">
        <v>59</v>
      </c>
      <c r="F21" s="54">
        <v>41</v>
      </c>
      <c r="H21">
        <f>C19</f>
        <v>2465780</v>
      </c>
      <c r="I21" s="2593">
        <f>D19</f>
        <v>1</v>
      </c>
      <c r="J21">
        <f>E19</f>
        <v>349</v>
      </c>
      <c r="K21">
        <f>F19</f>
        <v>59</v>
      </c>
    </row>
    <row r="22" spans="1:11">
      <c r="A22" s="55" t="s">
        <v>22</v>
      </c>
      <c r="C22" s="52">
        <v>465471</v>
      </c>
      <c r="D22" s="50">
        <f>C22/C$19</f>
        <v>0.18877231545393344</v>
      </c>
      <c r="E22" s="79">
        <v>59</v>
      </c>
      <c r="F22" s="54">
        <v>11</v>
      </c>
    </row>
    <row r="23" spans="1:11">
      <c r="A23" s="55" t="s">
        <v>24</v>
      </c>
      <c r="C23" s="52">
        <v>491386</v>
      </c>
      <c r="D23" s="50">
        <f>C23/C$19</f>
        <v>0.19928217440323143</v>
      </c>
      <c r="E23" s="79">
        <v>59</v>
      </c>
      <c r="F23" s="54">
        <v>6</v>
      </c>
    </row>
    <row r="24" spans="1:11">
      <c r="A24" s="55" t="s">
        <v>28</v>
      </c>
      <c r="C24" s="78">
        <f>+C19-SUM(C20:C23)</f>
        <v>60490</v>
      </c>
      <c r="D24" s="50">
        <f>C24/C$19</f>
        <v>2.4531791157361971E-2</v>
      </c>
      <c r="E24" s="78">
        <f>+E19-SUM(E20:E23)</f>
        <v>113</v>
      </c>
      <c r="F24" s="78">
        <f>+F19-SUM(F20:F23)</f>
        <v>0</v>
      </c>
    </row>
    <row r="25" spans="1:11">
      <c r="C25" s="78"/>
      <c r="D25" s="80"/>
      <c r="E25" s="79"/>
      <c r="F25" s="79"/>
    </row>
    <row r="26" spans="1:11">
      <c r="A26" s="51" t="s">
        <v>20</v>
      </c>
      <c r="B26" s="51"/>
      <c r="C26" s="76">
        <v>673871</v>
      </c>
      <c r="D26" s="15">
        <f t="shared" ref="D26:D33" si="1">+C26/C$26</f>
        <v>1</v>
      </c>
      <c r="E26" s="77">
        <v>108</v>
      </c>
      <c r="F26" s="77">
        <v>18</v>
      </c>
    </row>
    <row r="27" spans="1:11">
      <c r="A27" s="62"/>
      <c r="B27" s="51"/>
      <c r="C27" s="78"/>
      <c r="D27" s="50"/>
      <c r="E27" s="79"/>
      <c r="F27" s="79"/>
    </row>
    <row r="28" spans="1:11">
      <c r="A28" s="62" t="s">
        <v>1269</v>
      </c>
      <c r="C28" s="78">
        <v>102361</v>
      </c>
      <c r="D28" s="50">
        <f t="shared" si="1"/>
        <v>0.15189999272857863</v>
      </c>
      <c r="E28" s="79">
        <v>17</v>
      </c>
      <c r="F28" s="79">
        <v>0</v>
      </c>
      <c r="H28" t="b">
        <f>H29=H30</f>
        <v>1</v>
      </c>
      <c r="I28" s="838" t="b">
        <f>I29=I30</f>
        <v>1</v>
      </c>
      <c r="J28" t="b">
        <f>J29=J30</f>
        <v>1</v>
      </c>
      <c r="K28" t="b">
        <f>K29=K30</f>
        <v>1</v>
      </c>
    </row>
    <row r="29" spans="1:11">
      <c r="A29" s="62" t="s">
        <v>114</v>
      </c>
      <c r="C29" s="78">
        <v>168216</v>
      </c>
      <c r="D29" s="50">
        <f t="shared" si="1"/>
        <v>0.24962641217681128</v>
      </c>
      <c r="E29" s="79">
        <v>16</v>
      </c>
      <c r="F29" s="79">
        <v>8</v>
      </c>
      <c r="H29" s="2586">
        <f>SUM(C28:C33)</f>
        <v>673871</v>
      </c>
      <c r="I29" s="2592">
        <f>SUM(D27:D33)</f>
        <v>1</v>
      </c>
      <c r="J29" s="2586">
        <f>SUM(E27:E33)</f>
        <v>108</v>
      </c>
      <c r="K29" s="2586">
        <f>SUM(F27:F33)</f>
        <v>18</v>
      </c>
    </row>
    <row r="30" spans="1:11" s="67" customFormat="1">
      <c r="A30" s="55" t="s">
        <v>75</v>
      </c>
      <c r="C30" s="78">
        <v>110970</v>
      </c>
      <c r="D30" s="50">
        <f t="shared" si="1"/>
        <v>0.1646754349126168</v>
      </c>
      <c r="E30" s="78">
        <v>18</v>
      </c>
      <c r="F30" s="78">
        <v>3</v>
      </c>
      <c r="G30" s="68"/>
      <c r="H30">
        <f>C26</f>
        <v>673871</v>
      </c>
      <c r="I30" s="2593">
        <f>D26</f>
        <v>1</v>
      </c>
      <c r="J30">
        <f>E26</f>
        <v>108</v>
      </c>
      <c r="K30">
        <f>F26</f>
        <v>18</v>
      </c>
    </row>
    <row r="31" spans="1:11" s="67" customFormat="1">
      <c r="A31" s="62" t="s">
        <v>71</v>
      </c>
      <c r="C31" s="78">
        <v>42762</v>
      </c>
      <c r="D31" s="50">
        <f t="shared" si="1"/>
        <v>6.3457249236129762E-2</v>
      </c>
      <c r="E31" s="78">
        <v>18</v>
      </c>
      <c r="F31" s="78">
        <v>1</v>
      </c>
      <c r="G31" s="68"/>
      <c r="H31"/>
      <c r="I31" s="2595"/>
      <c r="J31"/>
      <c r="K31"/>
    </row>
    <row r="32" spans="1:11" s="67" customFormat="1">
      <c r="A32" s="62" t="s">
        <v>27</v>
      </c>
      <c r="C32" s="78">
        <v>171942</v>
      </c>
      <c r="D32" s="50">
        <f t="shared" si="1"/>
        <v>0.255155660356359</v>
      </c>
      <c r="E32" s="78">
        <v>17</v>
      </c>
      <c r="F32" s="78">
        <v>5</v>
      </c>
      <c r="G32" s="68"/>
      <c r="H32"/>
      <c r="I32" s="2595"/>
      <c r="J32"/>
      <c r="K32"/>
    </row>
    <row r="33" spans="1:11">
      <c r="A33" s="55" t="s">
        <v>28</v>
      </c>
      <c r="C33" s="81">
        <f>+C26-SUM(C27:C32)</f>
        <v>77620</v>
      </c>
      <c r="D33" s="50">
        <f t="shared" si="1"/>
        <v>0.11518525058950452</v>
      </c>
      <c r="E33" s="78">
        <f>+E26-SUM(E27:E32)</f>
        <v>22</v>
      </c>
      <c r="F33" s="78">
        <f>+F26-SUM(F27:F32)</f>
        <v>1</v>
      </c>
    </row>
    <row r="34" spans="1:11">
      <c r="C34" s="81"/>
      <c r="D34" s="50"/>
      <c r="E34" s="79"/>
      <c r="F34" s="78"/>
      <c r="H34" t="b">
        <f>H35=H36</f>
        <v>1</v>
      </c>
      <c r="I34" s="838" t="b">
        <f>I35=I36</f>
        <v>1</v>
      </c>
      <c r="J34" t="b">
        <f>J35=J36</f>
        <v>1</v>
      </c>
      <c r="K34" t="b">
        <f>K35=K36</f>
        <v>1</v>
      </c>
    </row>
    <row r="35" spans="1:11">
      <c r="A35" s="51" t="s">
        <v>35</v>
      </c>
      <c r="B35" s="51"/>
      <c r="C35" s="76">
        <f>+C19+C12+C6</f>
        <v>29013733</v>
      </c>
      <c r="D35" s="15">
        <f t="shared" ref="D35:D41" si="2">+C35/C$35</f>
        <v>1</v>
      </c>
      <c r="E35" s="76">
        <f>+E19+E12+E6</f>
        <v>4042</v>
      </c>
      <c r="F35" s="76">
        <f>+F19+F12+F6</f>
        <v>632</v>
      </c>
      <c r="H35" s="2586">
        <f>SUM(C36:C41)</f>
        <v>29013733</v>
      </c>
      <c r="I35" s="2592">
        <f>SUM(D36:D41)</f>
        <v>1</v>
      </c>
      <c r="J35" s="2586">
        <f>SUM(E36:E41)</f>
        <v>4042</v>
      </c>
      <c r="K35" s="2586">
        <f>SUM(F36:F41)</f>
        <v>632</v>
      </c>
    </row>
    <row r="36" spans="1:11" s="67" customFormat="1">
      <c r="A36" s="55" t="s">
        <v>13</v>
      </c>
      <c r="C36" s="78">
        <f t="shared" ref="C36:C41" si="3">SUMIF(A$7:A$24,A36,C$7:C$24)</f>
        <v>10703654</v>
      </c>
      <c r="D36" s="50">
        <f t="shared" si="2"/>
        <v>0.36891681604707677</v>
      </c>
      <c r="E36" s="78">
        <f t="shared" ref="E36:E41" si="4">SUMIF(A$7:A$24,A36,E$7:E$24)</f>
        <v>631</v>
      </c>
      <c r="F36" s="78">
        <f t="shared" ref="F36:F41" si="5">SUMIF(A$7:A$24,A36,F$7:F$24)</f>
        <v>306</v>
      </c>
      <c r="G36" s="68"/>
      <c r="H36">
        <f>C35</f>
        <v>29013733</v>
      </c>
      <c r="I36" s="2593">
        <f>D35</f>
        <v>1</v>
      </c>
      <c r="J36">
        <f>E35</f>
        <v>4042</v>
      </c>
      <c r="K36">
        <f>F35</f>
        <v>632</v>
      </c>
    </row>
    <row r="37" spans="1:11">
      <c r="A37" s="55" t="s">
        <v>14</v>
      </c>
      <c r="C37" s="78">
        <f t="shared" si="3"/>
        <v>8606517</v>
      </c>
      <c r="D37" s="50">
        <f t="shared" si="2"/>
        <v>0.29663597579808154</v>
      </c>
      <c r="E37" s="78">
        <f t="shared" si="4"/>
        <v>631</v>
      </c>
      <c r="F37" s="78">
        <f t="shared" si="5"/>
        <v>258</v>
      </c>
    </row>
    <row r="38" spans="1:11">
      <c r="A38" s="55" t="s">
        <v>22</v>
      </c>
      <c r="C38" s="78">
        <f t="shared" si="3"/>
        <v>6836248</v>
      </c>
      <c r="D38" s="50">
        <f t="shared" si="2"/>
        <v>0.23562111087187573</v>
      </c>
      <c r="E38" s="78">
        <f t="shared" si="4"/>
        <v>631</v>
      </c>
      <c r="F38" s="78">
        <f t="shared" si="5"/>
        <v>57</v>
      </c>
      <c r="H38" s="8"/>
      <c r="J38" s="8"/>
      <c r="K38" s="8"/>
    </row>
    <row r="39" spans="1:11">
      <c r="A39" s="55" t="s">
        <v>23</v>
      </c>
      <c r="C39" s="78">
        <f t="shared" si="3"/>
        <v>165394</v>
      </c>
      <c r="D39" s="50">
        <f t="shared" si="2"/>
        <v>5.700541877875556E-3</v>
      </c>
      <c r="E39" s="78">
        <f t="shared" si="4"/>
        <v>40</v>
      </c>
      <c r="F39" s="78">
        <f t="shared" si="5"/>
        <v>3</v>
      </c>
    </row>
    <row r="40" spans="1:11">
      <c r="A40" s="55" t="s">
        <v>24</v>
      </c>
      <c r="C40" s="78">
        <f t="shared" si="3"/>
        <v>491386</v>
      </c>
      <c r="D40" s="50">
        <f t="shared" si="2"/>
        <v>1.6936324601870431E-2</v>
      </c>
      <c r="E40" s="78">
        <f t="shared" si="4"/>
        <v>59</v>
      </c>
      <c r="F40" s="78">
        <f t="shared" si="5"/>
        <v>6</v>
      </c>
    </row>
    <row r="41" spans="1:11">
      <c r="A41" s="55" t="s">
        <v>28</v>
      </c>
      <c r="C41" s="78">
        <f t="shared" si="3"/>
        <v>2210534</v>
      </c>
      <c r="D41" s="50">
        <f t="shared" si="2"/>
        <v>7.6189230803219973E-2</v>
      </c>
      <c r="E41" s="78">
        <f t="shared" si="4"/>
        <v>2050</v>
      </c>
      <c r="F41" s="78">
        <f t="shared" si="5"/>
        <v>2</v>
      </c>
    </row>
    <row r="42" spans="1:11">
      <c r="A42" s="51"/>
      <c r="B42" s="51"/>
      <c r="C42" s="81"/>
      <c r="D42" s="80"/>
      <c r="E42" s="79"/>
      <c r="F42" s="78"/>
      <c r="H42" t="b">
        <f>H43=H44</f>
        <v>1</v>
      </c>
      <c r="I42" s="838" t="b">
        <f>I43=I44</f>
        <v>1</v>
      </c>
      <c r="J42" t="b">
        <f>J43=J44</f>
        <v>1</v>
      </c>
      <c r="K42" t="b">
        <f>K43=K44</f>
        <v>1</v>
      </c>
    </row>
    <row r="43" spans="1:11">
      <c r="A43" s="51" t="s">
        <v>46</v>
      </c>
      <c r="B43" s="51"/>
      <c r="C43" s="76">
        <f>+C35+C26</f>
        <v>29687604</v>
      </c>
      <c r="D43" s="15">
        <f t="shared" ref="D43:D49" si="6">+C43/C$43</f>
        <v>1</v>
      </c>
      <c r="E43" s="76">
        <f>+E35+E26</f>
        <v>4150</v>
      </c>
      <c r="F43" s="76">
        <f>+F35+F26</f>
        <v>650</v>
      </c>
      <c r="H43" s="2586">
        <f>SUM(C44:C49)</f>
        <v>29687604</v>
      </c>
      <c r="I43" s="2592">
        <f>SUM(D44:D49)</f>
        <v>1</v>
      </c>
      <c r="J43" s="2586">
        <f>SUM(E44:E49)</f>
        <v>4150</v>
      </c>
      <c r="K43" s="2586">
        <f>SUM(F44:F49)</f>
        <v>650</v>
      </c>
    </row>
    <row r="44" spans="1:11">
      <c r="A44" s="55" t="s">
        <v>13</v>
      </c>
      <c r="B44" s="67"/>
      <c r="C44" s="78">
        <f>+C36+C27</f>
        <v>10703654</v>
      </c>
      <c r="D44" s="50">
        <f t="shared" si="6"/>
        <v>0.36054287169823473</v>
      </c>
      <c r="E44" s="78">
        <f>+E36+E27</f>
        <v>631</v>
      </c>
      <c r="F44" s="78">
        <f>+F36+F27</f>
        <v>306</v>
      </c>
      <c r="H44">
        <f>C43</f>
        <v>29687604</v>
      </c>
      <c r="I44" s="2593">
        <f>D43</f>
        <v>1</v>
      </c>
      <c r="J44">
        <f>E43</f>
        <v>4150</v>
      </c>
      <c r="K44">
        <f>F43</f>
        <v>650</v>
      </c>
    </row>
    <row r="45" spans="1:11">
      <c r="A45" s="55" t="s">
        <v>14</v>
      </c>
      <c r="C45" s="78">
        <f>+C37</f>
        <v>8606517</v>
      </c>
      <c r="D45" s="50">
        <f t="shared" si="6"/>
        <v>0.28990271495133119</v>
      </c>
      <c r="E45" s="78">
        <f>+E37</f>
        <v>631</v>
      </c>
      <c r="F45" s="78">
        <f>+F37</f>
        <v>258</v>
      </c>
      <c r="G45" s="18"/>
    </row>
    <row r="46" spans="1:11">
      <c r="A46" s="55" t="s">
        <v>22</v>
      </c>
      <c r="C46" s="78">
        <f>+C38</f>
        <v>6836248</v>
      </c>
      <c r="D46" s="50">
        <f t="shared" si="6"/>
        <v>0.23027281016009241</v>
      </c>
      <c r="E46" s="78">
        <f>+E38</f>
        <v>631</v>
      </c>
      <c r="F46" s="78">
        <f>+F38</f>
        <v>57</v>
      </c>
    </row>
    <row r="47" spans="1:11">
      <c r="A47" s="55" t="s">
        <v>23</v>
      </c>
      <c r="C47" s="78">
        <f>+C16</f>
        <v>165394</v>
      </c>
      <c r="D47" s="50">
        <f t="shared" si="6"/>
        <v>5.5711467991825811E-3</v>
      </c>
      <c r="E47" s="78">
        <f>+E16</f>
        <v>40</v>
      </c>
      <c r="F47" s="78">
        <f>+F16</f>
        <v>3</v>
      </c>
    </row>
    <row r="48" spans="1:11">
      <c r="A48" s="55" t="s">
        <v>24</v>
      </c>
      <c r="C48" s="78">
        <f>+C40</f>
        <v>491386</v>
      </c>
      <c r="D48" s="50">
        <f t="shared" si="6"/>
        <v>1.6551891489794864E-2</v>
      </c>
      <c r="E48" s="78">
        <f>+E40</f>
        <v>59</v>
      </c>
      <c r="F48" s="78">
        <f>+F40</f>
        <v>6</v>
      </c>
    </row>
    <row r="49" spans="1:7">
      <c r="A49" s="55" t="s">
        <v>28</v>
      </c>
      <c r="C49" s="78">
        <f>+C43-SUM(C44:C48)</f>
        <v>2884405</v>
      </c>
      <c r="D49" s="50">
        <f t="shared" si="6"/>
        <v>9.7158564901364222E-2</v>
      </c>
      <c r="E49" s="78">
        <f>+E43-SUM(E44:E48)</f>
        <v>2158</v>
      </c>
      <c r="F49" s="78">
        <f>+F43-SUM(F44:F48)</f>
        <v>20</v>
      </c>
    </row>
    <row r="51" spans="1:7">
      <c r="A51" s="73" t="s">
        <v>21</v>
      </c>
      <c r="B51" s="74" t="s">
        <v>1270</v>
      </c>
      <c r="D51" s="55"/>
      <c r="E51" s="55"/>
      <c r="F51" s="55"/>
      <c r="G51" s="55"/>
    </row>
  </sheetData>
  <mergeCells count="1">
    <mergeCell ref="A2:B2"/>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CFE9-3748-41EE-9C0B-CB2EFE669660}">
  <sheetPr>
    <tabColor theme="4" tint="0.59999389629810485"/>
    <pageSetUpPr fitToPage="1"/>
  </sheetPr>
  <dimension ref="A1:AM80"/>
  <sheetViews>
    <sheetView showGridLines="0" zoomScale="70" zoomScaleNormal="70" workbookViewId="0">
      <selection activeCell="Q25" sqref="Q25"/>
    </sheetView>
  </sheetViews>
  <sheetFormatPr baseColWidth="10" defaultColWidth="9.3984375" defaultRowHeight="13"/>
  <cols>
    <col min="1" max="1" width="7.3984375" style="2635" customWidth="1"/>
    <col min="2" max="2" width="4.796875" style="2635" customWidth="1"/>
    <col min="3" max="7" width="9.59765625" style="2635" customWidth="1"/>
    <col min="8" max="8" width="10.796875" style="2635" customWidth="1"/>
    <col min="9" max="9" width="11.3984375" style="2635" customWidth="1"/>
    <col min="10" max="10" width="5.796875" style="2635" customWidth="1"/>
    <col min="11" max="11" width="4.3984375" style="2635" customWidth="1"/>
    <col min="12" max="16" width="9.59765625" style="2635" customWidth="1"/>
    <col min="17" max="17" width="10.796875" style="2635" customWidth="1"/>
    <col min="18" max="18" width="10.19921875" style="2635" bestFit="1" customWidth="1"/>
    <col min="19" max="19" width="10.19921875" style="2635" customWidth="1"/>
    <col min="20" max="20" width="12.19921875" style="2635" bestFit="1" customWidth="1"/>
    <col min="21" max="24" width="9.3984375" style="2635"/>
    <col min="25" max="25" width="9.796875" style="2635" bestFit="1" customWidth="1"/>
    <col min="26" max="33" width="9.3984375" style="2635"/>
    <col min="34" max="38" width="10.59765625" style="2828" customWidth="1"/>
    <col min="39" max="16384" width="9.3984375" style="2635"/>
  </cols>
  <sheetData>
    <row r="1" spans="1:38" ht="23">
      <c r="A1" s="2643" t="s">
        <v>2863</v>
      </c>
      <c r="B1" s="1090"/>
      <c r="C1" s="1090"/>
      <c r="D1" s="1090"/>
      <c r="E1" s="1090"/>
      <c r="F1" s="1090"/>
      <c r="G1" s="1090"/>
      <c r="H1" s="1090"/>
      <c r="J1" s="2643" t="s">
        <v>2864</v>
      </c>
      <c r="K1" s="1090"/>
      <c r="L1" s="1090"/>
      <c r="M1" s="1090"/>
      <c r="N1" s="1090"/>
      <c r="O1" s="1090"/>
      <c r="P1" s="1090"/>
      <c r="Q1" s="1090"/>
    </row>
    <row r="2" spans="1:38">
      <c r="A2" s="2862"/>
      <c r="B2" s="2835"/>
      <c r="C2" s="2863" t="s">
        <v>54</v>
      </c>
      <c r="D2" s="2854"/>
      <c r="E2" s="2854"/>
      <c r="F2" s="2854"/>
      <c r="G2" s="2854"/>
      <c r="H2" s="2854"/>
      <c r="J2" s="2835"/>
      <c r="K2" s="2835"/>
      <c r="L2" s="2863" t="s">
        <v>37</v>
      </c>
      <c r="M2" s="2854"/>
      <c r="N2" s="2854"/>
      <c r="O2" s="2854"/>
      <c r="P2" s="2854"/>
      <c r="Q2" s="2854"/>
    </row>
    <row r="3" spans="1:38" ht="16">
      <c r="A3" s="2862"/>
      <c r="B3" s="2835"/>
      <c r="C3" s="2861" t="s">
        <v>2301</v>
      </c>
      <c r="D3" s="2860" t="s">
        <v>807</v>
      </c>
      <c r="E3" s="2859" t="s">
        <v>2302</v>
      </c>
      <c r="F3" s="3374" t="s">
        <v>95</v>
      </c>
      <c r="G3" s="2857" t="s">
        <v>1972</v>
      </c>
      <c r="H3" s="2854" t="s">
        <v>16</v>
      </c>
      <c r="J3" s="2835"/>
      <c r="K3" s="2835"/>
      <c r="L3" s="2861" t="s">
        <v>2301</v>
      </c>
      <c r="M3" s="2860" t="s">
        <v>807</v>
      </c>
      <c r="N3" s="2859" t="s">
        <v>2302</v>
      </c>
      <c r="O3" s="3374" t="s">
        <v>95</v>
      </c>
      <c r="P3" s="2857" t="s">
        <v>1972</v>
      </c>
      <c r="Q3" s="2854" t="s">
        <v>16</v>
      </c>
      <c r="T3" s="2861" t="s">
        <v>2301</v>
      </c>
      <c r="U3" s="2860" t="s">
        <v>807</v>
      </c>
      <c r="V3" s="2859" t="s">
        <v>2302</v>
      </c>
      <c r="W3" s="2858" t="s">
        <v>95</v>
      </c>
      <c r="X3" s="2857" t="s">
        <v>1972</v>
      </c>
    </row>
    <row r="4" spans="1:38" s="2835" customFormat="1" ht="3" customHeight="1">
      <c r="I4" s="2635"/>
      <c r="L4" s="2854"/>
      <c r="M4" s="2854"/>
      <c r="N4" s="2854"/>
      <c r="O4" s="2854"/>
      <c r="P4" s="2854"/>
      <c r="R4" s="2635"/>
      <c r="S4" s="2635"/>
      <c r="T4" s="2635"/>
      <c r="U4" s="2635"/>
      <c r="V4" s="2635"/>
      <c r="W4" s="2635"/>
      <c r="X4" s="2635"/>
      <c r="Y4" s="2635"/>
      <c r="Z4" s="2635"/>
      <c r="AA4" s="2635"/>
      <c r="AB4" s="2635"/>
      <c r="AC4" s="2635"/>
      <c r="AD4" s="2635"/>
      <c r="AE4" s="2635"/>
      <c r="AF4" s="2635"/>
      <c r="AG4" s="2635"/>
      <c r="AH4" s="2828"/>
      <c r="AI4" s="2853"/>
      <c r="AJ4" s="2853"/>
      <c r="AK4" s="2853"/>
      <c r="AL4" s="2853"/>
    </row>
    <row r="5" spans="1:38" s="2869" customFormat="1" ht="13.5" customHeight="1">
      <c r="A5" s="2844">
        <v>1918</v>
      </c>
      <c r="B5" s="2841"/>
      <c r="C5" s="2874">
        <f>T5/1000000</f>
        <v>3.8549790000000002</v>
      </c>
      <c r="D5" s="2874">
        <f>U5/1000000</f>
        <v>2.2457769999999999</v>
      </c>
      <c r="E5" s="2874">
        <f>V5/1000000</f>
        <v>2.785374</v>
      </c>
      <c r="F5" s="2847" t="s">
        <v>103</v>
      </c>
      <c r="G5" s="2874">
        <f>X5/1000000</f>
        <v>0.86146299999999998</v>
      </c>
      <c r="H5" s="2874">
        <f>Y5/1000000</f>
        <v>9.7475930000000002</v>
      </c>
      <c r="I5" s="2874" t="str">
        <f>IF(H5=SUM(C5:G5),"","**")</f>
        <v/>
      </c>
      <c r="J5" s="2844">
        <v>1918</v>
      </c>
      <c r="K5" s="2841"/>
      <c r="L5" s="2871">
        <f>'1918 '!$E$58+'1918 '!$E$64</f>
        <v>409</v>
      </c>
      <c r="M5" s="2871">
        <f>'1918 '!$E$66</f>
        <v>361</v>
      </c>
      <c r="N5" s="2871">
        <f>'1918 '!$E$59+'1918 '!$E$65</f>
        <v>421</v>
      </c>
      <c r="O5" s="2842"/>
      <c r="P5" s="2843">
        <f t="shared" ref="P5:P11" si="0">Q5-SUM(L5:O5)</f>
        <v>228</v>
      </c>
      <c r="Q5" s="2635">
        <f>'1918 '!$E$74</f>
        <v>1419</v>
      </c>
      <c r="R5" s="2841"/>
      <c r="S5" s="2844">
        <v>1918</v>
      </c>
      <c r="T5" s="2871">
        <f>'1918 '!$B$58+'1918 '!$B$64</f>
        <v>3854979</v>
      </c>
      <c r="U5" s="2871">
        <f>'1918 '!$B$66</f>
        <v>2245777</v>
      </c>
      <c r="V5" s="2871">
        <f>'1918 '!$B$59+'1918 '!$B$65</f>
        <v>2785374</v>
      </c>
      <c r="W5" s="2842"/>
      <c r="X5" s="2843">
        <f t="shared" ref="X5:X11" si="1">Y5-SUM(T5:W5)</f>
        <v>861463</v>
      </c>
      <c r="Y5" s="2635">
        <f>'1918 '!$B$74</f>
        <v>9747593</v>
      </c>
      <c r="AH5" s="2870"/>
      <c r="AI5" s="2870"/>
      <c r="AJ5" s="2870"/>
      <c r="AK5" s="2870"/>
      <c r="AL5" s="2870"/>
    </row>
    <row r="6" spans="1:38" ht="12.75" customHeight="1">
      <c r="A6" s="2837">
        <v>1922</v>
      </c>
      <c r="C6" s="2874">
        <f t="shared" ref="C6:C11" si="2">T6/1000000</f>
        <v>5.3943260000000004</v>
      </c>
      <c r="D6" s="2874">
        <f t="shared" ref="D6:D11" si="3">U6/1000000</f>
        <v>4.237349</v>
      </c>
      <c r="E6" s="2874">
        <f t="shared" ref="E6:E11" si="4">V6/1000000</f>
        <v>4.1394599999999997</v>
      </c>
      <c r="F6" s="2847" t="s">
        <v>103</v>
      </c>
      <c r="G6" s="2874">
        <f t="shared" ref="G6:G11" si="5">X6/1000000</f>
        <v>0.41330899999999998</v>
      </c>
      <c r="H6" s="2874">
        <f t="shared" ref="H6:H11" si="6">Y6/1000000</f>
        <v>14.184443999999999</v>
      </c>
      <c r="I6" s="2874" t="str">
        <f t="shared" ref="I6:I32" si="7">IF(H6=SUM(C6:G6),"","**")</f>
        <v/>
      </c>
      <c r="J6" s="2837">
        <v>1922</v>
      </c>
      <c r="L6" s="2872">
        <f>'1922'!$E$37</f>
        <v>470</v>
      </c>
      <c r="M6" s="2872">
        <f>'1922'!$E$40</f>
        <v>414</v>
      </c>
      <c r="N6" s="2872">
        <f>'1922'!$E$38+'1922'!$E$39</f>
        <v>485</v>
      </c>
      <c r="O6" s="2849"/>
      <c r="P6" s="2843">
        <f t="shared" si="0"/>
        <v>57</v>
      </c>
      <c r="Q6" s="2841">
        <f>'1922'!$E$44</f>
        <v>1426</v>
      </c>
      <c r="S6" s="2837">
        <v>1922</v>
      </c>
      <c r="T6" s="2872">
        <f>'1922'!$B$37</f>
        <v>5394326</v>
      </c>
      <c r="U6" s="2872">
        <f>'1922'!$B$40</f>
        <v>4237349</v>
      </c>
      <c r="V6" s="2872">
        <f>'1922'!$B$38+'1922'!$B$39</f>
        <v>4139460</v>
      </c>
      <c r="W6" s="2849"/>
      <c r="X6" s="2843">
        <f t="shared" si="1"/>
        <v>413309</v>
      </c>
      <c r="Y6" s="2841">
        <f>'1922'!$B$44</f>
        <v>14184444</v>
      </c>
    </row>
    <row r="7" spans="1:38" ht="12.75" customHeight="1">
      <c r="A7" s="2837">
        <v>1923</v>
      </c>
      <c r="C7" s="2874">
        <f t="shared" si="2"/>
        <v>5.3973800000000001</v>
      </c>
      <c r="D7" s="2874">
        <f t="shared" si="3"/>
        <v>4.4397799999999998</v>
      </c>
      <c r="E7" s="2874">
        <f t="shared" si="4"/>
        <v>4.3014809999999999</v>
      </c>
      <c r="F7" s="2847" t="s">
        <v>103</v>
      </c>
      <c r="G7" s="2874">
        <f t="shared" si="5"/>
        <v>0.166796</v>
      </c>
      <c r="H7" s="2874">
        <f t="shared" si="6"/>
        <v>14.305437</v>
      </c>
      <c r="I7" s="2874" t="str">
        <f t="shared" si="7"/>
        <v/>
      </c>
      <c r="J7" s="2837">
        <v>1923</v>
      </c>
      <c r="L7" s="2871">
        <f>'1923'!$E$33</f>
        <v>524</v>
      </c>
      <c r="M7" s="2871">
        <f>'1923'!$E$35</f>
        <v>427</v>
      </c>
      <c r="N7" s="2871">
        <f>'1923'!$E$34</f>
        <v>457</v>
      </c>
      <c r="O7" s="2845"/>
      <c r="P7" s="2843">
        <f t="shared" si="0"/>
        <v>22</v>
      </c>
      <c r="Q7" s="2635">
        <f>'1923'!$E$39</f>
        <v>1430</v>
      </c>
      <c r="S7" s="2837">
        <v>1923</v>
      </c>
      <c r="T7" s="2871">
        <f>'1923'!$B$33</f>
        <v>5397380</v>
      </c>
      <c r="U7" s="2871">
        <f>'1923'!$B$35</f>
        <v>4439780</v>
      </c>
      <c r="V7" s="2871">
        <f>'1923'!$B$34</f>
        <v>4301481</v>
      </c>
      <c r="W7" s="2845"/>
      <c r="X7" s="2843">
        <f t="shared" si="1"/>
        <v>166796</v>
      </c>
      <c r="Y7" s="2635">
        <f>'1923'!$B$39</f>
        <v>14305437</v>
      </c>
    </row>
    <row r="8" spans="1:38" ht="12.75" customHeight="1">
      <c r="A8" s="2837">
        <v>1924</v>
      </c>
      <c r="C8" s="2874">
        <f t="shared" si="2"/>
        <v>7.4032450000000001</v>
      </c>
      <c r="D8" s="2874">
        <f t="shared" si="3"/>
        <v>5.4890869999999996</v>
      </c>
      <c r="E8" s="2874">
        <f t="shared" si="4"/>
        <v>2.9287369999999999</v>
      </c>
      <c r="F8" s="2847" t="s">
        <v>103</v>
      </c>
      <c r="G8" s="2874">
        <f t="shared" si="5"/>
        <v>0.29983599999999999</v>
      </c>
      <c r="H8" s="2874">
        <f t="shared" si="6"/>
        <v>16.120905</v>
      </c>
      <c r="I8" s="2874" t="str">
        <f t="shared" si="7"/>
        <v/>
      </c>
      <c r="J8" s="2837">
        <v>1924</v>
      </c>
      <c r="L8" s="2871">
        <f>'1924'!$E$34</f>
        <v>522</v>
      </c>
      <c r="M8" s="2871">
        <f>'1924'!$E$36</f>
        <v>514</v>
      </c>
      <c r="N8" s="2871">
        <f>'1924'!$E$35</f>
        <v>339</v>
      </c>
      <c r="O8" s="2845"/>
      <c r="P8" s="2843">
        <f t="shared" si="0"/>
        <v>31</v>
      </c>
      <c r="Q8" s="2635">
        <f>'1924'!$E$42</f>
        <v>1406</v>
      </c>
      <c r="S8" s="2837">
        <v>1924</v>
      </c>
      <c r="T8" s="2871">
        <f>'1924'!$B$34</f>
        <v>7403245</v>
      </c>
      <c r="U8" s="2871">
        <f>'1924'!$B$36</f>
        <v>5489087</v>
      </c>
      <c r="V8" s="2871">
        <f>'1924'!$B$35</f>
        <v>2928737</v>
      </c>
      <c r="W8" s="2845"/>
      <c r="X8" s="2843">
        <f t="shared" si="1"/>
        <v>299836</v>
      </c>
      <c r="Y8" s="2635">
        <f>'1924'!$B$42</f>
        <v>16120905</v>
      </c>
    </row>
    <row r="9" spans="1:38" ht="12.75" customHeight="1">
      <c r="A9" s="2837">
        <v>1929</v>
      </c>
      <c r="C9" s="2874">
        <f t="shared" si="2"/>
        <v>8.3015679999999996</v>
      </c>
      <c r="D9" s="2874">
        <f t="shared" si="3"/>
        <v>8.3704169999999998</v>
      </c>
      <c r="E9" s="2874">
        <f t="shared" si="4"/>
        <v>5.2086350000000001</v>
      </c>
      <c r="F9" s="2847" t="s">
        <v>103</v>
      </c>
      <c r="G9" s="2874">
        <f t="shared" si="5"/>
        <v>0.25378000000000001</v>
      </c>
      <c r="H9" s="2874">
        <f t="shared" si="6"/>
        <v>22.138321999999999</v>
      </c>
      <c r="I9" s="2874"/>
      <c r="J9" s="2837">
        <v>1929</v>
      </c>
      <c r="L9" s="2871">
        <f>'1929'!$E$37</f>
        <v>580</v>
      </c>
      <c r="M9" s="2871">
        <f>'1929'!$E$39</f>
        <v>569</v>
      </c>
      <c r="N9" s="2871">
        <f>'1929'!$E$38</f>
        <v>507</v>
      </c>
      <c r="O9" s="2873">
        <f>'1929'!$E$40+'1929'!$E$41</f>
        <v>3</v>
      </c>
      <c r="P9" s="2843">
        <f t="shared" si="0"/>
        <v>49</v>
      </c>
      <c r="Q9" s="2635">
        <f>'1929'!$E$45</f>
        <v>1708</v>
      </c>
      <c r="S9" s="2837">
        <v>1929</v>
      </c>
      <c r="T9" s="2871">
        <f>'1929'!$B$37</f>
        <v>8301568</v>
      </c>
      <c r="U9" s="2871">
        <f>'1929'!$B$39</f>
        <v>8370417</v>
      </c>
      <c r="V9" s="2871">
        <f>'1929'!$B$38</f>
        <v>5208635</v>
      </c>
      <c r="W9" s="2873">
        <f>'1929'!$B$40+'1929'!$B$41</f>
        <v>3922</v>
      </c>
      <c r="X9" s="2843">
        <f t="shared" si="1"/>
        <v>253780</v>
      </c>
      <c r="Y9" s="2635">
        <f>'1929'!$B$45</f>
        <v>22138322</v>
      </c>
    </row>
    <row r="10" spans="1:38" ht="12.75" customHeight="1">
      <c r="A10" s="2837">
        <v>1931</v>
      </c>
      <c r="C10" s="2874">
        <f t="shared" si="2"/>
        <v>13.007224000000001</v>
      </c>
      <c r="D10" s="2874">
        <f t="shared" si="3"/>
        <v>6.6402200000000002</v>
      </c>
      <c r="E10" s="2874">
        <f t="shared" si="4"/>
        <v>1.4761230000000001</v>
      </c>
      <c r="F10" s="2874">
        <f>W10/1000000</f>
        <v>2.3004E-2</v>
      </c>
      <c r="G10" s="2874">
        <f t="shared" si="5"/>
        <v>0.227773</v>
      </c>
      <c r="H10" s="2874">
        <f t="shared" si="6"/>
        <v>21.374344000000001</v>
      </c>
      <c r="I10" s="2874" t="str">
        <f t="shared" si="7"/>
        <v/>
      </c>
      <c r="J10" s="2837">
        <v>1931</v>
      </c>
      <c r="L10" s="2871">
        <f>'1931'!$E$53+'1931'!$E$55+'1931'!$E$56+'1931'!$E$57</f>
        <v>571</v>
      </c>
      <c r="M10" s="2871">
        <f>'1931'!$E$60</f>
        <v>515</v>
      </c>
      <c r="N10" s="2871">
        <f>'1931'!$E$54+'1931'!$E$59</f>
        <v>117</v>
      </c>
      <c r="O10" s="2871">
        <f>'1931'!$E$61+'1931'!$E$62</f>
        <v>7</v>
      </c>
      <c r="P10" s="2843">
        <f t="shared" si="0"/>
        <v>66</v>
      </c>
      <c r="Q10" s="2635">
        <f>'1931'!$E$66</f>
        <v>1276</v>
      </c>
      <c r="S10" s="2837">
        <v>1931</v>
      </c>
      <c r="T10" s="2871">
        <f>'1931'!$B$53+'1931'!$B$55+'1931'!$B$56+'1931'!$B$57</f>
        <v>13007224</v>
      </c>
      <c r="U10" s="2871">
        <f>'1931'!$B$60</f>
        <v>6640220</v>
      </c>
      <c r="V10" s="2871">
        <f>'1931'!$B$54+'1931'!$B$59</f>
        <v>1476123</v>
      </c>
      <c r="W10" s="2871">
        <f>'1931'!$B$61+'1931'!$B$62</f>
        <v>23004</v>
      </c>
      <c r="X10" s="2843">
        <f t="shared" si="1"/>
        <v>227773</v>
      </c>
      <c r="Y10" s="2635">
        <f>'1931'!$B$66</f>
        <v>21374344</v>
      </c>
    </row>
    <row r="11" spans="1:38" ht="12.75" customHeight="1">
      <c r="A11" s="2837">
        <v>1935</v>
      </c>
      <c r="C11" s="2874">
        <f t="shared" si="2"/>
        <v>11.462814</v>
      </c>
      <c r="D11" s="2874">
        <f t="shared" si="3"/>
        <v>8.3254909999999995</v>
      </c>
      <c r="E11" s="2874">
        <f t="shared" si="4"/>
        <v>1.443093</v>
      </c>
      <c r="F11" s="2874">
        <f>W11/1000000</f>
        <v>3.2051000000000003E-2</v>
      </c>
      <c r="G11" s="2874">
        <f t="shared" si="5"/>
        <v>0.28243800000000002</v>
      </c>
      <c r="H11" s="2874">
        <f t="shared" si="6"/>
        <v>21.545887</v>
      </c>
      <c r="I11" s="2874" t="str">
        <f t="shared" si="7"/>
        <v/>
      </c>
      <c r="J11" s="2837">
        <v>1935</v>
      </c>
      <c r="L11" s="2871">
        <f>'1935'!$E$50+'1935'!$E$51+'1935'!$E$52+'1935'!$E$53</f>
        <v>571</v>
      </c>
      <c r="M11" s="2871">
        <f>'1935'!$E$56</f>
        <v>552</v>
      </c>
      <c r="N11" s="2871">
        <f>'1935'!$E$55</f>
        <v>161</v>
      </c>
      <c r="O11" s="2871">
        <f>'1935'!$E$58+'1935'!$E$59</f>
        <v>9</v>
      </c>
      <c r="P11" s="2843">
        <f t="shared" si="0"/>
        <v>38</v>
      </c>
      <c r="Q11" s="2635">
        <f>'1935'!$E$62</f>
        <v>1331</v>
      </c>
      <c r="S11" s="2837">
        <v>1935</v>
      </c>
      <c r="T11" s="2871">
        <f>'1935'!$B$50+'1935'!$B$51+'1935'!$B$52+'1935'!$B$53</f>
        <v>11462814</v>
      </c>
      <c r="U11" s="2871">
        <f>'1935'!$B$56</f>
        <v>8325491</v>
      </c>
      <c r="V11" s="2871">
        <f>'1935'!$B$55</f>
        <v>1443093</v>
      </c>
      <c r="W11" s="2871">
        <f>'1935'!$B$58+'1935'!$B$59</f>
        <v>32051</v>
      </c>
      <c r="X11" s="2843">
        <f t="shared" si="1"/>
        <v>282438</v>
      </c>
      <c r="Y11" s="2635">
        <f>'1935'!$B$62</f>
        <v>21545887</v>
      </c>
    </row>
    <row r="12" spans="1:38" ht="12.75" customHeight="1">
      <c r="A12" s="2837">
        <v>1945</v>
      </c>
      <c r="C12" s="2867">
        <f>+'1945'!$C$44/1000000</f>
        <v>9.5795600000000007</v>
      </c>
      <c r="D12" s="2867">
        <f>+'1945'!$C$45/1000000</f>
        <v>11.902286999999999</v>
      </c>
      <c r="E12" s="2867">
        <f>+'1945'!$C$46/1000000</f>
        <v>2.2524299999999999</v>
      </c>
      <c r="F12" s="2867">
        <f>+'1945'!$C$47/1000000+'1945'!$C$48/1000000</f>
        <v>4.6612000000000001E-2</v>
      </c>
      <c r="G12" s="2867">
        <f t="shared" ref="G12:G29" si="8">+H12-SUM(C12:F12)</f>
        <v>0.59454099999999954</v>
      </c>
      <c r="H12" s="2867">
        <f>+'1945'!$C$40/1000000</f>
        <v>24.375430000000001</v>
      </c>
      <c r="I12" s="2874" t="str">
        <f t="shared" si="7"/>
        <v/>
      </c>
      <c r="J12" s="2837">
        <v>1945</v>
      </c>
      <c r="L12" s="2635">
        <f>+'1945'!$E$44</f>
        <v>606</v>
      </c>
      <c r="M12" s="2635">
        <f>+'1945'!$E$45</f>
        <v>598</v>
      </c>
      <c r="N12" s="2635">
        <f>+'1945'!$E$46</f>
        <v>306</v>
      </c>
      <c r="O12" s="2635">
        <f>+'1945'!$E$47+'1945'!$E$48</f>
        <v>15</v>
      </c>
      <c r="P12" s="2635">
        <f t="shared" ref="P12:P29" si="9">+Q12-SUM(L12:O12)</f>
        <v>134</v>
      </c>
      <c r="Q12" s="2635">
        <f>+'1945'!$E$40</f>
        <v>1659</v>
      </c>
    </row>
    <row r="13" spans="1:38" ht="12.75" customHeight="1">
      <c r="A13" s="2837">
        <v>1950</v>
      </c>
      <c r="C13" s="2867">
        <f>+'1950'!$C$42/1000000</f>
        <v>12.14007</v>
      </c>
      <c r="D13" s="2867">
        <f>+'1950'!$C$43/1000000</f>
        <v>13.198359999999999</v>
      </c>
      <c r="E13" s="2867">
        <f>+'1950'!$C$44/1000000</f>
        <v>2.6214870000000001</v>
      </c>
      <c r="F13" s="2867">
        <f>+'1950'!$C$45/1000000+'1950'!$C$46/1000000</f>
        <v>2.7288E-2</v>
      </c>
      <c r="G13" s="2867">
        <f t="shared" si="8"/>
        <v>0.22248100000000548</v>
      </c>
      <c r="H13" s="2867">
        <f>+'1950'!$C$39/1000000</f>
        <v>28.209686000000001</v>
      </c>
      <c r="I13" s="2874" t="str">
        <f t="shared" si="7"/>
        <v/>
      </c>
      <c r="J13" s="2837">
        <v>1950</v>
      </c>
      <c r="L13" s="2635">
        <f>+'1950'!$E$42</f>
        <v>607</v>
      </c>
      <c r="M13" s="2635">
        <f>+'1950'!$E$43</f>
        <v>612</v>
      </c>
      <c r="N13" s="2635">
        <f>+'1950'!$E$44</f>
        <v>475</v>
      </c>
      <c r="O13" s="2635">
        <f>+'1950'!$E$45+'1950'!$E$46</f>
        <v>10</v>
      </c>
      <c r="P13" s="2635">
        <f t="shared" si="9"/>
        <v>141</v>
      </c>
      <c r="Q13" s="2635">
        <f>+'1950'!$E$39</f>
        <v>1845</v>
      </c>
      <c r="S13" s="2844"/>
    </row>
    <row r="14" spans="1:38" ht="12.75" customHeight="1">
      <c r="A14" s="2837">
        <v>1951</v>
      </c>
      <c r="C14" s="2867">
        <f>+'1951'!$C$41/1000000</f>
        <v>13.443270999999999</v>
      </c>
      <c r="D14" s="2867">
        <f>+'1951'!$C$42/1000000</f>
        <v>13.886559</v>
      </c>
      <c r="E14" s="2867">
        <f>+'1951'!$C$43/1000000</f>
        <v>0.73054600000000003</v>
      </c>
      <c r="F14" s="2867">
        <f>+'1951'!$C$44/1000000+'1951'!$C$45/1000000</f>
        <v>1.8218999999999999E-2</v>
      </c>
      <c r="G14" s="2867">
        <f t="shared" si="8"/>
        <v>5.4786000000000001E-2</v>
      </c>
      <c r="H14" s="2867">
        <f>+'1951'!$C$38/1000000</f>
        <v>28.133381</v>
      </c>
      <c r="I14" s="2874" t="str">
        <f t="shared" si="7"/>
        <v/>
      </c>
      <c r="J14" s="2837">
        <v>1951</v>
      </c>
      <c r="L14" s="2635">
        <f>+'1951'!$E$41</f>
        <v>605</v>
      </c>
      <c r="M14" s="2635">
        <f>+'1951'!$E$42</f>
        <v>613</v>
      </c>
      <c r="N14" s="2635">
        <f>+'1951'!$E$43</f>
        <v>109</v>
      </c>
      <c r="O14" s="2635">
        <f>+'1951'!$E$44+'1951'!$E$45</f>
        <v>6</v>
      </c>
      <c r="P14" s="2635">
        <f t="shared" si="9"/>
        <v>23</v>
      </c>
      <c r="Q14" s="2635">
        <f>+'1951'!$E$38</f>
        <v>1356</v>
      </c>
      <c r="S14" s="2837"/>
    </row>
    <row r="15" spans="1:38" ht="12.75" customHeight="1">
      <c r="A15" s="2837">
        <v>1955</v>
      </c>
      <c r="C15" s="2867">
        <f>+'1955'!$C$41/1000000</f>
        <v>12.868244000000001</v>
      </c>
      <c r="D15" s="2867">
        <f>+'1955'!$C$42/1000000</f>
        <v>12.36964</v>
      </c>
      <c r="E15" s="2867">
        <f>+'1955'!$C$43/1000000</f>
        <v>0.72240199999999999</v>
      </c>
      <c r="F15" s="2867">
        <f>+'1955'!$C$44/1000000+'1955'!$C$45/1000000</f>
        <v>5.7230999999999997E-2</v>
      </c>
      <c r="G15" s="2867">
        <f t="shared" si="8"/>
        <v>9.5590999999998871E-2</v>
      </c>
      <c r="H15" s="2867">
        <f>+'1955'!$C$38/1000000</f>
        <v>26.113108</v>
      </c>
      <c r="I15" s="2874" t="str">
        <f t="shared" si="7"/>
        <v/>
      </c>
      <c r="J15" s="2837">
        <v>1955</v>
      </c>
      <c r="L15" s="2635">
        <f>+'1955'!$E$41</f>
        <v>612</v>
      </c>
      <c r="M15" s="2635">
        <f>+'1955'!$E$42</f>
        <v>617</v>
      </c>
      <c r="N15" s="2635">
        <f>+'1955'!$E$43</f>
        <v>110</v>
      </c>
      <c r="O15" s="2635">
        <f>+'1955'!$E$44+'1955'!$E$45</f>
        <v>13</v>
      </c>
      <c r="P15" s="2635">
        <f t="shared" si="9"/>
        <v>29</v>
      </c>
      <c r="Q15" s="2635">
        <f>+'1955'!$E$38</f>
        <v>1381</v>
      </c>
      <c r="S15" s="2837"/>
    </row>
    <row r="16" spans="1:38" ht="12.75" customHeight="1">
      <c r="A16" s="2837">
        <v>1959</v>
      </c>
      <c r="C16" s="2867">
        <f>+'1959'!$C$42/1000000</f>
        <v>13.305861999999999</v>
      </c>
      <c r="D16" s="2867">
        <f>+'1959'!$C$43/1000000</f>
        <v>12.171802</v>
      </c>
      <c r="E16" s="2867">
        <f>+'1959'!$C$44/1000000</f>
        <v>1.637507</v>
      </c>
      <c r="F16" s="2867">
        <f>+'1959'!$C$45/1000000+'1959'!$C$46/1000000</f>
        <v>9.9309000000000008E-2</v>
      </c>
      <c r="G16" s="2867">
        <f t="shared" si="8"/>
        <v>7.2059000000002982E-2</v>
      </c>
      <c r="H16" s="2867">
        <f>+'1959'!$C$39/1000000</f>
        <v>27.286539000000001</v>
      </c>
      <c r="I16" s="2874" t="str">
        <f t="shared" si="7"/>
        <v/>
      </c>
      <c r="J16" s="2837">
        <v>1959</v>
      </c>
      <c r="L16" s="2635">
        <f>+'1959'!$E$42</f>
        <v>613</v>
      </c>
      <c r="M16" s="2635">
        <f>+'1959'!$E$43</f>
        <v>618</v>
      </c>
      <c r="N16" s="2635">
        <f>+'1959'!$E$44</f>
        <v>215</v>
      </c>
      <c r="O16" s="2635">
        <f>+'1959'!$E$45+'1959'!$E$46</f>
        <v>25</v>
      </c>
      <c r="P16" s="2635">
        <f t="shared" si="9"/>
        <v>36</v>
      </c>
      <c r="Q16" s="2635">
        <f>+'1959'!$E$39</f>
        <v>1507</v>
      </c>
      <c r="S16" s="2837"/>
    </row>
    <row r="17" spans="1:19" ht="12.75" customHeight="1">
      <c r="A17" s="2837">
        <v>1964</v>
      </c>
      <c r="C17" s="2867">
        <f>+'1964'!$C$42/1000000</f>
        <v>11.600745</v>
      </c>
      <c r="D17" s="2867">
        <f>+'1964'!$C$43/1000000</f>
        <v>12.103049</v>
      </c>
      <c r="E17" s="2867">
        <f>+'1964'!$C$44/1000000</f>
        <v>3.0819290000000001</v>
      </c>
      <c r="F17" s="2867">
        <f>+'1964'!$C$45/1000000+'1964'!$C$46/1000000</f>
        <v>0.133551</v>
      </c>
      <c r="G17" s="2867">
        <f t="shared" si="8"/>
        <v>9.9557999999998259E-2</v>
      </c>
      <c r="H17" s="2867">
        <f>+'1964'!$C$39/1000000</f>
        <v>27.018832</v>
      </c>
      <c r="I17" s="2874" t="str">
        <f t="shared" si="7"/>
        <v/>
      </c>
      <c r="J17" s="2837">
        <v>1964</v>
      </c>
      <c r="L17" s="2635">
        <f>+'1964'!$E$42</f>
        <v>618</v>
      </c>
      <c r="M17" s="2635">
        <f>+'1964'!$E$43</f>
        <v>618</v>
      </c>
      <c r="N17" s="2635">
        <f>+'1964'!$E$44</f>
        <v>361</v>
      </c>
      <c r="O17" s="2635">
        <f>+'1964'!$E$45+'1964'!$E$46</f>
        <v>38</v>
      </c>
      <c r="P17" s="2635">
        <f t="shared" si="9"/>
        <v>83</v>
      </c>
      <c r="Q17" s="2635">
        <f>+'1964'!$E$39</f>
        <v>1718</v>
      </c>
      <c r="S17" s="2837"/>
    </row>
    <row r="18" spans="1:19" ht="12.75" customHeight="1">
      <c r="A18" s="2837">
        <v>1966</v>
      </c>
      <c r="C18" s="2867">
        <f>+'1966'!$C$40/1000000</f>
        <v>11.049825999999999</v>
      </c>
      <c r="D18" s="2867">
        <f>+'1966'!$C$41/1000000</f>
        <v>13.024016</v>
      </c>
      <c r="E18" s="2867">
        <f>+'1966'!$C$42/1000000</f>
        <v>2.2983479999999998</v>
      </c>
      <c r="F18" s="2867">
        <f>+'1966'!$C$43/1000000+'1966'!$C$44/1000000</f>
        <v>0.18954500000000002</v>
      </c>
      <c r="G18" s="2867">
        <f t="shared" si="8"/>
        <v>0.10677500000000251</v>
      </c>
      <c r="H18" s="2867">
        <f>+'1966'!$C$37/1000000</f>
        <v>26.668510000000001</v>
      </c>
      <c r="I18" s="2874" t="str">
        <f t="shared" si="7"/>
        <v/>
      </c>
      <c r="J18" s="2837">
        <v>1966</v>
      </c>
      <c r="L18" s="2635">
        <f>+'1966'!$E$40</f>
        <v>617</v>
      </c>
      <c r="M18" s="2635">
        <f>+'1966'!$E$41</f>
        <v>618</v>
      </c>
      <c r="N18" s="2635">
        <f>+'1966'!$E$42</f>
        <v>308</v>
      </c>
      <c r="O18" s="2635">
        <f>+'1966'!$E$43+'1966'!$E$44</f>
        <v>43</v>
      </c>
      <c r="P18" s="2635">
        <f t="shared" si="9"/>
        <v>94</v>
      </c>
      <c r="Q18" s="2635">
        <f>+'1966'!$E$37</f>
        <v>1680</v>
      </c>
      <c r="S18" s="2837"/>
    </row>
    <row r="19" spans="1:19" ht="12.75" customHeight="1">
      <c r="A19" s="2837">
        <v>1970</v>
      </c>
      <c r="C19" s="2867">
        <f>+'1970'!$C$37/1000000</f>
        <v>12.723082</v>
      </c>
      <c r="D19" s="2867">
        <f>+'1970'!$C$38/1000000</f>
        <v>12.110564</v>
      </c>
      <c r="E19" s="2867">
        <f>+'1970'!$C$39/1000000</f>
        <v>2.1050300000000002</v>
      </c>
      <c r="F19" s="2867">
        <f>+'1970'!$C$40/1000000+'1970'!$C$41/1000000</f>
        <v>0.48181800000000002</v>
      </c>
      <c r="G19" s="2867">
        <f t="shared" si="8"/>
        <v>0.14519099999999696</v>
      </c>
      <c r="H19" s="2867">
        <f>+'1970'!$C$36/1000000</f>
        <v>27.565684999999998</v>
      </c>
      <c r="I19" s="2874" t="str">
        <f t="shared" si="7"/>
        <v/>
      </c>
      <c r="J19" s="2837">
        <v>1970</v>
      </c>
      <c r="L19" s="2635">
        <f>+'1970'!$E$37</f>
        <v>616</v>
      </c>
      <c r="M19" s="2635">
        <f>+'1970'!$E$38</f>
        <v>618</v>
      </c>
      <c r="N19" s="2635">
        <f>+'1970'!$E$39</f>
        <v>328</v>
      </c>
      <c r="O19" s="2635">
        <f>+'1970'!$E$40+'1970'!$E$41</f>
        <v>101</v>
      </c>
      <c r="P19" s="2635">
        <f t="shared" si="9"/>
        <v>134</v>
      </c>
      <c r="Q19" s="2635">
        <f>+'1970'!$E$36</f>
        <v>1797</v>
      </c>
      <c r="S19" s="2837"/>
    </row>
    <row r="20" spans="1:19" ht="12.75" customHeight="1">
      <c r="A20" s="2837">
        <v>1974</v>
      </c>
      <c r="B20" s="2635" t="s">
        <v>50</v>
      </c>
      <c r="C20" s="2867">
        <f>+'1974F'!$C$40/1000000</f>
        <v>11.87218</v>
      </c>
      <c r="D20" s="2867">
        <f>+'1974F'!$C$41/1000000</f>
        <v>11.645616</v>
      </c>
      <c r="E20" s="2867">
        <f>+'1974F'!$C$42/1000000</f>
        <v>6.0595189999999999</v>
      </c>
      <c r="F20" s="2867">
        <f>+'1974F'!$C$43/1000000+'1974F'!$C$44/1000000</f>
        <v>0.80455399999999999</v>
      </c>
      <c r="G20" s="2867">
        <f t="shared" si="8"/>
        <v>0.24066700000000196</v>
      </c>
      <c r="H20" s="2867">
        <f>+'1974F'!$C$39/1000000</f>
        <v>30.622536</v>
      </c>
      <c r="I20" s="2874" t="str">
        <f t="shared" si="7"/>
        <v/>
      </c>
      <c r="J20" s="2837">
        <v>1974</v>
      </c>
      <c r="K20" s="2635" t="s">
        <v>50</v>
      </c>
      <c r="L20" s="2635">
        <f>+'1974F'!$E$40</f>
        <v>623</v>
      </c>
      <c r="M20" s="2635">
        <f>+'1974F'!$E$41</f>
        <v>623</v>
      </c>
      <c r="N20" s="2635">
        <f>+'1974F'!$E$42</f>
        <v>517</v>
      </c>
      <c r="O20" s="2635">
        <f>+'1974F'!$E$43+'1974F'!$E$44</f>
        <v>106</v>
      </c>
      <c r="P20" s="2635">
        <f t="shared" si="9"/>
        <v>218</v>
      </c>
      <c r="Q20" s="2635">
        <f>+'1974F'!$E$39</f>
        <v>2087</v>
      </c>
    </row>
    <row r="21" spans="1:19" ht="12.75" customHeight="1">
      <c r="A21" s="2837">
        <v>1974</v>
      </c>
      <c r="B21" s="2635" t="s">
        <v>51</v>
      </c>
      <c r="C21" s="2867">
        <f>+'1974O'!$C$39/1000000</f>
        <v>10.462565</v>
      </c>
      <c r="D21" s="2867">
        <f>+'1974O'!$C$40/1000000</f>
        <v>11.457079</v>
      </c>
      <c r="E21" s="2867">
        <f>+'1974O'!$C$41/1000000</f>
        <v>5.3467039999999999</v>
      </c>
      <c r="F21" s="2867">
        <f>+'1974O'!$C$43/1000000+'1974O'!$C$42/1000000</f>
        <v>1.005938</v>
      </c>
      <c r="G21" s="2867">
        <f t="shared" si="8"/>
        <v>0.21472400000000391</v>
      </c>
      <c r="H21" s="2867">
        <f>+'1974O'!$C$38/1000000</f>
        <v>28.487010000000001</v>
      </c>
      <c r="I21" s="2874" t="str">
        <f t="shared" si="7"/>
        <v/>
      </c>
      <c r="J21" s="2837">
        <v>1974</v>
      </c>
      <c r="K21" s="2635" t="s">
        <v>51</v>
      </c>
      <c r="L21" s="2635">
        <f>+'1974O'!$E$39</f>
        <v>622</v>
      </c>
      <c r="M21" s="2635">
        <f>+'1974O'!$E$40</f>
        <v>623</v>
      </c>
      <c r="N21" s="2635">
        <f>+'1974O'!$E$41</f>
        <v>619</v>
      </c>
      <c r="O21" s="2635">
        <f>+'1974O'!$E$43+'1974O'!$E$42</f>
        <v>107</v>
      </c>
      <c r="P21" s="2635">
        <f t="shared" si="9"/>
        <v>238</v>
      </c>
      <c r="Q21" s="2635">
        <f>+'1974O'!$E$38</f>
        <v>2209</v>
      </c>
      <c r="S21" s="2844"/>
    </row>
    <row r="22" spans="1:19" ht="12.75" customHeight="1">
      <c r="A22" s="2837">
        <v>1979</v>
      </c>
      <c r="C22" s="2867">
        <f>+'1979'!$C$41/1000000</f>
        <v>13.697922999999999</v>
      </c>
      <c r="D22" s="2867">
        <f>+'1979'!$C$42/1000000</f>
        <v>11.532218</v>
      </c>
      <c r="E22" s="2867">
        <f>+'1979'!$C$43/1000000</f>
        <v>4.3138040000000002</v>
      </c>
      <c r="F22" s="2867">
        <f>+'1979'!$C$44/1000000+'1979'!$C$45/1000000</f>
        <v>0.63680300000000001</v>
      </c>
      <c r="G22" s="2867">
        <f t="shared" si="8"/>
        <v>0.3447269999999989</v>
      </c>
      <c r="H22" s="2867">
        <f>+'1979'!$C$40/1000000</f>
        <v>30.525475</v>
      </c>
      <c r="I22" s="2874" t="str">
        <f t="shared" si="7"/>
        <v/>
      </c>
      <c r="J22" s="2837">
        <v>1979</v>
      </c>
      <c r="L22" s="2635">
        <f>+'1979'!$E$41</f>
        <v>622</v>
      </c>
      <c r="M22" s="2635">
        <f>+'1979'!$E$42</f>
        <v>623</v>
      </c>
      <c r="N22" s="2635">
        <f>+'1979'!$E$43</f>
        <v>577</v>
      </c>
      <c r="O22" s="2635">
        <f>+'1979'!$E$44+'1979'!$E$45</f>
        <v>107</v>
      </c>
      <c r="P22" s="2635">
        <f t="shared" si="9"/>
        <v>583</v>
      </c>
      <c r="Q22" s="2635">
        <f>+'1979'!$E$40</f>
        <v>2512</v>
      </c>
      <c r="S22" s="2837"/>
    </row>
    <row r="23" spans="1:19" ht="12.75" customHeight="1">
      <c r="A23" s="2837">
        <v>1983</v>
      </c>
      <c r="C23" s="2867">
        <f>+'1983'!$C$45/1000000</f>
        <v>13.012316</v>
      </c>
      <c r="D23" s="2867">
        <f>+'1983'!$C$46/1000000</f>
        <v>8.4569340000000004</v>
      </c>
      <c r="E23" s="2867">
        <f>+'1983'!$C$49/1000000</f>
        <v>7.7809489999999997</v>
      </c>
      <c r="F23" s="2867">
        <f>+'1983'!$C$50/1000000+'1983'!$C$51/1000000</f>
        <v>0.45728400000000002</v>
      </c>
      <c r="G23" s="2867">
        <f t="shared" si="8"/>
        <v>0.1987289999999966</v>
      </c>
      <c r="H23" s="2867">
        <f>+'1983'!$C$44/1000000</f>
        <v>29.906212</v>
      </c>
      <c r="I23" s="2874" t="str">
        <f t="shared" si="7"/>
        <v/>
      </c>
      <c r="J23" s="2837">
        <v>1983</v>
      </c>
      <c r="L23" s="2635">
        <f>+'1983'!$E$45</f>
        <v>633</v>
      </c>
      <c r="M23" s="2635">
        <f>+'1983'!$E$46</f>
        <v>633</v>
      </c>
      <c r="N23" s="2635">
        <f>+'1983'!$E$49</f>
        <v>633</v>
      </c>
      <c r="O23" s="2635">
        <f>+'1983'!$E$50+'1983'!$E$51</f>
        <v>110</v>
      </c>
      <c r="P23" s="2635">
        <f t="shared" si="9"/>
        <v>474</v>
      </c>
      <c r="Q23" s="2635">
        <f>+'1983'!$E$44</f>
        <v>2483</v>
      </c>
      <c r="S23" s="2837"/>
    </row>
    <row r="24" spans="1:19" ht="12.75" customHeight="1">
      <c r="A24" s="2837">
        <v>1987</v>
      </c>
      <c r="C24" s="2867">
        <f>+'1987'!$C$45/1000000</f>
        <v>13.760583</v>
      </c>
      <c r="D24" s="2867">
        <f>+'1987'!$C$46/1000000</f>
        <v>10.029807</v>
      </c>
      <c r="E24" s="2867">
        <f>+'1987'!$C$49/1000000</f>
        <v>7.3416329999999999</v>
      </c>
      <c r="F24" s="2867">
        <f>+'1987'!$C$50/1000000+'1987'!$C$51/1000000</f>
        <v>0.540072</v>
      </c>
      <c r="G24" s="2867">
        <f t="shared" si="8"/>
        <v>0.12733099999999808</v>
      </c>
      <c r="H24" s="2867">
        <f>+'1987'!$C$44/1000000</f>
        <v>31.799426</v>
      </c>
      <c r="I24" s="2874" t="str">
        <f t="shared" si="7"/>
        <v/>
      </c>
      <c r="J24" s="2837">
        <v>1987</v>
      </c>
      <c r="L24" s="2635">
        <f>+'1987'!$E$45</f>
        <v>633</v>
      </c>
      <c r="M24" s="2635">
        <f>+'1987'!$E$46</f>
        <v>633</v>
      </c>
      <c r="N24" s="2635">
        <f>+'1987'!$E$49</f>
        <v>633</v>
      </c>
      <c r="O24" s="2635">
        <f>+'1987'!$E$50+'1987'!$E$51</f>
        <v>109</v>
      </c>
      <c r="P24" s="2635">
        <f t="shared" si="9"/>
        <v>240</v>
      </c>
      <c r="Q24" s="2635">
        <f>+'1987'!$E$44</f>
        <v>2248</v>
      </c>
      <c r="S24" s="2837"/>
    </row>
    <row r="25" spans="1:19" ht="12.75" customHeight="1">
      <c r="A25" s="2837">
        <v>1992</v>
      </c>
      <c r="C25" s="2867">
        <f>+'1992'!$C$37/1000000</f>
        <v>14.048399</v>
      </c>
      <c r="D25" s="2867">
        <f>+'1992'!$C$38/1000000</f>
        <v>11.560484000000001</v>
      </c>
      <c r="E25" s="2867">
        <f>+'1992'!$C$39/1000000</f>
        <v>5.999606</v>
      </c>
      <c r="F25" s="2867">
        <f>+'1992'!$C$40/1000000+'1992'!$C$41/1000000</f>
        <v>0.78451099999999996</v>
      </c>
      <c r="G25" s="2867">
        <f t="shared" si="8"/>
        <v>0.43598099999999818</v>
      </c>
      <c r="H25" s="2867">
        <f>+'1992'!$C$36/1000000</f>
        <v>32.828980999999999</v>
      </c>
      <c r="I25" s="2874" t="str">
        <f t="shared" si="7"/>
        <v/>
      </c>
      <c r="J25" s="2837">
        <v>1992</v>
      </c>
      <c r="L25" s="2635">
        <f>+'1992'!$E$37</f>
        <v>634</v>
      </c>
      <c r="M25" s="2635">
        <f>+'1992'!$E$38</f>
        <v>634</v>
      </c>
      <c r="N25" s="2635">
        <f>+'1992'!$E$39</f>
        <v>632</v>
      </c>
      <c r="O25" s="2635">
        <f>+'1992'!$E$40+'1992'!$E$41</f>
        <v>107</v>
      </c>
      <c r="P25" s="2635">
        <f t="shared" si="9"/>
        <v>842</v>
      </c>
      <c r="Q25" s="2635">
        <f>+'1992'!$E$36</f>
        <v>2849</v>
      </c>
      <c r="S25" s="2837"/>
    </row>
    <row r="26" spans="1:19" ht="12.75" customHeight="1">
      <c r="A26" s="2837">
        <v>1997</v>
      </c>
      <c r="C26" s="2867">
        <f>+'1997'!$C$38/1000000</f>
        <v>9.5910849999999996</v>
      </c>
      <c r="D26" s="2867">
        <f>+'1997'!$C$39/1000000</f>
        <v>13.518167</v>
      </c>
      <c r="E26" s="2867">
        <f>+'1997'!$C$40/1000000</f>
        <v>5.242947</v>
      </c>
      <c r="F26" s="2867">
        <f>+'1997'!$C$41/1000000+'1997'!$C$42/1000000</f>
        <v>0.78258000000000005</v>
      </c>
      <c r="G26" s="2867">
        <f t="shared" si="8"/>
        <v>1.3607430000000029</v>
      </c>
      <c r="H26" s="2867">
        <f>+'1997'!$C$37/1000000</f>
        <v>30.495522000000001</v>
      </c>
      <c r="I26" s="2874" t="str">
        <f t="shared" si="7"/>
        <v/>
      </c>
      <c r="J26" s="2837">
        <v>1997</v>
      </c>
      <c r="L26" s="2635">
        <f>+'1997'!$E$38</f>
        <v>640</v>
      </c>
      <c r="M26" s="2635">
        <f>+'1997'!$E$39</f>
        <v>639</v>
      </c>
      <c r="N26" s="2635">
        <f>+'1997'!$E$40</f>
        <v>639</v>
      </c>
      <c r="O26" s="2635">
        <f>+'1997'!$E$41+'1997'!$E$42</f>
        <v>112</v>
      </c>
      <c r="P26" s="2635">
        <f t="shared" si="9"/>
        <v>1569</v>
      </c>
      <c r="Q26" s="2635">
        <f>+'1997'!$E$37</f>
        <v>3599</v>
      </c>
      <c r="S26" s="2837"/>
    </row>
    <row r="27" spans="1:19" ht="12.75" customHeight="1">
      <c r="A27" s="2837">
        <v>2001</v>
      </c>
      <c r="C27" s="2865">
        <f>+'2001'!$C$38/1000000</f>
        <v>8.3351930000000003</v>
      </c>
      <c r="D27" s="2865">
        <f>+'2001'!$C$39/1000000</f>
        <v>10.724952999999999</v>
      </c>
      <c r="E27" s="2865">
        <f>+'2001'!$C$40/1000000</f>
        <v>4.8143209999999996</v>
      </c>
      <c r="F27" s="2865">
        <f>+'2001'!$C$42/1000000+'2001'!$C$41/1000000</f>
        <v>0.66020699999999999</v>
      </c>
      <c r="G27" s="2867">
        <f t="shared" si="8"/>
        <v>1.0223350000000018</v>
      </c>
      <c r="H27" s="2865">
        <f>+'2001'!$C$37/1000000</f>
        <v>25.557009000000001</v>
      </c>
      <c r="I27" s="2874" t="str">
        <f t="shared" si="7"/>
        <v/>
      </c>
      <c r="J27" s="2837">
        <v>2001</v>
      </c>
      <c r="L27" s="2635">
        <f>+'2001'!$E$38</f>
        <v>640</v>
      </c>
      <c r="M27" s="2635">
        <f>+'2001'!$E$39</f>
        <v>640</v>
      </c>
      <c r="N27" s="2635">
        <f>+'2001'!$E$40</f>
        <v>639</v>
      </c>
      <c r="O27" s="2635">
        <f>+'2001'!$E$41+'2001'!$E$42</f>
        <v>112</v>
      </c>
      <c r="P27" s="2635">
        <f t="shared" si="9"/>
        <v>1188</v>
      </c>
      <c r="Q27" s="2635">
        <f>+'2001'!$E$37</f>
        <v>3219</v>
      </c>
      <c r="S27" s="2837"/>
    </row>
    <row r="28" spans="1:19" ht="12.75" customHeight="1">
      <c r="A28" s="2837">
        <v>2005</v>
      </c>
      <c r="C28" s="2865">
        <f>+'2005'!$C$38/1000000</f>
        <v>8.782197</v>
      </c>
      <c r="D28" s="2865">
        <f>+'2005'!$C$39/1000000</f>
        <v>9.5524360000000001</v>
      </c>
      <c r="E28" s="2865">
        <f>+'2005'!$C$40/1000000</f>
        <v>5.9854539999999998</v>
      </c>
      <c r="F28" s="2865">
        <f>+'2005'!$C$41/1000000+'2005'!$C$42/1000000</f>
        <v>0.58710499999999999</v>
      </c>
      <c r="G28" s="2867">
        <f t="shared" si="8"/>
        <v>1.5237159999999967</v>
      </c>
      <c r="H28" s="2865">
        <f>+'2005'!$C$37/1000000</f>
        <v>26.430907999999999</v>
      </c>
      <c r="I28" s="2874" t="str">
        <f t="shared" si="7"/>
        <v/>
      </c>
      <c r="J28" s="2837">
        <v>2005</v>
      </c>
      <c r="L28" s="2635">
        <f>+'2005'!$E$38</f>
        <v>627</v>
      </c>
      <c r="M28" s="2635">
        <f>+'2005'!$E$39</f>
        <v>627</v>
      </c>
      <c r="N28" s="2635">
        <f>+'2005'!$E$40</f>
        <v>626</v>
      </c>
      <c r="O28" s="2635">
        <f>+'2005'!$E$41+'2005'!$E$42</f>
        <v>99</v>
      </c>
      <c r="P28" s="2635">
        <f t="shared" si="9"/>
        <v>1470</v>
      </c>
      <c r="Q28" s="2635">
        <f>+'2005'!$E$37</f>
        <v>3449</v>
      </c>
    </row>
    <row r="29" spans="1:19" ht="12.75" customHeight="1">
      <c r="A29" s="2837">
        <v>2010</v>
      </c>
      <c r="C29" s="2865">
        <f>+'2010'!$C$36/1000000</f>
        <v>10.703654</v>
      </c>
      <c r="D29" s="2865">
        <f>+'2010'!$C$37/1000000</f>
        <v>8.6065170000000002</v>
      </c>
      <c r="E29" s="2865">
        <f>+'2010'!$C$38/1000000</f>
        <v>6.8362480000000003</v>
      </c>
      <c r="F29" s="2865">
        <f>+'2010'!$C$39/1000000+'2010'!$C$40/1000000</f>
        <v>0.65678000000000003</v>
      </c>
      <c r="G29" s="2867">
        <f t="shared" si="8"/>
        <v>2.2105339999999956</v>
      </c>
      <c r="H29" s="2865">
        <f>+'2010'!$C$35/1000000</f>
        <v>29.013732999999998</v>
      </c>
      <c r="I29" s="2874" t="str">
        <f t="shared" si="7"/>
        <v/>
      </c>
      <c r="J29" s="2837">
        <v>2010</v>
      </c>
      <c r="L29" s="2635">
        <f>+'2010'!$E$36</f>
        <v>631</v>
      </c>
      <c r="M29" s="2635">
        <f>+'2010'!$E$37</f>
        <v>631</v>
      </c>
      <c r="N29" s="2635">
        <f>+'2010'!$E$38</f>
        <v>631</v>
      </c>
      <c r="O29" s="2635">
        <f>+'2010'!$E$39+'2010'!$E$40</f>
        <v>99</v>
      </c>
      <c r="P29" s="2635">
        <f t="shared" si="9"/>
        <v>2050</v>
      </c>
      <c r="Q29" s="2635">
        <f>+'2010'!$E$35</f>
        <v>4042</v>
      </c>
    </row>
    <row r="30" spans="1:19" ht="12.75" customHeight="1">
      <c r="A30" s="2837">
        <v>2015</v>
      </c>
      <c r="C30" s="2866">
        <v>11.2906</v>
      </c>
      <c r="D30" s="2866">
        <v>9.3473000000000006</v>
      </c>
      <c r="E30" s="2866">
        <v>2.4159000000000002</v>
      </c>
      <c r="F30" s="2866">
        <f>1.454+0.1817</f>
        <v>1.6356999999999999</v>
      </c>
      <c r="G30" s="2866">
        <f>3.8658+1.1508+0.276</f>
        <v>5.2926000000000002</v>
      </c>
      <c r="H30" s="2866">
        <f>SUM(C30:G30)</f>
        <v>29.982100000000003</v>
      </c>
      <c r="I30" s="2874" t="str">
        <f t="shared" si="7"/>
        <v/>
      </c>
      <c r="J30" s="2837">
        <v>2015</v>
      </c>
      <c r="L30" s="2635">
        <v>631</v>
      </c>
      <c r="M30" s="2635">
        <v>631</v>
      </c>
      <c r="N30" s="2635">
        <v>631</v>
      </c>
      <c r="O30" s="2635">
        <v>99</v>
      </c>
      <c r="P30" s="2635">
        <f>Q30-SUM(L30:O30)</f>
        <v>1841</v>
      </c>
      <c r="Q30" s="2635">
        <v>3833</v>
      </c>
    </row>
    <row r="31" spans="1:19" ht="12.75" customHeight="1">
      <c r="A31" s="2837">
        <v>2017</v>
      </c>
      <c r="C31" s="2866">
        <v>13.6328</v>
      </c>
      <c r="D31" s="2866">
        <v>12.8779</v>
      </c>
      <c r="E31" s="2866">
        <v>2.371</v>
      </c>
      <c r="F31" s="2866">
        <v>1.1419999999999999</v>
      </c>
      <c r="G31" s="2866">
        <v>1.3673999999999999</v>
      </c>
      <c r="H31" s="2866">
        <f>SUM(C31:G31)</f>
        <v>31.391099999999998</v>
      </c>
      <c r="I31" s="2874" t="str">
        <f t="shared" si="7"/>
        <v/>
      </c>
      <c r="J31" s="2837">
        <v>2017</v>
      </c>
      <c r="L31" s="3148">
        <v>631</v>
      </c>
      <c r="M31" s="3148">
        <v>631</v>
      </c>
      <c r="N31" s="3148">
        <v>629</v>
      </c>
      <c r="O31" s="3148">
        <v>99</v>
      </c>
      <c r="P31" s="3149">
        <v>1205</v>
      </c>
      <c r="Q31" s="2635">
        <f>SUM(L31:P31)</f>
        <v>3195</v>
      </c>
    </row>
    <row r="32" spans="1:19" ht="12.75" customHeight="1">
      <c r="A32" s="2837">
        <v>2019</v>
      </c>
      <c r="C32" s="2866">
        <v>13.961021000000001</v>
      </c>
      <c r="D32" s="2866">
        <v>10.269050999999999</v>
      </c>
      <c r="E32" s="2866">
        <v>3.6964190000000001</v>
      </c>
      <c r="F32" s="2866">
        <v>1.395645</v>
      </c>
      <c r="G32" s="2866">
        <v>1.8929389999999999</v>
      </c>
      <c r="H32" s="2866">
        <v>31.215074999999999</v>
      </c>
      <c r="I32" s="2874" t="str">
        <f t="shared" si="7"/>
        <v/>
      </c>
      <c r="J32" s="2837">
        <v>2019</v>
      </c>
      <c r="L32" s="3148">
        <v>631</v>
      </c>
      <c r="M32" s="3148">
        <v>631</v>
      </c>
      <c r="N32" s="3148">
        <v>611</v>
      </c>
      <c r="O32" s="3148">
        <v>95</v>
      </c>
      <c r="P32" s="3149">
        <v>1250</v>
      </c>
      <c r="Q32" s="2635">
        <f>SUM(L32:P32)</f>
        <v>3218</v>
      </c>
    </row>
    <row r="33" spans="1:39" ht="14.25" customHeight="1"/>
    <row r="34" spans="1:39" ht="14.25" customHeight="1">
      <c r="A34" s="2835"/>
      <c r="B34" s="2835"/>
      <c r="C34" s="2863" t="s">
        <v>55</v>
      </c>
      <c r="D34" s="2854"/>
      <c r="E34" s="2854"/>
      <c r="F34" s="2854"/>
      <c r="G34" s="2854"/>
      <c r="H34" s="2854"/>
      <c r="I34" s="2864"/>
      <c r="J34" s="2835"/>
      <c r="K34" s="2835"/>
      <c r="L34" s="2863" t="s">
        <v>56</v>
      </c>
      <c r="M34" s="2854"/>
      <c r="N34" s="2854"/>
      <c r="O34" s="2854"/>
      <c r="P34" s="2854"/>
      <c r="Q34" s="2854"/>
      <c r="T34" s="2841"/>
      <c r="U34" s="2841"/>
      <c r="V34" s="2841"/>
      <c r="W34" s="2841"/>
      <c r="X34" s="2841"/>
      <c r="Y34" s="2841"/>
      <c r="Z34" s="2841"/>
    </row>
    <row r="35" spans="1:39" ht="15.75" customHeight="1">
      <c r="A35" s="2862"/>
      <c r="B35" s="2835"/>
      <c r="C35" s="2861" t="s">
        <v>2301</v>
      </c>
      <c r="D35" s="2860" t="s">
        <v>807</v>
      </c>
      <c r="E35" s="2859" t="s">
        <v>2302</v>
      </c>
      <c r="F35" s="3374" t="s">
        <v>95</v>
      </c>
      <c r="G35" s="2857" t="s">
        <v>1972</v>
      </c>
      <c r="H35" s="2854" t="s">
        <v>16</v>
      </c>
      <c r="J35" s="2835"/>
      <c r="K35" s="2835"/>
      <c r="L35" s="2861" t="s">
        <v>2301</v>
      </c>
      <c r="M35" s="2860" t="s">
        <v>807</v>
      </c>
      <c r="N35" s="2859" t="s">
        <v>2302</v>
      </c>
      <c r="O35" s="3374" t="s">
        <v>95</v>
      </c>
      <c r="P35" s="2857" t="s">
        <v>1972</v>
      </c>
      <c r="Q35" s="2854" t="s">
        <v>16</v>
      </c>
      <c r="S35" s="2841"/>
      <c r="T35" s="2855"/>
      <c r="U35" s="2855"/>
      <c r="V35" s="2856"/>
      <c r="W35" s="2856"/>
      <c r="X35" s="2855"/>
      <c r="Y35" s="2855"/>
      <c r="Z35" s="2841"/>
      <c r="AA35" s="2841"/>
      <c r="AB35" s="2841"/>
      <c r="AC35" s="2841"/>
      <c r="AD35" s="2841"/>
      <c r="AE35" s="2841"/>
      <c r="AF35" s="2841"/>
      <c r="AG35" s="2841"/>
      <c r="AH35" s="2848"/>
      <c r="AI35" s="2848"/>
      <c r="AJ35" s="2848"/>
      <c r="AK35" s="2848"/>
      <c r="AL35" s="2848"/>
    </row>
    <row r="36" spans="1:39" s="2835" customFormat="1" ht="3" customHeight="1">
      <c r="I36" s="2635"/>
      <c r="L36" s="2854"/>
      <c r="M36" s="2854"/>
      <c r="N36" s="2854"/>
      <c r="O36" s="2854"/>
      <c r="P36" s="2854"/>
      <c r="R36" s="2635"/>
      <c r="S36" s="2841"/>
      <c r="T36" s="2841"/>
      <c r="U36" s="2841"/>
      <c r="V36" s="2841"/>
      <c r="W36" s="2841"/>
      <c r="X36" s="2841"/>
      <c r="Y36" s="2841"/>
      <c r="Z36" s="2841"/>
      <c r="AA36" s="2841"/>
      <c r="AB36" s="2841"/>
      <c r="AC36" s="2841"/>
      <c r="AD36" s="2841"/>
      <c r="AE36" s="2841"/>
      <c r="AF36" s="2841"/>
      <c r="AG36" s="2841"/>
      <c r="AH36" s="2848"/>
      <c r="AI36" s="2848"/>
      <c r="AJ36" s="2848"/>
      <c r="AK36" s="2848"/>
      <c r="AL36" s="2848"/>
    </row>
    <row r="37" spans="1:39">
      <c r="A37" s="2844">
        <v>1918</v>
      </c>
      <c r="C37" s="2838">
        <f>'1918 '!$C$58+'1918 '!$C$64</f>
        <v>0.39500000000000002</v>
      </c>
      <c r="D37" s="2838">
        <f>'1918 '!$C$66</f>
        <v>0.23</v>
      </c>
      <c r="E37" s="2838">
        <f>'1918 '!$C$59+'1918 '!$C$65</f>
        <v>0.28549999999999998</v>
      </c>
      <c r="G37" s="2838">
        <f>H37-SUM(C37:F37)</f>
        <v>8.9500000000000024E-2</v>
      </c>
      <c r="H37" s="2839">
        <v>1</v>
      </c>
      <c r="I37" s="2840"/>
      <c r="J37" s="2844">
        <v>1918</v>
      </c>
      <c r="K37" s="2841"/>
      <c r="L37" s="2842">
        <f>'1918 '!$G$58+'1918 '!$G$64</f>
        <v>359</v>
      </c>
      <c r="M37" s="2842">
        <f>'1918 '!$G$66</f>
        <v>57</v>
      </c>
      <c r="N37" s="2842">
        <f>'1918 '!$G$59+'1918 '!$G$65</f>
        <v>163</v>
      </c>
      <c r="O37" s="2842"/>
      <c r="P37" s="2843">
        <f t="shared" ref="P37:P43" si="10">Q37-SUM(L37:O37)</f>
        <v>27</v>
      </c>
      <c r="Q37" s="2635">
        <f>'1918 '!$G$74</f>
        <v>606</v>
      </c>
      <c r="S37" s="2844"/>
      <c r="T37" s="2850"/>
      <c r="U37" s="2850"/>
      <c r="V37" s="2850"/>
      <c r="W37" s="2850"/>
      <c r="X37" s="2850"/>
      <c r="Y37" s="2841"/>
      <c r="Z37" s="2841"/>
      <c r="AA37" s="2841"/>
      <c r="AB37" s="2841"/>
      <c r="AC37" s="2841"/>
      <c r="AD37" s="2841"/>
      <c r="AE37" s="2841"/>
      <c r="AF37" s="2841"/>
      <c r="AG37" s="2841"/>
      <c r="AH37" s="2848"/>
      <c r="AI37" s="2848"/>
      <c r="AJ37" s="2848"/>
      <c r="AK37" s="2848"/>
      <c r="AL37" s="2848"/>
    </row>
    <row r="38" spans="1:39" s="2841" customFormat="1" ht="12.75" customHeight="1">
      <c r="A38" s="2844">
        <v>1922</v>
      </c>
      <c r="C38" s="2851">
        <f>'1922'!$C$37</f>
        <v>0.38</v>
      </c>
      <c r="D38" s="2851">
        <f>'1922'!$C$40</f>
        <v>0.29899999999999999</v>
      </c>
      <c r="E38" s="2851">
        <f>'1922'!$C$38+'1922'!$C$39</f>
        <v>0.29200000000000004</v>
      </c>
      <c r="F38" s="2852"/>
      <c r="G38" s="2838">
        <f t="shared" ref="G38:G43" si="11">H38-SUM(C38:F38)</f>
        <v>2.8999999999999915E-2</v>
      </c>
      <c r="H38" s="2839">
        <v>1</v>
      </c>
      <c r="I38" s="2851"/>
      <c r="J38" s="2844">
        <v>1922</v>
      </c>
      <c r="L38" s="2850">
        <f>'1922'!$G$37</f>
        <v>334</v>
      </c>
      <c r="M38" s="2850">
        <f>'1922'!$G$40</f>
        <v>142</v>
      </c>
      <c r="N38" s="2850">
        <f>'1922'!$G$38+'1922'!$G$39</f>
        <v>115</v>
      </c>
      <c r="O38" s="2849"/>
      <c r="P38" s="2843">
        <f t="shared" si="10"/>
        <v>12</v>
      </c>
      <c r="Q38" s="2841">
        <f>'1922'!$G$44</f>
        <v>603</v>
      </c>
      <c r="S38" s="2844"/>
      <c r="T38" s="2850"/>
      <c r="U38" s="2850"/>
      <c r="V38" s="2850"/>
      <c r="W38" s="2849"/>
      <c r="X38" s="2850"/>
      <c r="AH38" s="2848"/>
      <c r="AI38" s="2848"/>
      <c r="AJ38" s="2848"/>
      <c r="AK38" s="2848"/>
      <c r="AL38" s="2848"/>
    </row>
    <row r="39" spans="1:39" ht="12.75" customHeight="1">
      <c r="A39" s="2837">
        <v>1923</v>
      </c>
      <c r="C39" s="2838">
        <f>'1923'!$C$33</f>
        <v>0.377</v>
      </c>
      <c r="D39" s="2838">
        <f>'1923'!$C$35</f>
        <v>0.31</v>
      </c>
      <c r="E39" s="2838">
        <f>'1923'!$C$34</f>
        <v>0.30099999999999999</v>
      </c>
      <c r="F39" s="2846"/>
      <c r="G39" s="2838">
        <f t="shared" si="11"/>
        <v>1.2000000000000011E-2</v>
      </c>
      <c r="H39" s="2839">
        <v>1</v>
      </c>
      <c r="I39" s="2838"/>
      <c r="J39" s="2844">
        <v>1923</v>
      </c>
      <c r="K39" s="2841"/>
      <c r="L39" s="2842">
        <f>'1923'!$G$33</f>
        <v>248</v>
      </c>
      <c r="M39" s="2842">
        <f>'1923'!$G$35</f>
        <v>191</v>
      </c>
      <c r="N39" s="2842">
        <f>'1923'!$G$34</f>
        <v>158</v>
      </c>
      <c r="O39" s="2845"/>
      <c r="P39" s="2843">
        <f t="shared" si="10"/>
        <v>6</v>
      </c>
      <c r="Q39" s="2635">
        <f>'1923'!$G$39</f>
        <v>603</v>
      </c>
      <c r="S39" s="2844"/>
      <c r="T39" s="2850"/>
      <c r="U39" s="2850"/>
      <c r="V39" s="2850"/>
      <c r="W39" s="2849"/>
      <c r="X39" s="2850"/>
      <c r="Y39" s="2841"/>
      <c r="Z39" s="2841"/>
      <c r="AA39" s="2841"/>
      <c r="AB39" s="2841"/>
      <c r="AC39" s="2841"/>
      <c r="AD39" s="2841"/>
      <c r="AE39" s="2841"/>
      <c r="AF39" s="2841"/>
      <c r="AG39" s="2841"/>
      <c r="AH39" s="2848"/>
      <c r="AI39" s="2848"/>
      <c r="AJ39" s="2848"/>
      <c r="AK39" s="2848"/>
      <c r="AL39" s="2848"/>
    </row>
    <row r="40" spans="1:39" ht="12.75" customHeight="1">
      <c r="A40" s="2837">
        <v>1924</v>
      </c>
      <c r="C40" s="2838">
        <f>'1924'!$C$34</f>
        <v>0.45899999999999996</v>
      </c>
      <c r="D40" s="2838">
        <f>'1924'!$C$36</f>
        <v>0.34</v>
      </c>
      <c r="E40" s="2838">
        <f>'1924'!$C$35</f>
        <v>0.182</v>
      </c>
      <c r="F40" s="2846"/>
      <c r="G40" s="2838">
        <f t="shared" si="11"/>
        <v>1.9000000000000128E-2</v>
      </c>
      <c r="H40" s="2839">
        <v>1</v>
      </c>
      <c r="I40" s="2838"/>
      <c r="J40" s="2844">
        <v>1924</v>
      </c>
      <c r="K40" s="2841"/>
      <c r="L40" s="2842">
        <f>'1924'!$G$34</f>
        <v>400</v>
      </c>
      <c r="M40" s="2842">
        <f>'1924'!$G$36</f>
        <v>151</v>
      </c>
      <c r="N40" s="2842">
        <f>'1924'!$G$35</f>
        <v>40</v>
      </c>
      <c r="O40" s="2845"/>
      <c r="P40" s="2843">
        <f t="shared" si="10"/>
        <v>12</v>
      </c>
      <c r="Q40" s="2635">
        <f>'1924'!$G$42</f>
        <v>603</v>
      </c>
      <c r="S40" s="2844"/>
      <c r="T40" s="2850"/>
      <c r="U40" s="2850"/>
      <c r="V40" s="2850"/>
      <c r="W40" s="2849"/>
      <c r="X40" s="2850"/>
      <c r="Y40" s="2841"/>
      <c r="Z40" s="2841"/>
      <c r="AA40" s="2841"/>
      <c r="AB40" s="2841"/>
      <c r="AC40" s="2841"/>
      <c r="AD40" s="2841"/>
      <c r="AE40" s="2841"/>
      <c r="AF40" s="2841"/>
      <c r="AG40" s="2841"/>
      <c r="AH40" s="2848"/>
      <c r="AI40" s="2848"/>
      <c r="AJ40" s="2848"/>
      <c r="AK40" s="2848"/>
      <c r="AL40" s="2848"/>
    </row>
    <row r="41" spans="1:39" ht="12.5" customHeight="1">
      <c r="A41" s="2837">
        <v>1929</v>
      </c>
      <c r="C41" s="2838">
        <f>'1929'!$C$37</f>
        <v>0.375</v>
      </c>
      <c r="D41" s="2838">
        <f>'1929'!$C$39</f>
        <v>0.37799999999999995</v>
      </c>
      <c r="E41" s="2838">
        <f>'1929'!$C$38</f>
        <v>0.23499999999999999</v>
      </c>
      <c r="F41" s="2846">
        <f>'1929'!$C$40+'1929'!$C$41</f>
        <v>0</v>
      </c>
      <c r="G41" s="2838">
        <f t="shared" si="11"/>
        <v>1.2000000000000122E-2</v>
      </c>
      <c r="H41" s="2839">
        <v>1</v>
      </c>
      <c r="I41" s="2838"/>
      <c r="J41" s="2844">
        <v>1929</v>
      </c>
      <c r="K41" s="2841"/>
      <c r="L41" s="2842">
        <f>'1929'!$G$37</f>
        <v>250</v>
      </c>
      <c r="M41" s="2842">
        <f>'1929'!$G$39</f>
        <v>287</v>
      </c>
      <c r="N41" s="2842">
        <f>'1929'!$G$38</f>
        <v>59</v>
      </c>
      <c r="O41" s="2845">
        <f>'1929'!$G$40+'1929'!$G$41</f>
        <v>0</v>
      </c>
      <c r="P41" s="2843">
        <f t="shared" si="10"/>
        <v>7</v>
      </c>
      <c r="Q41" s="2635">
        <f>'1929'!$G$45</f>
        <v>603</v>
      </c>
      <c r="S41" s="2844"/>
      <c r="T41" s="2850"/>
      <c r="U41" s="2850"/>
      <c r="V41" s="2850"/>
      <c r="W41" s="2849"/>
      <c r="X41" s="2850"/>
      <c r="Y41" s="2841"/>
      <c r="Z41" s="2841"/>
      <c r="AA41" s="2841"/>
      <c r="AB41" s="2841"/>
      <c r="AC41" s="2841"/>
      <c r="AD41" s="2841"/>
      <c r="AE41" s="2841"/>
      <c r="AF41" s="2841"/>
      <c r="AG41" s="2841"/>
      <c r="AH41" s="2848"/>
      <c r="AI41" s="2848"/>
      <c r="AJ41" s="2848"/>
      <c r="AK41" s="2848"/>
      <c r="AL41" s="2848"/>
    </row>
    <row r="42" spans="1:39" ht="12.75" customHeight="1">
      <c r="A42" s="2837">
        <v>1931</v>
      </c>
      <c r="C42" s="2838">
        <f>'1931'!$C$53+'1931'!$C$55+'1931'!$C$56+'1931'!$C$57</f>
        <v>0.6090000000000001</v>
      </c>
      <c r="D42" s="2838">
        <f>'1931'!$C$60</f>
        <v>0.311</v>
      </c>
      <c r="E42" s="2838">
        <f>'1931'!$C$54+'1931'!$C$59</f>
        <v>6.9000000000000006E-2</v>
      </c>
      <c r="F42" s="2838">
        <f>'1931'!$C$61+'1931'!$C$62</f>
        <v>1E-3</v>
      </c>
      <c r="G42" s="2838">
        <f t="shared" si="11"/>
        <v>9.9999999999998979E-3</v>
      </c>
      <c r="H42" s="2839">
        <v>1</v>
      </c>
      <c r="I42" s="2838"/>
      <c r="J42" s="2844">
        <v>1931</v>
      </c>
      <c r="K42" s="2841"/>
      <c r="L42" s="2842">
        <f>'1931'!$G$53+'1931'!$G$55+'1931'!$G$56+'1931'!$G$57</f>
        <v>512</v>
      </c>
      <c r="M42" s="2842">
        <f>'1931'!$G$60</f>
        <v>52</v>
      </c>
      <c r="N42" s="2842">
        <f>'1931'!$G$54+'1931'!$G$59</f>
        <v>36</v>
      </c>
      <c r="O42" s="2842">
        <f>'1931'!$G$61+'1931'!$G$62</f>
        <v>0</v>
      </c>
      <c r="P42" s="2843">
        <f t="shared" si="10"/>
        <v>3</v>
      </c>
      <c r="Q42" s="2635">
        <f>'1931'!$G$66</f>
        <v>603</v>
      </c>
      <c r="S42" s="2844"/>
      <c r="T42" s="2850"/>
      <c r="U42" s="2850"/>
      <c r="V42" s="2850"/>
      <c r="W42" s="2850"/>
      <c r="X42" s="2850"/>
      <c r="Y42" s="2841"/>
      <c r="Z42" s="2841"/>
      <c r="AA42" s="2841"/>
      <c r="AB42" s="2841"/>
      <c r="AC42" s="2841"/>
      <c r="AD42" s="2841"/>
      <c r="AE42" s="2841"/>
      <c r="AF42" s="2841"/>
      <c r="AG42" s="2841"/>
      <c r="AH42" s="2848"/>
      <c r="AI42" s="2848"/>
      <c r="AJ42" s="2848"/>
      <c r="AK42" s="2848"/>
      <c r="AL42" s="2848"/>
    </row>
    <row r="43" spans="1:39" ht="12.5" customHeight="1">
      <c r="A43" s="2837">
        <v>1935</v>
      </c>
      <c r="C43" s="2838">
        <f>'1935'!$C$50+'1935'!$C$51+'1935'!$C$52+'1935'!$C$53</f>
        <v>0.53200000000000003</v>
      </c>
      <c r="D43" s="2838">
        <f>'1935'!$C$56</f>
        <v>0.38600000000000001</v>
      </c>
      <c r="E43" s="2838">
        <f>'1935'!$C$55</f>
        <v>6.7000000000000004E-2</v>
      </c>
      <c r="F43" s="2838">
        <f>'1935'!$C$58+'1935'!$C$59</f>
        <v>1E-3</v>
      </c>
      <c r="G43" s="2838">
        <f t="shared" si="11"/>
        <v>1.3999999999999901E-2</v>
      </c>
      <c r="H43" s="2839">
        <v>1</v>
      </c>
      <c r="I43" s="2838"/>
      <c r="J43" s="2844">
        <v>1935</v>
      </c>
      <c r="K43" s="2841"/>
      <c r="L43" s="2871">
        <f>'1935'!$G$50+'1935'!$G$51+'1935'!$G$52+'1935'!$G$53</f>
        <v>419</v>
      </c>
      <c r="M43" s="2842">
        <f>'1935'!$G$56</f>
        <v>154</v>
      </c>
      <c r="N43" s="2842">
        <f>'1935'!$G$55</f>
        <v>21</v>
      </c>
      <c r="O43" s="2842">
        <f>'1935'!$G$58+'1935'!$G$59</f>
        <v>0</v>
      </c>
      <c r="P43" s="2843">
        <f t="shared" si="10"/>
        <v>9</v>
      </c>
      <c r="Q43" s="2635">
        <f>'1935'!$G$62</f>
        <v>603</v>
      </c>
      <c r="S43" s="2844"/>
      <c r="T43" s="3022"/>
      <c r="U43" s="2850"/>
      <c r="V43" s="2850"/>
      <c r="W43" s="2850"/>
      <c r="X43" s="2850"/>
      <c r="Y43" s="2841"/>
      <c r="Z43" s="2841"/>
      <c r="AA43" s="2841"/>
      <c r="AB43" s="2841"/>
      <c r="AC43" s="2841"/>
      <c r="AD43" s="2841"/>
      <c r="AE43" s="2841"/>
      <c r="AF43" s="2841"/>
      <c r="AG43" s="3023"/>
      <c r="AH43" s="2848"/>
      <c r="AI43" s="2848"/>
      <c r="AJ43" s="2848"/>
      <c r="AK43" s="2848"/>
      <c r="AL43" s="2848"/>
    </row>
    <row r="44" spans="1:39" ht="12.75" customHeight="1">
      <c r="A44" s="2837">
        <v>1945</v>
      </c>
      <c r="C44" s="2838">
        <f>+'1945'!$D$44</f>
        <v>0.39300065680892604</v>
      </c>
      <c r="D44" s="2838">
        <f>+'1945'!$D$45</f>
        <v>0.48829033990374732</v>
      </c>
      <c r="E44" s="2838">
        <f>+'1945'!$D$46</f>
        <v>9.24057544831004E-2</v>
      </c>
      <c r="F44" s="2838">
        <f>+'1945'!$D$47+'1945'!$D$48</f>
        <v>1.9122534453751175E-3</v>
      </c>
      <c r="G44" s="2838">
        <f t="shared" ref="G44:G61" si="12">+H44-SUM(C44:F44)</f>
        <v>2.4390995358851031E-2</v>
      </c>
      <c r="H44" s="2839">
        <f>+'1945'!$D$40</f>
        <v>1</v>
      </c>
      <c r="I44" s="2838"/>
      <c r="J44" s="2837">
        <v>1945</v>
      </c>
      <c r="L44" s="2635">
        <f>+'1945'!$F$44</f>
        <v>202</v>
      </c>
      <c r="M44" s="2635">
        <f>+'1945'!$F$45</f>
        <v>393</v>
      </c>
      <c r="N44" s="2635">
        <f>+'1945'!$F$46</f>
        <v>12</v>
      </c>
      <c r="O44" s="2635">
        <f>+'1945'!$F$47+'1945'!$F$48</f>
        <v>0</v>
      </c>
      <c r="P44" s="2635">
        <f t="shared" ref="P44:P61" si="13">+Q44-SUM(L44:O44)</f>
        <v>21</v>
      </c>
      <c r="Q44" s="2635">
        <f>+'1945'!$F$40</f>
        <v>628</v>
      </c>
      <c r="S44" s="2841"/>
      <c r="T44" s="2841"/>
      <c r="U44" s="2841"/>
      <c r="V44" s="2841"/>
      <c r="W44" s="2841"/>
      <c r="X44" s="2841"/>
      <c r="Y44" s="2841"/>
      <c r="Z44" s="2841"/>
      <c r="AA44" s="2841"/>
      <c r="AB44" s="2841"/>
      <c r="AC44" s="2841"/>
      <c r="AD44" s="2841"/>
      <c r="AE44" s="2841"/>
      <c r="AF44" s="2841"/>
      <c r="AG44" s="3023"/>
      <c r="AH44" s="3024"/>
      <c r="AI44" s="3024"/>
      <c r="AJ44" s="3024"/>
      <c r="AK44" s="3024"/>
      <c r="AL44" s="3024"/>
      <c r="AM44" s="2840">
        <f t="shared" ref="AM44:AM51" si="14">Z44-K44</f>
        <v>0</v>
      </c>
    </row>
    <row r="45" spans="1:39" ht="12.5" customHeight="1">
      <c r="A45" s="2837">
        <v>1950</v>
      </c>
      <c r="C45" s="2838">
        <f>+'1950'!$D$42</f>
        <v>0.4303511212425406</v>
      </c>
      <c r="D45" s="2838">
        <f>+'1950'!$D$43</f>
        <v>0.46786624991146658</v>
      </c>
      <c r="E45" s="2838">
        <f>+'1950'!$D$44</f>
        <v>9.292861324298328E-2</v>
      </c>
      <c r="F45" s="2838">
        <f>+'1950'!$D$45+'1950'!$D$46</f>
        <v>9.6732732154480557E-4</v>
      </c>
      <c r="G45" s="2838">
        <f t="shared" si="12"/>
        <v>7.886688281464771E-3</v>
      </c>
      <c r="H45" s="2839">
        <f>+'1950'!$D$39</f>
        <v>1</v>
      </c>
      <c r="I45" s="2838"/>
      <c r="J45" s="2837">
        <v>1950</v>
      </c>
      <c r="L45" s="2635">
        <f>+'1950'!$F$42</f>
        <v>288</v>
      </c>
      <c r="M45" s="2635">
        <f>+'1950'!$F$43</f>
        <v>315</v>
      </c>
      <c r="N45" s="2635">
        <f>+'1950'!$F$44</f>
        <v>9</v>
      </c>
      <c r="O45" s="2635">
        <f>+'1950'!$F$45+'1950'!$F$46</f>
        <v>0</v>
      </c>
      <c r="P45" s="2635">
        <f t="shared" si="13"/>
        <v>1</v>
      </c>
      <c r="Q45" s="2635">
        <f>+'1950'!$F$39</f>
        <v>613</v>
      </c>
      <c r="S45" s="2841"/>
      <c r="T45" s="2841"/>
      <c r="U45" s="2841"/>
      <c r="V45" s="2841"/>
      <c r="W45" s="2841"/>
      <c r="X45" s="2841"/>
      <c r="Y45" s="2841"/>
      <c r="Z45" s="2841"/>
      <c r="AA45" s="2841"/>
      <c r="AB45" s="2841"/>
      <c r="AC45" s="2841"/>
      <c r="AD45" s="2841"/>
      <c r="AE45" s="2841"/>
      <c r="AF45" s="2841"/>
      <c r="AG45" s="3023"/>
      <c r="AH45" s="3024"/>
      <c r="AI45" s="3024"/>
      <c r="AJ45" s="3024"/>
      <c r="AK45" s="3024"/>
      <c r="AL45" s="3024"/>
      <c r="AM45" s="2840">
        <f t="shared" si="14"/>
        <v>0</v>
      </c>
    </row>
    <row r="46" spans="1:39" ht="12.75" customHeight="1">
      <c r="A46" s="2837">
        <v>1951</v>
      </c>
      <c r="C46" s="2838">
        <f>+'1951'!$D$41</f>
        <v>0.47784057664452062</v>
      </c>
      <c r="D46" s="2838">
        <f>+'1951'!$D$42</f>
        <v>0.4935972324122721</v>
      </c>
      <c r="E46" s="2838">
        <f>+'1951'!$D$43</f>
        <v>2.5967230884905018E-2</v>
      </c>
      <c r="F46" s="2838">
        <f>+'1951'!$D$44+'1951'!$D$45</f>
        <v>6.4759368950358294E-4</v>
      </c>
      <c r="G46" s="2838">
        <f t="shared" si="12"/>
        <v>1.9473663687985532E-3</v>
      </c>
      <c r="H46" s="2839">
        <f>+'1951'!$D$38</f>
        <v>1</v>
      </c>
      <c r="I46" s="2838"/>
      <c r="J46" s="2837">
        <v>1951</v>
      </c>
      <c r="L46" s="2635">
        <f>+'1951'!$F$41</f>
        <v>312</v>
      </c>
      <c r="M46" s="2635">
        <f>+'1951'!$F$42</f>
        <v>295</v>
      </c>
      <c r="N46" s="2635">
        <f>+'1951'!$F$43</f>
        <v>6</v>
      </c>
      <c r="O46" s="2635">
        <f>+'1951'!$F$44+'1951'!$F$45</f>
        <v>0</v>
      </c>
      <c r="P46" s="2635">
        <f t="shared" si="13"/>
        <v>0</v>
      </c>
      <c r="Q46" s="2635">
        <f>+'1951'!$F$38</f>
        <v>613</v>
      </c>
      <c r="S46" s="2841"/>
      <c r="T46" s="2841"/>
      <c r="U46" s="2841"/>
      <c r="V46" s="2841"/>
      <c r="W46" s="2841"/>
      <c r="X46" s="2841"/>
      <c r="Y46" s="2841"/>
      <c r="Z46" s="2841"/>
      <c r="AA46" s="2841"/>
      <c r="AB46" s="2841"/>
      <c r="AC46" s="2841"/>
      <c r="AD46" s="2841"/>
      <c r="AE46" s="2841"/>
      <c r="AF46" s="2841"/>
      <c r="AG46" s="3023"/>
      <c r="AH46" s="3024"/>
      <c r="AI46" s="3024"/>
      <c r="AJ46" s="3024"/>
      <c r="AK46" s="3024"/>
      <c r="AL46" s="3024"/>
      <c r="AM46" s="2840">
        <f t="shared" si="14"/>
        <v>0</v>
      </c>
    </row>
    <row r="47" spans="1:39" ht="12.75" customHeight="1">
      <c r="A47" s="2837">
        <v>1955</v>
      </c>
      <c r="C47" s="2838">
        <f>+'1955'!$D$41</f>
        <v>0.49278867915684338</v>
      </c>
      <c r="D47" s="2838">
        <f>+'1955'!$D$42</f>
        <v>0.47369466706146202</v>
      </c>
      <c r="E47" s="2838">
        <f>+'1955'!$D$43</f>
        <v>2.766434389962313E-2</v>
      </c>
      <c r="F47" s="2838">
        <f>+'1955'!$D$44+'1955'!$D$45</f>
        <v>2.1916579213780299E-3</v>
      </c>
      <c r="G47" s="2838">
        <f t="shared" si="12"/>
        <v>3.6606519606935395E-3</v>
      </c>
      <c r="H47" s="2839">
        <f>+'1955'!$D$38</f>
        <v>1</v>
      </c>
      <c r="I47" s="2838"/>
      <c r="J47" s="2837">
        <v>1955</v>
      </c>
      <c r="L47" s="2635">
        <f>+'1955'!$F$41</f>
        <v>335</v>
      </c>
      <c r="M47" s="2635">
        <f>+'1955'!$F$42</f>
        <v>277</v>
      </c>
      <c r="N47" s="2635">
        <f>+'1955'!$F$43</f>
        <v>6</v>
      </c>
      <c r="O47" s="2635">
        <f>+'1955'!$F$44+'1955'!$F$45</f>
        <v>0</v>
      </c>
      <c r="P47" s="2635">
        <f t="shared" si="13"/>
        <v>0</v>
      </c>
      <c r="Q47" s="2635">
        <f>+'1955'!$F$38</f>
        <v>618</v>
      </c>
      <c r="S47" s="2841"/>
      <c r="T47" s="2841"/>
      <c r="U47" s="2841"/>
      <c r="V47" s="2841"/>
      <c r="W47" s="2841"/>
      <c r="X47" s="2841"/>
      <c r="Y47" s="2841"/>
      <c r="Z47" s="2841"/>
      <c r="AA47" s="2841"/>
      <c r="AB47" s="2841"/>
      <c r="AC47" s="2841"/>
      <c r="AD47" s="2841"/>
      <c r="AE47" s="2841"/>
      <c r="AF47" s="2841"/>
      <c r="AG47" s="3023"/>
      <c r="AH47" s="3024"/>
      <c r="AI47" s="3024"/>
      <c r="AJ47" s="3024"/>
      <c r="AK47" s="3024"/>
      <c r="AL47" s="3024"/>
      <c r="AM47" s="2840">
        <f t="shared" si="14"/>
        <v>0</v>
      </c>
    </row>
    <row r="48" spans="1:39" ht="12.75" customHeight="1">
      <c r="A48" s="2837">
        <v>1959</v>
      </c>
      <c r="C48" s="2838">
        <f>+'1959'!$D$42</f>
        <v>0.48763465384891796</v>
      </c>
      <c r="D48" s="2838">
        <f>+'1959'!$D$43</f>
        <v>0.44607350166321935</v>
      </c>
      <c r="E48" s="2838">
        <f>+'1959'!$D$44</f>
        <v>6.0011531693337873E-2</v>
      </c>
      <c r="F48" s="2838">
        <f>+'1959'!$D$45+'1959'!$D$46</f>
        <v>3.6394868546721884E-3</v>
      </c>
      <c r="G48" s="2838">
        <f t="shared" si="12"/>
        <v>2.6408259398525979E-3</v>
      </c>
      <c r="H48" s="2839">
        <f>+'1959'!$D$39</f>
        <v>1</v>
      </c>
      <c r="I48" s="2838"/>
      <c r="J48" s="2837">
        <v>1959</v>
      </c>
      <c r="L48" s="2635">
        <f>+'1959'!$F$42</f>
        <v>353</v>
      </c>
      <c r="M48" s="2635">
        <f>+'1959'!$F$43</f>
        <v>258</v>
      </c>
      <c r="N48" s="2635">
        <f>+'1959'!$F$44</f>
        <v>6</v>
      </c>
      <c r="O48" s="2635">
        <f>+'1959'!$F$45+'1959'!$F$46</f>
        <v>0</v>
      </c>
      <c r="P48" s="2635">
        <f t="shared" si="13"/>
        <v>1</v>
      </c>
      <c r="Q48" s="2635">
        <f>+'1959'!$F$39</f>
        <v>618</v>
      </c>
      <c r="S48" s="2841"/>
      <c r="T48" s="2841"/>
      <c r="U48" s="2841"/>
      <c r="V48" s="2841"/>
      <c r="W48" s="2841"/>
      <c r="X48" s="2841"/>
      <c r="Y48" s="2841"/>
      <c r="Z48" s="2841"/>
      <c r="AA48" s="2841"/>
      <c r="AB48" s="2841"/>
      <c r="AC48" s="2841"/>
      <c r="AD48" s="2841"/>
      <c r="AE48" s="2841"/>
      <c r="AF48" s="2841"/>
      <c r="AG48" s="3023"/>
      <c r="AH48" s="3024"/>
      <c r="AI48" s="3024"/>
      <c r="AJ48" s="3024"/>
      <c r="AK48" s="3024"/>
      <c r="AL48" s="3024"/>
      <c r="AM48" s="2840">
        <f t="shared" si="14"/>
        <v>0</v>
      </c>
    </row>
    <row r="49" spans="1:39" ht="12.75" customHeight="1">
      <c r="A49" s="2837">
        <v>1964</v>
      </c>
      <c r="C49" s="2838">
        <f>+'1964'!$D$42</f>
        <v>0.42935775314047625</v>
      </c>
      <c r="D49" s="2838">
        <f>+'1964'!$D$43</f>
        <v>0.44794863819427871</v>
      </c>
      <c r="E49" s="2838">
        <f>+'1964'!$D$44</f>
        <v>0.11406595962401335</v>
      </c>
      <c r="F49" s="2838">
        <f>+'1964'!$D$45+'1964'!$D$46</f>
        <v>4.9428857620492251E-3</v>
      </c>
      <c r="G49" s="2838">
        <f t="shared" si="12"/>
        <v>3.6847632791824347E-3</v>
      </c>
      <c r="H49" s="2839">
        <f>+'1964'!$D$39</f>
        <v>1</v>
      </c>
      <c r="I49" s="2838"/>
      <c r="J49" s="2837">
        <v>1964</v>
      </c>
      <c r="L49" s="2635">
        <f>+'1964'!$F$42</f>
        <v>292</v>
      </c>
      <c r="M49" s="2635">
        <f>+'1964'!$F$43</f>
        <v>317</v>
      </c>
      <c r="N49" s="2635">
        <f>+'1964'!$F$44</f>
        <v>9</v>
      </c>
      <c r="O49" s="2635">
        <f>+'1964'!$F$45+'1964'!$F$46</f>
        <v>0</v>
      </c>
      <c r="P49" s="2635">
        <f t="shared" si="13"/>
        <v>0</v>
      </c>
      <c r="Q49" s="2635">
        <f>+'1964'!$F$39</f>
        <v>618</v>
      </c>
      <c r="S49" s="2841"/>
      <c r="T49" s="2841"/>
      <c r="U49" s="2841"/>
      <c r="V49" s="2841"/>
      <c r="W49" s="2841"/>
      <c r="X49" s="2841"/>
      <c r="Y49" s="2841"/>
      <c r="Z49" s="2841"/>
      <c r="AA49" s="2841"/>
      <c r="AB49" s="2841"/>
      <c r="AC49" s="2841"/>
      <c r="AD49" s="2841"/>
      <c r="AE49" s="2841"/>
      <c r="AF49" s="2841"/>
      <c r="AG49" s="3023"/>
      <c r="AH49" s="3024"/>
      <c r="AI49" s="3024"/>
      <c r="AJ49" s="3024"/>
      <c r="AK49" s="3024"/>
      <c r="AL49" s="3024"/>
      <c r="AM49" s="2840">
        <f t="shared" si="14"/>
        <v>0</v>
      </c>
    </row>
    <row r="50" spans="1:39" ht="12.75" customHeight="1">
      <c r="A50" s="2837">
        <v>1966</v>
      </c>
      <c r="C50" s="2838">
        <f>+'1966'!$D$40</f>
        <v>0.41433983375899142</v>
      </c>
      <c r="D50" s="2838">
        <f>+'1966'!$D$41</f>
        <v>0.4883668416420715</v>
      </c>
      <c r="E50" s="2838">
        <f>+'1966'!$D$42</f>
        <v>8.6182092662844684E-2</v>
      </c>
      <c r="F50" s="2838">
        <f>+'1966'!$D$43+'1966'!$D$44</f>
        <v>7.1074461977815783E-3</v>
      </c>
      <c r="G50" s="2838">
        <f t="shared" si="12"/>
        <v>4.0037857383108388E-3</v>
      </c>
      <c r="H50" s="2839">
        <f>+'1966'!$D$37</f>
        <v>1</v>
      </c>
      <c r="I50" s="2838"/>
      <c r="J50" s="2837">
        <v>1966</v>
      </c>
      <c r="L50" s="2635">
        <f>+'1966'!$F$40</f>
        <v>242</v>
      </c>
      <c r="M50" s="2635">
        <f>+'1966'!$F$41</f>
        <v>364</v>
      </c>
      <c r="N50" s="2635">
        <f>+'1966'!$F$42</f>
        <v>12</v>
      </c>
      <c r="O50" s="2635">
        <f>+'1966'!$F$43+'1966'!$F$44</f>
        <v>0</v>
      </c>
      <c r="P50" s="2635">
        <f t="shared" si="13"/>
        <v>0</v>
      </c>
      <c r="Q50" s="2635">
        <f>+'1966'!$F$37</f>
        <v>618</v>
      </c>
      <c r="S50" s="2841"/>
      <c r="T50" s="2841"/>
      <c r="U50" s="2841"/>
      <c r="V50" s="2841"/>
      <c r="W50" s="2841"/>
      <c r="X50" s="2841"/>
      <c r="Y50" s="2841"/>
      <c r="Z50" s="2841"/>
      <c r="AA50" s="2841"/>
      <c r="AB50" s="2841"/>
      <c r="AC50" s="2841"/>
      <c r="AD50" s="2841"/>
      <c r="AE50" s="2841"/>
      <c r="AF50" s="2841"/>
      <c r="AG50" s="3023"/>
      <c r="AH50" s="3024"/>
      <c r="AI50" s="3024"/>
      <c r="AJ50" s="3024"/>
      <c r="AK50" s="3024"/>
      <c r="AL50" s="3024"/>
      <c r="AM50" s="2840">
        <f t="shared" si="14"/>
        <v>0</v>
      </c>
    </row>
    <row r="51" spans="1:39" ht="12.75" customHeight="1">
      <c r="A51" s="2837">
        <v>1970</v>
      </c>
      <c r="C51" s="2838">
        <f>+'1970'!$D$37</f>
        <v>0.46155508197964246</v>
      </c>
      <c r="D51" s="2838">
        <f>+'1970'!$D$38</f>
        <v>0.43933477437618546</v>
      </c>
      <c r="E51" s="2838">
        <f>+'1970'!$D$39</f>
        <v>7.6364146220200949E-2</v>
      </c>
      <c r="F51" s="2838">
        <f>+'1970'!$D$40+'1970'!$D$41</f>
        <v>1.747890538544571E-2</v>
      </c>
      <c r="G51" s="2838">
        <f t="shared" si="12"/>
        <v>5.2670920385254894E-3</v>
      </c>
      <c r="H51" s="2839">
        <f>+'1970'!$D$36</f>
        <v>1</v>
      </c>
      <c r="I51" s="2838"/>
      <c r="J51" s="2837">
        <v>1970</v>
      </c>
      <c r="L51" s="2635">
        <f>+'1970'!$F$37</f>
        <v>322</v>
      </c>
      <c r="M51" s="2635">
        <f>+'1970'!$F$38</f>
        <v>288</v>
      </c>
      <c r="N51" s="2635">
        <f>+'1970'!$F$39</f>
        <v>6</v>
      </c>
      <c r="O51" s="2635">
        <f>+'1970'!$F$40+'1970'!$F$41</f>
        <v>1</v>
      </c>
      <c r="P51" s="2635">
        <f t="shared" si="13"/>
        <v>1</v>
      </c>
      <c r="Q51" s="2635">
        <f>+'1970'!$F$36</f>
        <v>618</v>
      </c>
      <c r="S51" s="2841"/>
      <c r="T51" s="2841"/>
      <c r="U51" s="2841"/>
      <c r="V51" s="2841"/>
      <c r="W51" s="2841"/>
      <c r="X51" s="2841"/>
      <c r="Y51" s="2841"/>
      <c r="Z51" s="2841"/>
      <c r="AA51" s="2841"/>
      <c r="AB51" s="2841"/>
      <c r="AC51" s="2841"/>
      <c r="AD51" s="2841"/>
      <c r="AE51" s="2841"/>
      <c r="AF51" s="2841"/>
      <c r="AG51" s="3023"/>
      <c r="AH51" s="3024"/>
      <c r="AI51" s="3024"/>
      <c r="AJ51" s="3024"/>
      <c r="AK51" s="3024"/>
      <c r="AL51" s="3024"/>
      <c r="AM51" s="2840">
        <f t="shared" si="14"/>
        <v>0</v>
      </c>
    </row>
    <row r="52" spans="1:39" ht="12.75" customHeight="1">
      <c r="A52" s="2837">
        <v>1974</v>
      </c>
      <c r="B52" s="2635" t="s">
        <v>50</v>
      </c>
      <c r="C52" s="2838">
        <f>+'1974F'!$D$40</f>
        <v>0.3876942131768577</v>
      </c>
      <c r="D52" s="2838">
        <f>+'1974F'!$D$41</f>
        <v>0.38029560974309901</v>
      </c>
      <c r="E52" s="2838">
        <f>+'1974F'!$D$42</f>
        <v>0.19787776557761252</v>
      </c>
      <c r="F52" s="2838">
        <f>+'1974F'!$D$43+'1974F'!$D$44</f>
        <v>2.6273264892234919E-2</v>
      </c>
      <c r="G52" s="2838">
        <f t="shared" si="12"/>
        <v>7.8591466101959329E-3</v>
      </c>
      <c r="H52" s="2839">
        <f>+'1974F'!$D$39</f>
        <v>1</v>
      </c>
      <c r="I52" s="2838"/>
      <c r="J52" s="2837">
        <v>1974</v>
      </c>
      <c r="K52" s="2635" t="s">
        <v>50</v>
      </c>
      <c r="L52" s="2635">
        <f>+'1974F'!$F$40</f>
        <v>297</v>
      </c>
      <c r="M52" s="2635">
        <f>+'1974F'!$F$41</f>
        <v>301</v>
      </c>
      <c r="N52" s="2635">
        <f>+'1974F'!$F$42</f>
        <v>14</v>
      </c>
      <c r="O52" s="2635">
        <f>+'1974F'!$F$43+'1974F'!$F$44</f>
        <v>9</v>
      </c>
      <c r="P52" s="2635">
        <f t="shared" si="13"/>
        <v>2</v>
      </c>
      <c r="Q52" s="2635">
        <f>+'1974F'!$F$39</f>
        <v>623</v>
      </c>
      <c r="S52" s="2841"/>
      <c r="T52" s="2841"/>
      <c r="U52" s="2841"/>
      <c r="V52" s="2841"/>
      <c r="W52" s="2841"/>
      <c r="X52" s="2841"/>
      <c r="Y52" s="2841"/>
      <c r="Z52" s="2841"/>
      <c r="AA52" s="2841"/>
      <c r="AB52" s="2841"/>
      <c r="AC52" s="2841"/>
      <c r="AD52" s="2841"/>
      <c r="AE52" s="2841"/>
      <c r="AF52" s="2841"/>
      <c r="AG52" s="3023"/>
      <c r="AH52" s="3024"/>
      <c r="AI52" s="3024"/>
      <c r="AJ52" s="3024"/>
      <c r="AK52" s="3024"/>
      <c r="AL52" s="3024"/>
      <c r="AM52" s="2840"/>
    </row>
    <row r="53" spans="1:39" ht="12.75" customHeight="1">
      <c r="A53" s="2837">
        <v>1974</v>
      </c>
      <c r="B53" s="2635" t="s">
        <v>51</v>
      </c>
      <c r="C53" s="2838">
        <f>+'1974O'!$D$39</f>
        <v>0.36727494391303261</v>
      </c>
      <c r="D53" s="2838">
        <f>+'1974O'!$D$40</f>
        <v>0.40218608411342571</v>
      </c>
      <c r="E53" s="2838">
        <f>+'1974O'!$D$41</f>
        <v>0.18768919588261457</v>
      </c>
      <c r="F53" s="2838">
        <f>+'1974O'!$D$43+'1974O'!$D$42</f>
        <v>3.531216508857897E-2</v>
      </c>
      <c r="G53" s="2838">
        <f t="shared" si="12"/>
        <v>7.5376110023481768E-3</v>
      </c>
      <c r="H53" s="2839">
        <f>+'1974O'!$D$38</f>
        <v>1</v>
      </c>
      <c r="I53" s="2838"/>
      <c r="J53" s="2837">
        <v>1974</v>
      </c>
      <c r="K53" s="2635" t="s">
        <v>51</v>
      </c>
      <c r="L53" s="2635">
        <f>+'1974O'!$F$39</f>
        <v>277</v>
      </c>
      <c r="M53" s="2635">
        <f>+'1974O'!$F$40</f>
        <v>319</v>
      </c>
      <c r="N53" s="2635">
        <f>+'1974O'!$F$41</f>
        <v>13</v>
      </c>
      <c r="O53" s="2635">
        <f>+'1974O'!$F$43+'1974O'!$F$42</f>
        <v>14</v>
      </c>
      <c r="P53" s="2635">
        <f t="shared" si="13"/>
        <v>0</v>
      </c>
      <c r="Q53" s="2635">
        <f>+'1974O'!$F$38</f>
        <v>623</v>
      </c>
      <c r="S53" s="2841"/>
      <c r="T53" s="2841"/>
      <c r="U53" s="2841"/>
      <c r="V53" s="2841"/>
      <c r="W53" s="2841"/>
      <c r="X53" s="2841"/>
      <c r="Y53" s="2841"/>
      <c r="Z53" s="2841"/>
      <c r="AA53" s="2841"/>
      <c r="AB53" s="2841"/>
      <c r="AC53" s="2841"/>
      <c r="AD53" s="2841"/>
      <c r="AE53" s="2841"/>
      <c r="AF53" s="2841"/>
      <c r="AG53" s="3023"/>
      <c r="AH53" s="3024"/>
      <c r="AI53" s="3024"/>
      <c r="AJ53" s="3024"/>
      <c r="AK53" s="3024"/>
      <c r="AL53" s="3024"/>
      <c r="AM53" s="2840"/>
    </row>
    <row r="54" spans="1:39" ht="12.75" customHeight="1">
      <c r="A54" s="2837">
        <v>1979</v>
      </c>
      <c r="C54" s="2838">
        <f>+'1979'!$D$41</f>
        <v>0.44873742341437767</v>
      </c>
      <c r="D54" s="2838">
        <f>+'1979'!$D$42</f>
        <v>0.37778996068038251</v>
      </c>
      <c r="E54" s="2838">
        <f>+'1979'!$D$43</f>
        <v>0.14131816130625321</v>
      </c>
      <c r="F54" s="2838">
        <f>+'1979'!$D$44+'1979'!$D$45</f>
        <v>2.086136251770038E-2</v>
      </c>
      <c r="G54" s="2838">
        <f t="shared" si="12"/>
        <v>1.1293092081286149E-2</v>
      </c>
      <c r="H54" s="2839">
        <f>+'1979'!$D$40</f>
        <v>1</v>
      </c>
      <c r="I54" s="2838"/>
      <c r="J54" s="2837">
        <v>1979</v>
      </c>
      <c r="L54" s="2635">
        <f>+'1979'!$F$41</f>
        <v>339</v>
      </c>
      <c r="M54" s="2635">
        <f>+'1979'!$F$42</f>
        <v>269</v>
      </c>
      <c r="N54" s="2635">
        <f>+'1979'!$F$43</f>
        <v>11</v>
      </c>
      <c r="O54" s="2635">
        <f>+'1979'!$F$44+'1979'!$F$45</f>
        <v>4</v>
      </c>
      <c r="P54" s="2635">
        <f t="shared" si="13"/>
        <v>0</v>
      </c>
      <c r="Q54" s="2635">
        <f>+'1979'!$F$40</f>
        <v>623</v>
      </c>
      <c r="S54" s="2841"/>
      <c r="T54" s="2841"/>
      <c r="U54" s="2841"/>
      <c r="V54" s="2841"/>
      <c r="W54" s="2841"/>
      <c r="X54" s="2841"/>
      <c r="Y54" s="2841"/>
      <c r="Z54" s="2841"/>
      <c r="AA54" s="2841"/>
      <c r="AB54" s="2841"/>
      <c r="AC54" s="2841"/>
      <c r="AD54" s="2841"/>
      <c r="AE54" s="2841"/>
      <c r="AF54" s="2841"/>
      <c r="AG54" s="3023"/>
      <c r="AH54" s="3024"/>
      <c r="AI54" s="3024"/>
      <c r="AJ54" s="3024"/>
      <c r="AK54" s="3024"/>
      <c r="AL54" s="3024"/>
      <c r="AM54" s="2840"/>
    </row>
    <row r="55" spans="1:39" ht="12.75" customHeight="1">
      <c r="A55" s="2837">
        <v>1983</v>
      </c>
      <c r="C55" s="2838">
        <f>+'1983'!$D$45</f>
        <v>0.43510411816782413</v>
      </c>
      <c r="D55" s="2838">
        <f>+'1983'!$D$46</f>
        <v>0.28278185147620838</v>
      </c>
      <c r="E55" s="2838">
        <f>+'1983'!$D$49</f>
        <v>0.26017835358085473</v>
      </c>
      <c r="F55" s="2838">
        <f>+'1983'!$D$50+'1983'!$D$51</f>
        <v>1.5290602500911851E-2</v>
      </c>
      <c r="G55" s="2838">
        <f t="shared" si="12"/>
        <v>6.6450742742009128E-3</v>
      </c>
      <c r="H55" s="2839">
        <f>+'1983'!$D$44</f>
        <v>1</v>
      </c>
      <c r="I55" s="2838"/>
      <c r="J55" s="2837">
        <v>1983</v>
      </c>
      <c r="L55" s="2635">
        <f>+'1983'!$F$45</f>
        <v>397</v>
      </c>
      <c r="M55" s="2635">
        <f>+'1983'!$F$46</f>
        <v>209</v>
      </c>
      <c r="N55" s="2635">
        <f>+'1983'!$F$49</f>
        <v>23</v>
      </c>
      <c r="O55" s="2635">
        <f>+'1983'!$F$50+'1983'!$F$51</f>
        <v>4</v>
      </c>
      <c r="P55" s="2635">
        <f t="shared" si="13"/>
        <v>0</v>
      </c>
      <c r="Q55" s="2635">
        <f>+'1983'!$F$44</f>
        <v>633</v>
      </c>
      <c r="S55" s="2841"/>
      <c r="T55" s="2841"/>
      <c r="U55" s="2841"/>
      <c r="V55" s="2841"/>
      <c r="W55" s="2841"/>
      <c r="X55" s="2841"/>
      <c r="Y55" s="2841"/>
      <c r="Z55" s="2841"/>
      <c r="AA55" s="2841"/>
      <c r="AB55" s="2841"/>
      <c r="AC55" s="2841"/>
      <c r="AD55" s="2841"/>
      <c r="AE55" s="2841"/>
      <c r="AF55" s="2841"/>
      <c r="AG55" s="3023"/>
      <c r="AH55" s="3024"/>
      <c r="AI55" s="3024"/>
      <c r="AJ55" s="3024"/>
      <c r="AK55" s="3024"/>
      <c r="AL55" s="3024"/>
      <c r="AM55" s="2840">
        <f t="shared" ref="AM55:AM61" si="15">Z55-K55</f>
        <v>0</v>
      </c>
    </row>
    <row r="56" spans="1:39" ht="12.75" customHeight="1">
      <c r="A56" s="2837">
        <v>1987</v>
      </c>
      <c r="C56" s="2838">
        <f>+'1987'!$D$45</f>
        <v>0.43273054677150463</v>
      </c>
      <c r="D56" s="2838">
        <f>+'1987'!$D$46</f>
        <v>0.31540842907038635</v>
      </c>
      <c r="E56" s="2838">
        <f>+'1987'!$D$49</f>
        <v>0.23087312959674178</v>
      </c>
      <c r="F56" s="2838">
        <f>+'1987'!$D$50+'1987'!$D$51</f>
        <v>1.6983702787591197E-2</v>
      </c>
      <c r="G56" s="2838">
        <f t="shared" si="12"/>
        <v>4.004191773775978E-3</v>
      </c>
      <c r="H56" s="2839">
        <f>+'1987'!$D$44</f>
        <v>1</v>
      </c>
      <c r="I56" s="2838"/>
      <c r="J56" s="2837">
        <v>1987</v>
      </c>
      <c r="L56" s="2635">
        <f>+'1987'!$F$45</f>
        <v>376</v>
      </c>
      <c r="M56" s="2635">
        <f>+'1987'!$F$46</f>
        <v>229</v>
      </c>
      <c r="N56" s="2635">
        <f>+'1987'!$F$49</f>
        <v>22</v>
      </c>
      <c r="O56" s="2635">
        <f>+'1987'!$F$50+'1987'!$F$51</f>
        <v>6</v>
      </c>
      <c r="P56" s="2635">
        <f t="shared" si="13"/>
        <v>0</v>
      </c>
      <c r="Q56" s="2635">
        <f>+'1987'!$F$44</f>
        <v>633</v>
      </c>
      <c r="S56" s="2841"/>
      <c r="T56" s="2841"/>
      <c r="U56" s="2841"/>
      <c r="V56" s="2841"/>
      <c r="W56" s="2841"/>
      <c r="X56" s="2841"/>
      <c r="Y56" s="2841"/>
      <c r="Z56" s="2841"/>
      <c r="AA56" s="2841"/>
      <c r="AB56" s="2841"/>
      <c r="AC56" s="2841"/>
      <c r="AD56" s="2841"/>
      <c r="AE56" s="2841"/>
      <c r="AF56" s="2841"/>
      <c r="AG56" s="3023"/>
      <c r="AH56" s="3024"/>
      <c r="AI56" s="3024"/>
      <c r="AJ56" s="3024"/>
      <c r="AK56" s="3024"/>
      <c r="AL56" s="3024"/>
      <c r="AM56" s="2840">
        <f t="shared" si="15"/>
        <v>0</v>
      </c>
    </row>
    <row r="57" spans="1:39" ht="12.75" customHeight="1">
      <c r="A57" s="2837">
        <v>1992</v>
      </c>
      <c r="C57" s="2838">
        <f>+'1992'!$D$37</f>
        <v>0.42792674557885302</v>
      </c>
      <c r="D57" s="2838">
        <f>+'1992'!$D$38</f>
        <v>0.35214263884706015</v>
      </c>
      <c r="E57" s="2838">
        <f>+'1992'!$D$39</f>
        <v>0.18275334223745782</v>
      </c>
      <c r="F57" s="2838">
        <f>+'1992'!$D$40+'1992'!$D$41</f>
        <v>2.3896903775356294E-2</v>
      </c>
      <c r="G57" s="2838">
        <f t="shared" si="12"/>
        <v>1.3280369561272654E-2</v>
      </c>
      <c r="H57" s="2839">
        <f>+'1992'!$D$36</f>
        <v>1</v>
      </c>
      <c r="I57" s="2838"/>
      <c r="J57" s="2837">
        <v>1992</v>
      </c>
      <c r="L57" s="2635">
        <f>+'1992'!$F$37</f>
        <v>336</v>
      </c>
      <c r="M57" s="2635">
        <f>+'1992'!$F$38</f>
        <v>271</v>
      </c>
      <c r="N57" s="2635">
        <f>+'1992'!$F$39</f>
        <v>20</v>
      </c>
      <c r="O57" s="2635">
        <f>+'1992'!$F$40+'1992'!$F$41</f>
        <v>7</v>
      </c>
      <c r="P57" s="2635">
        <f t="shared" si="13"/>
        <v>0</v>
      </c>
      <c r="Q57" s="2635">
        <f>+'1992'!$F$36</f>
        <v>634</v>
      </c>
      <c r="S57" s="2841"/>
      <c r="T57" s="2841"/>
      <c r="U57" s="2841"/>
      <c r="V57" s="2841"/>
      <c r="W57" s="2841"/>
      <c r="X57" s="2841"/>
      <c r="Y57" s="2841"/>
      <c r="Z57" s="2841"/>
      <c r="AA57" s="2841"/>
      <c r="AB57" s="2841"/>
      <c r="AC57" s="2841"/>
      <c r="AD57" s="2841"/>
      <c r="AE57" s="2841"/>
      <c r="AF57" s="2841"/>
      <c r="AG57" s="3023"/>
      <c r="AH57" s="3024"/>
      <c r="AI57" s="3024"/>
      <c r="AJ57" s="3024"/>
      <c r="AK57" s="3024"/>
      <c r="AL57" s="3024"/>
      <c r="AM57" s="2840">
        <f t="shared" si="15"/>
        <v>0</v>
      </c>
    </row>
    <row r="58" spans="1:39" ht="12.75" customHeight="1">
      <c r="A58" s="2837">
        <v>1997</v>
      </c>
      <c r="C58" s="2838">
        <f>+'1997'!$D$38</f>
        <v>0.31450797923708274</v>
      </c>
      <c r="D58" s="2838">
        <f>+'1997'!$D$39</f>
        <v>0.44328367292745474</v>
      </c>
      <c r="E58" s="2838">
        <f>+'1997'!$D$40</f>
        <v>0.1719251436325635</v>
      </c>
      <c r="F58" s="2838">
        <f>+'1997'!$D$41+'1997'!$D$42</f>
        <v>2.5662128361009857E-2</v>
      </c>
      <c r="G58" s="2838">
        <f t="shared" si="12"/>
        <v>4.4621075841889124E-2</v>
      </c>
      <c r="H58" s="2839">
        <f>+'1997'!$D$37</f>
        <v>1</v>
      </c>
      <c r="I58" s="2838"/>
      <c r="J58" s="2837">
        <v>1997</v>
      </c>
      <c r="L58" s="2635">
        <f>+'1997'!$F$38</f>
        <v>165</v>
      </c>
      <c r="M58" s="2635">
        <f>+'1997'!$F$39</f>
        <v>418</v>
      </c>
      <c r="N58" s="2635">
        <f>+'1997'!$F$40</f>
        <v>46</v>
      </c>
      <c r="O58" s="2635">
        <f>+'1997'!$F$41+'1997'!$F$42</f>
        <v>10</v>
      </c>
      <c r="P58" s="2635">
        <f t="shared" si="13"/>
        <v>2</v>
      </c>
      <c r="Q58" s="2635">
        <f>+'1997'!$F$37</f>
        <v>641</v>
      </c>
      <c r="S58" s="2841"/>
      <c r="T58" s="2841"/>
      <c r="U58" s="2841"/>
      <c r="V58" s="2841"/>
      <c r="W58" s="2841"/>
      <c r="X58" s="2841"/>
      <c r="Y58" s="2841"/>
      <c r="Z58" s="2841"/>
      <c r="AA58" s="2841"/>
      <c r="AB58" s="2841"/>
      <c r="AC58" s="2841"/>
      <c r="AD58" s="2841"/>
      <c r="AE58" s="2841"/>
      <c r="AF58" s="2841"/>
      <c r="AG58" s="3023"/>
      <c r="AH58" s="3024"/>
      <c r="AI58" s="3024"/>
      <c r="AJ58" s="3024"/>
      <c r="AK58" s="3024"/>
      <c r="AL58" s="3024"/>
      <c r="AM58" s="2840">
        <f t="shared" si="15"/>
        <v>0</v>
      </c>
    </row>
    <row r="59" spans="1:39" ht="12.75" customHeight="1">
      <c r="A59" s="2837">
        <v>2001</v>
      </c>
      <c r="C59" s="2838">
        <f>+'2001'!$D$38</f>
        <v>0.32614117716200669</v>
      </c>
      <c r="D59" s="2838">
        <f>+'2001'!$D$39</f>
        <v>0.41964820687741666</v>
      </c>
      <c r="E59" s="2838">
        <f>+'2001'!$D$40</f>
        <v>0.18837576024643574</v>
      </c>
      <c r="F59" s="2838">
        <f>+'2001'!$D$41+'2001'!$D$42</f>
        <v>2.5832717748778818E-2</v>
      </c>
      <c r="G59" s="2838">
        <f t="shared" si="12"/>
        <v>4.0002137965362006E-2</v>
      </c>
      <c r="H59" s="2839">
        <f>+'2001'!$D$37</f>
        <v>1</v>
      </c>
      <c r="I59" s="2838"/>
      <c r="J59" s="2837">
        <v>2001</v>
      </c>
      <c r="L59" s="2635">
        <f>+'2001'!$F$38</f>
        <v>166</v>
      </c>
      <c r="M59" s="2635">
        <f>+'2001'!$F$39</f>
        <v>412</v>
      </c>
      <c r="N59" s="2635">
        <f>+'2001'!$F$40</f>
        <v>52</v>
      </c>
      <c r="O59" s="2635">
        <f>+'2001'!$F$41+'2001'!$F$42</f>
        <v>9</v>
      </c>
      <c r="P59" s="2635">
        <f t="shared" si="13"/>
        <v>2</v>
      </c>
      <c r="Q59" s="2635">
        <f>+'2001'!$F$37</f>
        <v>641</v>
      </c>
      <c r="S59" s="2841"/>
      <c r="T59" s="2841"/>
      <c r="U59" s="2841"/>
      <c r="V59" s="2841"/>
      <c r="W59" s="2841"/>
      <c r="X59" s="2841"/>
      <c r="Y59" s="2841"/>
      <c r="Z59" s="2841"/>
      <c r="AA59" s="2841"/>
      <c r="AB59" s="2841"/>
      <c r="AC59" s="2841"/>
      <c r="AD59" s="2841"/>
      <c r="AE59" s="2841"/>
      <c r="AF59" s="2841"/>
      <c r="AG59" s="3023"/>
      <c r="AH59" s="3024"/>
      <c r="AI59" s="3024"/>
      <c r="AJ59" s="3024"/>
      <c r="AK59" s="3024"/>
      <c r="AL59" s="3024"/>
      <c r="AM59" s="2840">
        <f t="shared" si="15"/>
        <v>0</v>
      </c>
    </row>
    <row r="60" spans="1:39" ht="12.75" customHeight="1">
      <c r="A60" s="2837">
        <v>2005</v>
      </c>
      <c r="C60" s="2838">
        <f>+'2005'!$D$38</f>
        <v>0.33226996968851769</v>
      </c>
      <c r="D60" s="2838">
        <f>+'2005'!$D$39</f>
        <v>0.36141157163423976</v>
      </c>
      <c r="E60" s="2838">
        <f>+'2005'!$D$40</f>
        <v>0.22645661662474856</v>
      </c>
      <c r="F60" s="2838">
        <f>+'2005'!$D$41+'2005'!$D$42</f>
        <v>2.2212819930363347E-2</v>
      </c>
      <c r="G60" s="2838">
        <f t="shared" si="12"/>
        <v>5.7649022122130522E-2</v>
      </c>
      <c r="H60" s="2839">
        <f>+'2005'!$D$37</f>
        <v>1</v>
      </c>
      <c r="I60" s="2838"/>
      <c r="J60" s="2837">
        <v>2005</v>
      </c>
      <c r="L60" s="2635">
        <f>+'2005'!$F$38</f>
        <v>198</v>
      </c>
      <c r="M60" s="2635">
        <f>+'2005'!$F$39</f>
        <v>355</v>
      </c>
      <c r="N60" s="2635">
        <f>+'2005'!$F$40</f>
        <v>62</v>
      </c>
      <c r="O60" s="2635">
        <f>+'2005'!$F$41+'2005'!$F$42</f>
        <v>9</v>
      </c>
      <c r="P60" s="2635">
        <f t="shared" si="13"/>
        <v>4</v>
      </c>
      <c r="Q60" s="2635">
        <f>+'2005'!$F$37</f>
        <v>628</v>
      </c>
      <c r="S60" s="2841"/>
      <c r="T60" s="2841"/>
      <c r="U60" s="2841"/>
      <c r="V60" s="2841"/>
      <c r="W60" s="2841"/>
      <c r="X60" s="2841"/>
      <c r="Y60" s="2841"/>
      <c r="Z60" s="2841"/>
      <c r="AA60" s="2841"/>
      <c r="AB60" s="2841"/>
      <c r="AC60" s="2841"/>
      <c r="AD60" s="2841"/>
      <c r="AE60" s="2841"/>
      <c r="AF60" s="2841"/>
      <c r="AG60" s="3023"/>
      <c r="AH60" s="3024"/>
      <c r="AI60" s="3024"/>
      <c r="AJ60" s="3024"/>
      <c r="AK60" s="3024"/>
      <c r="AL60" s="3024"/>
      <c r="AM60" s="2840">
        <f t="shared" si="15"/>
        <v>0</v>
      </c>
    </row>
    <row r="61" spans="1:39" ht="12.75" customHeight="1">
      <c r="A61" s="2837">
        <v>2010</v>
      </c>
      <c r="C61" s="2838">
        <f>+'2010'!$D$36</f>
        <v>0.36891681604707677</v>
      </c>
      <c r="D61" s="2838">
        <f>+'2010'!$D$37</f>
        <v>0.29663597579808154</v>
      </c>
      <c r="E61" s="2838">
        <f>+'2010'!$D$38</f>
        <v>0.23562111087187573</v>
      </c>
      <c r="F61" s="2838">
        <f>+'2010'!$D$39+'2010'!$D$40</f>
        <v>2.2636866479745988E-2</v>
      </c>
      <c r="G61" s="2838">
        <f t="shared" si="12"/>
        <v>7.6189230803220043E-2</v>
      </c>
      <c r="H61" s="2839">
        <f>+'2010'!$D$35</f>
        <v>1</v>
      </c>
      <c r="I61" s="2838"/>
      <c r="J61" s="2837">
        <v>2010</v>
      </c>
      <c r="L61" s="2635">
        <f>+'2010'!$F$36</f>
        <v>306</v>
      </c>
      <c r="M61" s="2635">
        <f>+'2010'!$F$37</f>
        <v>258</v>
      </c>
      <c r="N61" s="2635">
        <f>+'2010'!$F$38</f>
        <v>57</v>
      </c>
      <c r="O61" s="2635">
        <f>+'2010'!$F$39+'2010'!$F$40</f>
        <v>9</v>
      </c>
      <c r="P61" s="2635">
        <f t="shared" si="13"/>
        <v>2</v>
      </c>
      <c r="Q61" s="2635">
        <f>+'2010'!$F$35</f>
        <v>632</v>
      </c>
      <c r="S61" s="2841"/>
      <c r="T61" s="2841"/>
      <c r="U61" s="2841"/>
      <c r="V61" s="2841"/>
      <c r="W61" s="2841"/>
      <c r="X61" s="2841"/>
      <c r="Y61" s="2841"/>
      <c r="Z61" s="2841"/>
      <c r="AA61" s="2841"/>
      <c r="AB61" s="2841"/>
      <c r="AC61" s="2841"/>
      <c r="AD61" s="2841"/>
      <c r="AE61" s="2841"/>
      <c r="AF61" s="2841"/>
      <c r="AG61" s="3023"/>
      <c r="AH61" s="3024"/>
      <c r="AI61" s="3024"/>
      <c r="AJ61" s="3024"/>
      <c r="AK61" s="3024"/>
      <c r="AL61" s="3024"/>
      <c r="AM61" s="2840">
        <f t="shared" si="15"/>
        <v>0</v>
      </c>
    </row>
    <row r="62" spans="1:39" ht="12.75" customHeight="1">
      <c r="A62" s="2837">
        <v>2015</v>
      </c>
      <c r="C62" s="2838">
        <f t="shared" ref="C62:H64" si="16">IFERROR(C30/$H30,"..")</f>
        <v>0.37657802488818326</v>
      </c>
      <c r="D62" s="2838">
        <f t="shared" si="16"/>
        <v>0.31176268506875771</v>
      </c>
      <c r="E62" s="2838">
        <f t="shared" si="16"/>
        <v>8.0578078253357832E-2</v>
      </c>
      <c r="F62" s="2838">
        <f t="shared" si="16"/>
        <v>5.4555885011390123E-2</v>
      </c>
      <c r="G62" s="2838">
        <f t="shared" si="16"/>
        <v>0.17652532677831104</v>
      </c>
      <c r="H62" s="2839">
        <f t="shared" si="16"/>
        <v>1</v>
      </c>
      <c r="I62" s="2838"/>
      <c r="J62" s="2837">
        <v>2015</v>
      </c>
      <c r="L62" s="2635">
        <v>330</v>
      </c>
      <c r="M62" s="2635">
        <v>232</v>
      </c>
      <c r="N62" s="2635">
        <v>8</v>
      </c>
      <c r="O62" s="2635">
        <v>59</v>
      </c>
      <c r="P62" s="2635">
        <v>3</v>
      </c>
      <c r="Q62" s="2635">
        <f>SUM(L62:P62)</f>
        <v>632</v>
      </c>
      <c r="S62" s="2841"/>
      <c r="T62" s="2841"/>
      <c r="U62" s="2841"/>
      <c r="V62" s="2841"/>
      <c r="W62" s="2841"/>
      <c r="X62" s="2841"/>
      <c r="Y62" s="2841"/>
      <c r="Z62" s="2841"/>
      <c r="AA62" s="2841"/>
      <c r="AB62" s="2841"/>
      <c r="AC62" s="2841"/>
      <c r="AD62" s="2841"/>
      <c r="AE62" s="2841"/>
      <c r="AF62" s="2841"/>
      <c r="AG62" s="2841"/>
      <c r="AH62" s="2848"/>
      <c r="AI62" s="2848"/>
      <c r="AJ62" s="2848"/>
      <c r="AK62" s="2848"/>
      <c r="AL62" s="2848"/>
    </row>
    <row r="63" spans="1:39" ht="12.75" customHeight="1">
      <c r="A63" s="2837">
        <v>2017</v>
      </c>
      <c r="C63" s="2838">
        <f t="shared" si="16"/>
        <v>0.43428869966328038</v>
      </c>
      <c r="D63" s="2838">
        <f t="shared" si="16"/>
        <v>0.41024048217488401</v>
      </c>
      <c r="E63" s="2838">
        <f t="shared" si="16"/>
        <v>7.5530962597678969E-2</v>
      </c>
      <c r="F63" s="2838">
        <f t="shared" si="16"/>
        <v>3.6379738206052031E-2</v>
      </c>
      <c r="G63" s="2838">
        <f t="shared" si="16"/>
        <v>4.3560117358104687E-2</v>
      </c>
      <c r="H63" s="2839">
        <f t="shared" si="16"/>
        <v>1</v>
      </c>
      <c r="I63" s="2838"/>
      <c r="J63" s="2837">
        <v>2017</v>
      </c>
      <c r="L63" s="3150">
        <v>317</v>
      </c>
      <c r="M63" s="3150">
        <v>262</v>
      </c>
      <c r="N63" s="3150">
        <v>12</v>
      </c>
      <c r="O63" s="3150">
        <v>39</v>
      </c>
      <c r="P63" s="3150">
        <v>2</v>
      </c>
      <c r="Q63" s="3150">
        <f>SUM(L63:P63)</f>
        <v>632</v>
      </c>
    </row>
    <row r="64" spans="1:39" ht="12.75" customHeight="1">
      <c r="A64" s="2837">
        <v>2019</v>
      </c>
      <c r="C64" s="2838">
        <f t="shared" si="16"/>
        <v>0.4472525214179367</v>
      </c>
      <c r="D64" s="2838">
        <f t="shared" si="16"/>
        <v>0.32897729702715756</v>
      </c>
      <c r="E64" s="2838">
        <f t="shared" si="16"/>
        <v>0.11841775167927676</v>
      </c>
      <c r="F64" s="2838">
        <f t="shared" si="16"/>
        <v>4.47106085761447E-2</v>
      </c>
      <c r="G64" s="2838">
        <f t="shared" si="16"/>
        <v>6.0641821299484304E-2</v>
      </c>
      <c r="H64" s="2839">
        <f t="shared" si="16"/>
        <v>1</v>
      </c>
      <c r="I64" s="2838"/>
      <c r="J64" s="2837">
        <v>2019</v>
      </c>
      <c r="L64" s="3150">
        <v>365</v>
      </c>
      <c r="M64" s="3150">
        <v>202</v>
      </c>
      <c r="N64" s="3150">
        <v>11</v>
      </c>
      <c r="O64" s="3150">
        <v>52</v>
      </c>
      <c r="P64" s="3150">
        <v>2</v>
      </c>
      <c r="Q64" s="3150">
        <f>SUM(L64:P64)</f>
        <v>632</v>
      </c>
    </row>
    <row r="65" spans="1:38" ht="3" customHeight="1">
      <c r="A65" s="2836"/>
      <c r="B65" s="2835"/>
      <c r="C65" s="2835"/>
      <c r="D65" s="2835"/>
      <c r="E65" s="2835"/>
      <c r="F65" s="2835"/>
      <c r="G65" s="2835"/>
      <c r="H65" s="2835"/>
      <c r="J65" s="2835"/>
      <c r="K65" s="2835"/>
      <c r="L65" s="2835"/>
      <c r="M65" s="2835"/>
      <c r="N65" s="2835"/>
      <c r="O65" s="2835"/>
      <c r="P65" s="2835"/>
      <c r="Q65" s="2834"/>
    </row>
    <row r="66" spans="1:38" ht="6" customHeight="1"/>
    <row r="67" spans="1:38" s="949" customFormat="1" ht="11">
      <c r="A67" s="2833" t="s">
        <v>1113</v>
      </c>
      <c r="AH67" s="2832"/>
      <c r="AI67" s="2832"/>
      <c r="AJ67" s="2832"/>
      <c r="AK67" s="2832"/>
      <c r="AL67" s="2832"/>
    </row>
    <row r="68" spans="1:38" s="949" customFormat="1" ht="22.5" customHeight="1">
      <c r="A68" s="3402" t="s">
        <v>1426</v>
      </c>
      <c r="B68" s="3402"/>
      <c r="C68" s="3402"/>
      <c r="D68" s="3402"/>
      <c r="E68" s="3402"/>
      <c r="F68" s="3402"/>
      <c r="G68" s="3402"/>
      <c r="H68" s="3402"/>
      <c r="I68" s="3402"/>
      <c r="J68" s="3402"/>
      <c r="K68" s="3402"/>
      <c r="L68" s="3402"/>
      <c r="M68" s="3402"/>
      <c r="N68" s="3402"/>
      <c r="O68" s="3402"/>
      <c r="P68" s="3402"/>
      <c r="Q68" s="3402"/>
      <c r="AH68" s="2832"/>
      <c r="AI68" s="2832"/>
      <c r="AJ68" s="2832"/>
      <c r="AK68" s="2832"/>
      <c r="AL68" s="2832"/>
    </row>
    <row r="69" spans="1:38" s="949" customFormat="1" ht="22.5" customHeight="1">
      <c r="A69" s="3402" t="s">
        <v>1424</v>
      </c>
      <c r="B69" s="3402"/>
      <c r="C69" s="3402"/>
      <c r="D69" s="3402"/>
      <c r="E69" s="3402"/>
      <c r="F69" s="3402"/>
      <c r="G69" s="3402"/>
      <c r="H69" s="3402"/>
      <c r="I69" s="3402"/>
      <c r="J69" s="3402"/>
      <c r="K69" s="3402"/>
      <c r="L69" s="3402"/>
      <c r="M69" s="3402"/>
      <c r="N69" s="3402"/>
      <c r="O69" s="3402"/>
      <c r="P69" s="3402"/>
      <c r="Q69" s="3402"/>
      <c r="AH69" s="2832"/>
      <c r="AI69" s="2832"/>
      <c r="AJ69" s="2832"/>
      <c r="AK69" s="2832"/>
      <c r="AL69" s="2832"/>
    </row>
    <row r="70" spans="1:38" s="949" customFormat="1" ht="22.5" customHeight="1">
      <c r="A70" s="3402" t="s">
        <v>1425</v>
      </c>
      <c r="B70" s="3402"/>
      <c r="C70" s="3402"/>
      <c r="D70" s="3402"/>
      <c r="E70" s="3402"/>
      <c r="F70" s="3402"/>
      <c r="G70" s="3402"/>
      <c r="H70" s="3402"/>
      <c r="I70" s="3402"/>
      <c r="J70" s="3402"/>
      <c r="K70" s="3402"/>
      <c r="L70" s="3402"/>
      <c r="M70" s="3402"/>
      <c r="N70" s="3402"/>
      <c r="O70" s="3402"/>
      <c r="P70" s="3402"/>
      <c r="Q70" s="3402"/>
      <c r="AH70" s="2832"/>
      <c r="AI70" s="2832"/>
      <c r="AJ70" s="2832"/>
      <c r="AK70" s="2832"/>
      <c r="AL70" s="2832"/>
    </row>
    <row r="71" spans="1:38" s="949" customFormat="1" ht="4.5" customHeight="1">
      <c r="A71" s="2833"/>
      <c r="AH71" s="2832"/>
      <c r="AI71" s="2832"/>
      <c r="AJ71" s="2832"/>
      <c r="AK71" s="2832"/>
      <c r="AL71" s="2832"/>
    </row>
    <row r="72" spans="1:38" s="949" customFormat="1" ht="11">
      <c r="A72" s="2833" t="s">
        <v>1114</v>
      </c>
      <c r="AH72" s="2832"/>
      <c r="AI72" s="2832"/>
      <c r="AJ72" s="2832"/>
      <c r="AK72" s="2832"/>
      <c r="AL72" s="2832"/>
    </row>
    <row r="73" spans="1:38" s="949" customFormat="1" ht="11">
      <c r="A73" s="2833" t="s">
        <v>2294</v>
      </c>
      <c r="AH73" s="2832"/>
      <c r="AI73" s="2832"/>
      <c r="AJ73" s="2832"/>
      <c r="AK73" s="2832"/>
      <c r="AL73" s="2832"/>
    </row>
    <row r="74" spans="1:38" s="949" customFormat="1" ht="11">
      <c r="A74" s="2833" t="s">
        <v>2300</v>
      </c>
      <c r="AH74" s="2832"/>
      <c r="AI74" s="2832"/>
      <c r="AJ74" s="2832"/>
      <c r="AK74" s="2832"/>
      <c r="AL74" s="2832"/>
    </row>
    <row r="75" spans="1:38" s="949" customFormat="1" ht="11">
      <c r="A75" s="2833"/>
      <c r="AH75" s="2832"/>
      <c r="AI75" s="2832"/>
      <c r="AJ75" s="2832"/>
      <c r="AK75" s="2832"/>
      <c r="AL75" s="2832"/>
    </row>
    <row r="76" spans="1:38">
      <c r="A76" s="2831"/>
      <c r="B76" s="949"/>
      <c r="C76" s="949"/>
      <c r="D76" s="949"/>
      <c r="E76" s="949"/>
      <c r="F76" s="949"/>
      <c r="G76" s="949"/>
      <c r="H76" s="949"/>
      <c r="I76" s="949"/>
      <c r="J76" s="949"/>
      <c r="K76" s="949"/>
      <c r="L76" s="949"/>
      <c r="M76" s="949"/>
      <c r="N76" s="949"/>
      <c r="O76" s="949"/>
      <c r="P76" s="949"/>
      <c r="Q76" s="949"/>
      <c r="R76" s="949"/>
      <c r="S76" s="949"/>
    </row>
    <row r="77" spans="1:38">
      <c r="A77" s="2831"/>
      <c r="B77" s="949"/>
      <c r="C77" s="949"/>
      <c r="D77" s="949"/>
      <c r="E77" s="949"/>
      <c r="F77" s="949"/>
      <c r="G77" s="949"/>
      <c r="H77" s="949"/>
      <c r="I77" s="949"/>
      <c r="J77" s="949"/>
      <c r="K77" s="949"/>
      <c r="L77" s="949"/>
      <c r="M77" s="949"/>
      <c r="N77" s="949"/>
      <c r="O77" s="949"/>
      <c r="P77" s="949"/>
      <c r="Q77" s="949"/>
      <c r="R77" s="949"/>
      <c r="S77" s="949"/>
    </row>
    <row r="78" spans="1:38">
      <c r="A78" s="949"/>
      <c r="B78" s="949"/>
      <c r="C78" s="949"/>
      <c r="D78" s="949"/>
      <c r="E78" s="949"/>
      <c r="F78" s="949"/>
      <c r="G78" s="949"/>
      <c r="H78" s="949"/>
      <c r="I78" s="949"/>
      <c r="J78" s="949"/>
      <c r="K78" s="949"/>
      <c r="L78" s="949"/>
      <c r="M78" s="949"/>
      <c r="N78" s="949"/>
      <c r="O78" s="949"/>
      <c r="P78" s="949"/>
      <c r="Q78" s="949"/>
      <c r="R78" s="949"/>
      <c r="S78" s="949"/>
    </row>
    <row r="79" spans="1:38">
      <c r="A79" s="2830"/>
      <c r="B79" s="2829"/>
      <c r="C79" s="949"/>
      <c r="D79" s="949"/>
      <c r="E79" s="949"/>
      <c r="F79" s="949"/>
      <c r="G79" s="949"/>
      <c r="H79" s="949"/>
      <c r="I79" s="949"/>
      <c r="J79" s="949"/>
      <c r="K79" s="949"/>
      <c r="L79" s="949"/>
      <c r="M79" s="949"/>
      <c r="N79" s="949"/>
      <c r="O79" s="949"/>
      <c r="P79" s="949"/>
      <c r="Q79" s="949"/>
      <c r="R79" s="949"/>
      <c r="S79" s="949"/>
    </row>
    <row r="80" spans="1:38">
      <c r="A80" s="949"/>
      <c r="B80" s="2161"/>
      <c r="C80" s="949"/>
      <c r="D80" s="949"/>
      <c r="E80" s="949"/>
      <c r="F80" s="949"/>
      <c r="G80" s="949"/>
      <c r="H80" s="949"/>
      <c r="I80" s="949"/>
      <c r="J80" s="949"/>
      <c r="K80" s="949"/>
      <c r="L80" s="949"/>
      <c r="M80" s="949"/>
      <c r="N80" s="949"/>
      <c r="O80" s="949"/>
      <c r="P80" s="949"/>
      <c r="Q80" s="949"/>
      <c r="R80" s="949"/>
      <c r="S80" s="949"/>
    </row>
  </sheetData>
  <mergeCells count="3">
    <mergeCell ref="A68:Q68"/>
    <mergeCell ref="A69:Q69"/>
    <mergeCell ref="A70:Q70"/>
  </mergeCells>
  <conditionalFormatting sqref="AH44:AM61">
    <cfRule type="cellIs" dxfId="204" priority="1" operator="equal">
      <formula>0</formula>
    </cfRule>
  </conditionalFormatting>
  <pageMargins left="0.74803149606299213" right="0.74803149606299213" top="0.98425196850393704" bottom="0.98425196850393704" header="0.51181102362204722" footer="0.51181102362204722"/>
  <pageSetup paperSize="9" scale="58" orientation="portrait" horizontalDpi="300" r:id="rId1"/>
  <headerFooter scaleWithDoc="0" alignWithMargins="0">
    <oddHeader>&amp;L&amp;"Arial,Regular"RESEARCH PAPER 12/43</oddHeader>
    <oddFooter>&amp;C&amp;"Arial,Regular"&amp;11 8</oddFooter>
  </headerFooter>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99"/>
  <dimension ref="A1:L17"/>
  <sheetViews>
    <sheetView workbookViewId="0">
      <selection activeCell="N11" sqref="N11"/>
    </sheetView>
  </sheetViews>
  <sheetFormatPr baseColWidth="10" defaultColWidth="9.3984375" defaultRowHeight="13"/>
  <cols>
    <col min="1" max="2" width="9.3984375" style="83"/>
    <col min="3" max="3" width="12.3984375" style="83" bestFit="1" customWidth="1"/>
    <col min="4" max="4" width="13.3984375" style="85" bestFit="1" customWidth="1"/>
    <col min="5" max="5" width="9.3984375" style="85"/>
    <col min="6" max="6" width="9.3984375" style="83"/>
    <col min="7" max="7" width="12.59765625" style="83" customWidth="1"/>
    <col min="8" max="10" width="9.3984375" style="83"/>
    <col min="11" max="11" width="12.3984375" style="83" customWidth="1"/>
    <col min="12" max="16384" width="9.3984375" style="83"/>
  </cols>
  <sheetData>
    <row r="1" spans="1:12">
      <c r="C1" s="84">
        <v>21831</v>
      </c>
      <c r="G1" s="84">
        <v>20235</v>
      </c>
      <c r="K1" s="84">
        <v>18926</v>
      </c>
    </row>
    <row r="2" spans="1:12" ht="30" customHeight="1">
      <c r="A2" s="3528" t="s">
        <v>1369</v>
      </c>
      <c r="B2" s="3528"/>
      <c r="C2" s="3528"/>
      <c r="D2" s="86"/>
      <c r="E2" s="3528" t="s">
        <v>1370</v>
      </c>
      <c r="F2" s="3528"/>
      <c r="G2" s="3528"/>
      <c r="H2" s="82"/>
      <c r="I2" s="3528" t="s">
        <v>1371</v>
      </c>
      <c r="J2" s="3528"/>
      <c r="K2" s="3528"/>
    </row>
    <row r="3" spans="1:12" ht="14">
      <c r="A3" s="87" t="s">
        <v>141</v>
      </c>
      <c r="B3" s="87" t="s">
        <v>1372</v>
      </c>
      <c r="C3" s="88" t="s">
        <v>1373</v>
      </c>
      <c r="D3" s="86"/>
      <c r="E3" s="87" t="s">
        <v>141</v>
      </c>
      <c r="F3" s="89" t="s">
        <v>1372</v>
      </c>
      <c r="G3" s="87" t="s">
        <v>1373</v>
      </c>
      <c r="H3" s="82"/>
      <c r="I3" s="87" t="s">
        <v>141</v>
      </c>
      <c r="J3" s="87" t="s">
        <v>1372</v>
      </c>
      <c r="K3" s="87" t="s">
        <v>1373</v>
      </c>
    </row>
    <row r="4" spans="1:12" ht="28">
      <c r="A4" s="90" t="s">
        <v>1374</v>
      </c>
      <c r="B4" s="90" t="s">
        <v>1298</v>
      </c>
      <c r="C4" s="91">
        <v>5334</v>
      </c>
      <c r="D4" s="92">
        <f>YEARFRAC(C4,C$1)</f>
        <v>45.166666666666664</v>
      </c>
      <c r="E4" s="90" t="s">
        <v>1374</v>
      </c>
      <c r="F4" s="93" t="s">
        <v>1298</v>
      </c>
      <c r="G4" s="91">
        <v>5334</v>
      </c>
      <c r="H4" s="92">
        <f>YEARFRAC(G4,G$1)</f>
        <v>40.799999999999997</v>
      </c>
      <c r="I4" s="90" t="s">
        <v>1374</v>
      </c>
      <c r="J4" s="90" t="s">
        <v>1298</v>
      </c>
      <c r="K4" s="91">
        <v>5334</v>
      </c>
      <c r="L4" s="92">
        <f>YEARFRAC(K4,K$1)</f>
        <v>37.213888888888889</v>
      </c>
    </row>
    <row r="5" spans="1:12" ht="42">
      <c r="A5" s="90" t="s">
        <v>1375</v>
      </c>
      <c r="B5" s="90" t="s">
        <v>1376</v>
      </c>
      <c r="C5" s="94">
        <v>4967</v>
      </c>
      <c r="D5" s="92">
        <f>YEARFRAC(C5,$C$1)</f>
        <v>46.172222222222224</v>
      </c>
      <c r="E5" s="90" t="s">
        <v>1375</v>
      </c>
      <c r="F5" s="93" t="s">
        <v>1376</v>
      </c>
      <c r="G5" s="94">
        <v>4967</v>
      </c>
      <c r="H5" s="92">
        <f>YEARFRAC(G5,G$1)</f>
        <v>41.805555555555557</v>
      </c>
      <c r="I5" s="90" t="s">
        <v>1375</v>
      </c>
      <c r="J5" s="90" t="s">
        <v>1376</v>
      </c>
      <c r="K5" s="94">
        <v>4967</v>
      </c>
      <c r="L5" s="92">
        <f>YEARFRAC(K5,K$1)</f>
        <v>38.219444444444441</v>
      </c>
    </row>
    <row r="6" spans="1:12" ht="42">
      <c r="A6" s="90" t="s">
        <v>1377</v>
      </c>
      <c r="B6" s="90" t="s">
        <v>1378</v>
      </c>
      <c r="C6" s="94">
        <v>1629</v>
      </c>
      <c r="D6" s="92">
        <f>YEARFRAC(C6,$C$1)</f>
        <v>55.31111111111111</v>
      </c>
      <c r="E6" s="90" t="s">
        <v>1377</v>
      </c>
      <c r="F6" s="93" t="s">
        <v>1378</v>
      </c>
      <c r="G6" s="94">
        <v>1629</v>
      </c>
      <c r="H6" s="92">
        <f>YEARFRAC(G6,G$1)</f>
        <v>50.944444444444443</v>
      </c>
      <c r="I6" s="90" t="s">
        <v>1377</v>
      </c>
      <c r="J6" s="90" t="s">
        <v>1378</v>
      </c>
      <c r="K6" s="94">
        <v>1629</v>
      </c>
      <c r="L6" s="92">
        <f>YEARFRAC(K6,K$1)</f>
        <v>47.358333333333334</v>
      </c>
    </row>
    <row r="7" spans="1:12" ht="56">
      <c r="A7" s="90" t="s">
        <v>1379</v>
      </c>
      <c r="B7" s="90" t="s">
        <v>1380</v>
      </c>
      <c r="C7" s="94" t="s">
        <v>1381</v>
      </c>
      <c r="D7" s="92">
        <f>YEARFRAC($C$13,C1)+YEARFRAC($C$14,$C$15)</f>
        <v>75.63611111111112</v>
      </c>
      <c r="E7" s="90" t="s">
        <v>1379</v>
      </c>
      <c r="F7" s="93" t="s">
        <v>1380</v>
      </c>
      <c r="G7" s="94" t="s">
        <v>1381</v>
      </c>
      <c r="H7" s="92">
        <f>YEARFRAC($C$13,G1)+YEARFRAC($C$14,$C$15)</f>
        <v>71.269444444444446</v>
      </c>
      <c r="I7" s="90" t="s">
        <v>1379</v>
      </c>
      <c r="J7" s="90" t="s">
        <v>1380</v>
      </c>
      <c r="K7" s="94" t="s">
        <v>1381</v>
      </c>
      <c r="L7" s="92">
        <f>YEARFRAC($C$13,K1)+YEARFRAC($C$14,$C$15)</f>
        <v>67.683333333333337</v>
      </c>
    </row>
    <row r="8" spans="1:12" ht="56">
      <c r="A8" s="90" t="s">
        <v>1382</v>
      </c>
      <c r="B8" s="90" t="s">
        <v>1302</v>
      </c>
      <c r="C8" s="94">
        <v>4959</v>
      </c>
      <c r="D8" s="92">
        <f>YEARFRAC(C8,$C$1)</f>
        <v>46.19166666666667</v>
      </c>
      <c r="E8" s="90" t="s">
        <v>1382</v>
      </c>
      <c r="F8" s="93" t="s">
        <v>1302</v>
      </c>
      <c r="G8" s="94">
        <v>4959</v>
      </c>
      <c r="H8" s="92">
        <f>YEARFRAC(G8,G$1)</f>
        <v>41.825000000000003</v>
      </c>
      <c r="I8" s="90" t="s">
        <v>1382</v>
      </c>
      <c r="J8" s="90" t="s">
        <v>1302</v>
      </c>
      <c r="K8" s="94">
        <v>4959</v>
      </c>
      <c r="L8" s="92">
        <f>YEARFRAC(K8,K$1)</f>
        <v>38.238888888888887</v>
      </c>
    </row>
    <row r="9" spans="1:12" ht="42">
      <c r="A9" s="90" t="s">
        <v>1383</v>
      </c>
      <c r="B9" s="90" t="s">
        <v>1384</v>
      </c>
      <c r="C9" s="94">
        <v>10712</v>
      </c>
      <c r="D9" s="92">
        <f>YEARFRAC(C9,$C$1)</f>
        <v>30.441666666666666</v>
      </c>
      <c r="E9" s="90" t="s">
        <v>1385</v>
      </c>
      <c r="F9" s="93" t="s">
        <v>508</v>
      </c>
      <c r="G9" s="90" t="s">
        <v>1386</v>
      </c>
      <c r="H9" s="92">
        <f>YEARFRAC($C$13,G1)+YEARFRAC($D$14,$C$15)</f>
        <v>66.905555555555551</v>
      </c>
      <c r="I9" s="90" t="s">
        <v>1387</v>
      </c>
      <c r="J9" s="90" t="s">
        <v>508</v>
      </c>
      <c r="K9" s="90" t="s">
        <v>1386</v>
      </c>
      <c r="L9" s="92">
        <f>YEARFRAC($C$13,K1)+YEARFRAC($D$14,$C$15)</f>
        <v>63.31944444444445</v>
      </c>
    </row>
    <row r="10" spans="1:12">
      <c r="A10" s="95"/>
      <c r="B10" s="95"/>
      <c r="C10" s="95"/>
      <c r="D10" s="96"/>
      <c r="E10" s="95"/>
      <c r="F10" s="95"/>
      <c r="G10" s="95"/>
      <c r="H10" s="95"/>
      <c r="I10" s="95"/>
      <c r="J10" s="95"/>
    </row>
    <row r="11" spans="1:12">
      <c r="A11" s="97" t="s">
        <v>1388</v>
      </c>
      <c r="B11" s="95"/>
      <c r="C11" s="95"/>
      <c r="D11" s="96"/>
      <c r="F11" s="95"/>
      <c r="G11" s="95"/>
      <c r="H11" s="95"/>
      <c r="I11" s="95"/>
      <c r="J11" s="95"/>
    </row>
    <row r="12" spans="1:12">
      <c r="A12" s="95"/>
      <c r="B12" s="95"/>
      <c r="C12" s="95"/>
      <c r="D12" s="96"/>
      <c r="E12" s="96"/>
      <c r="F12" s="95"/>
      <c r="G12" s="95"/>
      <c r="H12" s="95"/>
      <c r="I12" s="95"/>
      <c r="J12" s="95"/>
    </row>
    <row r="13" spans="1:12">
      <c r="C13" s="84">
        <v>1</v>
      </c>
    </row>
    <row r="14" spans="1:12">
      <c r="C14" s="84">
        <v>30731</v>
      </c>
      <c r="D14" s="98">
        <v>32324</v>
      </c>
    </row>
    <row r="15" spans="1:12">
      <c r="C15" s="84">
        <v>36526</v>
      </c>
    </row>
    <row r="17" spans="4:12">
      <c r="D17" s="99">
        <f>MEDIAN(D4:D9)</f>
        <v>46.181944444444447</v>
      </c>
      <c r="H17" s="99">
        <f>MEDIAN(H4:H9)</f>
        <v>46.384722222222223</v>
      </c>
      <c r="L17" s="99">
        <f>MEDIAN(L4:L9)</f>
        <v>42.798611111111114</v>
      </c>
    </row>
  </sheetData>
  <mergeCells count="3">
    <mergeCell ref="A2:C2"/>
    <mergeCell ref="E2:G2"/>
    <mergeCell ref="I2:K2"/>
  </mergeCells>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theme="4" tint="0.59999389629810485"/>
    <pageSetUpPr fitToPage="1"/>
  </sheetPr>
  <dimension ref="A1:AI74"/>
  <sheetViews>
    <sheetView showGridLines="0" topLeftCell="A26" zoomScale="70" zoomScaleNormal="70" workbookViewId="0">
      <selection activeCell="I1" sqref="I1:O66"/>
    </sheetView>
  </sheetViews>
  <sheetFormatPr baseColWidth="10" defaultColWidth="9.3984375" defaultRowHeight="13"/>
  <cols>
    <col min="1" max="1" width="6.19921875" style="937" customWidth="1"/>
    <col min="2" max="2" width="4.796875" style="919" customWidth="1"/>
    <col min="3" max="6" width="12.59765625" style="919" customWidth="1"/>
    <col min="7" max="7" width="13" style="919" customWidth="1"/>
    <col min="8" max="8" width="10.796875" style="1034" customWidth="1"/>
    <col min="9" max="9" width="5.796875" style="919" customWidth="1"/>
    <col min="10" max="10" width="4.796875" style="919" customWidth="1"/>
    <col min="11" max="14" width="12.59765625" style="919" customWidth="1"/>
    <col min="15" max="15" width="12.3984375" style="919" customWidth="1"/>
    <col min="16" max="16" width="7.796875" style="1034" customWidth="1"/>
    <col min="17" max="18" width="11.3984375" style="1034" bestFit="1" customWidth="1"/>
    <col min="19" max="19" width="10.3984375" style="1034" bestFit="1" customWidth="1"/>
    <col min="20" max="20" width="9.3984375" style="1034"/>
    <col min="21" max="21" width="14.796875" style="1034" bestFit="1" customWidth="1"/>
    <col min="22" max="33" width="9.3984375" style="1034"/>
    <col min="34" max="16384" width="9.3984375" style="919"/>
  </cols>
  <sheetData>
    <row r="1" spans="1:33" ht="23">
      <c r="A1" s="898" t="s">
        <v>2865</v>
      </c>
      <c r="B1" s="1090"/>
      <c r="C1" s="1090"/>
      <c r="D1" s="1090"/>
      <c r="E1" s="1090"/>
      <c r="F1" s="1090"/>
      <c r="G1" s="1090"/>
      <c r="H1" s="1091"/>
      <c r="I1" s="898" t="s">
        <v>2866</v>
      </c>
      <c r="J1" s="1090"/>
      <c r="K1" s="1090"/>
      <c r="L1" s="1090"/>
      <c r="M1" s="1090"/>
      <c r="N1" s="1090"/>
      <c r="O1" s="1090"/>
    </row>
    <row r="2" spans="1:33">
      <c r="A2" s="1036"/>
      <c r="B2" s="1037"/>
      <c r="C2" s="1038" t="s">
        <v>54</v>
      </c>
      <c r="D2" s="1039"/>
      <c r="E2" s="1039"/>
      <c r="F2" s="1039"/>
      <c r="G2" s="1039"/>
      <c r="I2" s="1037"/>
      <c r="J2" s="1037"/>
      <c r="K2" s="1038" t="s">
        <v>37</v>
      </c>
      <c r="L2" s="1039"/>
      <c r="M2" s="1039"/>
      <c r="N2" s="1039"/>
      <c r="O2" s="1039"/>
    </row>
    <row r="3" spans="1:33" s="944" customFormat="1" ht="16">
      <c r="A3" s="1042"/>
      <c r="B3" s="1023"/>
      <c r="C3" s="2243" t="s">
        <v>2301</v>
      </c>
      <c r="D3" s="2244" t="s">
        <v>807</v>
      </c>
      <c r="E3" s="2245" t="s">
        <v>2302</v>
      </c>
      <c r="F3" s="2246" t="s">
        <v>1972</v>
      </c>
      <c r="G3" s="1039" t="s">
        <v>16</v>
      </c>
      <c r="H3" s="948"/>
      <c r="I3" s="1023"/>
      <c r="J3" s="1023"/>
      <c r="K3" s="2243" t="s">
        <v>2301</v>
      </c>
      <c r="L3" s="2244" t="s">
        <v>807</v>
      </c>
      <c r="M3" s="2245" t="s">
        <v>2302</v>
      </c>
      <c r="N3" s="2246" t="s">
        <v>1972</v>
      </c>
      <c r="O3" s="1039" t="s">
        <v>16</v>
      </c>
      <c r="P3" s="948"/>
      <c r="Q3" s="2243" t="s">
        <v>2301</v>
      </c>
      <c r="R3" s="2244" t="s">
        <v>807</v>
      </c>
      <c r="S3" s="2245" t="s">
        <v>2302</v>
      </c>
      <c r="T3" s="2246" t="s">
        <v>1972</v>
      </c>
      <c r="U3" s="948"/>
      <c r="V3" s="948"/>
      <c r="W3" s="948"/>
      <c r="X3" s="948"/>
      <c r="Y3" s="948"/>
      <c r="Z3" s="948"/>
      <c r="AA3" s="948"/>
      <c r="AB3" s="948"/>
      <c r="AC3" s="948"/>
      <c r="AD3" s="948"/>
      <c r="AE3" s="948"/>
      <c r="AF3" s="948"/>
      <c r="AG3" s="948"/>
    </row>
    <row r="4" spans="1:33" s="1037" customFormat="1" ht="3" customHeight="1">
      <c r="A4" s="1036"/>
      <c r="H4" s="1034"/>
      <c r="I4" s="1036"/>
      <c r="K4" s="2532"/>
      <c r="L4" s="2532"/>
      <c r="M4" s="2532"/>
      <c r="N4" s="2532"/>
      <c r="P4" s="1034"/>
      <c r="Q4" s="948"/>
      <c r="R4" s="948"/>
      <c r="S4" s="948"/>
      <c r="T4" s="948"/>
      <c r="U4" s="948"/>
      <c r="V4" s="1034"/>
      <c r="W4" s="1034"/>
      <c r="X4" s="1034"/>
      <c r="Y4" s="1034"/>
      <c r="Z4" s="1034"/>
      <c r="AA4" s="1034"/>
      <c r="AB4" s="1034"/>
      <c r="AC4" s="1034"/>
      <c r="AD4" s="1034"/>
      <c r="AE4" s="1034"/>
      <c r="AF4" s="1034"/>
      <c r="AG4" s="1034"/>
    </row>
    <row r="5" spans="1:33" s="1074" customFormat="1" ht="12.75" customHeight="1">
      <c r="A5" s="3151">
        <v>1918</v>
      </c>
      <c r="B5" s="2841"/>
      <c r="C5" s="2874">
        <f>Q5/1000000</f>
        <v>3.414631</v>
      </c>
      <c r="D5" s="2874">
        <f>R5/1000000</f>
        <v>1.811739</v>
      </c>
      <c r="E5" s="2874">
        <f>S5/1000000</f>
        <v>2.1355710000000001</v>
      </c>
      <c r="F5" s="2874">
        <f>T5/1000000</f>
        <v>0.68893700000000002</v>
      </c>
      <c r="G5" s="2874">
        <f>U5/1000000</f>
        <v>8.0508780000000009</v>
      </c>
      <c r="H5" s="2874"/>
      <c r="I5" s="3151">
        <v>1918</v>
      </c>
      <c r="J5" s="2841"/>
      <c r="K5" s="3152">
        <f>'1918 '!$E$4+'1918 '!$E$10</f>
        <v>352</v>
      </c>
      <c r="L5" s="3152">
        <f>'1918 '!$E$12</f>
        <v>291</v>
      </c>
      <c r="M5" s="3152">
        <f>'1918 '!$E$5+'1918 '!$E$11</f>
        <v>327</v>
      </c>
      <c r="N5" s="3153">
        <f t="shared" ref="N5:N11" si="0">O5-SUM(J5:M5)</f>
        <v>181</v>
      </c>
      <c r="O5" s="3154">
        <f>'1918 '!$E$19</f>
        <v>1151</v>
      </c>
      <c r="Q5" s="2875">
        <f>'1918 '!$B$4+'1918 '!$B$10</f>
        <v>3414631</v>
      </c>
      <c r="R5" s="2875">
        <f>'1918 '!$B$12</f>
        <v>1811739</v>
      </c>
      <c r="S5" s="2875">
        <f>'1918 '!$B$5+'1918 '!$B$11</f>
        <v>2135571</v>
      </c>
      <c r="T5" s="2825">
        <f>U5-SUM(P5:S5)</f>
        <v>688937</v>
      </c>
      <c r="U5" s="1077">
        <f>'1918 '!$B$19</f>
        <v>8050878</v>
      </c>
    </row>
    <row r="6" spans="1:33" ht="12.75" customHeight="1">
      <c r="A6" s="3155">
        <v>1922</v>
      </c>
      <c r="B6" s="2635"/>
      <c r="C6" s="2874">
        <f t="shared" ref="C6:C11" si="1">Q6/1000000</f>
        <v>4.8097969999999997</v>
      </c>
      <c r="D6" s="2874">
        <f t="shared" ref="D6:D11" si="2">R6/1000000</f>
        <v>3.3704299999999998</v>
      </c>
      <c r="E6" s="2874">
        <f t="shared" ref="E6:E11" si="3">S6/1000000</f>
        <v>3.2109380000000001</v>
      </c>
      <c r="F6" s="2874">
        <f t="shared" ref="F6:F11" si="4">T6/1000000</f>
        <v>0.30526500000000001</v>
      </c>
      <c r="G6" s="2874">
        <f t="shared" ref="G6:G11" si="5">U6/1000000</f>
        <v>11.696429999999999</v>
      </c>
      <c r="H6" s="3156"/>
      <c r="I6" s="3155">
        <v>1922</v>
      </c>
      <c r="J6" s="2635"/>
      <c r="K6" s="3157">
        <f>'1922'!$E$4</f>
        <v>406</v>
      </c>
      <c r="L6" s="3157">
        <f>'1922'!$E$7</f>
        <v>340</v>
      </c>
      <c r="M6" s="3157">
        <f>'1922'!$E$5+'1922'!$E$6</f>
        <v>368</v>
      </c>
      <c r="N6" s="3153">
        <f t="shared" si="0"/>
        <v>42</v>
      </c>
      <c r="O6" s="3154">
        <f>'1922'!$E$11</f>
        <v>1156</v>
      </c>
      <c r="Q6" s="2876">
        <f>'1922'!$B$4</f>
        <v>4809797</v>
      </c>
      <c r="R6" s="2876">
        <f>'1922'!$B$7</f>
        <v>3370430</v>
      </c>
      <c r="S6" s="2876">
        <f>'1922'!$B$5+'1922'!$B$6</f>
        <v>3210938</v>
      </c>
      <c r="T6" s="2825">
        <f t="shared" ref="T6:T11" si="6">U6-SUM(P6:S6)</f>
        <v>305265</v>
      </c>
      <c r="U6" s="1077">
        <f>'1922'!$B$11</f>
        <v>11696430</v>
      </c>
    </row>
    <row r="7" spans="1:33" ht="12.75" customHeight="1">
      <c r="A7" s="3155">
        <v>1923</v>
      </c>
      <c r="B7" s="2635"/>
      <c r="C7" s="2874">
        <f t="shared" si="1"/>
        <v>4.7321759999999999</v>
      </c>
      <c r="D7" s="2874">
        <f t="shared" si="2"/>
        <v>3.5498880000000002</v>
      </c>
      <c r="E7" s="2874">
        <f t="shared" si="3"/>
        <v>3.5723349999999998</v>
      </c>
      <c r="F7" s="2874">
        <f t="shared" si="4"/>
        <v>7.2686000000000001E-2</v>
      </c>
      <c r="G7" s="2874">
        <f t="shared" si="5"/>
        <v>11.927085</v>
      </c>
      <c r="H7" s="3156"/>
      <c r="I7" s="3155">
        <v>1923</v>
      </c>
      <c r="J7" s="2635"/>
      <c r="K7" s="3158">
        <f>'1923'!$E$4</f>
        <v>444</v>
      </c>
      <c r="L7" s="3158">
        <f>'1923'!$E$6</f>
        <v>350</v>
      </c>
      <c r="M7" s="3158">
        <f>'1923'!$E$5</f>
        <v>362</v>
      </c>
      <c r="N7" s="3159">
        <f t="shared" si="0"/>
        <v>10</v>
      </c>
      <c r="O7" s="3160">
        <f>'1923'!$E$9</f>
        <v>1166</v>
      </c>
      <c r="Q7" s="1460">
        <f>'1923'!$B$4</f>
        <v>4732176</v>
      </c>
      <c r="R7" s="1460">
        <f>'1923'!$B$6</f>
        <v>3549888</v>
      </c>
      <c r="S7" s="1460">
        <f>'1923'!$B$5</f>
        <v>3572335</v>
      </c>
      <c r="T7" s="2880">
        <f>U7-SUM(P7:S7)</f>
        <v>72686</v>
      </c>
      <c r="U7" s="948">
        <f>'1923'!$B$9</f>
        <v>11927085</v>
      </c>
    </row>
    <row r="8" spans="1:33" ht="12.75" customHeight="1">
      <c r="A8" s="3155">
        <v>1924</v>
      </c>
      <c r="B8" s="2635"/>
      <c r="C8" s="2874">
        <f t="shared" si="1"/>
        <v>6.4602659999999998</v>
      </c>
      <c r="D8" s="2874">
        <f t="shared" si="2"/>
        <v>4.4672359999999998</v>
      </c>
      <c r="E8" s="2874">
        <f t="shared" si="3"/>
        <v>2.3884289999999999</v>
      </c>
      <c r="F8" s="2874">
        <f t="shared" si="4"/>
        <v>0.24562700000000001</v>
      </c>
      <c r="G8" s="2874">
        <f t="shared" si="5"/>
        <v>13.561558</v>
      </c>
      <c r="H8" s="3156"/>
      <c r="I8" s="3155">
        <v>1924</v>
      </c>
      <c r="J8" s="2635"/>
      <c r="K8" s="3158">
        <f>'1924'!$E$4</f>
        <v>440</v>
      </c>
      <c r="L8" s="3158">
        <f>'1924'!$E$6</f>
        <v>414</v>
      </c>
      <c r="M8" s="3158">
        <f>'1924'!$E$5</f>
        <v>280</v>
      </c>
      <c r="N8" s="3153">
        <f t="shared" si="0"/>
        <v>25</v>
      </c>
      <c r="O8" s="3160">
        <f>'1924'!$E$11</f>
        <v>1159</v>
      </c>
      <c r="Q8" s="1460">
        <f>'1924'!$B$4</f>
        <v>6460266</v>
      </c>
      <c r="R8" s="1460">
        <f>'1924'!$B$6</f>
        <v>4467236</v>
      </c>
      <c r="S8" s="1460">
        <f>'1924'!$B$5</f>
        <v>2388429</v>
      </c>
      <c r="T8" s="2825">
        <f t="shared" si="6"/>
        <v>245627</v>
      </c>
      <c r="U8" s="948">
        <f>'1924'!$B$11</f>
        <v>13561558</v>
      </c>
    </row>
    <row r="9" spans="1:33" ht="12.75" customHeight="1">
      <c r="A9" s="3155">
        <v>1929</v>
      </c>
      <c r="B9" s="2635"/>
      <c r="C9" s="2874">
        <f t="shared" si="1"/>
        <v>7.1775510000000002</v>
      </c>
      <c r="D9" s="2874">
        <f t="shared" si="2"/>
        <v>6.8507379999999998</v>
      </c>
      <c r="E9" s="2874">
        <f t="shared" si="3"/>
        <v>4.3407030000000004</v>
      </c>
      <c r="F9" s="2874">
        <f t="shared" si="4"/>
        <v>0.13325300000000001</v>
      </c>
      <c r="G9" s="2874">
        <f t="shared" si="5"/>
        <v>18.502244999999998</v>
      </c>
      <c r="H9" s="3156"/>
      <c r="I9" s="3155">
        <v>1929</v>
      </c>
      <c r="J9" s="2635"/>
      <c r="K9" s="3158">
        <f>'1929'!$E$4</f>
        <v>469</v>
      </c>
      <c r="L9" s="3158">
        <f>'1929'!$E$6</f>
        <v>467</v>
      </c>
      <c r="M9" s="3158">
        <f>'1929'!$E$5</f>
        <v>422</v>
      </c>
      <c r="N9" s="3153">
        <f t="shared" si="0"/>
        <v>30</v>
      </c>
      <c r="O9" s="3160">
        <f>'1929'!$E$10</f>
        <v>1388</v>
      </c>
      <c r="Q9" s="1460">
        <f>'1929'!$B$4</f>
        <v>7177551</v>
      </c>
      <c r="R9" s="1460">
        <f>'1929'!$B$6</f>
        <v>6850738</v>
      </c>
      <c r="S9" s="1460">
        <f>'1929'!$B$5</f>
        <v>4340703</v>
      </c>
      <c r="T9" s="2825">
        <f t="shared" si="6"/>
        <v>133253</v>
      </c>
      <c r="U9" s="948">
        <f>'1929'!$B$10</f>
        <v>18502245</v>
      </c>
    </row>
    <row r="10" spans="1:33" ht="12.75" customHeight="1">
      <c r="A10" s="3155">
        <v>1931</v>
      </c>
      <c r="B10" s="2635"/>
      <c r="C10" s="2874">
        <f t="shared" si="1"/>
        <v>11.478384999999999</v>
      </c>
      <c r="D10" s="2874">
        <f t="shared" si="2"/>
        <v>5.4644250000000003</v>
      </c>
      <c r="E10" s="2874">
        <f t="shared" si="3"/>
        <v>1.039499</v>
      </c>
      <c r="F10" s="2874">
        <f t="shared" si="4"/>
        <v>0.100725</v>
      </c>
      <c r="G10" s="2874">
        <f t="shared" si="5"/>
        <v>18.083034000000001</v>
      </c>
      <c r="H10" s="3156"/>
      <c r="I10" s="3155">
        <v>1931</v>
      </c>
      <c r="J10" s="2635"/>
      <c r="K10" s="3158">
        <f>'1931'!$E$5+'1931'!$E$7+'1931'!$E$8+'1931'!$E$9</f>
        <v>476</v>
      </c>
      <c r="L10" s="3158">
        <f>'1931'!$E$12</f>
        <v>428</v>
      </c>
      <c r="M10" s="3158">
        <f>'1931'!$E$6+'1931'!$E$11</f>
        <v>87</v>
      </c>
      <c r="N10" s="3153">
        <f t="shared" si="0"/>
        <v>41</v>
      </c>
      <c r="O10" s="3160">
        <f>'1931'!$E$16</f>
        <v>1032</v>
      </c>
      <c r="Q10" s="1460">
        <f>'1931'!$B$5+'1931'!$B$7+'1931'!$B$8+'1931'!$B$9</f>
        <v>11478385</v>
      </c>
      <c r="R10" s="1460">
        <f>'1931'!$B$12</f>
        <v>5464425</v>
      </c>
      <c r="S10" s="1460">
        <f>'1931'!$B$6+'1931'!$B$11</f>
        <v>1039499</v>
      </c>
      <c r="T10" s="2825">
        <f t="shared" si="6"/>
        <v>100725</v>
      </c>
      <c r="U10" s="948">
        <f>'1931'!$B$16</f>
        <v>18083034</v>
      </c>
    </row>
    <row r="11" spans="1:33" ht="12.75" customHeight="1">
      <c r="A11" s="3155">
        <v>1935</v>
      </c>
      <c r="B11" s="2635"/>
      <c r="C11" s="2874">
        <f t="shared" si="1"/>
        <v>9.9879370000000005</v>
      </c>
      <c r="D11" s="2874">
        <f t="shared" si="2"/>
        <v>7.0540500000000002</v>
      </c>
      <c r="E11" s="2874">
        <f t="shared" si="3"/>
        <v>1.1089709999999999</v>
      </c>
      <c r="F11" s="2874">
        <f t="shared" si="4"/>
        <v>0.122077</v>
      </c>
      <c r="G11" s="2874">
        <f t="shared" si="5"/>
        <v>18.273035</v>
      </c>
      <c r="H11" s="3156"/>
      <c r="I11" s="3155">
        <v>1935</v>
      </c>
      <c r="J11" s="2635"/>
      <c r="K11" s="3158">
        <f>'1935'!$E$5+'1935'!$E$6+'1935'!$E$7+'1935'!$E$8</f>
        <v>473</v>
      </c>
      <c r="L11" s="3158">
        <f>'1935'!$E$11</f>
        <v>452</v>
      </c>
      <c r="M11" s="3158">
        <f>'1935'!$E$10</f>
        <v>132</v>
      </c>
      <c r="N11" s="3153">
        <f t="shared" si="0"/>
        <v>21</v>
      </c>
      <c r="O11" s="3160">
        <f>'1935'!$E$14</f>
        <v>1078</v>
      </c>
      <c r="Q11" s="1460">
        <f>'1935'!$B$5+'1935'!$B$6+'1935'!$B$7+'1935'!$B$8</f>
        <v>9987937</v>
      </c>
      <c r="R11" s="1460">
        <f>'1935'!$B$11</f>
        <v>7054050</v>
      </c>
      <c r="S11" s="1460">
        <f>'1935'!$B$10</f>
        <v>1108971</v>
      </c>
      <c r="T11" s="2825">
        <f t="shared" si="6"/>
        <v>122077</v>
      </c>
      <c r="U11" s="948">
        <f>'1935'!$B$14</f>
        <v>18273035</v>
      </c>
    </row>
    <row r="12" spans="1:33" ht="12.75" customHeight="1">
      <c r="A12" s="3155">
        <v>1945</v>
      </c>
      <c r="B12" s="2635"/>
      <c r="C12" s="2867">
        <f>+'1945'!$C$10/1000000</f>
        <v>8.2691909999999993</v>
      </c>
      <c r="D12" s="2867">
        <f>+'1945'!$C$11/1000000</f>
        <v>9.9725190000000001</v>
      </c>
      <c r="E12" s="2867">
        <f>+'1945'!$C$12/1000000</f>
        <v>1.9139170000000001</v>
      </c>
      <c r="F12" s="2867">
        <f>+'1945'!$C$13/1000000</f>
        <v>0.38339299999999998</v>
      </c>
      <c r="G12" s="2867">
        <f t="shared" ref="G12:G29" si="7">SUM(C12:F12)</f>
        <v>20.539020000000001</v>
      </c>
      <c r="H12" s="2628"/>
      <c r="I12" s="3155">
        <v>1945</v>
      </c>
      <c r="J12" s="2635"/>
      <c r="K12" s="3161">
        <f>+'1945'!$E$10</f>
        <v>507</v>
      </c>
      <c r="L12" s="3161">
        <f>+'1945'!$E$11</f>
        <v>494</v>
      </c>
      <c r="M12" s="3161">
        <f>+'1945'!$E$12</f>
        <v>265</v>
      </c>
      <c r="N12" s="3161">
        <f>+'1945'!$E$13</f>
        <v>97</v>
      </c>
      <c r="O12" s="3161">
        <f t="shared" ref="O12:O26" si="8">SUM(K12:N12)</f>
        <v>1363</v>
      </c>
      <c r="Q12" s="1080"/>
      <c r="R12" s="1080"/>
      <c r="S12" s="1080"/>
      <c r="T12" s="1080"/>
      <c r="U12" s="1080"/>
    </row>
    <row r="13" spans="1:33" ht="12.75" customHeight="1">
      <c r="A13" s="3155">
        <v>1950</v>
      </c>
      <c r="B13" s="2635"/>
      <c r="C13" s="2628">
        <f>'1950'!$C$9/1000000</f>
        <v>10.499392</v>
      </c>
      <c r="D13" s="2628">
        <f>'1950'!$C$10/1000000</f>
        <v>11.050966000000001</v>
      </c>
      <c r="E13" s="2628">
        <f>'1950'!$C$11/1000000</f>
        <v>2.2481270000000002</v>
      </c>
      <c r="F13" s="2628">
        <f>'1950'!$C$12/1000000</f>
        <v>0.15596299999999999</v>
      </c>
      <c r="G13" s="2628">
        <f>'1950'!$C$6/1000000</f>
        <v>23.954447999999999</v>
      </c>
      <c r="H13" s="2628"/>
      <c r="I13" s="3155">
        <v>1950</v>
      </c>
      <c r="J13" s="2635"/>
      <c r="K13" s="3162">
        <f>'1950'!$E$9</f>
        <v>504</v>
      </c>
      <c r="L13" s="3162">
        <f>'1950'!$E$10</f>
        <v>505</v>
      </c>
      <c r="M13" s="3162">
        <f>'1950'!$E$11</f>
        <v>413</v>
      </c>
      <c r="N13" s="3162">
        <f>'1950'!$E$12</f>
        <v>106</v>
      </c>
      <c r="O13" s="3162">
        <f>'1950'!$E$6</f>
        <v>1528</v>
      </c>
      <c r="P13" s="1044"/>
      <c r="Q13" s="2630"/>
      <c r="R13" s="2630"/>
      <c r="S13" s="2630"/>
      <c r="T13" s="2630"/>
      <c r="U13" s="2630"/>
    </row>
    <row r="14" spans="1:33" ht="12.75" customHeight="1">
      <c r="A14" s="3155">
        <v>1951</v>
      </c>
      <c r="B14" s="2635"/>
      <c r="C14" s="2628">
        <f>'1951'!$C$9/1000000</f>
        <v>11.622704000000001</v>
      </c>
      <c r="D14" s="2628">
        <f>'1951'!$C$10/1000000</f>
        <v>11.630466999999999</v>
      </c>
      <c r="E14" s="2628">
        <f>'1951'!$C$11/1000000</f>
        <v>0.53743399999999997</v>
      </c>
      <c r="F14" s="2628">
        <f>'1951'!$C$12/1000000</f>
        <v>3.5490000000000001E-2</v>
      </c>
      <c r="G14" s="2628">
        <f>'1951'!$C$6/1000000</f>
        <v>23.826094999999999</v>
      </c>
      <c r="H14" s="2628"/>
      <c r="I14" s="3155">
        <v>1951</v>
      </c>
      <c r="J14" s="2635"/>
      <c r="K14" s="2629">
        <f>'1951'!$E$9</f>
        <v>502</v>
      </c>
      <c r="L14" s="2629">
        <f>'1951'!$E$10</f>
        <v>506</v>
      </c>
      <c r="M14" s="2629">
        <f>'1951'!$E$11</f>
        <v>91</v>
      </c>
      <c r="N14" s="2629">
        <f>'1951'!$E$12</f>
        <v>13</v>
      </c>
      <c r="O14" s="2629">
        <f>'1950'!$E$6</f>
        <v>1528</v>
      </c>
      <c r="P14" s="1044"/>
      <c r="Q14" s="2630"/>
      <c r="R14" s="2630"/>
      <c r="S14" s="2630"/>
      <c r="T14" s="2630"/>
      <c r="U14" s="2630"/>
    </row>
    <row r="15" spans="1:33" ht="12.75" customHeight="1">
      <c r="A15" s="3155">
        <v>1955</v>
      </c>
      <c r="B15" s="2635"/>
      <c r="C15" s="2867">
        <f>+'1955'!$C$9/1000000</f>
        <v>11.165436</v>
      </c>
      <c r="D15" s="2867">
        <f>+'1955'!$C$10/1000000</f>
        <v>10.355892000000001</v>
      </c>
      <c r="E15" s="2867">
        <f>+'1955'!$C$11/1000000</f>
        <v>0.57103400000000004</v>
      </c>
      <c r="F15" s="2867">
        <f>+'1955'!$C$12/1000000</f>
        <v>4.3768000000000001E-2</v>
      </c>
      <c r="G15" s="2867">
        <f t="shared" si="7"/>
        <v>22.136130000000001</v>
      </c>
      <c r="H15" s="2628"/>
      <c r="I15" s="3155">
        <v>1955</v>
      </c>
      <c r="J15" s="2635"/>
      <c r="K15" s="3161">
        <f>+'1955'!$E$9</f>
        <v>509</v>
      </c>
      <c r="L15" s="3161">
        <f>+'1955'!$E$10</f>
        <v>510</v>
      </c>
      <c r="M15" s="3161">
        <f>+'1955'!$E$11</f>
        <v>95</v>
      </c>
      <c r="N15" s="3161">
        <f>+'1955'!$E$12</f>
        <v>20</v>
      </c>
      <c r="O15" s="3161">
        <f t="shared" si="8"/>
        <v>1134</v>
      </c>
      <c r="Q15" s="2630"/>
      <c r="R15" s="2630"/>
      <c r="S15" s="2630"/>
      <c r="T15" s="2630"/>
      <c r="U15" s="2630"/>
    </row>
    <row r="16" spans="1:33" ht="12.75" customHeight="1">
      <c r="A16" s="3155">
        <v>1959</v>
      </c>
      <c r="B16" s="2635"/>
      <c r="C16" s="2867">
        <f>+'1959'!$C$9/1000000</f>
        <v>11.559240000000001</v>
      </c>
      <c r="D16" s="2867">
        <f>+'1959'!$C$10/1000000</f>
        <v>10.085096999999999</v>
      </c>
      <c r="E16" s="2867">
        <f>+'1959'!$C$11/1000000</f>
        <v>1.4495929999999999</v>
      </c>
      <c r="F16" s="2867">
        <f>+'1959'!$C$12/1000000</f>
        <v>3.3839000000000001E-2</v>
      </c>
      <c r="G16" s="2867">
        <f t="shared" si="7"/>
        <v>23.127769000000001</v>
      </c>
      <c r="H16" s="2628"/>
      <c r="I16" s="3155">
        <v>1959</v>
      </c>
      <c r="J16" s="2635"/>
      <c r="K16" s="3161">
        <f>+'1959'!$E$9</f>
        <v>509</v>
      </c>
      <c r="L16" s="3161">
        <f>+'1959'!$E$10</f>
        <v>511</v>
      </c>
      <c r="M16" s="3161">
        <f>+'1959'!$E$11</f>
        <v>191</v>
      </c>
      <c r="N16" s="3161">
        <f>+'1959'!$E$12</f>
        <v>23</v>
      </c>
      <c r="O16" s="3161">
        <f t="shared" si="8"/>
        <v>1234</v>
      </c>
      <c r="Q16" s="2630"/>
      <c r="R16" s="2630"/>
      <c r="S16" s="2630"/>
      <c r="T16" s="2630"/>
      <c r="U16" s="2630"/>
    </row>
    <row r="17" spans="1:21" ht="12.75" customHeight="1">
      <c r="A17" s="3155">
        <v>1964</v>
      </c>
      <c r="B17" s="2635"/>
      <c r="C17" s="2867">
        <f>+'1964'!$C$9/1000000</f>
        <v>10.106028</v>
      </c>
      <c r="D17" s="2867">
        <f>+'1964'!$C$10/1000000</f>
        <v>9.9823599999999999</v>
      </c>
      <c r="E17" s="2867">
        <f>+'1964'!$C$11/1000000</f>
        <v>2.7757520000000002</v>
      </c>
      <c r="F17" s="2867">
        <f>+'1964'!$C$12/1000000</f>
        <v>7.3110999999999995E-2</v>
      </c>
      <c r="G17" s="2867">
        <f t="shared" si="7"/>
        <v>22.937251000000003</v>
      </c>
      <c r="H17" s="2628"/>
      <c r="I17" s="3155">
        <v>1964</v>
      </c>
      <c r="J17" s="2635"/>
      <c r="K17" s="3161">
        <f>+'1964'!$E$9</f>
        <v>511</v>
      </c>
      <c r="L17" s="3161">
        <f>+'1964'!$E$10</f>
        <v>511</v>
      </c>
      <c r="M17" s="3161">
        <f>+'1964'!$E$11</f>
        <v>323</v>
      </c>
      <c r="N17" s="3161">
        <f>+'1964'!$E$12</f>
        <v>64</v>
      </c>
      <c r="O17" s="3161">
        <f t="shared" si="8"/>
        <v>1409</v>
      </c>
      <c r="Q17" s="2630"/>
      <c r="R17" s="2630"/>
      <c r="S17" s="2630"/>
      <c r="T17" s="2630"/>
      <c r="U17" s="2630"/>
    </row>
    <row r="18" spans="1:21" ht="12.75" customHeight="1">
      <c r="A18" s="3155">
        <v>1966</v>
      </c>
      <c r="B18" s="2635"/>
      <c r="C18" s="2867">
        <f>+'1966'!$C$9/1000000</f>
        <v>9.6923560000000002</v>
      </c>
      <c r="D18" s="2867">
        <f>+'1966'!$C$10/1000000</f>
        <v>10.886407999999999</v>
      </c>
      <c r="E18" s="2867">
        <f>+'1966'!$C$11/1000000</f>
        <v>2.0367929999999999</v>
      </c>
      <c r="F18" s="2867">
        <f>+'1966'!$C$12/1000000</f>
        <v>7.7137999999999998E-2</v>
      </c>
      <c r="G18" s="2867">
        <f t="shared" si="7"/>
        <v>22.692695000000001</v>
      </c>
      <c r="H18" s="2628"/>
      <c r="I18" s="3155">
        <v>1966</v>
      </c>
      <c r="J18" s="2635"/>
      <c r="K18" s="3161">
        <f>+'1966'!$E$9</f>
        <v>510</v>
      </c>
      <c r="L18" s="3161">
        <f>+'1966'!$E$10</f>
        <v>511</v>
      </c>
      <c r="M18" s="3161">
        <f>+'1966'!$E$11</f>
        <v>273</v>
      </c>
      <c r="N18" s="3161">
        <f>+'1966'!$E$12</f>
        <v>69</v>
      </c>
      <c r="O18" s="3161">
        <f t="shared" si="8"/>
        <v>1363</v>
      </c>
      <c r="Q18" s="2630"/>
      <c r="R18" s="2630"/>
      <c r="S18" s="2630"/>
      <c r="T18" s="2630"/>
      <c r="U18" s="2630"/>
    </row>
    <row r="19" spans="1:21" ht="12.75" customHeight="1">
      <c r="A19" s="3155">
        <v>1970</v>
      </c>
      <c r="B19" s="2635"/>
      <c r="C19" s="2867">
        <f>+'1970'!$C$7/1000000</f>
        <v>11.282524</v>
      </c>
      <c r="D19" s="2867">
        <f>+'1970'!$C$8/1000000</f>
        <v>10.131555000000001</v>
      </c>
      <c r="E19" s="2867">
        <f>+'1970'!$C$9/1000000</f>
        <v>1.8536159999999999</v>
      </c>
      <c r="F19" s="2867">
        <f>+'1970'!$C$10/1000000</f>
        <v>9.3201000000000006E-2</v>
      </c>
      <c r="G19" s="2867">
        <f t="shared" si="7"/>
        <v>23.360896</v>
      </c>
      <c r="H19" s="2628"/>
      <c r="I19" s="3155">
        <v>1970</v>
      </c>
      <c r="J19" s="2635"/>
      <c r="K19" s="3161">
        <f>+'1970'!$E$7</f>
        <v>510</v>
      </c>
      <c r="L19" s="3161">
        <f>+'1970'!$E$8</f>
        <v>511</v>
      </c>
      <c r="M19" s="3161">
        <f>+'1970'!$E$9</f>
        <v>282</v>
      </c>
      <c r="N19" s="3161">
        <f>+'1970'!$E$10</f>
        <v>100</v>
      </c>
      <c r="O19" s="3161">
        <f t="shared" si="8"/>
        <v>1403</v>
      </c>
      <c r="Q19" s="2630"/>
      <c r="R19" s="2630"/>
      <c r="S19" s="2630"/>
      <c r="T19" s="2630"/>
      <c r="U19" s="2630"/>
    </row>
    <row r="20" spans="1:21" ht="12.75" customHeight="1">
      <c r="A20" s="3155">
        <v>1974</v>
      </c>
      <c r="B20" s="2635" t="s">
        <v>50</v>
      </c>
      <c r="C20" s="2867">
        <f>+'1974F'!$C$7/1000000</f>
        <v>10.508977</v>
      </c>
      <c r="D20" s="2867">
        <f>+'1974F'!$C$8/1000000</f>
        <v>9.8424680000000002</v>
      </c>
      <c r="E20" s="2867">
        <f>+'1974F'!$C$9/1000000</f>
        <v>5.5749339999999998</v>
      </c>
      <c r="F20" s="2867">
        <f>+'1974F'!$C$10/1000000</f>
        <v>0.21523900000000001</v>
      </c>
      <c r="G20" s="2867">
        <f t="shared" si="7"/>
        <v>26.141617999999998</v>
      </c>
      <c r="H20" s="2628"/>
      <c r="I20" s="3155">
        <v>1974</v>
      </c>
      <c r="J20" s="2635" t="s">
        <v>50</v>
      </c>
      <c r="K20" s="3161">
        <f>+'1974F'!$E$7</f>
        <v>516</v>
      </c>
      <c r="L20" s="3161">
        <f>+'1974F'!$E$8</f>
        <v>516</v>
      </c>
      <c r="M20" s="3161">
        <f>+'1974F'!$E$9</f>
        <v>452</v>
      </c>
      <c r="N20" s="3161">
        <f>+'1974F'!$E$10</f>
        <v>190</v>
      </c>
      <c r="O20" s="3161">
        <f t="shared" si="8"/>
        <v>1674</v>
      </c>
      <c r="Q20" s="2630"/>
      <c r="R20" s="2630"/>
      <c r="S20" s="2630"/>
      <c r="T20" s="2630"/>
      <c r="U20" s="2630"/>
    </row>
    <row r="21" spans="1:21" ht="12.75" customHeight="1">
      <c r="A21" s="3155">
        <v>1974</v>
      </c>
      <c r="B21" s="2635" t="s">
        <v>51</v>
      </c>
      <c r="C21" s="2867">
        <f>+'1974O'!$C$7/1000000</f>
        <v>9.4140080000000008</v>
      </c>
      <c r="D21" s="2867">
        <f>+'1974O'!$C$8/1000000</f>
        <v>9.6950509999999994</v>
      </c>
      <c r="E21" s="2867">
        <f>+'1974O'!$C$9/1000000</f>
        <v>4.8787919999999998</v>
      </c>
      <c r="F21" s="2867">
        <f>+'1974O'!$C$10/1000000</f>
        <v>0.20321800000000001</v>
      </c>
      <c r="G21" s="2867">
        <f t="shared" si="7"/>
        <v>24.191069000000002</v>
      </c>
      <c r="H21" s="2628"/>
      <c r="I21" s="3155">
        <v>1974</v>
      </c>
      <c r="J21" s="2635" t="s">
        <v>51</v>
      </c>
      <c r="K21" s="3161">
        <f>+'1974O'!$E$7</f>
        <v>515</v>
      </c>
      <c r="L21" s="3161">
        <f>+'1974O'!$E$8</f>
        <v>516</v>
      </c>
      <c r="M21" s="3161">
        <f>+'1974O'!$E$9</f>
        <v>515</v>
      </c>
      <c r="N21" s="3161">
        <f>+'1974O'!$E$10</f>
        <v>220</v>
      </c>
      <c r="O21" s="3161">
        <f t="shared" si="8"/>
        <v>1766</v>
      </c>
      <c r="Q21" s="1048"/>
      <c r="R21" s="1048"/>
      <c r="S21" s="1048"/>
      <c r="T21" s="1048"/>
      <c r="U21" s="1048"/>
    </row>
    <row r="22" spans="1:21" ht="12.75" customHeight="1">
      <c r="A22" s="3155">
        <v>1979</v>
      </c>
      <c r="B22" s="2635"/>
      <c r="C22" s="2867">
        <f>+'1979'!$C$7/1000000</f>
        <v>12.255514</v>
      </c>
      <c r="D22" s="2867">
        <f>+'1979'!$C$8/1000000</f>
        <v>9.5252800000000004</v>
      </c>
      <c r="E22" s="2867">
        <f>+'1979'!$C$9/1000000</f>
        <v>3.8780549999999998</v>
      </c>
      <c r="F22" s="2867">
        <f>+'1979'!$C$10/1000000</f>
        <v>0.31340099999999999</v>
      </c>
      <c r="G22" s="2867">
        <f t="shared" si="7"/>
        <v>25.972249999999999</v>
      </c>
      <c r="H22" s="2628"/>
      <c r="I22" s="3155">
        <v>1979</v>
      </c>
      <c r="J22" s="2635"/>
      <c r="K22" s="3163">
        <f>+'1979'!$E$7</f>
        <v>516</v>
      </c>
      <c r="L22" s="3163">
        <f>+'1979'!$E$8</f>
        <v>516</v>
      </c>
      <c r="M22" s="3163">
        <f>+'1979'!$E$9</f>
        <v>506</v>
      </c>
      <c r="N22" s="3163">
        <f>+'1979'!$E$10</f>
        <v>536</v>
      </c>
      <c r="O22" s="3163">
        <f t="shared" si="8"/>
        <v>2074</v>
      </c>
      <c r="Q22" s="1048"/>
      <c r="R22" s="1048"/>
      <c r="S22" s="1048"/>
      <c r="T22" s="1048"/>
      <c r="U22" s="1048"/>
    </row>
    <row r="23" spans="1:21" ht="12.75" customHeight="1">
      <c r="A23" s="3155">
        <v>1983</v>
      </c>
      <c r="B23" s="2635"/>
      <c r="C23" s="2867">
        <f>+'1983'!$C$7/1000000</f>
        <v>11.711518999999999</v>
      </c>
      <c r="D23" s="2867">
        <f>+'1983'!$C$8/1000000</f>
        <v>6.8624219999999996</v>
      </c>
      <c r="E23" s="2867">
        <f>+'1983'!$C$11/1000000</f>
        <v>6.7149570000000001</v>
      </c>
      <c r="F23" s="2867">
        <f>+'1983'!$C$12/1000000</f>
        <v>0.18374799999999999</v>
      </c>
      <c r="G23" s="2867">
        <f t="shared" si="7"/>
        <v>25.472645999999997</v>
      </c>
      <c r="H23" s="2628"/>
      <c r="I23" s="3155">
        <v>1983</v>
      </c>
      <c r="J23" s="2635"/>
      <c r="K23" s="3163">
        <f>+'1983'!$E$7</f>
        <v>523</v>
      </c>
      <c r="L23" s="3163">
        <f>+'1983'!$E$8</f>
        <v>523</v>
      </c>
      <c r="M23" s="3163">
        <f>+'1983'!$E$11</f>
        <v>523</v>
      </c>
      <c r="N23" s="3163">
        <f>+'1983'!$E$12</f>
        <v>431</v>
      </c>
      <c r="O23" s="3163">
        <f t="shared" si="8"/>
        <v>2000</v>
      </c>
      <c r="Q23" s="1048"/>
      <c r="R23" s="1048"/>
      <c r="S23" s="1048"/>
      <c r="T23" s="1048"/>
      <c r="U23" s="1048"/>
    </row>
    <row r="24" spans="1:21" ht="12.75" customHeight="1">
      <c r="A24" s="3155">
        <v>1987</v>
      </c>
      <c r="B24" s="2635"/>
      <c r="C24" s="2867">
        <f>+'1987'!$C$7/1000000</f>
        <v>12.546186000000001</v>
      </c>
      <c r="D24" s="2867">
        <f>+'1987'!$C$8/1000000</f>
        <v>8.0064659999999996</v>
      </c>
      <c r="E24" s="2867">
        <f>+'1987'!$C$11/1000000</f>
        <v>6.4673499999999997</v>
      </c>
      <c r="F24" s="2867">
        <f>+'1987'!$C$12/1000000</f>
        <v>0.11352</v>
      </c>
      <c r="G24" s="2867">
        <f t="shared" si="7"/>
        <v>27.133522000000003</v>
      </c>
      <c r="H24" s="2628"/>
      <c r="I24" s="3155">
        <v>1987</v>
      </c>
      <c r="J24" s="2635"/>
      <c r="K24" s="3163">
        <f>+'1987'!$E$7</f>
        <v>523</v>
      </c>
      <c r="L24" s="3163">
        <f>+'1987'!$E$8</f>
        <v>523</v>
      </c>
      <c r="M24" s="3163">
        <f>+'1987'!$E$11</f>
        <v>523</v>
      </c>
      <c r="N24" s="3163">
        <f>+'1987'!$E$12</f>
        <v>213</v>
      </c>
      <c r="O24" s="3163">
        <f t="shared" si="8"/>
        <v>1782</v>
      </c>
      <c r="Q24" s="1048"/>
      <c r="R24" s="1048"/>
      <c r="S24" s="1048"/>
      <c r="T24" s="1048"/>
      <c r="U24" s="1048"/>
    </row>
    <row r="25" spans="1:21" ht="12.75" customHeight="1">
      <c r="A25" s="3155">
        <v>1992</v>
      </c>
      <c r="B25" s="2635"/>
      <c r="C25" s="2867">
        <f>+'1992'!$C$7/1000000</f>
        <v>12.796772000000001</v>
      </c>
      <c r="D25" s="2867">
        <f>+'1992'!$C$8/1000000</f>
        <v>9.5519099999999995</v>
      </c>
      <c r="E25" s="2867">
        <f>+'1992'!$C$9/1000000</f>
        <v>5.3982929999999998</v>
      </c>
      <c r="F25" s="2867">
        <f>+'1992'!$C$10/1000000</f>
        <v>0.40153100000000003</v>
      </c>
      <c r="G25" s="2867">
        <f t="shared" si="7"/>
        <v>28.148505999999998</v>
      </c>
      <c r="H25" s="2628"/>
      <c r="I25" s="3155">
        <v>1992</v>
      </c>
      <c r="J25" s="2635"/>
      <c r="K25" s="3163">
        <f>+'1992'!$E$7</f>
        <v>524</v>
      </c>
      <c r="L25" s="3163">
        <f>+'1992'!$E$8</f>
        <v>524</v>
      </c>
      <c r="M25" s="3163">
        <f>+'1992'!$E$9</f>
        <v>522</v>
      </c>
      <c r="N25" s="3163">
        <f>+'1992'!$E$10</f>
        <v>758</v>
      </c>
      <c r="O25" s="3163">
        <f t="shared" si="8"/>
        <v>2328</v>
      </c>
      <c r="Q25" s="1048"/>
      <c r="R25" s="1048"/>
      <c r="S25" s="1048"/>
      <c r="T25" s="1048"/>
      <c r="U25" s="1048"/>
    </row>
    <row r="26" spans="1:21" ht="12.75" customHeight="1">
      <c r="A26" s="3155">
        <v>1997</v>
      </c>
      <c r="B26" s="2635"/>
      <c r="C26" s="2867">
        <f>+'1997'!$C$7/1000000</f>
        <v>8.7808810000000008</v>
      </c>
      <c r="D26" s="2867">
        <f>+'1997'!$C$8/1000000</f>
        <v>11.347882</v>
      </c>
      <c r="E26" s="2867">
        <f>+'1997'!$C$9/1000000</f>
        <v>4.6775650000000004</v>
      </c>
      <c r="F26" s="2867">
        <f>+'1997'!$C$10/1000000</f>
        <v>1.2523839999999999</v>
      </c>
      <c r="G26" s="2867">
        <f t="shared" si="7"/>
        <v>26.058712</v>
      </c>
      <c r="H26" s="2628"/>
      <c r="I26" s="3155">
        <v>1997</v>
      </c>
      <c r="J26" s="2635"/>
      <c r="K26" s="3163">
        <f>+'1997'!$E$7</f>
        <v>528</v>
      </c>
      <c r="L26" s="3163">
        <f>+'1997'!$E$8</f>
        <v>527</v>
      </c>
      <c r="M26" s="3163">
        <f>+'1997'!$E$9</f>
        <v>527</v>
      </c>
      <c r="N26" s="3163">
        <f>+'1997'!$E$10</f>
        <v>1363</v>
      </c>
      <c r="O26" s="3163">
        <f t="shared" si="8"/>
        <v>2945</v>
      </c>
      <c r="Q26" s="1048"/>
      <c r="R26" s="1048"/>
      <c r="S26" s="1048"/>
      <c r="T26" s="1048"/>
      <c r="U26" s="1048"/>
    </row>
    <row r="27" spans="1:21" ht="12.75" customHeight="1">
      <c r="A27" s="3155">
        <v>2001</v>
      </c>
      <c r="B27" s="2635"/>
      <c r="C27" s="3164">
        <f>+'2001'!$C$7/1000000</f>
        <v>7.70587</v>
      </c>
      <c r="D27" s="3164">
        <f>+'2001'!$C$8/1000000</f>
        <v>9.0568240000000007</v>
      </c>
      <c r="E27" s="3164">
        <f>+'2001'!$C$9/1000000</f>
        <v>4.2468529999999998</v>
      </c>
      <c r="F27" s="2868">
        <f>+'2001'!$C$10/1000000</f>
        <v>0.86121499999999995</v>
      </c>
      <c r="G27" s="3164">
        <f t="shared" si="7"/>
        <v>21.870761999999999</v>
      </c>
      <c r="H27" s="3165"/>
      <c r="I27" s="3155">
        <v>2001</v>
      </c>
      <c r="J27" s="2635"/>
      <c r="K27" s="3163">
        <f>+'2001'!$E$7</f>
        <v>529</v>
      </c>
      <c r="L27" s="3163">
        <f>+'2001'!$E$8</f>
        <v>529</v>
      </c>
      <c r="M27" s="3163">
        <f>+'2001'!$E$9</f>
        <v>528</v>
      </c>
      <c r="N27" s="3163">
        <f>+'2001'!$E$10</f>
        <v>1002</v>
      </c>
      <c r="O27" s="3163">
        <f>SUM(K27:N27)</f>
        <v>2588</v>
      </c>
      <c r="Q27" s="1075"/>
      <c r="R27" s="1075"/>
      <c r="S27" s="1075"/>
      <c r="T27" s="1035"/>
      <c r="U27" s="1075"/>
    </row>
    <row r="28" spans="1:21" ht="12.75" customHeight="1">
      <c r="A28" s="3155">
        <v>2005</v>
      </c>
      <c r="B28" s="2635"/>
      <c r="C28" s="3164">
        <f>+'2005'!$C$7/1000000</f>
        <v>8.1149789999999999</v>
      </c>
      <c r="D28" s="3164">
        <f>+'2005'!$C$8/1000000</f>
        <v>8.0503660000000004</v>
      </c>
      <c r="E28" s="3164">
        <f>+'2005'!$C$9/1000000</f>
        <v>5.2011289999999999</v>
      </c>
      <c r="F28" s="2868">
        <f>+'2005'!$C$10/1000000</f>
        <v>1.337828</v>
      </c>
      <c r="G28" s="3164">
        <f t="shared" si="7"/>
        <v>22.704302000000006</v>
      </c>
      <c r="H28" s="3165"/>
      <c r="I28" s="3155">
        <v>2005</v>
      </c>
      <c r="J28" s="2635"/>
      <c r="K28" s="3163">
        <f>+'2005'!$E$7</f>
        <v>529</v>
      </c>
      <c r="L28" s="3163">
        <f>+'2005'!$E$8</f>
        <v>529</v>
      </c>
      <c r="M28" s="3163">
        <f>+'2005'!$E$9</f>
        <v>528</v>
      </c>
      <c r="N28" s="3163">
        <f>+'2005'!$E$10</f>
        <v>1231</v>
      </c>
      <c r="O28" s="3163">
        <f>SUM(K28:N28)</f>
        <v>2817</v>
      </c>
      <c r="Q28" s="1075"/>
      <c r="R28" s="1075"/>
      <c r="S28" s="1075"/>
      <c r="T28" s="1035"/>
      <c r="U28" s="1075"/>
    </row>
    <row r="29" spans="1:21" ht="12.75" customHeight="1">
      <c r="A29" s="3155">
        <v>2010</v>
      </c>
      <c r="B29" s="2635"/>
      <c r="C29" s="2867">
        <f>+'2010'!$C$7/1000000</f>
        <v>9.9080189999999995</v>
      </c>
      <c r="D29" s="2867">
        <f>+'2010'!$C$8/1000000</f>
        <v>7.0393869999999996</v>
      </c>
      <c r="E29" s="2867">
        <f>+'2010'!$C$9/1000000</f>
        <v>6.0756129999999997</v>
      </c>
      <c r="F29" s="2867">
        <f>+'2010'!$C$10/1000000</f>
        <v>2.058249</v>
      </c>
      <c r="G29" s="2867">
        <f t="shared" si="7"/>
        <v>25.081268000000001</v>
      </c>
      <c r="H29" s="2628"/>
      <c r="I29" s="3155">
        <v>2010</v>
      </c>
      <c r="J29" s="2635"/>
      <c r="K29" s="2635">
        <f>+'2010'!$E$7</f>
        <v>532</v>
      </c>
      <c r="L29" s="2635">
        <f>+'2010'!$E$8</f>
        <v>532</v>
      </c>
      <c r="M29" s="2635">
        <f>+'2010'!$E$9</f>
        <v>532</v>
      </c>
      <c r="N29" s="2635">
        <f>+'2010'!$E$10</f>
        <v>1829</v>
      </c>
      <c r="O29" s="2635">
        <f>SUM(K29:N29)</f>
        <v>3425</v>
      </c>
      <c r="Q29" s="1048"/>
      <c r="R29" s="1048"/>
      <c r="S29" s="1048"/>
      <c r="T29" s="1048"/>
      <c r="U29" s="1048"/>
    </row>
    <row r="30" spans="1:21" ht="12.75" customHeight="1">
      <c r="A30" s="3155">
        <v>2015</v>
      </c>
      <c r="B30" s="2635"/>
      <c r="C30" s="2867">
        <v>10.448600000000001</v>
      </c>
      <c r="D30" s="2867">
        <v>8.0876999999999999</v>
      </c>
      <c r="E30" s="2867">
        <v>2.0985</v>
      </c>
      <c r="F30" s="2867">
        <f>G30-SUM(C30:E30)</f>
        <v>4.9360999999999997</v>
      </c>
      <c r="G30" s="2867">
        <v>25.570900000000002</v>
      </c>
      <c r="H30" s="2628"/>
      <c r="I30" s="3155">
        <v>2015</v>
      </c>
      <c r="J30" s="2635"/>
      <c r="K30" s="2635">
        <v>532</v>
      </c>
      <c r="L30" s="2635">
        <v>532</v>
      </c>
      <c r="M30" s="2635">
        <v>532</v>
      </c>
      <c r="N30" s="2635">
        <f>SUM(533,502,578)</f>
        <v>1613</v>
      </c>
      <c r="O30" s="2635">
        <v>3209</v>
      </c>
    </row>
    <row r="31" spans="1:21" ht="12.75" customHeight="1">
      <c r="A31" s="3155">
        <v>2017</v>
      </c>
      <c r="B31" s="2635"/>
      <c r="C31" s="2867">
        <v>12.346</v>
      </c>
      <c r="D31" s="2867">
        <v>11.388999999999999</v>
      </c>
      <c r="E31" s="2867">
        <v>2.1120000000000001</v>
      </c>
      <c r="F31" s="2867">
        <v>1.3089999999999999</v>
      </c>
      <c r="G31" s="2867">
        <f>SUM(C31:F31)</f>
        <v>27.156000000000002</v>
      </c>
      <c r="H31" s="2628"/>
      <c r="I31" s="3155">
        <v>2017</v>
      </c>
      <c r="J31" s="2635"/>
      <c r="K31" s="3163">
        <v>532</v>
      </c>
      <c r="L31" s="3163">
        <v>532</v>
      </c>
      <c r="M31" s="3163">
        <v>530</v>
      </c>
      <c r="N31" s="3163">
        <v>1122</v>
      </c>
      <c r="O31" s="3163">
        <f>SUM(K31:N31)</f>
        <v>2716</v>
      </c>
    </row>
    <row r="32" spans="1:21" ht="12.75" customHeight="1">
      <c r="A32" s="3155">
        <v>2019</v>
      </c>
      <c r="B32" s="2635"/>
      <c r="C32" s="2867">
        <v>12.710848</v>
      </c>
      <c r="D32" s="2867">
        <v>9.125178</v>
      </c>
      <c r="E32" s="2867">
        <v>3.3408310000000001</v>
      </c>
      <c r="F32" s="2867">
        <v>1.7347999999999999</v>
      </c>
      <c r="G32" s="2867">
        <v>26.911657000000002</v>
      </c>
      <c r="H32" s="2628"/>
      <c r="I32" s="3155">
        <v>2019</v>
      </c>
      <c r="J32" s="2635"/>
      <c r="K32" s="3163">
        <v>532</v>
      </c>
      <c r="L32" s="3163">
        <v>532</v>
      </c>
      <c r="M32" s="3163">
        <v>520</v>
      </c>
      <c r="N32" s="3163">
        <v>1126</v>
      </c>
      <c r="O32" s="3163">
        <f>SUM(K32:N32)</f>
        <v>2710</v>
      </c>
    </row>
    <row r="33" spans="1:35">
      <c r="A33" s="3155"/>
      <c r="B33" s="2635"/>
      <c r="C33" s="2635"/>
      <c r="D33" s="2635"/>
      <c r="E33" s="2635"/>
      <c r="F33" s="2635"/>
      <c r="G33" s="2635"/>
      <c r="H33" s="3166"/>
      <c r="I33" s="3155"/>
      <c r="J33" s="2635"/>
      <c r="K33" s="2635"/>
      <c r="L33" s="2635"/>
      <c r="M33" s="2635"/>
      <c r="N33" s="2635"/>
      <c r="O33" s="2635"/>
    </row>
    <row r="34" spans="1:35" s="944" customFormat="1" ht="16.5" customHeight="1">
      <c r="A34" s="3167"/>
      <c r="B34" s="3031"/>
      <c r="C34" s="1038" t="s">
        <v>55</v>
      </c>
      <c r="D34" s="3168"/>
      <c r="E34" s="3168"/>
      <c r="F34" s="3168"/>
      <c r="G34" s="3168"/>
      <c r="H34" s="3169"/>
      <c r="I34" s="3167"/>
      <c r="J34" s="3031"/>
      <c r="K34" s="1038" t="s">
        <v>56</v>
      </c>
      <c r="L34" s="3168"/>
      <c r="M34" s="3168"/>
      <c r="N34" s="3168"/>
      <c r="O34" s="3168"/>
      <c r="P34" s="948"/>
      <c r="Q34" s="1077"/>
      <c r="R34" s="1077"/>
      <c r="S34" s="1077"/>
      <c r="T34" s="1077"/>
      <c r="U34" s="1077"/>
      <c r="V34" s="1077"/>
      <c r="W34" s="1077"/>
      <c r="X34" s="1077"/>
      <c r="Y34" s="1077"/>
      <c r="Z34" s="1077"/>
      <c r="AA34" s="1077"/>
      <c r="AB34" s="1077"/>
      <c r="AC34" s="1077"/>
      <c r="AD34" s="1077"/>
      <c r="AE34" s="1077"/>
      <c r="AF34" s="1077"/>
      <c r="AG34" s="1077"/>
      <c r="AH34" s="1077"/>
    </row>
    <row r="35" spans="1:35" s="944" customFormat="1" ht="15.75" customHeight="1">
      <c r="A35" s="3167"/>
      <c r="B35" s="3031"/>
      <c r="C35" s="2243" t="s">
        <v>2301</v>
      </c>
      <c r="D35" s="2244" t="s">
        <v>807</v>
      </c>
      <c r="E35" s="2245" t="s">
        <v>2302</v>
      </c>
      <c r="F35" s="2246" t="s">
        <v>1972</v>
      </c>
      <c r="G35" s="3168" t="s">
        <v>16</v>
      </c>
      <c r="H35" s="3160"/>
      <c r="I35" s="3031"/>
      <c r="J35" s="3031"/>
      <c r="K35" s="2243" t="s">
        <v>2301</v>
      </c>
      <c r="L35" s="2244" t="s">
        <v>807</v>
      </c>
      <c r="M35" s="2245" t="s">
        <v>2302</v>
      </c>
      <c r="N35" s="2246" t="s">
        <v>1972</v>
      </c>
      <c r="O35" s="3168" t="s">
        <v>16</v>
      </c>
      <c r="P35" s="948"/>
      <c r="Q35" s="2821"/>
      <c r="R35" s="2821"/>
      <c r="S35" s="2820"/>
      <c r="T35" s="2821"/>
      <c r="U35" s="1077"/>
      <c r="V35" s="1077"/>
      <c r="W35" s="2821"/>
      <c r="X35" s="2821"/>
      <c r="Y35" s="2820"/>
      <c r="Z35" s="2821"/>
      <c r="AA35" s="1077"/>
      <c r="AB35" s="1077"/>
      <c r="AC35" s="1077"/>
      <c r="AD35" s="2821"/>
      <c r="AE35" s="2821"/>
      <c r="AF35" s="2820"/>
      <c r="AG35" s="2821"/>
      <c r="AH35" s="1077"/>
    </row>
    <row r="36" spans="1:35" s="1023" customFormat="1" ht="3" customHeight="1">
      <c r="A36" s="3167"/>
      <c r="B36" s="3031"/>
      <c r="C36" s="3168"/>
      <c r="D36" s="3168"/>
      <c r="E36" s="3168"/>
      <c r="F36" s="3168"/>
      <c r="G36" s="3031"/>
      <c r="H36" s="3160"/>
      <c r="I36" s="3167"/>
      <c r="J36" s="3031"/>
      <c r="K36" s="3168"/>
      <c r="L36" s="3168"/>
      <c r="M36" s="3168"/>
      <c r="N36" s="3168"/>
      <c r="O36" s="3031"/>
      <c r="P36" s="948"/>
      <c r="Q36" s="1077"/>
      <c r="R36" s="1077"/>
      <c r="S36" s="1077"/>
      <c r="T36" s="1077"/>
      <c r="U36" s="1077"/>
      <c r="V36" s="1077"/>
      <c r="W36" s="1077"/>
      <c r="X36" s="1077"/>
      <c r="Y36" s="1077"/>
      <c r="Z36" s="1077"/>
      <c r="AA36" s="1077"/>
      <c r="AB36" s="1077"/>
      <c r="AC36" s="1077"/>
      <c r="AD36" s="1077"/>
      <c r="AE36" s="1077"/>
      <c r="AF36" s="1077"/>
      <c r="AG36" s="1077"/>
      <c r="AH36" s="1077"/>
    </row>
    <row r="37" spans="1:35" s="1077" customFormat="1">
      <c r="A37" s="3170">
        <v>1918</v>
      </c>
      <c r="B37" s="3154"/>
      <c r="C37" s="3171">
        <f>'1918 '!$C$4+'1918 '!$C$10</f>
        <v>0.42600000000000005</v>
      </c>
      <c r="D37" s="3171">
        <f>'1918 '!$C$12</f>
        <v>0.22600000000000001</v>
      </c>
      <c r="E37" s="3171">
        <f>'1918 '!$C$5+'1918 '!$C$11</f>
        <v>0.26300000000000001</v>
      </c>
      <c r="F37" s="2631">
        <f t="shared" ref="F37:F43" si="9">G37-SUM(B37:E37)</f>
        <v>8.4999999999999964E-2</v>
      </c>
      <c r="G37" s="3172">
        <v>1</v>
      </c>
      <c r="H37" s="3154"/>
      <c r="I37" s="3170">
        <v>1918</v>
      </c>
      <c r="J37" s="3154"/>
      <c r="K37" s="3173">
        <f>'1918 '!$G$4+'1918 '!$G$10</f>
        <v>315</v>
      </c>
      <c r="L37" s="3152">
        <f>'1918 '!$G$12</f>
        <v>42</v>
      </c>
      <c r="M37" s="3152">
        <f>'1918 '!$G$5+'1918 '!$G$11</f>
        <v>107</v>
      </c>
      <c r="N37" s="3153">
        <f>O37-SUM(J37:M37)</f>
        <v>21</v>
      </c>
      <c r="O37" s="3154">
        <f>'1918 '!$G$19</f>
        <v>485</v>
      </c>
      <c r="Q37" s="2827"/>
      <c r="R37" s="2875"/>
      <c r="S37" s="2875"/>
      <c r="T37" s="2877"/>
    </row>
    <row r="38" spans="1:35" s="1077" customFormat="1" ht="12.75" customHeight="1">
      <c r="A38" s="3170">
        <v>1922</v>
      </c>
      <c r="B38" s="3154"/>
      <c r="C38" s="3171">
        <f>'1922'!$C$4</f>
        <v>0.41499999999999998</v>
      </c>
      <c r="D38" s="3171">
        <f>'1922'!$C$7</f>
        <v>0.28800000000000003</v>
      </c>
      <c r="E38" s="3171">
        <f>'1922'!$C$5+'1922'!$C$6</f>
        <v>0.27200000000000002</v>
      </c>
      <c r="F38" s="2631">
        <f t="shared" si="9"/>
        <v>2.4999999999999911E-2</v>
      </c>
      <c r="G38" s="3172">
        <v>1</v>
      </c>
      <c r="H38" s="3154"/>
      <c r="I38" s="3170">
        <v>1922</v>
      </c>
      <c r="J38" s="3154"/>
      <c r="K38" s="3157">
        <f>'1922'!$G$4</f>
        <v>307</v>
      </c>
      <c r="L38" s="3157">
        <f>'1922'!$G$7</f>
        <v>95</v>
      </c>
      <c r="M38" s="3157">
        <f>'1922'!$G$5+'1922'!$G$6</f>
        <v>75</v>
      </c>
      <c r="N38" s="3153">
        <f t="shared" ref="N38:N43" si="10">O38-SUM(J38:M38)</f>
        <v>8</v>
      </c>
      <c r="O38" s="3154">
        <f>'1922'!$G$11</f>
        <v>485</v>
      </c>
      <c r="Q38" s="2876"/>
      <c r="R38" s="2876"/>
      <c r="S38" s="2876"/>
      <c r="T38" s="2877"/>
    </row>
    <row r="39" spans="1:35" s="944" customFormat="1" ht="12.75" customHeight="1">
      <c r="A39" s="2581">
        <v>1923</v>
      </c>
      <c r="B39" s="2584"/>
      <c r="C39" s="3174">
        <f>'1923'!$C$4</f>
        <v>0.39799999999999996</v>
      </c>
      <c r="D39" s="3174">
        <f>'1923'!$C$6</f>
        <v>0.29699999999999999</v>
      </c>
      <c r="E39" s="3174">
        <f>'1923'!$C$5</f>
        <v>0.29899999999999999</v>
      </c>
      <c r="F39" s="2631">
        <f t="shared" si="9"/>
        <v>6.0000000000000053E-3</v>
      </c>
      <c r="G39" s="3172">
        <v>1</v>
      </c>
      <c r="H39" s="3160"/>
      <c r="I39" s="3170">
        <v>1923</v>
      </c>
      <c r="J39" s="3154"/>
      <c r="K39" s="3158">
        <f>'1923'!$G$4</f>
        <v>221</v>
      </c>
      <c r="L39" s="3158">
        <f>'1923'!$G$6</f>
        <v>138</v>
      </c>
      <c r="M39" s="3158">
        <f>'1923'!$G$5</f>
        <v>123</v>
      </c>
      <c r="N39" s="3153">
        <f t="shared" si="10"/>
        <v>3</v>
      </c>
      <c r="O39" s="3160">
        <f>'1923'!$G$9</f>
        <v>485</v>
      </c>
      <c r="Q39" s="2875"/>
      <c r="R39" s="2875"/>
      <c r="S39" s="2875"/>
      <c r="T39" s="2877"/>
      <c r="U39" s="1077"/>
      <c r="V39" s="1077"/>
      <c r="W39" s="1077"/>
      <c r="X39" s="1077"/>
      <c r="Y39" s="1077"/>
      <c r="Z39" s="1077"/>
      <c r="AA39" s="1077"/>
      <c r="AB39" s="1077"/>
      <c r="AC39" s="1077"/>
      <c r="AD39" s="1077"/>
      <c r="AE39" s="1077"/>
      <c r="AF39" s="1077"/>
      <c r="AG39" s="1077"/>
      <c r="AH39" s="1077"/>
    </row>
    <row r="40" spans="1:35" s="944" customFormat="1" ht="12.75" customHeight="1">
      <c r="A40" s="2581">
        <v>1924</v>
      </c>
      <c r="B40" s="2584"/>
      <c r="C40" s="3174">
        <f>'1924'!$C$4</f>
        <v>0.47700000000000004</v>
      </c>
      <c r="D40" s="3174">
        <f>'1924'!$C$6</f>
        <v>0.32799999999999996</v>
      </c>
      <c r="E40" s="3174">
        <f>'1924'!$C$5</f>
        <v>0.17600000000000002</v>
      </c>
      <c r="F40" s="2631">
        <f t="shared" si="9"/>
        <v>1.9000000000000017E-2</v>
      </c>
      <c r="G40" s="3172">
        <v>1</v>
      </c>
      <c r="H40" s="3160"/>
      <c r="I40" s="3170">
        <v>1924</v>
      </c>
      <c r="J40" s="3154"/>
      <c r="K40" s="3158">
        <f>'1924'!$G$4</f>
        <v>347</v>
      </c>
      <c r="L40" s="3158">
        <f>'1924'!$G$6</f>
        <v>109</v>
      </c>
      <c r="M40" s="3158">
        <f>'1924'!$G$5</f>
        <v>19</v>
      </c>
      <c r="N40" s="3153">
        <f t="shared" si="10"/>
        <v>10</v>
      </c>
      <c r="O40" s="3160">
        <f>'1924'!$G$11</f>
        <v>485</v>
      </c>
      <c r="Q40" s="2875"/>
      <c r="R40" s="2875"/>
      <c r="S40" s="2875"/>
      <c r="T40" s="2877"/>
      <c r="U40" s="1077"/>
      <c r="V40" s="1077"/>
      <c r="W40" s="1077"/>
      <c r="X40" s="1077"/>
      <c r="Y40" s="1077"/>
      <c r="Z40" s="1077"/>
      <c r="AA40" s="1077"/>
      <c r="AB40" s="1077"/>
      <c r="AC40" s="1077"/>
      <c r="AD40" s="1077"/>
      <c r="AE40" s="1077"/>
      <c r="AF40" s="1077"/>
      <c r="AG40" s="1077"/>
      <c r="AH40" s="1077"/>
    </row>
    <row r="41" spans="1:35" s="944" customFormat="1" ht="12.5" customHeight="1">
      <c r="A41" s="2581">
        <v>1929</v>
      </c>
      <c r="B41" s="2584"/>
      <c r="C41" s="3174">
        <f>'1929'!$C$4</f>
        <v>0.38799999999999996</v>
      </c>
      <c r="D41" s="3174">
        <f>'1929'!$C$6</f>
        <v>0.36899999999999999</v>
      </c>
      <c r="E41" s="3174">
        <f>'1929'!$C$5</f>
        <v>0.23600000000000002</v>
      </c>
      <c r="F41" s="2631">
        <f t="shared" si="9"/>
        <v>7.0000000000001172E-3</v>
      </c>
      <c r="G41" s="3172">
        <v>1</v>
      </c>
      <c r="H41" s="3160"/>
      <c r="I41" s="3170">
        <v>1929</v>
      </c>
      <c r="J41" s="3154"/>
      <c r="K41" s="3158">
        <f>'1929'!$G$4</f>
        <v>221</v>
      </c>
      <c r="L41" s="3158">
        <f>'1929'!$G$6</f>
        <v>226</v>
      </c>
      <c r="M41" s="3158">
        <f>'1929'!$G$5</f>
        <v>35</v>
      </c>
      <c r="N41" s="3153">
        <f t="shared" si="10"/>
        <v>3</v>
      </c>
      <c r="O41" s="3160">
        <f>'1929'!$G$10</f>
        <v>485</v>
      </c>
      <c r="Q41" s="2875"/>
      <c r="R41" s="2875"/>
      <c r="S41" s="2875"/>
      <c r="T41" s="2877"/>
      <c r="U41" s="1077"/>
      <c r="V41" s="1077"/>
      <c r="W41" s="1077"/>
      <c r="X41" s="1077"/>
      <c r="Y41" s="1077"/>
      <c r="Z41" s="1077"/>
      <c r="AA41" s="1077"/>
      <c r="AB41" s="1077"/>
      <c r="AC41" s="1077"/>
      <c r="AD41" s="1077"/>
      <c r="AE41" s="1077"/>
      <c r="AF41" s="1077"/>
      <c r="AG41" s="1077"/>
      <c r="AH41" s="1077"/>
    </row>
    <row r="42" spans="1:35" s="944" customFormat="1" ht="12.75" customHeight="1">
      <c r="A42" s="2581">
        <v>1931</v>
      </c>
      <c r="B42" s="2584"/>
      <c r="C42" s="3174">
        <f>'1931'!$C$5+'1931'!$C$7+'1931'!$C$8+'1931'!$C$9</f>
        <v>0.63300000000000001</v>
      </c>
      <c r="D42" s="3174">
        <f>'1931'!$C$12</f>
        <v>0.30199999999999999</v>
      </c>
      <c r="E42" s="3174">
        <f>'1931'!$C$6+'1931'!$C$11</f>
        <v>0.06</v>
      </c>
      <c r="F42" s="2631">
        <f t="shared" si="9"/>
        <v>4.9999999999998934E-3</v>
      </c>
      <c r="G42" s="3172">
        <v>1</v>
      </c>
      <c r="H42" s="3160"/>
      <c r="I42" s="3170">
        <v>1931</v>
      </c>
      <c r="J42" s="3154"/>
      <c r="K42" s="3158">
        <f>'1931'!$G$5+'1931'!$G$7+'1931'!$G$8+'1931'!$G$9</f>
        <v>436</v>
      </c>
      <c r="L42" s="3158">
        <f>'1931'!$G$12</f>
        <v>29</v>
      </c>
      <c r="M42" s="3158">
        <f>'1931'!$G$6+'1931'!$G$11</f>
        <v>19</v>
      </c>
      <c r="N42" s="3153">
        <f t="shared" si="10"/>
        <v>1</v>
      </c>
      <c r="O42" s="3160">
        <f>'1931'!$G$16</f>
        <v>485</v>
      </c>
      <c r="Q42" s="2875"/>
      <c r="R42" s="2875"/>
      <c r="S42" s="2875"/>
      <c r="T42" s="2877"/>
      <c r="U42" s="1077"/>
      <c r="V42" s="1077"/>
      <c r="W42" s="1077"/>
      <c r="X42" s="1077"/>
      <c r="Y42" s="1077"/>
      <c r="Z42" s="1077"/>
      <c r="AA42" s="1077"/>
      <c r="AB42" s="1077"/>
      <c r="AC42" s="1077"/>
      <c r="AD42" s="1077"/>
      <c r="AE42" s="1077"/>
      <c r="AF42" s="1077"/>
      <c r="AG42" s="1077"/>
      <c r="AH42" s="1077"/>
    </row>
    <row r="43" spans="1:35" s="944" customFormat="1" ht="13.25" customHeight="1">
      <c r="A43" s="2581">
        <v>1935</v>
      </c>
      <c r="B43" s="2584"/>
      <c r="C43" s="3174">
        <f>'1935'!$C$5+'1935'!$C$6+'1935'!$C$7+'1935'!$C$8</f>
        <v>0.54500000000000004</v>
      </c>
      <c r="D43" s="3174">
        <f>'1935'!$C$11</f>
        <v>0.38500000000000001</v>
      </c>
      <c r="E43" s="3174">
        <f>'1935'!$C$10</f>
        <v>6.3E-2</v>
      </c>
      <c r="F43" s="2631">
        <f t="shared" si="9"/>
        <v>6.9999999999998952E-3</v>
      </c>
      <c r="G43" s="3172">
        <v>1</v>
      </c>
      <c r="H43" s="3160"/>
      <c r="I43" s="3170">
        <v>1935</v>
      </c>
      <c r="J43" s="3154"/>
      <c r="K43" s="3158">
        <f>'1935'!$G$5+'1935'!$G$6+'1935'!$G$7+'1935'!$G$8</f>
        <v>357</v>
      </c>
      <c r="L43" s="3158">
        <f>'1935'!$G$11</f>
        <v>116</v>
      </c>
      <c r="M43" s="3158">
        <f>'1935'!$G$10</f>
        <v>11</v>
      </c>
      <c r="N43" s="3153">
        <f t="shared" si="10"/>
        <v>1</v>
      </c>
      <c r="O43" s="3160">
        <f>'1935'!$G$14</f>
        <v>485</v>
      </c>
      <c r="Q43" s="2875"/>
      <c r="R43" s="2875"/>
      <c r="S43" s="2875"/>
      <c r="T43" s="2877"/>
      <c r="U43" s="1077"/>
      <c r="V43" s="1077"/>
      <c r="W43" s="1077"/>
      <c r="X43" s="1077"/>
      <c r="Y43" s="1077"/>
      <c r="Z43" s="1077"/>
      <c r="AA43" s="1077"/>
      <c r="AB43" s="1077"/>
      <c r="AC43" s="1077"/>
      <c r="AD43" s="1077"/>
      <c r="AE43" s="1077"/>
      <c r="AF43" s="1077"/>
      <c r="AG43" s="1077"/>
      <c r="AH43" s="1077"/>
    </row>
    <row r="44" spans="1:35" s="944" customFormat="1" ht="12.5" customHeight="1">
      <c r="A44" s="2581">
        <v>1945</v>
      </c>
      <c r="B44" s="2584"/>
      <c r="C44" s="3175">
        <f>+'1945'!$D$10</f>
        <v>0.40200000000000002</v>
      </c>
      <c r="D44" s="3175">
        <f>+'1945'!$D$11</f>
        <v>0.48499999999999999</v>
      </c>
      <c r="E44" s="3175">
        <f>+'1945'!$D$12</f>
        <v>9.4E-2</v>
      </c>
      <c r="F44" s="3175">
        <f>+'1945'!$D$13</f>
        <v>1.9E-2</v>
      </c>
      <c r="G44" s="3176">
        <f>SUM(C44:F44)</f>
        <v>1</v>
      </c>
      <c r="H44" s="3177"/>
      <c r="I44" s="2581">
        <v>1945</v>
      </c>
      <c r="J44" s="2584"/>
      <c r="K44" s="3178">
        <f>+'1945'!$F$10</f>
        <v>167</v>
      </c>
      <c r="L44" s="3178">
        <f>+'1945'!$F$11</f>
        <v>331</v>
      </c>
      <c r="M44" s="3178">
        <f>+'1945'!$F$12</f>
        <v>5</v>
      </c>
      <c r="N44" s="3178">
        <f>+'1945'!$F$13</f>
        <v>7</v>
      </c>
      <c r="O44" s="3178">
        <f>SUM(K44:N44)</f>
        <v>510</v>
      </c>
      <c r="P44" s="948"/>
      <c r="Q44" s="1080"/>
      <c r="R44" s="1080"/>
      <c r="S44" s="1080"/>
      <c r="T44" s="1080"/>
      <c r="U44" s="1080"/>
      <c r="V44" s="1077"/>
      <c r="W44" s="1077"/>
      <c r="X44" s="1077"/>
      <c r="Y44" s="1077"/>
      <c r="Z44" s="1077"/>
      <c r="AA44" s="1077"/>
      <c r="AB44" s="1077"/>
      <c r="AC44" s="1077"/>
      <c r="AD44" s="2878"/>
      <c r="AE44" s="2878"/>
      <c r="AF44" s="2878"/>
      <c r="AG44" s="2878"/>
      <c r="AH44" s="2878"/>
      <c r="AI44" s="2632"/>
    </row>
    <row r="45" spans="1:35" s="944" customFormat="1" ht="12.75" customHeight="1">
      <c r="A45" s="2581">
        <v>1950</v>
      </c>
      <c r="B45" s="2584"/>
      <c r="C45" s="3179">
        <f>'1950'!$D$9</f>
        <v>0.43830657254135014</v>
      </c>
      <c r="D45" s="3179">
        <f>'1950'!$D$10</f>
        <v>0.46133252580063627</v>
      </c>
      <c r="E45" s="3179">
        <f>'1950'!$D$11</f>
        <v>9.3850085796174473E-2</v>
      </c>
      <c r="F45" s="3179">
        <f>'1950'!$D$12</f>
        <v>6.5108158618391041E-3</v>
      </c>
      <c r="G45" s="3180">
        <f>'1950'!$D$6</f>
        <v>1</v>
      </c>
      <c r="H45" s="3177"/>
      <c r="I45" s="2581">
        <v>1950</v>
      </c>
      <c r="J45" s="2584"/>
      <c r="K45" s="3162">
        <f>'1950'!$F$9</f>
        <v>253</v>
      </c>
      <c r="L45" s="3162">
        <f>'1950'!$F$10</f>
        <v>251</v>
      </c>
      <c r="M45" s="3162">
        <f>'1950'!$F$11</f>
        <v>2</v>
      </c>
      <c r="N45" s="3162">
        <f>'1950'!$F$12</f>
        <v>0</v>
      </c>
      <c r="O45" s="3162">
        <f>'1950'!$F$6</f>
        <v>506</v>
      </c>
      <c r="P45" s="948"/>
      <c r="Q45" s="2879"/>
      <c r="R45" s="2879"/>
      <c r="S45" s="2879"/>
      <c r="T45" s="2879"/>
      <c r="U45" s="2879"/>
      <c r="V45" s="1077"/>
      <c r="W45" s="1077"/>
      <c r="X45" s="1077"/>
      <c r="Y45" s="1077"/>
      <c r="Z45" s="1077"/>
      <c r="AA45" s="1077"/>
      <c r="AB45" s="1077"/>
      <c r="AC45" s="1077"/>
      <c r="AD45" s="2878"/>
      <c r="AE45" s="2878"/>
      <c r="AF45" s="2878"/>
      <c r="AG45" s="2878"/>
      <c r="AH45" s="2878"/>
      <c r="AI45" s="2632"/>
    </row>
    <row r="46" spans="1:35" s="944" customFormat="1" ht="12.75" customHeight="1">
      <c r="A46" s="2581">
        <v>1951</v>
      </c>
      <c r="B46" s="2584"/>
      <c r="C46" s="2631">
        <f>'1951'!$D$9</f>
        <v>0.48781405429635027</v>
      </c>
      <c r="D46" s="2631">
        <f>'1951'!$D$10</f>
        <v>0.48813987352942223</v>
      </c>
      <c r="E46" s="2631">
        <f>'1951'!$D$11</f>
        <v>2.255652888146379E-2</v>
      </c>
      <c r="F46" s="2631">
        <f>'1951'!$D$12</f>
        <v>1.4895432927636695E-3</v>
      </c>
      <c r="G46" s="3181">
        <f>'1950'!$D$6</f>
        <v>1</v>
      </c>
      <c r="H46" s="3177"/>
      <c r="I46" s="2581">
        <v>1951</v>
      </c>
      <c r="J46" s="2584"/>
      <c r="K46" s="2629">
        <f>'1951'!$F$9</f>
        <v>271</v>
      </c>
      <c r="L46" s="2629">
        <f>'1951'!$F$10</f>
        <v>233</v>
      </c>
      <c r="M46" s="2629">
        <f>'1951'!$F$11</f>
        <v>2</v>
      </c>
      <c r="N46" s="2629">
        <f>'1951'!$F$12</f>
        <v>0</v>
      </c>
      <c r="O46" s="2629">
        <f>'1950'!$F$6</f>
        <v>506</v>
      </c>
      <c r="P46" s="948"/>
      <c r="Q46" s="2879"/>
      <c r="R46" s="2879"/>
      <c r="S46" s="2879"/>
      <c r="T46" s="2879"/>
      <c r="U46" s="2879"/>
      <c r="V46" s="1077"/>
      <c r="W46" s="1077"/>
      <c r="X46" s="1077"/>
      <c r="Y46" s="1077"/>
      <c r="Z46" s="1077"/>
      <c r="AA46" s="1077"/>
      <c r="AB46" s="1077"/>
      <c r="AC46" s="1077"/>
      <c r="AD46" s="2878"/>
      <c r="AE46" s="2878"/>
      <c r="AF46" s="2878"/>
      <c r="AG46" s="2878"/>
      <c r="AH46" s="2878"/>
      <c r="AI46" s="2632"/>
    </row>
    <row r="47" spans="1:35" s="944" customFormat="1" ht="12.75" customHeight="1">
      <c r="A47" s="2581">
        <v>1955</v>
      </c>
      <c r="B47" s="2584"/>
      <c r="C47" s="3175">
        <f>+'1955'!$D$9</f>
        <v>0.504</v>
      </c>
      <c r="D47" s="3175">
        <f>+'1955'!$D$10</f>
        <v>0.46782757419657367</v>
      </c>
      <c r="E47" s="3175">
        <f>+'1955'!$D$11</f>
        <v>2.5796469391894609E-2</v>
      </c>
      <c r="F47" s="3175">
        <f>+'1955'!$D$12</f>
        <v>1.9772200470452605E-3</v>
      </c>
      <c r="G47" s="3176">
        <f t="shared" ref="G47:G52" si="11">SUM(C47:F47)</f>
        <v>0.99960126363551349</v>
      </c>
      <c r="H47" s="3182"/>
      <c r="I47" s="2581">
        <v>1955</v>
      </c>
      <c r="J47" s="2584"/>
      <c r="K47" s="3178">
        <f>+'1955'!$F$9</f>
        <v>293</v>
      </c>
      <c r="L47" s="3178">
        <f>+'1955'!$F$10</f>
        <v>216</v>
      </c>
      <c r="M47" s="3178">
        <f>+'1955'!$F$11</f>
        <v>2</v>
      </c>
      <c r="N47" s="3178">
        <f>+'1955'!$F$12</f>
        <v>0</v>
      </c>
      <c r="O47" s="3178">
        <f t="shared" ref="O47:O58" si="12">SUM(K47:N47)</f>
        <v>511</v>
      </c>
      <c r="P47" s="948"/>
      <c r="Q47" s="2879"/>
      <c r="R47" s="2879"/>
      <c r="S47" s="2879"/>
      <c r="T47" s="2879"/>
      <c r="U47" s="2879"/>
      <c r="V47" s="1077"/>
      <c r="W47" s="1077"/>
      <c r="X47" s="1077"/>
      <c r="Y47" s="1077"/>
      <c r="Z47" s="1077"/>
      <c r="AA47" s="1077"/>
      <c r="AB47" s="1077"/>
      <c r="AC47" s="1077"/>
      <c r="AD47" s="2878"/>
      <c r="AE47" s="2878"/>
      <c r="AF47" s="2878"/>
      <c r="AG47" s="2878"/>
      <c r="AH47" s="2878"/>
      <c r="AI47" s="2632"/>
    </row>
    <row r="48" spans="1:35" s="944" customFormat="1" ht="12.75" customHeight="1">
      <c r="A48" s="2581">
        <v>1959</v>
      </c>
      <c r="B48" s="2584"/>
      <c r="C48" s="3175">
        <f>+'1959'!$D$9</f>
        <v>0.49979918080295599</v>
      </c>
      <c r="D48" s="3175">
        <f>+'1959'!$D$10</f>
        <v>0.43606008863198176</v>
      </c>
      <c r="E48" s="3175">
        <f>+'1959'!$D$11</f>
        <v>6.2677597653279918E-2</v>
      </c>
      <c r="F48" s="3175">
        <f>+'1959'!$D$12</f>
        <v>1.4631329117823686E-3</v>
      </c>
      <c r="G48" s="3176">
        <f t="shared" si="11"/>
        <v>1</v>
      </c>
      <c r="H48" s="3177"/>
      <c r="I48" s="2581">
        <v>1959</v>
      </c>
      <c r="J48" s="2584"/>
      <c r="K48" s="3178">
        <f>+'1959'!$F$9</f>
        <v>315</v>
      </c>
      <c r="L48" s="3178">
        <f>+'1959'!$F$10</f>
        <v>193</v>
      </c>
      <c r="M48" s="3178">
        <f>+'1959'!$F$11</f>
        <v>3</v>
      </c>
      <c r="N48" s="3178">
        <f>+'1959'!$F$12</f>
        <v>0</v>
      </c>
      <c r="O48" s="3178">
        <f t="shared" si="12"/>
        <v>511</v>
      </c>
      <c r="P48" s="948"/>
      <c r="Q48" s="2879"/>
      <c r="R48" s="2879"/>
      <c r="S48" s="2879"/>
      <c r="T48" s="2879"/>
      <c r="U48" s="2879"/>
      <c r="V48" s="1077"/>
      <c r="W48" s="1077"/>
      <c r="X48" s="1077"/>
      <c r="Y48" s="1077"/>
      <c r="Z48" s="1077"/>
      <c r="AA48" s="1077"/>
      <c r="AB48" s="1077"/>
      <c r="AC48" s="1077"/>
      <c r="AD48" s="2878"/>
      <c r="AE48" s="2878"/>
      <c r="AF48" s="2878"/>
      <c r="AG48" s="2878"/>
      <c r="AH48" s="2878"/>
      <c r="AI48" s="2632"/>
    </row>
    <row r="49" spans="1:35" s="944" customFormat="1" ht="12.75" customHeight="1">
      <c r="A49" s="2581">
        <v>1964</v>
      </c>
      <c r="B49" s="2584"/>
      <c r="C49" s="3175">
        <f>+'1964'!$D$9</f>
        <v>0.4405945594788146</v>
      </c>
      <c r="D49" s="3175">
        <f>+'1964'!$D$10</f>
        <v>0.43520298051409911</v>
      </c>
      <c r="E49" s="3175">
        <f>+'1964'!$D$11</f>
        <v>0.12101502486065135</v>
      </c>
      <c r="F49" s="3175">
        <f>+'1964'!$D$12</f>
        <v>3.1874351464349412E-3</v>
      </c>
      <c r="G49" s="3176">
        <f t="shared" si="11"/>
        <v>1</v>
      </c>
      <c r="H49" s="3177"/>
      <c r="I49" s="2581">
        <v>1964</v>
      </c>
      <c r="J49" s="2584"/>
      <c r="K49" s="3178">
        <f>+'1964'!$F$9</f>
        <v>262</v>
      </c>
      <c r="L49" s="3178">
        <f>+'1964'!$F$10</f>
        <v>246</v>
      </c>
      <c r="M49" s="3178">
        <f>+'1964'!$F$11</f>
        <v>3</v>
      </c>
      <c r="N49" s="3178">
        <f>+'1964'!$F$12</f>
        <v>0</v>
      </c>
      <c r="O49" s="3178">
        <f t="shared" si="12"/>
        <v>511</v>
      </c>
      <c r="P49" s="948"/>
      <c r="Q49" s="2879"/>
      <c r="R49" s="2879"/>
      <c r="S49" s="2879"/>
      <c r="T49" s="2879"/>
      <c r="U49" s="2879"/>
      <c r="V49" s="1077"/>
      <c r="W49" s="1077"/>
      <c r="X49" s="1077"/>
      <c r="Y49" s="1077"/>
      <c r="Z49" s="1077"/>
      <c r="AA49" s="1077"/>
      <c r="AB49" s="1077"/>
      <c r="AC49" s="1077"/>
      <c r="AD49" s="2878"/>
      <c r="AE49" s="2878"/>
      <c r="AF49" s="2878"/>
      <c r="AG49" s="2878"/>
      <c r="AH49" s="2878"/>
      <c r="AI49" s="2632"/>
    </row>
    <row r="50" spans="1:35" s="944" customFormat="1" ht="12.75" customHeight="1">
      <c r="A50" s="2581">
        <v>1966</v>
      </c>
      <c r="B50" s="2584"/>
      <c r="C50" s="3175">
        <f>+'1966'!$D$9</f>
        <v>0.42711348299529872</v>
      </c>
      <c r="D50" s="3175">
        <f>+'1966'!$D$10</f>
        <v>0.47973182559409538</v>
      </c>
      <c r="E50" s="3175">
        <f>+'1966'!$D$11</f>
        <v>8.9755447733290389E-2</v>
      </c>
      <c r="F50" s="3175">
        <f>+'1966'!$D$12</f>
        <v>3.3992436773155415E-3</v>
      </c>
      <c r="G50" s="3176">
        <f t="shared" si="11"/>
        <v>1</v>
      </c>
      <c r="H50" s="3177"/>
      <c r="I50" s="2581">
        <v>1966</v>
      </c>
      <c r="J50" s="2584"/>
      <c r="K50" s="3178">
        <f>+'1966'!$F$9</f>
        <v>219</v>
      </c>
      <c r="L50" s="3178">
        <f>+'1966'!$F$10</f>
        <v>285</v>
      </c>
      <c r="M50" s="3178">
        <f>+'1966'!$F$11</f>
        <v>6</v>
      </c>
      <c r="N50" s="3178">
        <f>+'1966'!$F$12</f>
        <v>1</v>
      </c>
      <c r="O50" s="3178">
        <f t="shared" si="12"/>
        <v>511</v>
      </c>
      <c r="P50" s="948"/>
      <c r="Q50" s="2879"/>
      <c r="R50" s="2879"/>
      <c r="S50" s="2879"/>
      <c r="T50" s="2879"/>
      <c r="U50" s="2879"/>
      <c r="V50" s="1077"/>
      <c r="W50" s="1077"/>
      <c r="X50" s="1077"/>
      <c r="Y50" s="1077"/>
      <c r="Z50" s="1077"/>
      <c r="AA50" s="1077"/>
      <c r="AB50" s="1077"/>
      <c r="AC50" s="1077"/>
      <c r="AD50" s="2878"/>
      <c r="AE50" s="2878"/>
      <c r="AF50" s="2878"/>
      <c r="AG50" s="2878"/>
      <c r="AH50" s="2878"/>
      <c r="AI50" s="2632"/>
    </row>
    <row r="51" spans="1:35" s="944" customFormat="1" ht="12.75" customHeight="1">
      <c r="A51" s="2581">
        <v>1970</v>
      </c>
      <c r="B51" s="2584"/>
      <c r="C51" s="3175">
        <f>+'1970'!$D$7</f>
        <v>0.48296623554165047</v>
      </c>
      <c r="D51" s="3175">
        <f>+'1970'!$D$8</f>
        <v>0.43369719209400187</v>
      </c>
      <c r="E51" s="3175">
        <f>+'1970'!$D$9</f>
        <v>7.9346956555091039E-2</v>
      </c>
      <c r="F51" s="3175">
        <f>+'1970'!$D$10</f>
        <v>3.9896158092566315E-3</v>
      </c>
      <c r="G51" s="3176">
        <f t="shared" si="11"/>
        <v>1</v>
      </c>
      <c r="H51" s="3177"/>
      <c r="I51" s="2581">
        <v>1970</v>
      </c>
      <c r="J51" s="2584"/>
      <c r="K51" s="3178">
        <f>+'1970'!$F$7</f>
        <v>292</v>
      </c>
      <c r="L51" s="3178">
        <f>+'1970'!$F$8</f>
        <v>216</v>
      </c>
      <c r="M51" s="3178">
        <f>+'1970'!$F$9</f>
        <v>2</v>
      </c>
      <c r="N51" s="3178">
        <f>+'1970'!$F$10</f>
        <v>1</v>
      </c>
      <c r="O51" s="3178">
        <f>SUM(K51:N51)</f>
        <v>511</v>
      </c>
      <c r="P51" s="948"/>
      <c r="Q51" s="2879"/>
      <c r="R51" s="2879"/>
      <c r="S51" s="2879"/>
      <c r="T51" s="2879"/>
      <c r="U51" s="2879"/>
      <c r="V51" s="1077"/>
      <c r="W51" s="1077"/>
      <c r="X51" s="1077"/>
      <c r="Y51" s="1077"/>
      <c r="Z51" s="1077"/>
      <c r="AA51" s="1077"/>
      <c r="AB51" s="1077"/>
      <c r="AC51" s="1077"/>
      <c r="AD51" s="2878"/>
      <c r="AE51" s="2878"/>
      <c r="AF51" s="2878"/>
      <c r="AG51" s="2878"/>
      <c r="AH51" s="2878"/>
      <c r="AI51" s="2632"/>
    </row>
    <row r="52" spans="1:35" s="944" customFormat="1" ht="12.75" customHeight="1">
      <c r="A52" s="2581">
        <v>1974</v>
      </c>
      <c r="B52" s="2584" t="s">
        <v>50</v>
      </c>
      <c r="C52" s="3183">
        <f>+'1974F'!$D$7</f>
        <v>0.40200178122103997</v>
      </c>
      <c r="D52" s="3183">
        <f>+'1974F'!$D$8</f>
        <v>0.37650569295289987</v>
      </c>
      <c r="E52" s="3183">
        <f>+'1974F'!$D$9</f>
        <v>0.21325894977120391</v>
      </c>
      <c r="F52" s="3183">
        <f>+'1974F'!$D$10</f>
        <v>8.2335760548562838E-3</v>
      </c>
      <c r="G52" s="3184">
        <f t="shared" si="11"/>
        <v>1</v>
      </c>
      <c r="H52" s="3177"/>
      <c r="I52" s="2581">
        <v>1974</v>
      </c>
      <c r="J52" s="2584" t="s">
        <v>50</v>
      </c>
      <c r="K52" s="3185">
        <f>+'1974F'!$F$7</f>
        <v>268</v>
      </c>
      <c r="L52" s="3185">
        <f>+'1974F'!$F$8</f>
        <v>237</v>
      </c>
      <c r="M52" s="3185">
        <f>+'1974F'!$F$9</f>
        <v>9</v>
      </c>
      <c r="N52" s="3185">
        <f>+'1974F'!$F$10</f>
        <v>2</v>
      </c>
      <c r="O52" s="3185">
        <f t="shared" si="12"/>
        <v>516</v>
      </c>
      <c r="P52" s="948"/>
      <c r="Q52" s="2879"/>
      <c r="R52" s="2879"/>
      <c r="S52" s="2879"/>
      <c r="T52" s="2879"/>
      <c r="U52" s="2879"/>
      <c r="V52" s="1077"/>
      <c r="W52" s="1077"/>
      <c r="X52" s="1077"/>
      <c r="Y52" s="1077"/>
      <c r="Z52" s="1077"/>
      <c r="AA52" s="1077"/>
      <c r="AB52" s="1077"/>
      <c r="AC52" s="1077"/>
      <c r="AD52" s="2878"/>
      <c r="AE52" s="2878"/>
      <c r="AF52" s="2878"/>
      <c r="AG52" s="2878"/>
      <c r="AH52" s="2878"/>
      <c r="AI52" s="2632"/>
    </row>
    <row r="53" spans="1:35" s="944" customFormat="1" ht="12.75" customHeight="1">
      <c r="A53" s="2581">
        <v>1974</v>
      </c>
      <c r="B53" s="2584" t="s">
        <v>51</v>
      </c>
      <c r="C53" s="3183">
        <f>+'1974O'!$D$7</f>
        <v>0.38915221150417123</v>
      </c>
      <c r="D53" s="3183">
        <f>+'1974O'!$D$8</f>
        <v>0.40076984609485428</v>
      </c>
      <c r="E53" s="3183">
        <f>+'1974O'!$D$9</f>
        <v>0.20167740416928248</v>
      </c>
      <c r="F53" s="3183">
        <f>+'1974O'!$D$10</f>
        <v>8.4005382316920344E-3</v>
      </c>
      <c r="G53" s="3184">
        <f t="shared" ref="G53:G58" si="13">SUM(C53:F53)</f>
        <v>1</v>
      </c>
      <c r="H53" s="3177"/>
      <c r="I53" s="2581">
        <v>1974</v>
      </c>
      <c r="J53" s="2584" t="s">
        <v>51</v>
      </c>
      <c r="K53" s="3185">
        <f>+'1974O'!$F$7</f>
        <v>253</v>
      </c>
      <c r="L53" s="3185">
        <f>+'1974O'!$F$8</f>
        <v>255</v>
      </c>
      <c r="M53" s="3185">
        <f>+'1974O'!$F$9</f>
        <v>8</v>
      </c>
      <c r="N53" s="3185">
        <f>+'1974O'!$F$10</f>
        <v>0</v>
      </c>
      <c r="O53" s="3185">
        <f t="shared" si="12"/>
        <v>516</v>
      </c>
      <c r="P53" s="948"/>
      <c r="Q53" s="2879"/>
      <c r="R53" s="2879"/>
      <c r="S53" s="2879"/>
      <c r="T53" s="2879"/>
      <c r="U53" s="2879"/>
      <c r="V53" s="1077"/>
      <c r="W53" s="1077"/>
      <c r="X53" s="1077"/>
      <c r="Y53" s="1077"/>
      <c r="Z53" s="1077"/>
      <c r="AA53" s="1077"/>
      <c r="AB53" s="1077"/>
      <c r="AC53" s="1077"/>
      <c r="AD53" s="2878"/>
      <c r="AE53" s="2878"/>
      <c r="AF53" s="2878"/>
      <c r="AG53" s="2878"/>
      <c r="AH53" s="2878"/>
      <c r="AI53" s="2632"/>
    </row>
    <row r="54" spans="1:35" s="944" customFormat="1" ht="12.75" customHeight="1">
      <c r="A54" s="2581">
        <v>1979</v>
      </c>
      <c r="B54" s="2584"/>
      <c r="C54" s="3183">
        <f>+'1979'!$D$7</f>
        <v>0.47186955308069189</v>
      </c>
      <c r="D54" s="3183">
        <f>+'1979'!$D$8</f>
        <v>0.36674835641887016</v>
      </c>
      <c r="E54" s="3183">
        <f>+'1979'!$D$9</f>
        <v>0.14931532693547922</v>
      </c>
      <c r="F54" s="3183">
        <f>+'1979'!$D$10</f>
        <v>1.2066763564958755E-2</v>
      </c>
      <c r="G54" s="3184">
        <f t="shared" si="13"/>
        <v>1</v>
      </c>
      <c r="H54" s="3177"/>
      <c r="I54" s="2581">
        <v>1979</v>
      </c>
      <c r="J54" s="2584"/>
      <c r="K54" s="3185">
        <f>+'1979'!$F$7</f>
        <v>306</v>
      </c>
      <c r="L54" s="3185">
        <f>+'1979'!$F$8</f>
        <v>203</v>
      </c>
      <c r="M54" s="3185">
        <f>+'1979'!$F$9</f>
        <v>7</v>
      </c>
      <c r="N54" s="3185">
        <f>+'1979'!$F$10</f>
        <v>0</v>
      </c>
      <c r="O54" s="3185">
        <f t="shared" si="12"/>
        <v>516</v>
      </c>
      <c r="P54" s="948"/>
      <c r="Q54" s="1080"/>
      <c r="R54" s="1080"/>
      <c r="S54" s="1080"/>
      <c r="T54" s="1080"/>
      <c r="U54" s="1080"/>
      <c r="V54" s="1077"/>
      <c r="W54" s="1077"/>
      <c r="X54" s="1077"/>
      <c r="Y54" s="1077"/>
      <c r="Z54" s="1077"/>
      <c r="AA54" s="1077"/>
      <c r="AB54" s="1077"/>
      <c r="AC54" s="1077"/>
      <c r="AD54" s="2878"/>
      <c r="AE54" s="2878"/>
      <c r="AF54" s="2878"/>
      <c r="AG54" s="2878"/>
      <c r="AH54" s="2878"/>
      <c r="AI54" s="2632"/>
    </row>
    <row r="55" spans="1:35" s="944" customFormat="1" ht="12.75" customHeight="1">
      <c r="A55" s="2581">
        <v>1983</v>
      </c>
      <c r="B55" s="2584"/>
      <c r="C55" s="3183">
        <f>+'1983'!$D$7</f>
        <v>0.4597684512241092</v>
      </c>
      <c r="D55" s="3183">
        <f>+'1983'!$D$8</f>
        <v>0.26940357903925649</v>
      </c>
      <c r="E55" s="3183">
        <f>+'1983'!$D$11</f>
        <v>0.26361442780620437</v>
      </c>
      <c r="F55" s="3183">
        <f>+'1983'!$D$12</f>
        <v>7.2135419304299991E-3</v>
      </c>
      <c r="G55" s="3184">
        <f t="shared" si="13"/>
        <v>1</v>
      </c>
      <c r="H55" s="3177"/>
      <c r="I55" s="2581">
        <v>1983</v>
      </c>
      <c r="J55" s="2584"/>
      <c r="K55" s="3185">
        <f>+'1983'!$F$7</f>
        <v>362</v>
      </c>
      <c r="L55" s="3185">
        <f>+'1983'!$F$8</f>
        <v>148</v>
      </c>
      <c r="M55" s="3185">
        <f>+'1983'!$F$11</f>
        <v>13</v>
      </c>
      <c r="N55" s="3185">
        <f>+'1983'!$F$12</f>
        <v>0</v>
      </c>
      <c r="O55" s="3185">
        <f t="shared" si="12"/>
        <v>523</v>
      </c>
      <c r="P55" s="948"/>
      <c r="Q55" s="1080"/>
      <c r="R55" s="1080"/>
      <c r="S55" s="1080"/>
      <c r="T55" s="1080"/>
      <c r="U55" s="1080"/>
      <c r="V55" s="1077"/>
      <c r="W55" s="1077"/>
      <c r="X55" s="1077"/>
      <c r="Y55" s="1077"/>
      <c r="Z55" s="1077"/>
      <c r="AA55" s="1077"/>
      <c r="AB55" s="1077"/>
      <c r="AC55" s="1077"/>
      <c r="AD55" s="2878"/>
      <c r="AE55" s="2878"/>
      <c r="AF55" s="2878"/>
      <c r="AG55" s="2878"/>
      <c r="AH55" s="2878"/>
      <c r="AI55" s="2632"/>
    </row>
    <row r="56" spans="1:35" s="944" customFormat="1" ht="12.75" customHeight="1">
      <c r="A56" s="2581">
        <v>1987</v>
      </c>
      <c r="B56" s="2584"/>
      <c r="C56" s="3183">
        <f>+'1987'!$D$7</f>
        <v>0.46238693229725208</v>
      </c>
      <c r="D56" s="3183">
        <f>+'1987'!$D$8</f>
        <v>0.29507654774783754</v>
      </c>
      <c r="E56" s="3183">
        <f>+'1987'!$D$11</f>
        <v>0.23835276526209903</v>
      </c>
      <c r="F56" s="3183">
        <f>+'1987'!$D$12</f>
        <v>4.1837546928113496E-3</v>
      </c>
      <c r="G56" s="3184">
        <f t="shared" si="13"/>
        <v>1</v>
      </c>
      <c r="H56" s="3177"/>
      <c r="I56" s="2581">
        <v>1987</v>
      </c>
      <c r="J56" s="2584"/>
      <c r="K56" s="3185">
        <f>+'1987'!$F$7</f>
        <v>358</v>
      </c>
      <c r="L56" s="3185">
        <f>+'1987'!$F$8</f>
        <v>155</v>
      </c>
      <c r="M56" s="3185">
        <f>+'1987'!$F$11</f>
        <v>10</v>
      </c>
      <c r="N56" s="3185">
        <f>+'1987'!$F$12</f>
        <v>0</v>
      </c>
      <c r="O56" s="3185">
        <f t="shared" si="12"/>
        <v>523</v>
      </c>
      <c r="P56" s="948"/>
      <c r="Q56" s="1080"/>
      <c r="R56" s="1080"/>
      <c r="S56" s="1080"/>
      <c r="T56" s="1080"/>
      <c r="U56" s="1080"/>
      <c r="V56" s="1077"/>
      <c r="W56" s="1077"/>
      <c r="X56" s="1077"/>
      <c r="Y56" s="1077"/>
      <c r="Z56" s="1077"/>
      <c r="AA56" s="1077"/>
      <c r="AB56" s="1077"/>
      <c r="AC56" s="1077"/>
      <c r="AD56" s="2878"/>
      <c r="AE56" s="2878"/>
      <c r="AF56" s="2878"/>
      <c r="AG56" s="2878"/>
      <c r="AH56" s="2878"/>
      <c r="AI56" s="2632"/>
    </row>
    <row r="57" spans="1:35" s="944" customFormat="1" ht="12.75" customHeight="1">
      <c r="A57" s="2581">
        <v>1992</v>
      </c>
      <c r="B57" s="2584"/>
      <c r="C57" s="3183">
        <f>+'1992'!$D$7</f>
        <v>0.45461638354802913</v>
      </c>
      <c r="D57" s="3183">
        <f>+'1992'!$D$8</f>
        <v>0.33933985697144992</v>
      </c>
      <c r="E57" s="3183">
        <f>+'1992'!$D$9</f>
        <v>0.19177902372509575</v>
      </c>
      <c r="F57" s="3183">
        <f>+'1992'!$D$10</f>
        <v>1.4264735755425173E-2</v>
      </c>
      <c r="G57" s="3184">
        <f t="shared" si="13"/>
        <v>1</v>
      </c>
      <c r="H57" s="3177"/>
      <c r="I57" s="2581">
        <v>1992</v>
      </c>
      <c r="J57" s="2584"/>
      <c r="K57" s="3185">
        <f>+'1992'!$F$7</f>
        <v>319</v>
      </c>
      <c r="L57" s="3185">
        <f>+'1992'!$F$8</f>
        <v>195</v>
      </c>
      <c r="M57" s="3185">
        <f>+'1992'!$F$9</f>
        <v>10</v>
      </c>
      <c r="N57" s="3185">
        <f>+'1992'!$F$10</f>
        <v>0</v>
      </c>
      <c r="O57" s="3185">
        <f t="shared" si="12"/>
        <v>524</v>
      </c>
      <c r="P57" s="948"/>
      <c r="Q57" s="1080"/>
      <c r="R57" s="1080"/>
      <c r="S57" s="1080"/>
      <c r="T57" s="1080"/>
      <c r="U57" s="1080"/>
      <c r="V57" s="1077"/>
      <c r="W57" s="1077"/>
      <c r="X57" s="1077"/>
      <c r="Y57" s="1077"/>
      <c r="Z57" s="1077"/>
      <c r="AA57" s="1077"/>
      <c r="AB57" s="1077"/>
      <c r="AC57" s="1077"/>
      <c r="AD57" s="2878"/>
      <c r="AE57" s="2878"/>
      <c r="AF57" s="2878"/>
      <c r="AG57" s="2878"/>
      <c r="AH57" s="2878"/>
      <c r="AI57" s="2632"/>
    </row>
    <row r="58" spans="1:35" s="944" customFormat="1" ht="12.75" customHeight="1">
      <c r="A58" s="2581">
        <v>1997</v>
      </c>
      <c r="B58" s="2584"/>
      <c r="C58" s="3183">
        <f>+'1997'!$D$7</f>
        <v>0.33696527288071643</v>
      </c>
      <c r="D58" s="3183">
        <f>+'1997'!$D$8</f>
        <v>0.43547363353952412</v>
      </c>
      <c r="E58" s="3183">
        <f>+'1997'!$D$9</f>
        <v>0.17950100526841081</v>
      </c>
      <c r="F58" s="3183">
        <f>+'1997'!$D$10</f>
        <v>4.8060088311348621E-2</v>
      </c>
      <c r="G58" s="3184">
        <f t="shared" si="13"/>
        <v>1</v>
      </c>
      <c r="H58" s="3177"/>
      <c r="I58" s="2581">
        <v>1997</v>
      </c>
      <c r="J58" s="2584"/>
      <c r="K58" s="3185">
        <f>+'1997'!$F$7</f>
        <v>165</v>
      </c>
      <c r="L58" s="3185">
        <f>+'1997'!$F$8</f>
        <v>328</v>
      </c>
      <c r="M58" s="3185">
        <f>+'1997'!$F$9</f>
        <v>34</v>
      </c>
      <c r="N58" s="3185">
        <f>+'1997'!$F$10</f>
        <v>2</v>
      </c>
      <c r="O58" s="3185">
        <f t="shared" si="12"/>
        <v>529</v>
      </c>
      <c r="P58" s="948"/>
      <c r="Q58" s="1080"/>
      <c r="R58" s="1080"/>
      <c r="S58" s="1080"/>
      <c r="T58" s="1080"/>
      <c r="U58" s="1080"/>
      <c r="V58" s="1077"/>
      <c r="W58" s="1077"/>
      <c r="X58" s="1077"/>
      <c r="Y58" s="1077"/>
      <c r="Z58" s="1077"/>
      <c r="AA58" s="1077"/>
      <c r="AB58" s="1077"/>
      <c r="AC58" s="1077"/>
      <c r="AD58" s="2878"/>
      <c r="AE58" s="2878"/>
      <c r="AF58" s="2878"/>
      <c r="AG58" s="2878"/>
      <c r="AH58" s="2878"/>
      <c r="AI58" s="2632"/>
    </row>
    <row r="59" spans="1:35" s="944" customFormat="1" ht="12.75" customHeight="1">
      <c r="A59" s="2581">
        <v>2001</v>
      </c>
      <c r="B59" s="2584"/>
      <c r="C59" s="3183">
        <f>+'2001'!$D$7</f>
        <v>0.35233660354403745</v>
      </c>
      <c r="D59" s="3183">
        <f>+'2001'!$D$8</f>
        <v>0.41410646780391097</v>
      </c>
      <c r="E59" s="3183">
        <f>+'2001'!$D$9</f>
        <v>0.19417947120452411</v>
      </c>
      <c r="F59" s="3183">
        <f>+'2001'!$D$10</f>
        <v>3.9377457447527436E-2</v>
      </c>
      <c r="G59" s="3184">
        <f>SUM(C59:F59)</f>
        <v>1</v>
      </c>
      <c r="H59" s="3177"/>
      <c r="I59" s="2581">
        <v>2001</v>
      </c>
      <c r="J59" s="2584"/>
      <c r="K59" s="3185">
        <f>+'2001'!$F$7</f>
        <v>165</v>
      </c>
      <c r="L59" s="3185">
        <f>+'2001'!$F$8</f>
        <v>323</v>
      </c>
      <c r="M59" s="3185">
        <f>+'2001'!$F$9</f>
        <v>40</v>
      </c>
      <c r="N59" s="3185">
        <f>+'2001'!$F$10</f>
        <v>1</v>
      </c>
      <c r="O59" s="3185">
        <f>SUM(K59:N59)</f>
        <v>529</v>
      </c>
      <c r="P59" s="948"/>
      <c r="Q59" s="1080"/>
      <c r="R59" s="1080"/>
      <c r="S59" s="1080"/>
      <c r="T59" s="1080"/>
      <c r="U59" s="1080"/>
      <c r="V59" s="1077"/>
      <c r="W59" s="1077"/>
      <c r="X59" s="1077"/>
      <c r="Y59" s="1077"/>
      <c r="Z59" s="1077"/>
      <c r="AA59" s="1077"/>
      <c r="AB59" s="1077"/>
      <c r="AC59" s="1077"/>
      <c r="AD59" s="2878"/>
      <c r="AE59" s="2878"/>
      <c r="AF59" s="2878"/>
      <c r="AG59" s="2878"/>
      <c r="AH59" s="2878"/>
      <c r="AI59" s="2632"/>
    </row>
    <row r="60" spans="1:35" s="944" customFormat="1" ht="12.75" customHeight="1">
      <c r="A60" s="2581">
        <v>2005</v>
      </c>
      <c r="B60" s="2584"/>
      <c r="C60" s="3183">
        <f>+'2005'!$D$7</f>
        <v>0.35742032501153304</v>
      </c>
      <c r="D60" s="3183">
        <f>+'2005'!$D$8</f>
        <v>0.35457447667847264</v>
      </c>
      <c r="E60" s="3183">
        <f>+'2005'!$D$9</f>
        <v>0.22908121112906268</v>
      </c>
      <c r="F60" s="3183">
        <f>+'2005'!$D$10</f>
        <v>5.8923987180931614E-2</v>
      </c>
      <c r="G60" s="3184">
        <f>SUM(C60:F60)</f>
        <v>1</v>
      </c>
      <c r="H60" s="3177"/>
      <c r="I60" s="2581">
        <v>2005</v>
      </c>
      <c r="J60" s="2584"/>
      <c r="K60" s="3185">
        <f>+'2005'!$F$7</f>
        <v>194</v>
      </c>
      <c r="L60" s="3185">
        <f>+'2005'!$F$8</f>
        <v>286</v>
      </c>
      <c r="M60" s="3185">
        <f>+'2005'!$F$9</f>
        <v>47</v>
      </c>
      <c r="N60" s="3185">
        <f>+'2005'!$F$10</f>
        <v>2</v>
      </c>
      <c r="O60" s="3185">
        <f>SUM(K60:N60)</f>
        <v>529</v>
      </c>
      <c r="P60" s="948"/>
      <c r="Q60" s="1080"/>
      <c r="R60" s="1080"/>
      <c r="S60" s="1080"/>
      <c r="T60" s="1080"/>
      <c r="U60" s="1080"/>
      <c r="V60" s="1077"/>
      <c r="W60" s="1077"/>
      <c r="X60" s="1077"/>
      <c r="Y60" s="1077"/>
      <c r="Z60" s="1077"/>
      <c r="AA60" s="1077"/>
      <c r="AB60" s="1077"/>
      <c r="AC60" s="1077"/>
      <c r="AD60" s="2878"/>
      <c r="AE60" s="2878"/>
      <c r="AF60" s="2878"/>
      <c r="AG60" s="2878"/>
      <c r="AH60" s="2878"/>
      <c r="AI60" s="2632"/>
    </row>
    <row r="61" spans="1:35" s="944" customFormat="1" ht="12.75" customHeight="1">
      <c r="A61" s="2581">
        <v>2010</v>
      </c>
      <c r="B61" s="2584"/>
      <c r="C61" s="3183">
        <f>+'2010'!$D$7</f>
        <v>0.39503660660218615</v>
      </c>
      <c r="D61" s="3183">
        <f>+'2010'!$D$8</f>
        <v>0.28066312277353761</v>
      </c>
      <c r="E61" s="3183">
        <f>+'2010'!$D$9</f>
        <v>0.24223707509524639</v>
      </c>
      <c r="F61" s="3183">
        <f>+'2010'!$D$10</f>
        <v>8.2063195529029867E-2</v>
      </c>
      <c r="G61" s="3184">
        <f>SUM(C61:F61)</f>
        <v>1</v>
      </c>
      <c r="H61" s="3160"/>
      <c r="I61" s="2581">
        <v>2010</v>
      </c>
      <c r="J61" s="2584"/>
      <c r="K61" s="2584">
        <f>+'2010'!$F$7</f>
        <v>297</v>
      </c>
      <c r="L61" s="2584">
        <f>+'2010'!$F$8</f>
        <v>191</v>
      </c>
      <c r="M61" s="2584">
        <f>+'2010'!$F$9</f>
        <v>43</v>
      </c>
      <c r="N61" s="2584">
        <f>+'2010'!$F$10</f>
        <v>2</v>
      </c>
      <c r="O61" s="2584">
        <f>SUM(K61:N61)</f>
        <v>533</v>
      </c>
      <c r="P61" s="948"/>
      <c r="Q61" s="1080"/>
      <c r="R61" s="1080"/>
      <c r="S61" s="1080"/>
      <c r="T61" s="1080"/>
      <c r="U61" s="1080"/>
      <c r="V61" s="1077"/>
      <c r="W61" s="1077"/>
      <c r="X61" s="1077"/>
      <c r="Y61" s="1077"/>
      <c r="Z61" s="1077"/>
      <c r="AA61" s="1077"/>
      <c r="AB61" s="1077"/>
      <c r="AC61" s="1077"/>
      <c r="AD61" s="2878"/>
      <c r="AE61" s="2878"/>
      <c r="AF61" s="2878"/>
      <c r="AG61" s="2878"/>
      <c r="AH61" s="2878"/>
      <c r="AI61" s="2632"/>
    </row>
    <row r="62" spans="1:35" s="944" customFormat="1" ht="12.75" customHeight="1">
      <c r="A62" s="2581">
        <v>2015</v>
      </c>
      <c r="B62" s="2584"/>
      <c r="C62" s="3174">
        <f t="shared" ref="C62:F64" si="14">IFERROR(C30/$G30,"..")</f>
        <v>0.40861291546249839</v>
      </c>
      <c r="D62" s="3174">
        <f t="shared" si="14"/>
        <v>0.31628530869073829</v>
      </c>
      <c r="E62" s="3174">
        <f t="shared" si="14"/>
        <v>8.2065942145172835E-2</v>
      </c>
      <c r="F62" s="3174">
        <f t="shared" si="14"/>
        <v>0.19303583370159044</v>
      </c>
      <c r="G62" s="3184">
        <v>1.0000358337015904</v>
      </c>
      <c r="H62" s="3160"/>
      <c r="I62" s="2581">
        <v>2015</v>
      </c>
      <c r="J62" s="2584"/>
      <c r="K62" s="2584">
        <v>318</v>
      </c>
      <c r="L62" s="2584">
        <v>206</v>
      </c>
      <c r="M62" s="2584">
        <v>6</v>
      </c>
      <c r="N62" s="2584">
        <v>3</v>
      </c>
      <c r="O62" s="2584">
        <v>533</v>
      </c>
      <c r="P62" s="948"/>
      <c r="Q62" s="1077"/>
      <c r="R62" s="1077"/>
      <c r="S62" s="1077"/>
      <c r="T62" s="1077"/>
      <c r="U62" s="1077"/>
      <c r="V62" s="1077"/>
      <c r="W62" s="1077"/>
      <c r="X62" s="1077"/>
      <c r="Y62" s="1077"/>
      <c r="Z62" s="1077"/>
      <c r="AA62" s="1077"/>
      <c r="AB62" s="1077"/>
      <c r="AC62" s="1077"/>
      <c r="AD62" s="1077"/>
      <c r="AE62" s="1077"/>
      <c r="AF62" s="1077"/>
      <c r="AG62" s="1077"/>
      <c r="AH62" s="1077"/>
    </row>
    <row r="63" spans="1:35" s="944" customFormat="1" ht="12.75" customHeight="1">
      <c r="A63" s="2581">
        <v>2017</v>
      </c>
      <c r="B63" s="2584"/>
      <c r="C63" s="3174">
        <f t="shared" si="14"/>
        <v>0.4546324937398733</v>
      </c>
      <c r="D63" s="3174">
        <f t="shared" si="14"/>
        <v>0.41939166298423913</v>
      </c>
      <c r="E63" s="3174">
        <f t="shared" si="14"/>
        <v>7.7772867874502868E-2</v>
      </c>
      <c r="F63" s="3174">
        <f t="shared" si="14"/>
        <v>4.8202975401384587E-2</v>
      </c>
      <c r="G63" s="3186">
        <f>SUM(C63:F63)</f>
        <v>1</v>
      </c>
      <c r="H63" s="3160"/>
      <c r="I63" s="2581">
        <v>2017</v>
      </c>
      <c r="J63" s="2584"/>
      <c r="K63" s="3185">
        <v>296</v>
      </c>
      <c r="L63" s="3185">
        <v>227</v>
      </c>
      <c r="M63" s="3185">
        <v>8</v>
      </c>
      <c r="N63" s="3185">
        <v>2</v>
      </c>
      <c r="O63" s="3185">
        <f>SUM(K63:N63)</f>
        <v>533</v>
      </c>
      <c r="P63" s="948"/>
      <c r="Q63" s="1077"/>
      <c r="R63" s="1077"/>
      <c r="S63" s="1077"/>
      <c r="T63" s="1077"/>
      <c r="U63" s="1077"/>
      <c r="V63" s="1077"/>
      <c r="W63" s="1077"/>
      <c r="X63" s="1077"/>
      <c r="Y63" s="1077"/>
      <c r="Z63" s="1077"/>
      <c r="AA63" s="1077"/>
      <c r="AB63" s="1077"/>
      <c r="AC63" s="1077"/>
      <c r="AD63" s="1077"/>
      <c r="AE63" s="1077"/>
      <c r="AF63" s="1077"/>
      <c r="AG63" s="1077"/>
      <c r="AH63" s="1077"/>
    </row>
    <row r="64" spans="1:35" s="944" customFormat="1" ht="12.75" customHeight="1">
      <c r="A64" s="2581">
        <v>2019</v>
      </c>
      <c r="B64" s="2584"/>
      <c r="C64" s="3174">
        <f t="shared" si="14"/>
        <v>0.47231755369058098</v>
      </c>
      <c r="D64" s="3174">
        <f t="shared" si="14"/>
        <v>0.33907900951621073</v>
      </c>
      <c r="E64" s="3174">
        <f t="shared" si="14"/>
        <v>0.1241406651400172</v>
      </c>
      <c r="F64" s="3174">
        <f t="shared" si="14"/>
        <v>6.4462771653191017E-2</v>
      </c>
      <c r="G64" s="3186">
        <f>SUM(C64:F64)</f>
        <v>0.99999999999999989</v>
      </c>
      <c r="H64" s="3160"/>
      <c r="I64" s="2581">
        <v>2019</v>
      </c>
      <c r="J64" s="2584"/>
      <c r="K64" s="3185">
        <v>345</v>
      </c>
      <c r="L64" s="3185">
        <v>179</v>
      </c>
      <c r="M64" s="3185">
        <v>7</v>
      </c>
      <c r="N64" s="3185">
        <v>2</v>
      </c>
      <c r="O64" s="3185">
        <f>SUM(K64:N64)</f>
        <v>533</v>
      </c>
      <c r="P64" s="948"/>
      <c r="Q64" s="1077"/>
      <c r="R64" s="1077"/>
      <c r="S64" s="1077"/>
      <c r="T64" s="1077"/>
      <c r="U64" s="1077"/>
      <c r="V64" s="1077"/>
      <c r="W64" s="1077"/>
      <c r="X64" s="1077"/>
      <c r="Y64" s="1077"/>
      <c r="Z64" s="1077"/>
      <c r="AA64" s="1077"/>
      <c r="AB64" s="1077"/>
      <c r="AC64" s="1077"/>
      <c r="AD64" s="1077"/>
      <c r="AE64" s="1077"/>
      <c r="AF64" s="1077"/>
      <c r="AG64" s="1077"/>
      <c r="AH64" s="1077"/>
    </row>
    <row r="65" spans="1:34" s="944" customFormat="1" ht="3" customHeight="1">
      <c r="A65" s="1007"/>
      <c r="F65" s="1063"/>
      <c r="G65" s="1066">
        <f>SUM(C65:F65)</f>
        <v>0</v>
      </c>
      <c r="H65" s="948"/>
      <c r="O65" s="1050">
        <f>SUM(K65:N65)</f>
        <v>0</v>
      </c>
      <c r="P65" s="948"/>
      <c r="Q65" s="1077"/>
      <c r="R65" s="1077"/>
      <c r="S65" s="1077"/>
      <c r="T65" s="1077"/>
      <c r="U65" s="1077"/>
      <c r="V65" s="1077"/>
      <c r="W65" s="1077"/>
      <c r="X65" s="1077"/>
      <c r="Y65" s="1077"/>
      <c r="Z65" s="1077"/>
      <c r="AA65" s="1077"/>
      <c r="AB65" s="1077"/>
      <c r="AC65" s="1077"/>
      <c r="AD65" s="1077"/>
      <c r="AE65" s="1077"/>
      <c r="AF65" s="1077"/>
      <c r="AG65" s="1077"/>
      <c r="AH65" s="1077"/>
    </row>
    <row r="66" spans="1:34" s="944" customFormat="1" ht="4.5" customHeight="1">
      <c r="A66" s="1083"/>
      <c r="B66" s="1023"/>
      <c r="C66" s="1023"/>
      <c r="D66" s="1023"/>
      <c r="E66" s="1023"/>
      <c r="F66" s="1023"/>
      <c r="G66" s="1023"/>
      <c r="H66" s="948"/>
      <c r="I66" s="1023"/>
      <c r="J66" s="1023"/>
      <c r="K66" s="1023"/>
      <c r="L66" s="1023"/>
      <c r="M66" s="1023"/>
      <c r="N66" s="1023"/>
      <c r="O66" s="1023"/>
      <c r="P66" s="948"/>
      <c r="Q66" s="1077"/>
      <c r="R66" s="1077"/>
      <c r="S66" s="1077"/>
      <c r="T66" s="1077"/>
      <c r="U66" s="1077"/>
      <c r="V66" s="1077"/>
      <c r="W66" s="1077"/>
      <c r="X66" s="1077"/>
      <c r="Y66" s="1077"/>
      <c r="Z66" s="1077"/>
      <c r="AA66" s="1077"/>
      <c r="AB66" s="1077"/>
      <c r="AC66" s="1077"/>
      <c r="AD66" s="1077"/>
      <c r="AE66" s="1077"/>
      <c r="AF66" s="1077"/>
      <c r="AG66" s="1077"/>
      <c r="AH66" s="1077"/>
    </row>
    <row r="67" spans="1:34">
      <c r="A67" s="937" t="s">
        <v>1113</v>
      </c>
      <c r="Q67" s="1074"/>
      <c r="R67" s="1074"/>
      <c r="S67" s="1074"/>
      <c r="T67" s="1074"/>
      <c r="U67" s="1074"/>
      <c r="V67" s="1074"/>
      <c r="W67" s="1074"/>
      <c r="X67" s="1074"/>
      <c r="Y67" s="1074"/>
      <c r="Z67" s="1074"/>
      <c r="AA67" s="1074"/>
      <c r="AB67" s="1074"/>
      <c r="AC67" s="1074"/>
      <c r="AD67" s="1074"/>
      <c r="AE67" s="1074"/>
      <c r="AF67" s="1074"/>
      <c r="AG67" s="1074"/>
      <c r="AH67" s="1074"/>
    </row>
    <row r="68" spans="1:34" ht="22.5" customHeight="1">
      <c r="A68" s="3401" t="s">
        <v>1426</v>
      </c>
      <c r="B68" s="3401"/>
      <c r="C68" s="3401"/>
      <c r="D68" s="3401"/>
      <c r="E68" s="3401"/>
      <c r="F68" s="3401"/>
      <c r="G68" s="3401"/>
      <c r="H68" s="3401"/>
      <c r="I68" s="3401"/>
      <c r="J68" s="3401"/>
      <c r="K68" s="3401"/>
      <c r="L68" s="3401"/>
      <c r="M68" s="3401"/>
      <c r="N68" s="3401"/>
      <c r="O68" s="3401"/>
      <c r="P68" s="3401"/>
      <c r="Q68" s="1074"/>
      <c r="R68" s="1074"/>
      <c r="S68" s="1074"/>
      <c r="T68" s="1074"/>
      <c r="U68" s="1074"/>
      <c r="V68" s="1074"/>
      <c r="W68" s="1074"/>
      <c r="X68" s="1074"/>
      <c r="Y68" s="1074"/>
      <c r="Z68" s="1074"/>
      <c r="AA68" s="1074"/>
      <c r="AB68" s="1074"/>
      <c r="AC68" s="1074"/>
      <c r="AD68" s="1074"/>
      <c r="AE68" s="1074"/>
      <c r="AF68" s="1074"/>
      <c r="AG68" s="1074"/>
      <c r="AH68" s="1074"/>
    </row>
    <row r="69" spans="1:34" ht="22.5" customHeight="1">
      <c r="A69" s="3401" t="s">
        <v>1515</v>
      </c>
      <c r="B69" s="3401"/>
      <c r="C69" s="3401"/>
      <c r="D69" s="3401"/>
      <c r="E69" s="3401"/>
      <c r="F69" s="3401"/>
      <c r="G69" s="3401"/>
      <c r="H69" s="3401"/>
      <c r="I69" s="3401"/>
      <c r="J69" s="3401"/>
      <c r="K69" s="3401"/>
      <c r="L69" s="3401"/>
      <c r="M69" s="3401"/>
      <c r="N69" s="3401"/>
      <c r="O69" s="3401"/>
      <c r="P69" s="3401"/>
      <c r="Q69" s="1074"/>
      <c r="R69" s="1074"/>
      <c r="S69" s="1074"/>
      <c r="T69" s="1074"/>
      <c r="U69" s="1074"/>
      <c r="V69" s="1074"/>
      <c r="W69" s="1074"/>
      <c r="X69" s="1074"/>
      <c r="Y69" s="1074"/>
      <c r="Z69" s="1074"/>
      <c r="AA69" s="1074"/>
      <c r="AB69" s="1074"/>
      <c r="AC69" s="1074"/>
      <c r="AD69" s="1074"/>
      <c r="AE69" s="1074"/>
      <c r="AF69" s="1074"/>
      <c r="AG69" s="1074"/>
      <c r="AH69" s="1074"/>
    </row>
    <row r="70" spans="1:34" ht="22.5" customHeight="1">
      <c r="A70" s="3401" t="s">
        <v>1516</v>
      </c>
      <c r="B70" s="3401"/>
      <c r="C70" s="3401"/>
      <c r="D70" s="3401"/>
      <c r="E70" s="3401"/>
      <c r="F70" s="3401"/>
      <c r="G70" s="3401"/>
      <c r="H70" s="3401"/>
      <c r="I70" s="3401"/>
      <c r="J70" s="3401"/>
      <c r="K70" s="3401"/>
      <c r="L70" s="3401"/>
      <c r="M70" s="3401"/>
      <c r="N70" s="3401"/>
      <c r="O70" s="3401"/>
      <c r="P70" s="3401"/>
      <c r="Q70" s="1074"/>
      <c r="R70" s="1074"/>
      <c r="S70" s="1074"/>
      <c r="T70" s="1074"/>
      <c r="U70" s="1074"/>
      <c r="V70" s="1074"/>
      <c r="W70" s="1074"/>
      <c r="X70" s="1074"/>
      <c r="Y70" s="1074"/>
      <c r="Z70" s="1074"/>
      <c r="AA70" s="1074"/>
      <c r="AB70" s="1074"/>
      <c r="AC70" s="1074"/>
      <c r="AD70" s="1074"/>
      <c r="AE70" s="1074"/>
      <c r="AF70" s="1074"/>
      <c r="AG70" s="1074"/>
      <c r="AH70" s="1074"/>
    </row>
    <row r="71" spans="1:34" ht="4.5" customHeight="1"/>
    <row r="72" spans="1:34">
      <c r="A72" s="937" t="s">
        <v>1114</v>
      </c>
    </row>
    <row r="73" spans="1:34">
      <c r="A73" s="937" t="s">
        <v>2298</v>
      </c>
    </row>
    <row r="74" spans="1:34">
      <c r="A74" s="937" t="s">
        <v>1514</v>
      </c>
    </row>
  </sheetData>
  <mergeCells count="3">
    <mergeCell ref="A68:P68"/>
    <mergeCell ref="A69:P69"/>
    <mergeCell ref="A70:P70"/>
  </mergeCells>
  <conditionalFormatting sqref="AI44:AI61">
    <cfRule type="cellIs" dxfId="203" priority="1" operator="equal">
      <formula>0</formula>
    </cfRule>
  </conditionalFormatting>
  <pageMargins left="0.74803149606299213" right="0.74803149606299213" top="0.98425196850393704" bottom="0.98425196850393704" header="0.51181102362204722" footer="0.51181102362204722"/>
  <pageSetup paperSize="9" scale="64" orientation="portrait" horizontalDpi="300" r:id="rId1"/>
  <headerFooter scaleWithDoc="0" alignWithMargins="0">
    <oddHeader>&amp;R&amp;"Arial,Regular"RESEARCH PAPER 12/43</oddHeader>
    <oddFooter>&amp;C&amp;"Arial,Regular"&amp;11 9</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rgb="FFA3D9BC"/>
    <pageSetUpPr fitToPage="1"/>
  </sheetPr>
  <dimension ref="A1:AN82"/>
  <sheetViews>
    <sheetView showGridLines="0" topLeftCell="E43" zoomScale="85" zoomScaleNormal="85" workbookViewId="0">
      <selection activeCell="J1" sqref="J1:Q65"/>
    </sheetView>
  </sheetViews>
  <sheetFormatPr baseColWidth="10" defaultColWidth="9.3984375" defaultRowHeight="13"/>
  <cols>
    <col min="1" max="1" width="6.19921875" style="937" customWidth="1"/>
    <col min="2" max="2" width="4.796875" style="919" customWidth="1"/>
    <col min="3" max="7" width="10.19921875" style="919" customWidth="1"/>
    <col min="8" max="8" width="10.796875" style="919" customWidth="1"/>
    <col min="9" max="9" width="10.796875" style="1034" customWidth="1"/>
    <col min="10" max="10" width="6.59765625" style="919" customWidth="1"/>
    <col min="11" max="11" width="4.796875" style="919" customWidth="1"/>
    <col min="12" max="16" width="10.19921875" style="919" customWidth="1"/>
    <col min="17" max="17" width="10.796875" style="919" customWidth="1"/>
    <col min="18" max="34" width="9.3984375" style="1034"/>
    <col min="35" max="35" width="12.796875" style="1034" customWidth="1"/>
    <col min="36" max="40" width="9.3984375" style="1034"/>
    <col min="41" max="16384" width="9.3984375" style="919"/>
  </cols>
  <sheetData>
    <row r="1" spans="1:40" ht="23">
      <c r="A1" s="898" t="s">
        <v>2867</v>
      </c>
      <c r="B1" s="1089"/>
      <c r="C1" s="1089"/>
      <c r="D1" s="1089"/>
      <c r="E1" s="1089"/>
      <c r="F1" s="1089"/>
      <c r="G1" s="1089"/>
      <c r="H1" s="1089"/>
      <c r="J1" s="898" t="s">
        <v>2868</v>
      </c>
      <c r="K1" s="1089"/>
      <c r="L1" s="1089"/>
      <c r="M1" s="1089"/>
      <c r="N1" s="1089"/>
      <c r="O1" s="1089"/>
      <c r="P1" s="1089"/>
      <c r="Q1" s="1089"/>
    </row>
    <row r="2" spans="1:40">
      <c r="A2" s="1036"/>
      <c r="B2" s="1037"/>
      <c r="C2" s="1038" t="s">
        <v>98</v>
      </c>
      <c r="D2" s="1039"/>
      <c r="E2" s="1039"/>
      <c r="F2" s="1039"/>
      <c r="G2" s="1039"/>
      <c r="H2" s="1039"/>
      <c r="J2" s="1037"/>
      <c r="K2" s="1037"/>
      <c r="L2" s="1038" t="s">
        <v>37</v>
      </c>
      <c r="M2" s="1039"/>
      <c r="N2" s="1039"/>
      <c r="O2" s="1039"/>
      <c r="P2" s="1039"/>
      <c r="Q2" s="1039"/>
    </row>
    <row r="3" spans="1:40" s="944" customFormat="1" ht="16">
      <c r="A3" s="1042"/>
      <c r="B3" s="1023"/>
      <c r="C3" s="2243" t="s">
        <v>2301</v>
      </c>
      <c r="D3" s="2244" t="s">
        <v>807</v>
      </c>
      <c r="E3" s="2245" t="s">
        <v>2302</v>
      </c>
      <c r="F3" s="2263" t="s">
        <v>2388</v>
      </c>
      <c r="G3" s="2246" t="s">
        <v>1972</v>
      </c>
      <c r="H3" s="1039" t="s">
        <v>16</v>
      </c>
      <c r="I3" s="948"/>
      <c r="J3" s="1023"/>
      <c r="K3" s="1023"/>
      <c r="L3" s="2243" t="s">
        <v>2301</v>
      </c>
      <c r="M3" s="2244" t="s">
        <v>807</v>
      </c>
      <c r="N3" s="2245" t="s">
        <v>2302</v>
      </c>
      <c r="O3" s="2263" t="s">
        <v>2388</v>
      </c>
      <c r="P3" s="2246" t="s">
        <v>1972</v>
      </c>
      <c r="Q3" s="1039" t="s">
        <v>16</v>
      </c>
      <c r="R3" s="948"/>
      <c r="S3" s="948"/>
      <c r="T3" s="2243" t="s">
        <v>2301</v>
      </c>
      <c r="U3" s="2244" t="s">
        <v>807</v>
      </c>
      <c r="V3" s="2245" t="s">
        <v>2302</v>
      </c>
      <c r="W3" s="2263" t="s">
        <v>2388</v>
      </c>
      <c r="X3" s="2246" t="s">
        <v>1972</v>
      </c>
      <c r="Y3" s="948"/>
      <c r="Z3" s="948"/>
      <c r="AA3" s="948"/>
      <c r="AB3" s="948"/>
      <c r="AC3" s="948"/>
      <c r="AD3" s="948"/>
      <c r="AE3" s="948"/>
      <c r="AF3" s="948"/>
      <c r="AG3" s="948"/>
      <c r="AH3" s="948"/>
      <c r="AI3" s="948"/>
      <c r="AJ3" s="948"/>
      <c r="AK3" s="948"/>
      <c r="AL3" s="948"/>
      <c r="AM3" s="948"/>
      <c r="AN3" s="948"/>
    </row>
    <row r="4" spans="1:40" s="1037" customFormat="1" ht="3" customHeight="1">
      <c r="A4" s="1036"/>
      <c r="I4" s="1034"/>
      <c r="J4" s="1036"/>
      <c r="L4" s="2532"/>
      <c r="M4" s="2532"/>
      <c r="N4" s="2532"/>
      <c r="O4" s="2532"/>
      <c r="P4" s="2532"/>
      <c r="R4" s="1034"/>
      <c r="S4" s="1034"/>
      <c r="T4" s="1034"/>
      <c r="U4" s="1034"/>
      <c r="V4" s="1034"/>
      <c r="W4" s="1034"/>
      <c r="X4" s="1034"/>
      <c r="Y4" s="1034"/>
      <c r="Z4" s="1034"/>
      <c r="AA4" s="1034"/>
      <c r="AB4" s="1034"/>
      <c r="AC4" s="1034"/>
      <c r="AD4" s="1034"/>
      <c r="AE4" s="1034"/>
      <c r="AF4" s="1034"/>
      <c r="AG4" s="1034"/>
      <c r="AH4" s="1034"/>
      <c r="AI4" s="1034"/>
      <c r="AJ4" s="1034"/>
      <c r="AK4" s="1034"/>
      <c r="AL4" s="1034"/>
      <c r="AM4" s="1034"/>
      <c r="AN4" s="1034"/>
    </row>
    <row r="5" spans="1:40" s="1074" customFormat="1" ht="12.75" customHeight="1">
      <c r="A5" s="3151">
        <v>1918</v>
      </c>
      <c r="B5" s="2841"/>
      <c r="C5" s="3212">
        <f>T5/1000</f>
        <v>59.591999999999999</v>
      </c>
      <c r="D5" s="3212">
        <f>U5/1000</f>
        <v>163.05500000000001</v>
      </c>
      <c r="E5" s="3212">
        <f>V5/1000</f>
        <v>258.75900000000001</v>
      </c>
      <c r="F5" s="3212"/>
      <c r="G5" s="3212">
        <f>X5/1000</f>
        <v>47.628</v>
      </c>
      <c r="H5" s="3212">
        <f>Y5/1000</f>
        <v>529.03399999999999</v>
      </c>
      <c r="I5" s="2841"/>
      <c r="J5" s="3151">
        <v>1918</v>
      </c>
      <c r="K5" s="2841"/>
      <c r="L5" s="3213">
        <f>('1918 '!$E$23+'1918 '!$E$27)</f>
        <v>8</v>
      </c>
      <c r="M5" s="3213">
        <f>'1918 '!$E$29</f>
        <v>25</v>
      </c>
      <c r="N5" s="3213">
        <f>'1918 '!$E$24+'1918 '!$E$28</f>
        <v>29</v>
      </c>
      <c r="O5" s="3214"/>
      <c r="P5" s="3153">
        <f>Q5-SUM(L5:O5)</f>
        <v>9</v>
      </c>
      <c r="Q5" s="2841">
        <f>'1918 '!$E$31</f>
        <v>71</v>
      </c>
      <c r="S5" s="2641">
        <v>1918</v>
      </c>
      <c r="T5" s="2881">
        <f>('1918 '!$B$23+'1918 '!$B$27)</f>
        <v>59592</v>
      </c>
      <c r="U5" s="2881">
        <f>'1918 '!$B$29</f>
        <v>163055</v>
      </c>
      <c r="V5" s="2881">
        <f>'1918 '!$B$24+'1918 '!$B$28</f>
        <v>258759</v>
      </c>
      <c r="W5" s="2826"/>
      <c r="X5" s="2825">
        <f>Y5-SUM(T5:W5)</f>
        <v>47628</v>
      </c>
      <c r="Y5" s="1074">
        <f>'1918 '!$B$31</f>
        <v>529034</v>
      </c>
    </row>
    <row r="6" spans="1:40" ht="12.75" customHeight="1">
      <c r="A6" s="3155">
        <v>1922</v>
      </c>
      <c r="B6" s="2635"/>
      <c r="C6" s="3212">
        <f t="shared" ref="C6:C11" si="0">T6/1000</f>
        <v>190.91900000000001</v>
      </c>
      <c r="D6" s="3212">
        <f t="shared" ref="D6:D11" si="1">U6/1000</f>
        <v>363.56799999999998</v>
      </c>
      <c r="E6" s="3212">
        <f t="shared" ref="E6:E11" si="2">V6/1000</f>
        <v>305.95699999999999</v>
      </c>
      <c r="F6" s="3212"/>
      <c r="G6" s="3212">
        <f t="shared" ref="G6:G11" si="3">X6/1000</f>
        <v>32.256</v>
      </c>
      <c r="H6" s="3212">
        <f t="shared" ref="H6:H11" si="4">Y6/1000</f>
        <v>892.7</v>
      </c>
      <c r="I6" s="3166"/>
      <c r="J6" s="3155">
        <v>1922</v>
      </c>
      <c r="K6" s="2635"/>
      <c r="L6" s="3157">
        <f>'1922'!$E$14</f>
        <v>19</v>
      </c>
      <c r="M6" s="3157">
        <f>'1922'!$E$17</f>
        <v>28</v>
      </c>
      <c r="N6" s="3157">
        <f>'1922'!$E$15+'1922'!$E$16</f>
        <v>30</v>
      </c>
      <c r="O6" s="3173"/>
      <c r="P6" s="3153">
        <f t="shared" ref="P6:P11" si="5">Q6-SUM(L6:O6)</f>
        <v>3</v>
      </c>
      <c r="Q6" s="2841">
        <f>'1922'!$E$19</f>
        <v>80</v>
      </c>
      <c r="S6" s="2641">
        <v>1922</v>
      </c>
      <c r="T6" s="2876">
        <f>'1922'!$B$14</f>
        <v>190919</v>
      </c>
      <c r="U6" s="2876">
        <f>'1922'!$B$17</f>
        <v>363568</v>
      </c>
      <c r="V6" s="2876">
        <f>'1922'!$B$15+'1922'!$B$16</f>
        <v>305957</v>
      </c>
      <c r="W6" s="2827"/>
      <c r="X6" s="2825">
        <f t="shared" ref="X6:X11" si="6">Y6-SUM(T6:W6)</f>
        <v>32256</v>
      </c>
      <c r="Y6" s="1074">
        <f>'1922'!$B$19</f>
        <v>892700</v>
      </c>
      <c r="Z6" s="1074"/>
    </row>
    <row r="7" spans="1:40" ht="12.75" customHeight="1">
      <c r="A7" s="3155">
        <v>1923</v>
      </c>
      <c r="B7" s="2635"/>
      <c r="C7" s="3212">
        <f t="shared" si="0"/>
        <v>178.113</v>
      </c>
      <c r="D7" s="3212">
        <f t="shared" si="1"/>
        <v>355.17200000000003</v>
      </c>
      <c r="E7" s="3212">
        <f t="shared" si="2"/>
        <v>299.31400000000002</v>
      </c>
      <c r="F7" s="3212"/>
      <c r="G7" s="3212">
        <f t="shared" si="3"/>
        <v>12.468999999999999</v>
      </c>
      <c r="H7" s="3212">
        <f t="shared" si="4"/>
        <v>845.06799999999998</v>
      </c>
      <c r="I7" s="3166"/>
      <c r="J7" s="3155">
        <v>1923</v>
      </c>
      <c r="K7" s="2635"/>
      <c r="L7" s="3152">
        <f>'1923'!$E$12</f>
        <v>19</v>
      </c>
      <c r="M7" s="3152">
        <f>'1923'!$E$14</f>
        <v>27</v>
      </c>
      <c r="N7" s="3152">
        <f>'1923'!$E$13</f>
        <v>31</v>
      </c>
      <c r="O7" s="3173"/>
      <c r="P7" s="3153">
        <f t="shared" si="5"/>
        <v>1</v>
      </c>
      <c r="Q7" s="3166">
        <f>'1923'!$E$16</f>
        <v>78</v>
      </c>
      <c r="S7" s="2641">
        <v>1923</v>
      </c>
      <c r="T7" s="2875">
        <f>'1923'!$B$12</f>
        <v>178113</v>
      </c>
      <c r="U7" s="2875">
        <f>'1923'!$B$14</f>
        <v>355172</v>
      </c>
      <c r="V7" s="2875">
        <f>'1923'!$B$13</f>
        <v>299314</v>
      </c>
      <c r="W7" s="2827"/>
      <c r="X7" s="2825">
        <f t="shared" si="6"/>
        <v>12469</v>
      </c>
      <c r="Y7" s="1034">
        <f>'1923'!$B$16</f>
        <v>845068</v>
      </c>
    </row>
    <row r="8" spans="1:40" ht="12.75" customHeight="1">
      <c r="A8" s="3155">
        <v>1924</v>
      </c>
      <c r="B8" s="2635"/>
      <c r="C8" s="3212">
        <f t="shared" si="0"/>
        <v>224.01400000000001</v>
      </c>
      <c r="D8" s="3212">
        <f t="shared" si="1"/>
        <v>320.39699999999999</v>
      </c>
      <c r="E8" s="3212">
        <f t="shared" si="2"/>
        <v>244.828</v>
      </c>
      <c r="F8" s="3212"/>
      <c r="G8" s="3212">
        <f t="shared" si="3"/>
        <v>0</v>
      </c>
      <c r="H8" s="3212">
        <f t="shared" si="4"/>
        <v>789.23900000000003</v>
      </c>
      <c r="I8" s="3166"/>
      <c r="J8" s="3155">
        <v>1924</v>
      </c>
      <c r="K8" s="2635"/>
      <c r="L8" s="3152">
        <f>'1924'!$E$14</f>
        <v>17</v>
      </c>
      <c r="M8" s="3152">
        <f>'1924'!$E$16</f>
        <v>33</v>
      </c>
      <c r="N8" s="3152">
        <f>'1924'!$E$15</f>
        <v>21</v>
      </c>
      <c r="O8" s="3173"/>
      <c r="P8" s="3153">
        <f t="shared" si="5"/>
        <v>0</v>
      </c>
      <c r="Q8" s="3166">
        <f>'1924'!$E$17</f>
        <v>71</v>
      </c>
      <c r="S8" s="2641">
        <v>1924</v>
      </c>
      <c r="T8" s="2875">
        <f>'1924'!$B$14</f>
        <v>224014</v>
      </c>
      <c r="U8" s="2875">
        <f>'1924'!$B$16</f>
        <v>320397</v>
      </c>
      <c r="V8" s="2875">
        <f>'1924'!$B$15</f>
        <v>244828</v>
      </c>
      <c r="W8" s="2827"/>
      <c r="X8" s="2880">
        <f>Y8-SUM(T8:W8)</f>
        <v>0</v>
      </c>
      <c r="Y8" s="1034">
        <f>'1924'!$B$17</f>
        <v>789239</v>
      </c>
    </row>
    <row r="9" spans="1:40" ht="12.75" customHeight="1">
      <c r="A9" s="3155">
        <v>1929</v>
      </c>
      <c r="B9" s="2635"/>
      <c r="C9" s="3212">
        <f t="shared" si="0"/>
        <v>289.69499999999999</v>
      </c>
      <c r="D9" s="3212">
        <f t="shared" si="1"/>
        <v>577.55399999999997</v>
      </c>
      <c r="E9" s="3212">
        <f t="shared" si="2"/>
        <v>440.911</v>
      </c>
      <c r="F9" s="3212">
        <f>W9/1000</f>
        <v>0.60899999999999999</v>
      </c>
      <c r="G9" s="3212">
        <f t="shared" si="3"/>
        <v>8.1430000000000007</v>
      </c>
      <c r="H9" s="3212">
        <f t="shared" si="4"/>
        <v>1316.912</v>
      </c>
      <c r="I9" s="3166"/>
      <c r="J9" s="3155">
        <v>1929</v>
      </c>
      <c r="K9" s="2635"/>
      <c r="L9" s="3152">
        <f>'1929'!$E$13</f>
        <v>35</v>
      </c>
      <c r="M9" s="3152">
        <f>'1929'!$E$15</f>
        <v>33</v>
      </c>
      <c r="N9" s="3152">
        <f>'1929'!$E$14</f>
        <v>34</v>
      </c>
      <c r="O9" s="3152">
        <f>'1929'!$E$16</f>
        <v>1</v>
      </c>
      <c r="P9" s="3153">
        <f t="shared" si="5"/>
        <v>3</v>
      </c>
      <c r="Q9" s="3166">
        <f>'1929'!$E$18</f>
        <v>106</v>
      </c>
      <c r="S9" s="2641">
        <v>1929</v>
      </c>
      <c r="T9" s="2875">
        <f>'1929'!$B$13</f>
        <v>289695</v>
      </c>
      <c r="U9" s="2875">
        <f>'1929'!$B$15</f>
        <v>577554</v>
      </c>
      <c r="V9" s="2875">
        <f>'1929'!$B$14</f>
        <v>440911</v>
      </c>
      <c r="W9" s="2875">
        <f>'1929'!$B$16</f>
        <v>609</v>
      </c>
      <c r="X9" s="2825">
        <f t="shared" si="6"/>
        <v>8143</v>
      </c>
      <c r="Y9" s="1034">
        <f>'1929'!$B$18</f>
        <v>1316912</v>
      </c>
    </row>
    <row r="10" spans="1:40" ht="12.75" customHeight="1">
      <c r="A10" s="3155">
        <v>1931</v>
      </c>
      <c r="B10" s="2635"/>
      <c r="C10" s="3212">
        <f t="shared" si="0"/>
        <v>340.69799999999998</v>
      </c>
      <c r="D10" s="3212">
        <f t="shared" si="1"/>
        <v>479.54700000000003</v>
      </c>
      <c r="E10" s="3212">
        <f t="shared" si="2"/>
        <v>229.011</v>
      </c>
      <c r="F10" s="3212">
        <f>W10/1000</f>
        <v>1.1359999999999999</v>
      </c>
      <c r="G10" s="3212">
        <f t="shared" si="3"/>
        <v>38.154000000000003</v>
      </c>
      <c r="H10" s="3212">
        <f t="shared" si="4"/>
        <v>1088.546</v>
      </c>
      <c r="I10" s="3166"/>
      <c r="J10" s="3155">
        <v>1931</v>
      </c>
      <c r="K10" s="2635"/>
      <c r="L10" s="3152">
        <f>'1931'!$E$19+'1931'!$E$21+'1931'!$E$22</f>
        <v>20</v>
      </c>
      <c r="M10" s="3152">
        <f>'1931'!$E$25</f>
        <v>30</v>
      </c>
      <c r="N10" s="3152">
        <f>'1931'!$E$20+'1931'!$E$24</f>
        <v>14</v>
      </c>
      <c r="O10" s="3152">
        <f>'1931'!$E$26</f>
        <v>1</v>
      </c>
      <c r="P10" s="3153">
        <f t="shared" si="5"/>
        <v>7</v>
      </c>
      <c r="Q10" s="3166">
        <f>'1931'!$E$30</f>
        <v>72</v>
      </c>
      <c r="S10" s="2641">
        <v>1931</v>
      </c>
      <c r="T10" s="2875">
        <f>'1931'!$B$19+'1931'!$B$21+'1931'!$B$22</f>
        <v>340698</v>
      </c>
      <c r="U10" s="2875">
        <f>'1931'!$B$25</f>
        <v>479547</v>
      </c>
      <c r="V10" s="2875">
        <f>'1931'!$B$20+'1931'!$B$24</f>
        <v>229011</v>
      </c>
      <c r="W10" s="2875">
        <f>'1931'!$B$26</f>
        <v>1136</v>
      </c>
      <c r="X10" s="2825">
        <f t="shared" si="6"/>
        <v>38154</v>
      </c>
      <c r="Y10" s="1034">
        <f>'1931'!$B$30</f>
        <v>1088546</v>
      </c>
    </row>
    <row r="11" spans="1:40" ht="12.75" customHeight="1">
      <c r="A11" s="3155">
        <v>1935</v>
      </c>
      <c r="B11" s="2635"/>
      <c r="C11" s="3212">
        <f t="shared" si="0"/>
        <v>292.52699999999999</v>
      </c>
      <c r="D11" s="3212">
        <f t="shared" si="1"/>
        <v>395.83</v>
      </c>
      <c r="E11" s="3212">
        <f t="shared" si="2"/>
        <v>157.09100000000001</v>
      </c>
      <c r="F11" s="3212">
        <f>W11/1000</f>
        <v>2.5339999999999998</v>
      </c>
      <c r="G11" s="3212">
        <f t="shared" si="3"/>
        <v>23.295000000000002</v>
      </c>
      <c r="H11" s="3212">
        <f t="shared" si="4"/>
        <v>871.27700000000004</v>
      </c>
      <c r="I11" s="3166"/>
      <c r="J11" s="3155">
        <v>1935</v>
      </c>
      <c r="K11" s="2635"/>
      <c r="L11" s="3152">
        <f>'1935'!$E$17+'1935'!$E$18+'1935'!$E$19+'1935'!$E$20</f>
        <v>20</v>
      </c>
      <c r="M11" s="3152">
        <f>'1935'!$E$23</f>
        <v>33</v>
      </c>
      <c r="N11" s="3152">
        <f>'1935'!$E$22</f>
        <v>12</v>
      </c>
      <c r="O11" s="3152">
        <f>'1935'!$E$24</f>
        <v>1</v>
      </c>
      <c r="P11" s="3153">
        <f t="shared" si="5"/>
        <v>2</v>
      </c>
      <c r="Q11" s="3166">
        <f>'1935'!$E$27</f>
        <v>68</v>
      </c>
      <c r="S11" s="2641">
        <v>1935</v>
      </c>
      <c r="T11" s="2875">
        <f>'1935'!$B$17+'1935'!$B$18+'1935'!$B$19+'1935'!$B$20</f>
        <v>292527</v>
      </c>
      <c r="U11" s="2875">
        <f>'1935'!$B$23</f>
        <v>395830</v>
      </c>
      <c r="V11" s="2875">
        <f>'1935'!$B$22</f>
        <v>157091</v>
      </c>
      <c r="W11" s="2875">
        <f>'1935'!$B$24</f>
        <v>2534</v>
      </c>
      <c r="X11" s="2825">
        <f t="shared" si="6"/>
        <v>23295</v>
      </c>
      <c r="Y11" s="1034">
        <f>'1935'!$B$27</f>
        <v>871277</v>
      </c>
    </row>
    <row r="12" spans="1:40" ht="12.75" customHeight="1">
      <c r="A12" s="3155">
        <v>1945</v>
      </c>
      <c r="B12" s="2635"/>
      <c r="C12" s="3197">
        <f>+'1945'!$C$19/1000</f>
        <v>316.72899999999998</v>
      </c>
      <c r="D12" s="3197">
        <f>+'1945'!$C$20/1000</f>
        <v>779.18399999999997</v>
      </c>
      <c r="E12" s="3197">
        <f>+'1945'!$C$21/1000</f>
        <v>198.553</v>
      </c>
      <c r="F12" s="3197">
        <f>+'1945'!$C$22/1000</f>
        <v>14.321</v>
      </c>
      <c r="G12" s="3197">
        <f t="shared" ref="G12:G26" si="7">+H12-SUM(C12:F12)</f>
        <v>21.884000000000242</v>
      </c>
      <c r="H12" s="3197">
        <f>+'1945'!$C$15/1000</f>
        <v>1330.671</v>
      </c>
      <c r="I12" s="3166"/>
      <c r="J12" s="3155">
        <v>1945</v>
      </c>
      <c r="K12" s="2635"/>
      <c r="L12" s="3163">
        <f>+'1945'!$E$19</f>
        <v>27</v>
      </c>
      <c r="M12" s="3163">
        <f>+'1945'!$E$20</f>
        <v>34</v>
      </c>
      <c r="N12" s="3163">
        <f>+'1945'!$E$21</f>
        <v>17</v>
      </c>
      <c r="O12" s="3163">
        <f>'1945'!$E$22</f>
        <v>6</v>
      </c>
      <c r="P12" s="3163">
        <f t="shared" ref="P12:P26" si="8">+Q12-SUM(L12:O12)</f>
        <v>3</v>
      </c>
      <c r="Q12" s="3163">
        <f>+'1945'!$E$15</f>
        <v>87</v>
      </c>
      <c r="S12" s="1049"/>
      <c r="T12" s="1049"/>
      <c r="U12" s="1049"/>
      <c r="V12" s="1049"/>
      <c r="W12" s="1049"/>
      <c r="X12" s="1049"/>
      <c r="Z12" s="948"/>
    </row>
    <row r="13" spans="1:40" ht="12.75" customHeight="1">
      <c r="A13" s="3155">
        <v>1950</v>
      </c>
      <c r="B13" s="2635"/>
      <c r="C13" s="3197">
        <f>+'1950'!$C$17/1000</f>
        <v>418.66800000000001</v>
      </c>
      <c r="D13" s="3197">
        <f>+'1950'!$C$18/1000</f>
        <v>887.98400000000004</v>
      </c>
      <c r="E13" s="3197">
        <f>+'1950'!$C$19/1000</f>
        <v>193.09</v>
      </c>
      <c r="F13" s="3197">
        <f>+'1950'!$C$20/1000</f>
        <v>17.579999999999998</v>
      </c>
      <c r="G13" s="3197">
        <f t="shared" si="7"/>
        <v>11.232000000000198</v>
      </c>
      <c r="H13" s="3197">
        <f>+'1950'!$C$14/1000</f>
        <v>1528.5540000000001</v>
      </c>
      <c r="I13" s="3166"/>
      <c r="J13" s="3155">
        <v>1950</v>
      </c>
      <c r="K13" s="2635"/>
      <c r="L13" s="3163">
        <f>+'1950'!$E$17</f>
        <v>35</v>
      </c>
      <c r="M13" s="3163">
        <f>+'1950'!$E$18</f>
        <v>36</v>
      </c>
      <c r="N13" s="3163">
        <f>+'1950'!$E$19</f>
        <v>21</v>
      </c>
      <c r="O13" s="3163">
        <f>+'1950'!$E$20</f>
        <v>7</v>
      </c>
      <c r="P13" s="3163">
        <f t="shared" si="8"/>
        <v>6</v>
      </c>
      <c r="Q13" s="3163">
        <f>+'1950'!$E$14</f>
        <v>105</v>
      </c>
      <c r="S13" s="1049"/>
      <c r="T13" s="1049"/>
      <c r="U13" s="1049"/>
      <c r="V13" s="1049"/>
      <c r="W13" s="1049"/>
      <c r="X13" s="1049"/>
      <c r="Y13" s="1049"/>
      <c r="Z13" s="948"/>
    </row>
    <row r="14" spans="1:40" ht="12.75" customHeight="1">
      <c r="A14" s="3155">
        <v>1951</v>
      </c>
      <c r="B14" s="2635"/>
      <c r="C14" s="3197">
        <f>+'1951'!$C$17/1000</f>
        <v>471.26900000000001</v>
      </c>
      <c r="D14" s="3197">
        <f>+'1951'!$C$18/1000</f>
        <v>925.84799999999996</v>
      </c>
      <c r="E14" s="3197">
        <f>+'1951'!$C$19/1000</f>
        <v>116.821</v>
      </c>
      <c r="F14" s="3197">
        <f>+'1951'!$C$20/1000</f>
        <v>10.92</v>
      </c>
      <c r="G14" s="3197">
        <f t="shared" si="7"/>
        <v>4.5910000000001219</v>
      </c>
      <c r="H14" s="3197">
        <f>+'1951'!$C$14/1000</f>
        <v>1529.4490000000001</v>
      </c>
      <c r="I14" s="3166"/>
      <c r="J14" s="3155">
        <v>1951</v>
      </c>
      <c r="K14" s="2635"/>
      <c r="L14" s="3163">
        <f>+'1951'!$E$17</f>
        <v>33</v>
      </c>
      <c r="M14" s="3163">
        <f>+'1951'!$E$18</f>
        <v>36</v>
      </c>
      <c r="N14" s="3163">
        <f>+'1951'!$E$19</f>
        <v>9</v>
      </c>
      <c r="O14" s="3163">
        <f>+'1951'!$E$20</f>
        <v>4</v>
      </c>
      <c r="P14" s="3163">
        <f>+Q14-SUM(L14:O14)</f>
        <v>2</v>
      </c>
      <c r="Q14" s="3163">
        <f>+'1951'!$E$14</f>
        <v>84</v>
      </c>
      <c r="S14" s="1049"/>
      <c r="T14" s="1049"/>
      <c r="U14" s="1049"/>
      <c r="V14" s="1049"/>
      <c r="W14" s="1049"/>
      <c r="X14" s="1049"/>
      <c r="Y14" s="1049"/>
      <c r="Z14" s="948"/>
    </row>
    <row r="15" spans="1:40" ht="12.75" customHeight="1">
      <c r="A15" s="3155">
        <v>1955</v>
      </c>
      <c r="B15" s="2635"/>
      <c r="C15" s="3197">
        <f>+'1955'!$C$17/1000</f>
        <v>428.86599999999999</v>
      </c>
      <c r="D15" s="3197">
        <f>+'1955'!$C$18/1000</f>
        <v>825.69</v>
      </c>
      <c r="E15" s="3197">
        <f>+'1955'!$C$19/1000</f>
        <v>104.095</v>
      </c>
      <c r="F15" s="3197">
        <f>+'1955'!$C$20/1000</f>
        <v>45.119</v>
      </c>
      <c r="G15" s="3197">
        <f t="shared" si="7"/>
        <v>29.953999999999951</v>
      </c>
      <c r="H15" s="3197">
        <f>+'1955'!$C$14/1000</f>
        <v>1433.7239999999999</v>
      </c>
      <c r="I15" s="3166"/>
      <c r="J15" s="3155">
        <v>1955</v>
      </c>
      <c r="K15" s="2635"/>
      <c r="L15" s="3163">
        <f>+'1955'!$E$17</f>
        <v>32</v>
      </c>
      <c r="M15" s="3163">
        <f>+'1955'!$E$18</f>
        <v>36</v>
      </c>
      <c r="N15" s="3163">
        <f>+'1955'!$E$19</f>
        <v>10</v>
      </c>
      <c r="O15" s="3163">
        <f>+'1955'!$E$20</f>
        <v>11</v>
      </c>
      <c r="P15" s="3163">
        <f t="shared" si="8"/>
        <v>2</v>
      </c>
      <c r="Q15" s="3163">
        <f>+'1955'!$E$14</f>
        <v>91</v>
      </c>
      <c r="S15" s="1049"/>
      <c r="T15" s="1049"/>
      <c r="U15" s="1049"/>
      <c r="V15" s="1049"/>
      <c r="W15" s="1049"/>
      <c r="X15" s="1049"/>
      <c r="Y15" s="1049"/>
      <c r="Z15" s="948"/>
    </row>
    <row r="16" spans="1:40" ht="12.75" customHeight="1">
      <c r="A16" s="3155">
        <v>1959</v>
      </c>
      <c r="B16" s="2635"/>
      <c r="C16" s="3197">
        <f>+'1959'!$C$17/1000</f>
        <v>486.33499999999998</v>
      </c>
      <c r="D16" s="3197">
        <f>+'1959'!$C$18/1000</f>
        <v>841.45</v>
      </c>
      <c r="E16" s="3197">
        <f>+'1959'!$C$19/1000</f>
        <v>78.950999999999993</v>
      </c>
      <c r="F16" s="3197">
        <f>+'1959'!$C$20/1000</f>
        <v>77.570999999999998</v>
      </c>
      <c r="G16" s="3197">
        <f t="shared" si="7"/>
        <v>6.9500000000000455</v>
      </c>
      <c r="H16" s="3197">
        <f>+'1959'!$C$14/1000</f>
        <v>1491.2570000000001</v>
      </c>
      <c r="I16" s="3166"/>
      <c r="J16" s="3155">
        <v>1959</v>
      </c>
      <c r="K16" s="2635"/>
      <c r="L16" s="3163">
        <f>+'1959'!$E$17</f>
        <v>34</v>
      </c>
      <c r="M16" s="3163">
        <f>+'1959'!$E$18</f>
        <v>36</v>
      </c>
      <c r="N16" s="3163">
        <f>+'1959'!$E$19</f>
        <v>8</v>
      </c>
      <c r="O16" s="3163">
        <f>+'1959'!$E$20</f>
        <v>20</v>
      </c>
      <c r="P16" s="3163">
        <f t="shared" si="8"/>
        <v>3</v>
      </c>
      <c r="Q16" s="3163">
        <f>+'1959'!$E$14</f>
        <v>101</v>
      </c>
      <c r="S16" s="1049"/>
      <c r="T16" s="1049"/>
      <c r="U16" s="1049"/>
      <c r="V16" s="1049"/>
      <c r="W16" s="1049"/>
      <c r="X16" s="1049"/>
      <c r="Y16" s="1049"/>
      <c r="Z16" s="948"/>
    </row>
    <row r="17" spans="1:26" ht="12.75" customHeight="1">
      <c r="A17" s="3155">
        <v>1964</v>
      </c>
      <c r="B17" s="2635"/>
      <c r="C17" s="3197">
        <f>+'1964'!$C$17/1000</f>
        <v>425.02199999999999</v>
      </c>
      <c r="D17" s="3197">
        <f>+'1964'!$C$18/1000</f>
        <v>837.02200000000005</v>
      </c>
      <c r="E17" s="3197">
        <f>+'1964'!$C$19/1000</f>
        <v>106.114</v>
      </c>
      <c r="F17" s="3197">
        <f>+'1964'!$C$20/1000</f>
        <v>69.507000000000005</v>
      </c>
      <c r="G17" s="3197">
        <f t="shared" si="7"/>
        <v>9.3769999999997253</v>
      </c>
      <c r="H17" s="3197">
        <f>+'1964'!$C$14/1000</f>
        <v>1447.0419999999999</v>
      </c>
      <c r="I17" s="3166"/>
      <c r="J17" s="3155">
        <v>1964</v>
      </c>
      <c r="K17" s="2635"/>
      <c r="L17" s="3163">
        <f>+'1964'!$E$17</f>
        <v>36</v>
      </c>
      <c r="M17" s="3163">
        <f>+'1964'!$E$18</f>
        <v>36</v>
      </c>
      <c r="N17" s="3163">
        <f>+'1964'!$E$19</f>
        <v>12</v>
      </c>
      <c r="O17" s="3163">
        <f>+'1964'!$E$20</f>
        <v>23</v>
      </c>
      <c r="P17" s="3163">
        <f t="shared" si="8"/>
        <v>5</v>
      </c>
      <c r="Q17" s="3163">
        <f>+'1964'!$E$14</f>
        <v>112</v>
      </c>
      <c r="S17" s="1049"/>
      <c r="T17" s="1049"/>
      <c r="U17" s="1049"/>
      <c r="V17" s="1049"/>
      <c r="W17" s="1049"/>
      <c r="X17" s="1049"/>
      <c r="Y17" s="1049"/>
      <c r="Z17" s="948"/>
    </row>
    <row r="18" spans="1:26" ht="12.75" customHeight="1">
      <c r="A18" s="3155">
        <v>1966</v>
      </c>
      <c r="B18" s="2635"/>
      <c r="C18" s="3197">
        <f>+'1966'!$C$15/1000</f>
        <v>396.79500000000002</v>
      </c>
      <c r="D18" s="3197">
        <f>+'1966'!$C$16/1000</f>
        <v>863.69200000000001</v>
      </c>
      <c r="E18" s="3197">
        <f>+'1966'!$C$17/1000</f>
        <v>89.108000000000004</v>
      </c>
      <c r="F18" s="3197">
        <f>+'1966'!$C$18/1000</f>
        <v>61.070999999999998</v>
      </c>
      <c r="G18" s="3197">
        <f t="shared" si="7"/>
        <v>12.769000000000005</v>
      </c>
      <c r="H18" s="3197">
        <f>+'1966'!$C$14/1000</f>
        <v>1423.4349999999999</v>
      </c>
      <c r="I18" s="3166"/>
      <c r="J18" s="3155">
        <v>1966</v>
      </c>
      <c r="K18" s="2635"/>
      <c r="L18" s="3163">
        <f>+'1966'!$E$15</f>
        <v>36</v>
      </c>
      <c r="M18" s="3163">
        <f>+'1966'!$E$16</f>
        <v>36</v>
      </c>
      <c r="N18" s="3163">
        <f>+'1966'!$E$17</f>
        <v>11</v>
      </c>
      <c r="O18" s="3163">
        <f>+'1966'!$E$18</f>
        <v>20</v>
      </c>
      <c r="P18" s="3163">
        <f t="shared" si="8"/>
        <v>8</v>
      </c>
      <c r="Q18" s="3163">
        <f>+'1966'!$E$14</f>
        <v>111</v>
      </c>
      <c r="S18" s="1049"/>
      <c r="T18" s="1049"/>
      <c r="U18" s="1049"/>
      <c r="V18" s="1049"/>
      <c r="W18" s="1049"/>
      <c r="X18" s="1049"/>
      <c r="Y18" s="1049"/>
      <c r="Z18" s="948"/>
    </row>
    <row r="19" spans="1:26" ht="12.75" customHeight="1">
      <c r="A19" s="3155">
        <v>1970</v>
      </c>
      <c r="B19" s="2635"/>
      <c r="C19" s="3197">
        <f>+'1970'!$C$13/1000</f>
        <v>419.88400000000001</v>
      </c>
      <c r="D19" s="3197">
        <f>+'1970'!$C$14/1000</f>
        <v>781.94100000000003</v>
      </c>
      <c r="E19" s="3197">
        <f>+'1970'!$C$15/1000</f>
        <v>103.747</v>
      </c>
      <c r="F19" s="3197">
        <f>+'1970'!$C$16/1000</f>
        <v>175.01599999999999</v>
      </c>
      <c r="G19" s="3197">
        <f t="shared" si="7"/>
        <v>35.965999999999894</v>
      </c>
      <c r="H19" s="3197">
        <f>+'1970'!$C$12/1000</f>
        <v>1516.5540000000001</v>
      </c>
      <c r="I19" s="3166"/>
      <c r="J19" s="3155">
        <v>1970</v>
      </c>
      <c r="K19" s="2635"/>
      <c r="L19" s="3163">
        <f>+'1970'!$E$13</f>
        <v>36</v>
      </c>
      <c r="M19" s="3163">
        <f>+'1970'!$E$14</f>
        <v>36</v>
      </c>
      <c r="N19" s="3163">
        <f>+'1970'!$E$15</f>
        <v>19</v>
      </c>
      <c r="O19" s="3163">
        <f>+'1970'!$E$16</f>
        <v>36</v>
      </c>
      <c r="P19" s="3163">
        <f t="shared" si="8"/>
        <v>11</v>
      </c>
      <c r="Q19" s="3163">
        <f>+'1970'!$E$12</f>
        <v>138</v>
      </c>
      <c r="S19" s="1049"/>
      <c r="T19" s="1049"/>
      <c r="U19" s="1049"/>
      <c r="V19" s="1049"/>
      <c r="W19" s="1049"/>
      <c r="X19" s="1049"/>
      <c r="Y19" s="1049"/>
      <c r="Z19" s="948"/>
    </row>
    <row r="20" spans="1:26" ht="12.75" customHeight="1">
      <c r="A20" s="3155">
        <v>1974</v>
      </c>
      <c r="B20" s="2635" t="s">
        <v>50</v>
      </c>
      <c r="C20" s="3197">
        <f>+'1974F'!$C$13/1000</f>
        <v>412.53500000000003</v>
      </c>
      <c r="D20" s="3197">
        <f>+'1974F'!$C$14/1000</f>
        <v>745.54700000000003</v>
      </c>
      <c r="E20" s="3197">
        <f>+'1974F'!$C$15/1000</f>
        <v>255.423</v>
      </c>
      <c r="F20" s="3197">
        <f>+'1974F'!$C$16/1000</f>
        <v>171.374</v>
      </c>
      <c r="G20" s="3197">
        <f t="shared" si="7"/>
        <v>8.9639999999999418</v>
      </c>
      <c r="H20" s="3197">
        <f>+'1974F'!$C$12/1000</f>
        <v>1593.8430000000001</v>
      </c>
      <c r="I20" s="3166"/>
      <c r="J20" s="3155">
        <v>1974</v>
      </c>
      <c r="K20" s="2635" t="s">
        <v>50</v>
      </c>
      <c r="L20" s="3163">
        <f>+'1974F'!$E$13</f>
        <v>36</v>
      </c>
      <c r="M20" s="3163">
        <f>+'1974F'!$E$14</f>
        <v>36</v>
      </c>
      <c r="N20" s="3163">
        <f>+'1974F'!$E$15</f>
        <v>31</v>
      </c>
      <c r="O20" s="3163">
        <f>+'1974F'!$E$16</f>
        <v>36</v>
      </c>
      <c r="P20" s="3163">
        <f t="shared" si="8"/>
        <v>9</v>
      </c>
      <c r="Q20" s="3163">
        <f>+'1974F'!$E$12</f>
        <v>148</v>
      </c>
    </row>
    <row r="21" spans="1:26" ht="12.75" customHeight="1">
      <c r="A21" s="3155">
        <v>1974</v>
      </c>
      <c r="B21" s="2635" t="s">
        <v>51</v>
      </c>
      <c r="C21" s="3197">
        <f>+'1974O'!$C$13/1000</f>
        <v>367.23</v>
      </c>
      <c r="D21" s="3197">
        <f>+'1974O'!$C$14/1000</f>
        <v>761.447</v>
      </c>
      <c r="E21" s="3197">
        <f>+'1974O'!$C$15/1000</f>
        <v>239.05699999999999</v>
      </c>
      <c r="F21" s="3197">
        <f>+'1974O'!$C$16/1000</f>
        <v>166.321</v>
      </c>
      <c r="G21" s="3197">
        <f t="shared" si="7"/>
        <v>3.7849999999998545</v>
      </c>
      <c r="H21" s="3197">
        <f>+'1974O'!$C$12/1000</f>
        <v>1537.84</v>
      </c>
      <c r="I21" s="3166"/>
      <c r="J21" s="3155">
        <v>1974</v>
      </c>
      <c r="K21" s="2635" t="s">
        <v>51</v>
      </c>
      <c r="L21" s="3163">
        <f>+'1974O'!$E$13</f>
        <v>36</v>
      </c>
      <c r="M21" s="3163">
        <f>+'1974O'!$E$14</f>
        <v>36</v>
      </c>
      <c r="N21" s="3163">
        <f>+'1974O'!$E$15</f>
        <v>36</v>
      </c>
      <c r="O21" s="3163">
        <f>+'1974O'!$E$16</f>
        <v>36</v>
      </c>
      <c r="P21" s="3163">
        <f t="shared" si="8"/>
        <v>6</v>
      </c>
      <c r="Q21" s="3163">
        <f>+'1974O'!$E$12</f>
        <v>150</v>
      </c>
    </row>
    <row r="22" spans="1:26" ht="12.75" customHeight="1">
      <c r="A22" s="3155">
        <v>1979</v>
      </c>
      <c r="B22" s="2635"/>
      <c r="C22" s="3197">
        <f>+'1979'!$C$13/1000</f>
        <v>526.25400000000002</v>
      </c>
      <c r="D22" s="3197">
        <f>+'1979'!$C$14/1000</f>
        <v>795.49300000000005</v>
      </c>
      <c r="E22" s="3197">
        <f>+'1979'!$C$15/1000</f>
        <v>173.52500000000001</v>
      </c>
      <c r="F22" s="3197">
        <f>+'1979'!$C$16/1000</f>
        <v>132.54400000000001</v>
      </c>
      <c r="G22" s="3197">
        <f t="shared" si="7"/>
        <v>8.7719999999997071</v>
      </c>
      <c r="H22" s="3197">
        <f>+'1979'!$C$12/1000</f>
        <v>1636.588</v>
      </c>
      <c r="I22" s="3166"/>
      <c r="J22" s="3155">
        <v>1979</v>
      </c>
      <c r="K22" s="2635"/>
      <c r="L22" s="3163">
        <f>+'1979'!$E$13</f>
        <v>35</v>
      </c>
      <c r="M22" s="3163">
        <f>+'1979'!$E$14</f>
        <v>36</v>
      </c>
      <c r="N22" s="3163">
        <f>+'1979'!$E$15</f>
        <v>28</v>
      </c>
      <c r="O22" s="3163">
        <f>+'1979'!$E$16</f>
        <v>36</v>
      </c>
      <c r="P22" s="3163">
        <f t="shared" si="8"/>
        <v>19</v>
      </c>
      <c r="Q22" s="3163">
        <f>+'1979'!$E$12</f>
        <v>154</v>
      </c>
    </row>
    <row r="23" spans="1:26" ht="12.75" customHeight="1">
      <c r="A23" s="3155">
        <v>1983</v>
      </c>
      <c r="B23" s="2635"/>
      <c r="C23" s="3197">
        <f>+'1983'!$C$15/1000</f>
        <v>499.31</v>
      </c>
      <c r="D23" s="3197">
        <f>+'1983'!$C$16/1000</f>
        <v>603.85799999999995</v>
      </c>
      <c r="E23" s="3197">
        <f>+'1983'!$C$19/1000</f>
        <v>373.358</v>
      </c>
      <c r="F23" s="3197">
        <f>+'1983'!$C$20/1000</f>
        <v>125.309</v>
      </c>
      <c r="G23" s="3197">
        <f t="shared" si="7"/>
        <v>7.1510000000002947</v>
      </c>
      <c r="H23" s="3197">
        <f>+'1983'!$C$14/1000</f>
        <v>1608.9860000000001</v>
      </c>
      <c r="I23" s="3166"/>
      <c r="J23" s="3155">
        <v>1983</v>
      </c>
      <c r="K23" s="2635"/>
      <c r="L23" s="3163">
        <f>+'1983'!$E$15</f>
        <v>38</v>
      </c>
      <c r="M23" s="3163">
        <f>+'1983'!$E$16</f>
        <v>38</v>
      </c>
      <c r="N23" s="3163">
        <f>+'1983'!$E$19</f>
        <v>38</v>
      </c>
      <c r="O23" s="3163">
        <f>+'1983'!$E$20</f>
        <v>38</v>
      </c>
      <c r="P23" s="3163">
        <f t="shared" si="8"/>
        <v>17</v>
      </c>
      <c r="Q23" s="3163">
        <f>+'1983'!$E$14</f>
        <v>169</v>
      </c>
    </row>
    <row r="24" spans="1:26" ht="12.75" customHeight="1">
      <c r="A24" s="3155">
        <v>1987</v>
      </c>
      <c r="B24" s="2635"/>
      <c r="C24" s="3197">
        <f>+'1987'!$C$15/1000</f>
        <v>501.31599999999997</v>
      </c>
      <c r="D24" s="3197">
        <f>+'1987'!$C$16/1000</f>
        <v>765.20899999999995</v>
      </c>
      <c r="E24" s="3197">
        <f>+'1987'!$C$19/1000</f>
        <v>304.23</v>
      </c>
      <c r="F24" s="3197">
        <f>+'1987'!$C$20/1000</f>
        <v>123.599</v>
      </c>
      <c r="G24" s="3197">
        <f t="shared" si="7"/>
        <v>3.7420000000001892</v>
      </c>
      <c r="H24" s="3197">
        <f>+'1987'!$C$14/1000</f>
        <v>1698.096</v>
      </c>
      <c r="I24" s="3166"/>
      <c r="J24" s="3155">
        <v>1987</v>
      </c>
      <c r="K24" s="2635"/>
      <c r="L24" s="3163">
        <f>+'1987'!$E$15</f>
        <v>38</v>
      </c>
      <c r="M24" s="3163">
        <f>+'1987'!$E$16</f>
        <v>38</v>
      </c>
      <c r="N24" s="3163">
        <f>+'1987'!$E$19</f>
        <v>38</v>
      </c>
      <c r="O24" s="3163">
        <f>+'1987'!$E$20</f>
        <v>38</v>
      </c>
      <c r="P24" s="3163">
        <f t="shared" si="8"/>
        <v>6</v>
      </c>
      <c r="Q24" s="3163">
        <f>+'1987'!$E$14</f>
        <v>158</v>
      </c>
    </row>
    <row r="25" spans="1:26" ht="12.75" customHeight="1">
      <c r="A25" s="3155">
        <v>1992</v>
      </c>
      <c r="B25" s="2635"/>
      <c r="C25" s="3197">
        <f>+'1992'!$C$13/1000</f>
        <v>499.67700000000002</v>
      </c>
      <c r="D25" s="3197">
        <f>+'1992'!$C$14/1000</f>
        <v>865.66300000000001</v>
      </c>
      <c r="E25" s="3197">
        <f>+'1992'!$C$15/1000</f>
        <v>217.45699999999999</v>
      </c>
      <c r="F25" s="3197">
        <f>+'1992'!$C$16/1000</f>
        <v>154.947</v>
      </c>
      <c r="G25" s="3197">
        <f t="shared" si="7"/>
        <v>11.032999999999902</v>
      </c>
      <c r="H25" s="3197">
        <f>+'1992'!$C$12/1000</f>
        <v>1748.777</v>
      </c>
      <c r="I25" s="3166"/>
      <c r="J25" s="3155">
        <v>1992</v>
      </c>
      <c r="K25" s="2635"/>
      <c r="L25" s="3163">
        <f>+'1992'!$E$13</f>
        <v>38</v>
      </c>
      <c r="M25" s="3163">
        <f>+'1992'!$E$14</f>
        <v>38</v>
      </c>
      <c r="N25" s="3163">
        <f>+'1992'!$E$15</f>
        <v>38</v>
      </c>
      <c r="O25" s="3163">
        <f>+'1992'!$E$16</f>
        <v>35</v>
      </c>
      <c r="P25" s="3163">
        <f t="shared" si="8"/>
        <v>31</v>
      </c>
      <c r="Q25" s="3163">
        <f>+'1992'!$E$12</f>
        <v>180</v>
      </c>
    </row>
    <row r="26" spans="1:26" ht="12.75" customHeight="1">
      <c r="A26" s="3155">
        <v>1997</v>
      </c>
      <c r="B26" s="2635"/>
      <c r="C26" s="3197">
        <f>+'1997'!$C$13/1000</f>
        <v>317.14499999999998</v>
      </c>
      <c r="D26" s="3197">
        <f>+'1997'!$C$14/1000</f>
        <v>886.93499999999995</v>
      </c>
      <c r="E26" s="3197">
        <f>+'1997'!$C$15/1000</f>
        <v>200.02</v>
      </c>
      <c r="F26" s="3197">
        <f>+'1997'!$C$16/1000</f>
        <v>161.03</v>
      </c>
      <c r="G26" s="3197">
        <f t="shared" si="7"/>
        <v>54.932000000000016</v>
      </c>
      <c r="H26" s="3197">
        <f>+'1997'!$C$12/1000</f>
        <v>1620.0619999999999</v>
      </c>
      <c r="I26" s="3166"/>
      <c r="J26" s="3155">
        <v>1997</v>
      </c>
      <c r="K26" s="2635"/>
      <c r="L26" s="3163">
        <f>+'1997'!$E$13</f>
        <v>40</v>
      </c>
      <c r="M26" s="3163">
        <f>+'1997'!$E$14</f>
        <v>40</v>
      </c>
      <c r="N26" s="3163">
        <f>+'1997'!$E$15</f>
        <v>40</v>
      </c>
      <c r="O26" s="3163">
        <f>+'1997'!$E$16</f>
        <v>40</v>
      </c>
      <c r="P26" s="3163">
        <f t="shared" si="8"/>
        <v>63</v>
      </c>
      <c r="Q26" s="3163">
        <f>+'1997'!$E$12</f>
        <v>223</v>
      </c>
    </row>
    <row r="27" spans="1:26" ht="12.75" customHeight="1">
      <c r="A27" s="3155">
        <v>2001</v>
      </c>
      <c r="B27" s="2635"/>
      <c r="C27" s="3215">
        <f>+'2001'!$C$13/1000</f>
        <v>268.66500000000002</v>
      </c>
      <c r="D27" s="3215">
        <f>+'2001'!$C$14/1000</f>
        <v>666.95600000000002</v>
      </c>
      <c r="E27" s="3215">
        <f>+'2001'!$C$15/1000</f>
        <v>189.434</v>
      </c>
      <c r="F27" s="3215">
        <f>+'2001'!$C$16/1000</f>
        <v>195.893</v>
      </c>
      <c r="G27" s="3216">
        <f>+H27-SUM(C27:F27)</f>
        <v>51.597999999999956</v>
      </c>
      <c r="H27" s="3217">
        <f>+'2001'!$C$12/1000</f>
        <v>1372.546</v>
      </c>
      <c r="I27" s="3166"/>
      <c r="J27" s="3155">
        <v>2001</v>
      </c>
      <c r="K27" s="2635"/>
      <c r="L27" s="3163">
        <f>+'2001'!$E$13</f>
        <v>40</v>
      </c>
      <c r="M27" s="3163">
        <f>+'2001'!$E$14</f>
        <v>40</v>
      </c>
      <c r="N27" s="3163">
        <f>+'2001'!$E$15</f>
        <v>40</v>
      </c>
      <c r="O27" s="3163">
        <f>+'2001'!$E$16</f>
        <v>40</v>
      </c>
      <c r="P27" s="3163">
        <f>+Q27-SUM(L27:O27)</f>
        <v>64</v>
      </c>
      <c r="Q27" s="3163">
        <f>+'2001'!$E$12</f>
        <v>224</v>
      </c>
    </row>
    <row r="28" spans="1:26" ht="12.75" customHeight="1">
      <c r="A28" s="3155">
        <v>2005</v>
      </c>
      <c r="B28" s="2635"/>
      <c r="C28" s="3215">
        <f>+'2005'!$C$13/1000</f>
        <v>297.83</v>
      </c>
      <c r="D28" s="3215">
        <f>+'2005'!$C$14/1000</f>
        <v>594.82100000000003</v>
      </c>
      <c r="E28" s="3215">
        <f>+'2005'!$C$15/1000</f>
        <v>256.24900000000002</v>
      </c>
      <c r="F28" s="3215">
        <f>+'2005'!$C$16/1000</f>
        <v>174.83799999999999</v>
      </c>
      <c r="G28" s="3216">
        <f>+H28-SUM(C28:F28)</f>
        <v>68.980999999999995</v>
      </c>
      <c r="H28" s="3217">
        <f>+'2005'!$C$12/1000</f>
        <v>1392.7190000000001</v>
      </c>
      <c r="I28" s="3166"/>
      <c r="J28" s="3155">
        <v>2005</v>
      </c>
      <c r="K28" s="2635"/>
      <c r="L28" s="3163">
        <f>+'2005'!$E$13</f>
        <v>40</v>
      </c>
      <c r="M28" s="3163">
        <f>+'2005'!$E$14</f>
        <v>40</v>
      </c>
      <c r="N28" s="3163">
        <f>+'2005'!$E$15</f>
        <v>40</v>
      </c>
      <c r="O28" s="3163">
        <f>+'2005'!$E$16</f>
        <v>40</v>
      </c>
      <c r="P28" s="3163">
        <f>+Q28-SUM(L28:O28)</f>
        <v>90</v>
      </c>
      <c r="Q28" s="3163">
        <f>+'2005'!$E$12</f>
        <v>250</v>
      </c>
    </row>
    <row r="29" spans="1:26" ht="12.75" customHeight="1">
      <c r="A29" s="2581">
        <v>2010</v>
      </c>
      <c r="B29" s="2584"/>
      <c r="C29" s="3218">
        <f>+'2010'!$C$13/1000</f>
        <v>382.73</v>
      </c>
      <c r="D29" s="3218">
        <f>+'2010'!$C$14/1000</f>
        <v>531.60199999999998</v>
      </c>
      <c r="E29" s="3218">
        <f>+'2010'!$C$15/1000</f>
        <v>295.16399999999999</v>
      </c>
      <c r="F29" s="3218">
        <f>+'2010'!$C$16/1000</f>
        <v>165.39400000000001</v>
      </c>
      <c r="G29" s="3219">
        <f>+H29-SUM(C29:F29)</f>
        <v>91.794999999999845</v>
      </c>
      <c r="H29" s="3220">
        <f>+'2010'!$C$12/1000</f>
        <v>1466.6849999999999</v>
      </c>
      <c r="I29" s="3160"/>
      <c r="J29" s="2581">
        <v>2010</v>
      </c>
      <c r="K29" s="2584"/>
      <c r="L29" s="3163">
        <f>+'2010'!$E$13</f>
        <v>40</v>
      </c>
      <c r="M29" s="3163">
        <f>+'2010'!$E$14</f>
        <v>40</v>
      </c>
      <c r="N29" s="3163">
        <f>+'2010'!$E$15</f>
        <v>40</v>
      </c>
      <c r="O29" s="3163">
        <f>+'2010'!$E$16</f>
        <v>40</v>
      </c>
      <c r="P29" s="3163">
        <f>+Q29-SUM(L29:O29)</f>
        <v>108</v>
      </c>
      <c r="Q29" s="3163">
        <f>+'2010'!$E$12</f>
        <v>268</v>
      </c>
    </row>
    <row r="30" spans="1:26" ht="12.75" customHeight="1">
      <c r="A30" s="2581">
        <v>2015</v>
      </c>
      <c r="B30" s="2584"/>
      <c r="C30" s="3218">
        <v>407.8</v>
      </c>
      <c r="D30" s="3218">
        <v>552.5</v>
      </c>
      <c r="E30" s="3218">
        <v>97.8</v>
      </c>
      <c r="F30" s="3218">
        <v>181.7</v>
      </c>
      <c r="G30" s="3219">
        <f>H30-SUM(C30:F30)</f>
        <v>258.29999999999995</v>
      </c>
      <c r="H30" s="3220">
        <v>1498.1</v>
      </c>
      <c r="I30" s="3160"/>
      <c r="J30" s="2581">
        <v>2015</v>
      </c>
      <c r="K30" s="2584"/>
      <c r="L30" s="3163">
        <v>40</v>
      </c>
      <c r="M30" s="3163">
        <v>40</v>
      </c>
      <c r="N30" s="3163">
        <v>40</v>
      </c>
      <c r="O30" s="3163">
        <v>40</v>
      </c>
      <c r="P30" s="3163">
        <f>40+35+43</f>
        <v>118</v>
      </c>
      <c r="Q30" s="3163">
        <v>278</v>
      </c>
    </row>
    <row r="31" spans="1:26" ht="12.75" customHeight="1">
      <c r="A31" s="2581">
        <v>2017</v>
      </c>
      <c r="B31" s="2584"/>
      <c r="C31" s="3218">
        <v>528.83900000000006</v>
      </c>
      <c r="D31" s="3218">
        <v>771.35400000000004</v>
      </c>
      <c r="E31" s="3218">
        <v>71.039000000000001</v>
      </c>
      <c r="F31" s="3218">
        <v>164.46600000000001</v>
      </c>
      <c r="G31" s="3219">
        <v>40.1</v>
      </c>
      <c r="H31" s="3220">
        <f>SUM(C31:G31)</f>
        <v>1575.7980000000002</v>
      </c>
      <c r="I31" s="3160"/>
      <c r="J31" s="2581">
        <v>2017</v>
      </c>
      <c r="K31" s="2584"/>
      <c r="L31" s="3163">
        <v>40</v>
      </c>
      <c r="M31" s="3163">
        <v>40</v>
      </c>
      <c r="N31" s="3163">
        <v>40</v>
      </c>
      <c r="O31" s="3163">
        <v>40</v>
      </c>
      <c r="P31" s="3163">
        <f>213-160</f>
        <v>53</v>
      </c>
      <c r="Q31" s="3163">
        <f>SUM(L31:P31)</f>
        <v>213</v>
      </c>
    </row>
    <row r="32" spans="1:26" ht="12.75" customHeight="1">
      <c r="A32" s="2581">
        <v>2019</v>
      </c>
      <c r="B32" s="2584"/>
      <c r="C32" s="3218">
        <v>557.23400000000004</v>
      </c>
      <c r="D32" s="3218">
        <v>632.03499999999997</v>
      </c>
      <c r="E32" s="3218">
        <v>92.171000000000006</v>
      </c>
      <c r="F32" s="3218">
        <v>153.26499999999999</v>
      </c>
      <c r="G32" s="3219">
        <v>109.652</v>
      </c>
      <c r="H32" s="3220">
        <v>1544.357</v>
      </c>
      <c r="I32" s="3160"/>
      <c r="J32" s="2581">
        <v>2019</v>
      </c>
      <c r="K32" s="2584"/>
      <c r="L32" s="3163">
        <v>40</v>
      </c>
      <c r="M32" s="3163">
        <v>40</v>
      </c>
      <c r="N32" s="3163">
        <v>32</v>
      </c>
      <c r="O32" s="3163">
        <v>36</v>
      </c>
      <c r="P32" s="3163">
        <v>68</v>
      </c>
      <c r="Q32" s="3163">
        <f>SUM(L32:P32)</f>
        <v>216</v>
      </c>
    </row>
    <row r="33" spans="1:40">
      <c r="A33" s="3030"/>
      <c r="B33" s="2584"/>
      <c r="C33" s="2584"/>
      <c r="D33" s="2584"/>
      <c r="E33" s="2584"/>
      <c r="F33" s="2584"/>
      <c r="G33" s="2584"/>
      <c r="H33" s="2584"/>
      <c r="I33" s="3160"/>
      <c r="J33" s="3030"/>
      <c r="K33" s="2584"/>
      <c r="L33" s="2584"/>
      <c r="M33" s="2584"/>
      <c r="N33" s="2584"/>
      <c r="O33" s="2584"/>
      <c r="P33" s="2584"/>
      <c r="Q33" s="2584"/>
    </row>
    <row r="34" spans="1:40" ht="16.5" customHeight="1">
      <c r="A34" s="3167"/>
      <c r="B34" s="3031"/>
      <c r="C34" s="1038" t="s">
        <v>55</v>
      </c>
      <c r="D34" s="3168"/>
      <c r="E34" s="3168"/>
      <c r="F34" s="3168"/>
      <c r="G34" s="3168"/>
      <c r="H34" s="3168"/>
      <c r="I34" s="3160"/>
      <c r="J34" s="3167"/>
      <c r="K34" s="3031"/>
      <c r="L34" s="1038" t="s">
        <v>56</v>
      </c>
      <c r="M34" s="3168"/>
      <c r="N34" s="3168"/>
      <c r="O34" s="3168"/>
      <c r="P34" s="3168"/>
      <c r="Q34" s="3168"/>
    </row>
    <row r="35" spans="1:40" s="944" customFormat="1" ht="16.5" customHeight="1">
      <c r="A35" s="3167"/>
      <c r="B35" s="3031"/>
      <c r="C35" s="2243" t="s">
        <v>2301</v>
      </c>
      <c r="D35" s="2244" t="s">
        <v>807</v>
      </c>
      <c r="E35" s="2245" t="s">
        <v>2302</v>
      </c>
      <c r="F35" s="2263" t="s">
        <v>2388</v>
      </c>
      <c r="G35" s="2246" t="s">
        <v>1972</v>
      </c>
      <c r="H35" s="3168" t="s">
        <v>16</v>
      </c>
      <c r="I35" s="3160"/>
      <c r="J35" s="3031"/>
      <c r="K35" s="3031"/>
      <c r="L35" s="2243" t="s">
        <v>2301</v>
      </c>
      <c r="M35" s="2244" t="s">
        <v>807</v>
      </c>
      <c r="N35" s="2245" t="s">
        <v>2302</v>
      </c>
      <c r="O35" s="2263" t="s">
        <v>2388</v>
      </c>
      <c r="P35" s="2246" t="s">
        <v>1972</v>
      </c>
      <c r="Q35" s="3168" t="s">
        <v>16</v>
      </c>
      <c r="R35" s="948"/>
      <c r="S35" s="1077"/>
      <c r="T35" s="1077"/>
      <c r="U35" s="1077"/>
      <c r="V35" s="1077"/>
      <c r="W35" s="1077"/>
      <c r="X35" s="1077"/>
      <c r="Y35" s="1077"/>
      <c r="Z35" s="1077"/>
      <c r="AA35" s="1077"/>
      <c r="AB35" s="1077"/>
      <c r="AC35" s="1077"/>
      <c r="AD35" s="1077"/>
      <c r="AE35" s="1077"/>
      <c r="AF35" s="948"/>
      <c r="AG35" s="948"/>
      <c r="AH35" s="948"/>
      <c r="AI35" s="948"/>
      <c r="AJ35" s="948"/>
      <c r="AK35" s="948"/>
      <c r="AL35" s="948"/>
      <c r="AM35" s="948"/>
      <c r="AN35" s="948"/>
    </row>
    <row r="36" spans="1:40" s="1037" customFormat="1" ht="3" customHeight="1">
      <c r="A36" s="3167"/>
      <c r="B36" s="3031"/>
      <c r="C36" s="3031"/>
      <c r="D36" s="3031"/>
      <c r="E36" s="3031"/>
      <c r="F36" s="3031"/>
      <c r="G36" s="3031"/>
      <c r="H36" s="3031"/>
      <c r="I36" s="3160"/>
      <c r="J36" s="3167"/>
      <c r="K36" s="3031"/>
      <c r="L36" s="3168"/>
      <c r="M36" s="3168"/>
      <c r="N36" s="3168"/>
      <c r="O36" s="3168"/>
      <c r="P36" s="3168"/>
      <c r="Q36" s="3031"/>
      <c r="R36" s="1034"/>
      <c r="S36" s="1074"/>
      <c r="T36" s="1074"/>
      <c r="U36" s="1074"/>
      <c r="V36" s="1074"/>
      <c r="W36" s="1074"/>
      <c r="X36" s="1074"/>
      <c r="Y36" s="1074"/>
      <c r="Z36" s="1074"/>
      <c r="AA36" s="1074"/>
      <c r="AB36" s="1074"/>
      <c r="AC36" s="1074"/>
      <c r="AD36" s="1074"/>
      <c r="AE36" s="1074"/>
      <c r="AF36" s="1034"/>
      <c r="AG36" s="1034"/>
      <c r="AH36" s="1034"/>
      <c r="AI36" s="1034"/>
      <c r="AJ36" s="1034"/>
      <c r="AK36" s="1034"/>
      <c r="AL36" s="1034"/>
      <c r="AM36" s="1034"/>
      <c r="AN36" s="1034"/>
    </row>
    <row r="37" spans="1:40" s="1074" customFormat="1">
      <c r="A37" s="3170">
        <v>1918</v>
      </c>
      <c r="B37" s="3154"/>
      <c r="C37" s="3175">
        <f>('1918 '!$C$23+'1918 '!$C$27)</f>
        <v>0.11300000000000002</v>
      </c>
      <c r="D37" s="3175">
        <f>'1918 '!$C$29</f>
        <v>0.308</v>
      </c>
      <c r="E37" s="3175">
        <f>'1918 '!$C$24+'1918 '!$C$28</f>
        <v>0.48899999999999999</v>
      </c>
      <c r="F37" s="3175"/>
      <c r="G37" s="2631">
        <f t="shared" ref="G37:G43" si="9">H37-SUM(C37:F37)</f>
        <v>8.9999999999999969E-2</v>
      </c>
      <c r="H37" s="3172">
        <v>1</v>
      </c>
      <c r="I37" s="3154"/>
      <c r="J37" s="3170">
        <v>1918</v>
      </c>
      <c r="K37" s="3154"/>
      <c r="L37" s="3214">
        <f>('1918 '!$G$23+'1918 '!$G$27)</f>
        <v>4</v>
      </c>
      <c r="M37" s="3214">
        <f>'1918 '!$G$29</f>
        <v>9</v>
      </c>
      <c r="N37" s="3214">
        <f>'1918 '!$G$24+'1918 '!$G$28</f>
        <v>20</v>
      </c>
      <c r="O37" s="3214"/>
      <c r="P37" s="3153">
        <f>Q37-SUM(L37:O37)</f>
        <v>2</v>
      </c>
      <c r="Q37" s="2841">
        <f>'1918 '!$G$31</f>
        <v>35</v>
      </c>
    </row>
    <row r="38" spans="1:40" s="1074" customFormat="1" ht="12.75" customHeight="1">
      <c r="A38" s="3170">
        <v>1922</v>
      </c>
      <c r="B38" s="3154"/>
      <c r="C38" s="3171">
        <f>'1922'!$C$14</f>
        <v>0.214</v>
      </c>
      <c r="D38" s="3171">
        <f>'1922'!$C$17</f>
        <v>0.40799999999999997</v>
      </c>
      <c r="E38" s="3171">
        <f>'1922'!$C$15+'1922'!$C$16</f>
        <v>0.34200000000000003</v>
      </c>
      <c r="F38" s="3171"/>
      <c r="G38" s="2631">
        <f t="shared" si="9"/>
        <v>3.6000000000000032E-2</v>
      </c>
      <c r="H38" s="3172">
        <v>1</v>
      </c>
      <c r="I38" s="3154"/>
      <c r="J38" s="3170">
        <v>1922</v>
      </c>
      <c r="K38" s="3154"/>
      <c r="L38" s="3173">
        <f>'1922'!$G$14</f>
        <v>6</v>
      </c>
      <c r="M38" s="3173">
        <f>'1922'!$G$17</f>
        <v>18</v>
      </c>
      <c r="N38" s="3173">
        <f>'1922'!$G$15+'1922'!$G$16</f>
        <v>10</v>
      </c>
      <c r="O38" s="3173"/>
      <c r="P38" s="3153">
        <f t="shared" ref="P38:P43" si="10">Q38-SUM(L38:O38)</f>
        <v>1</v>
      </c>
      <c r="Q38" s="2841">
        <f>'1922'!$G$19</f>
        <v>35</v>
      </c>
    </row>
    <row r="39" spans="1:40" ht="12.75" customHeight="1">
      <c r="A39" s="2581">
        <v>1923</v>
      </c>
      <c r="B39" s="2584"/>
      <c r="C39" s="3171">
        <f>'1923'!$C$12</f>
        <v>0.21100000000000002</v>
      </c>
      <c r="D39" s="3171">
        <f>'1923'!$C$14</f>
        <v>0.42</v>
      </c>
      <c r="E39" s="3171">
        <f>'1923'!$C$13</f>
        <v>0.35399999999999998</v>
      </c>
      <c r="F39" s="3171"/>
      <c r="G39" s="2631">
        <f t="shared" si="9"/>
        <v>1.5000000000000013E-2</v>
      </c>
      <c r="H39" s="3172">
        <v>1</v>
      </c>
      <c r="I39" s="3160"/>
      <c r="J39" s="3170">
        <v>1923</v>
      </c>
      <c r="K39" s="3154"/>
      <c r="L39" s="3173">
        <f>'1923'!$G$12</f>
        <v>4</v>
      </c>
      <c r="M39" s="3173">
        <f>'1923'!$G$14</f>
        <v>19</v>
      </c>
      <c r="N39" s="3173">
        <f>'1923'!$G$13</f>
        <v>11</v>
      </c>
      <c r="O39" s="3173"/>
      <c r="P39" s="3153">
        <f t="shared" si="10"/>
        <v>1</v>
      </c>
      <c r="Q39" s="3166">
        <f>'1923'!$G$16</f>
        <v>35</v>
      </c>
      <c r="R39" s="919"/>
      <c r="S39" s="1074"/>
      <c r="T39" s="1074"/>
      <c r="U39" s="1074"/>
      <c r="V39" s="1074"/>
      <c r="W39" s="1074"/>
      <c r="X39" s="1074"/>
      <c r="Y39" s="1074"/>
      <c r="Z39" s="1074"/>
      <c r="AA39" s="1074"/>
      <c r="AB39" s="1074"/>
      <c r="AC39" s="1074"/>
      <c r="AD39" s="1074"/>
      <c r="AE39" s="1074"/>
    </row>
    <row r="40" spans="1:40" ht="12.75" customHeight="1">
      <c r="A40" s="2581">
        <v>1924</v>
      </c>
      <c r="B40" s="2584"/>
      <c r="C40" s="3171">
        <f>'1924'!$C$14</f>
        <v>0.28399999999999997</v>
      </c>
      <c r="D40" s="3171">
        <f>'1924'!$C$16</f>
        <v>0.40600000000000003</v>
      </c>
      <c r="E40" s="3171">
        <f>'1924'!$C$15</f>
        <v>0.31</v>
      </c>
      <c r="F40" s="3171"/>
      <c r="G40" s="2631">
        <f t="shared" si="9"/>
        <v>0</v>
      </c>
      <c r="H40" s="3172">
        <v>1</v>
      </c>
      <c r="I40" s="3160"/>
      <c r="J40" s="3170">
        <v>1924</v>
      </c>
      <c r="K40" s="3154"/>
      <c r="L40" s="3173">
        <f>'1924'!$G$14</f>
        <v>9</v>
      </c>
      <c r="M40" s="3173">
        <f>'1924'!$G$16</f>
        <v>16</v>
      </c>
      <c r="N40" s="3173">
        <f>'1924'!$G$15</f>
        <v>10</v>
      </c>
      <c r="O40" s="3173"/>
      <c r="P40" s="3153">
        <f t="shared" si="10"/>
        <v>0</v>
      </c>
      <c r="Q40" s="3166">
        <f>'1924'!$G$17</f>
        <v>35</v>
      </c>
      <c r="R40" s="919"/>
      <c r="S40" s="919"/>
      <c r="T40" s="919"/>
      <c r="U40" s="919"/>
      <c r="V40" s="919"/>
      <c r="W40" s="919"/>
      <c r="X40" s="919"/>
      <c r="Y40" s="919"/>
      <c r="Z40" s="919"/>
    </row>
    <row r="41" spans="1:40" ht="12.75" customHeight="1">
      <c r="A41" s="2581">
        <v>1929</v>
      </c>
      <c r="B41" s="2584"/>
      <c r="C41" s="3171">
        <f>'1929'!$C$13</f>
        <v>0.22</v>
      </c>
      <c r="D41" s="3171">
        <f>'1929'!$C$15</f>
        <v>0.439</v>
      </c>
      <c r="E41" s="3171">
        <f>'1929'!$C$14</f>
        <v>0.33500000000000002</v>
      </c>
      <c r="F41" s="3171">
        <f>'1929'!$C$16</f>
        <v>0</v>
      </c>
      <c r="G41" s="2631">
        <f t="shared" si="9"/>
        <v>6.0000000000000053E-3</v>
      </c>
      <c r="H41" s="3172">
        <v>1</v>
      </c>
      <c r="I41" s="3160"/>
      <c r="J41" s="3170">
        <v>1929</v>
      </c>
      <c r="K41" s="3154"/>
      <c r="L41" s="3173">
        <f>'1929'!$G$13</f>
        <v>1</v>
      </c>
      <c r="M41" s="3173">
        <f>'1929'!$G$15</f>
        <v>25</v>
      </c>
      <c r="N41" s="3173">
        <f>'1929'!$G$14</f>
        <v>9</v>
      </c>
      <c r="O41" s="3173">
        <f>'1929'!$G$16</f>
        <v>0</v>
      </c>
      <c r="P41" s="3153">
        <f t="shared" si="10"/>
        <v>0</v>
      </c>
      <c r="Q41" s="3166">
        <f>'1929'!$G$18</f>
        <v>35</v>
      </c>
      <c r="R41" s="919"/>
      <c r="S41" s="919"/>
      <c r="T41" s="919"/>
      <c r="U41" s="919"/>
      <c r="V41" s="919"/>
      <c r="W41" s="919"/>
      <c r="X41" s="919"/>
      <c r="Y41" s="919"/>
      <c r="Z41" s="919"/>
    </row>
    <row r="42" spans="1:40" ht="12.5" customHeight="1">
      <c r="A42" s="2581">
        <v>1931</v>
      </c>
      <c r="B42" s="2584"/>
      <c r="C42" s="3171">
        <f>'1931'!$C$19+'1931'!$C$21+'1931'!$C$22</f>
        <v>0.31300000000000006</v>
      </c>
      <c r="D42" s="3171">
        <f>'1931'!$C$25</f>
        <v>0.441</v>
      </c>
      <c r="E42" s="3171">
        <f>'1931'!$C$20+'1931'!$C$24</f>
        <v>0.21099999999999999</v>
      </c>
      <c r="F42" s="3171">
        <f>'1931'!$C$26</f>
        <v>1E-3</v>
      </c>
      <c r="G42" s="2631">
        <f t="shared" si="9"/>
        <v>3.400000000000003E-2</v>
      </c>
      <c r="H42" s="3172">
        <v>1</v>
      </c>
      <c r="I42" s="3160"/>
      <c r="J42" s="3170">
        <v>1931</v>
      </c>
      <c r="K42" s="3154"/>
      <c r="L42" s="3173">
        <f>'1931'!$G$19+'1931'!$G$21+'1931'!$G$22</f>
        <v>11</v>
      </c>
      <c r="M42" s="3173">
        <f>'1931'!$G$25</f>
        <v>16</v>
      </c>
      <c r="N42" s="3173">
        <f>'1931'!$G$20+'1931'!$G$24</f>
        <v>8</v>
      </c>
      <c r="O42" s="3173">
        <f>'1931'!$G$26</f>
        <v>0</v>
      </c>
      <c r="P42" s="3153">
        <f t="shared" si="10"/>
        <v>0</v>
      </c>
      <c r="Q42" s="3166">
        <f>'1931'!$G$30</f>
        <v>35</v>
      </c>
      <c r="R42" s="919"/>
      <c r="S42" s="919"/>
      <c r="T42" s="919"/>
      <c r="U42" s="919"/>
      <c r="V42" s="919"/>
      <c r="W42" s="919"/>
      <c r="X42" s="919"/>
      <c r="Y42" s="919"/>
      <c r="Z42" s="919"/>
    </row>
    <row r="43" spans="1:40" ht="12.75" customHeight="1">
      <c r="A43" s="2581">
        <v>1935</v>
      </c>
      <c r="B43" s="2584"/>
      <c r="C43" s="3171">
        <f>'1935'!$C$17+'1935'!$C$18+'1935'!$C$19+'1935'!$C$20</f>
        <v>0.33599999999999997</v>
      </c>
      <c r="D43" s="3171">
        <f>'1935'!$C$23</f>
        <v>0.45399999999999996</v>
      </c>
      <c r="E43" s="3171">
        <f>'1935'!$C$22</f>
        <v>0.18</v>
      </c>
      <c r="F43" s="3171">
        <f>'1935'!$C$24</f>
        <v>3.0000000000000001E-3</v>
      </c>
      <c r="G43" s="2631">
        <f t="shared" si="9"/>
        <v>2.7000000000000024E-2</v>
      </c>
      <c r="H43" s="3172">
        <v>1</v>
      </c>
      <c r="I43" s="3160"/>
      <c r="J43" s="3170">
        <v>1935</v>
      </c>
      <c r="K43" s="3154"/>
      <c r="L43" s="3173">
        <f>'1935'!$G$17+'1935'!$G$18+'1935'!$G$19+'1935'!$G$20</f>
        <v>11</v>
      </c>
      <c r="M43" s="3173">
        <f>'1935'!$G$23</f>
        <v>18</v>
      </c>
      <c r="N43" s="3173">
        <f>'1935'!$G$22</f>
        <v>6</v>
      </c>
      <c r="O43" s="3173">
        <f>'1935'!$G$24</f>
        <v>0</v>
      </c>
      <c r="P43" s="3153">
        <f t="shared" si="10"/>
        <v>0</v>
      </c>
      <c r="Q43" s="3166">
        <f>'1935'!$G$27</f>
        <v>35</v>
      </c>
      <c r="R43" s="919"/>
      <c r="S43" s="919"/>
      <c r="T43" s="919"/>
      <c r="U43" s="919"/>
      <c r="V43" s="919"/>
      <c r="W43" s="919"/>
      <c r="X43" s="919"/>
      <c r="Y43" s="919"/>
      <c r="Z43" s="919"/>
    </row>
    <row r="44" spans="1:40" ht="12.75" customHeight="1">
      <c r="A44" s="2581">
        <v>1945</v>
      </c>
      <c r="B44" s="2584"/>
      <c r="C44" s="2838">
        <f>+'1945'!$D$19</f>
        <v>0.23799999999999999</v>
      </c>
      <c r="D44" s="2838">
        <f>+'1945'!$D$20</f>
        <v>0.58499999999999996</v>
      </c>
      <c r="E44" s="2838">
        <f>+'1945'!$D$21</f>
        <v>0.14899999999999999</v>
      </c>
      <c r="F44" s="2838">
        <f>'1945'!$D$22</f>
        <v>1.0999999999999999E-2</v>
      </c>
      <c r="G44" s="2838">
        <f>+H44-SUM(C44:F44)</f>
        <v>1.7000000000000015E-2</v>
      </c>
      <c r="H44" s="3221">
        <f>+'1945'!$D$15</f>
        <v>1</v>
      </c>
      <c r="I44" s="3177"/>
      <c r="J44" s="2581">
        <v>1945</v>
      </c>
      <c r="K44" s="2584"/>
      <c r="L44" s="3222">
        <f>+'1945'!$F$19</f>
        <v>4</v>
      </c>
      <c r="M44" s="3222">
        <f>+'1945'!$F$20</f>
        <v>25</v>
      </c>
      <c r="N44" s="3222">
        <f>+'1945'!$F$21</f>
        <v>6</v>
      </c>
      <c r="O44" s="3223">
        <v>0</v>
      </c>
      <c r="P44" s="3223">
        <v>0</v>
      </c>
      <c r="Q44" s="3222">
        <f>+'1945'!$F$15</f>
        <v>35</v>
      </c>
      <c r="S44" s="919"/>
      <c r="T44" s="919"/>
      <c r="U44" s="919"/>
      <c r="V44" s="919"/>
      <c r="W44" s="919"/>
      <c r="X44" s="919"/>
      <c r="Y44" s="919"/>
      <c r="Z44" s="919"/>
      <c r="AA44" s="948"/>
      <c r="AB44" s="948"/>
      <c r="AC44" s="948"/>
      <c r="AD44" s="948"/>
      <c r="AE44" s="948"/>
      <c r="AF44" s="948"/>
      <c r="AG44" s="2633"/>
      <c r="AH44" s="2633"/>
      <c r="AI44" s="2633"/>
      <c r="AJ44" s="2633"/>
      <c r="AK44" s="2632"/>
    </row>
    <row r="45" spans="1:40" ht="12.75" customHeight="1">
      <c r="A45" s="2581">
        <v>1950</v>
      </c>
      <c r="B45" s="2584"/>
      <c r="C45" s="2838">
        <f>+'1950'!$D$17</f>
        <v>0.273898076221056</v>
      </c>
      <c r="D45" s="2838">
        <f>+'1950'!$D$18</f>
        <v>0.58093073584577315</v>
      </c>
      <c r="E45" s="2838">
        <f>+'1950'!$D$19</f>
        <v>0.12632200105459146</v>
      </c>
      <c r="F45" s="2838">
        <f>+'1950'!$D$20</f>
        <v>1.1501065713085701E-2</v>
      </c>
      <c r="G45" s="2838">
        <f>+H45-SUM(C45:F45)</f>
        <v>7.3481211654936596E-3</v>
      </c>
      <c r="H45" s="3221">
        <f>+'1950'!$D$14</f>
        <v>1</v>
      </c>
      <c r="I45" s="3177"/>
      <c r="J45" s="2581">
        <v>1950</v>
      </c>
      <c r="K45" s="2584"/>
      <c r="L45" s="3222">
        <f>+'1950'!$F$17</f>
        <v>4</v>
      </c>
      <c r="M45" s="3222">
        <f>+'1950'!$F$18</f>
        <v>27</v>
      </c>
      <c r="N45" s="3222">
        <f>+'1950'!$F$19</f>
        <v>5</v>
      </c>
      <c r="O45" s="3223">
        <v>0</v>
      </c>
      <c r="P45" s="3223">
        <v>0</v>
      </c>
      <c r="Q45" s="3222">
        <f>+'1950'!$F$14</f>
        <v>36</v>
      </c>
      <c r="S45" s="919"/>
      <c r="T45" s="919"/>
      <c r="U45" s="919"/>
      <c r="V45" s="919"/>
      <c r="W45" s="919"/>
      <c r="X45" s="919"/>
      <c r="Y45" s="919"/>
      <c r="Z45" s="919"/>
      <c r="AA45" s="948"/>
      <c r="AB45" s="948"/>
      <c r="AC45" s="948"/>
      <c r="AD45" s="948"/>
      <c r="AE45" s="948"/>
      <c r="AF45" s="948"/>
      <c r="AG45" s="2632"/>
      <c r="AH45" s="2632"/>
      <c r="AI45" s="2632"/>
      <c r="AJ45" s="2632"/>
      <c r="AK45" s="2632"/>
    </row>
    <row r="46" spans="1:40" ht="12.75" customHeight="1">
      <c r="A46" s="2581">
        <v>1951</v>
      </c>
      <c r="B46" s="2584"/>
      <c r="C46" s="2838">
        <f>+'1951'!$D$17</f>
        <v>0.30812992129845457</v>
      </c>
      <c r="D46" s="2838">
        <f>+'1951'!$D$18</f>
        <v>0.60534741596483443</v>
      </c>
      <c r="E46" s="2838">
        <f>+'1951'!$D$19</f>
        <v>7.6381101952402469E-2</v>
      </c>
      <c r="F46" s="2838">
        <f>+'1951'!$D$20</f>
        <v>7.1398261726935645E-3</v>
      </c>
      <c r="G46" s="2838">
        <f>+H46-SUM(C46:F46)</f>
        <v>3.0017346116150145E-3</v>
      </c>
      <c r="H46" s="3221">
        <f>+'1951'!$D$14</f>
        <v>1</v>
      </c>
      <c r="I46" s="3177"/>
      <c r="J46" s="2581">
        <v>1951</v>
      </c>
      <c r="K46" s="2584"/>
      <c r="L46" s="3222">
        <f>+'1951'!$F$17</f>
        <v>6</v>
      </c>
      <c r="M46" s="3222">
        <f>+'1951'!$F$18</f>
        <v>27</v>
      </c>
      <c r="N46" s="3222">
        <f>+'1951'!$F$19</f>
        <v>3</v>
      </c>
      <c r="O46" s="3223">
        <v>0</v>
      </c>
      <c r="P46" s="3223">
        <v>0</v>
      </c>
      <c r="Q46" s="3222">
        <f>+'1951'!$F$14</f>
        <v>36</v>
      </c>
      <c r="S46" s="919"/>
      <c r="T46" s="919"/>
      <c r="U46" s="919"/>
      <c r="V46" s="919"/>
      <c r="W46" s="919"/>
      <c r="X46" s="919"/>
      <c r="Y46" s="919"/>
      <c r="Z46" s="919"/>
      <c r="AA46" s="948"/>
      <c r="AB46" s="948"/>
      <c r="AC46" s="948"/>
      <c r="AD46" s="948"/>
      <c r="AE46" s="948"/>
      <c r="AF46" s="948"/>
      <c r="AG46" s="2632"/>
      <c r="AH46" s="2632"/>
      <c r="AI46" s="2632"/>
      <c r="AJ46" s="2632"/>
      <c r="AK46" s="2632"/>
    </row>
    <row r="47" spans="1:40" ht="12.75" customHeight="1">
      <c r="A47" s="2581">
        <v>1955</v>
      </c>
      <c r="B47" s="2584"/>
      <c r="C47" s="2838">
        <f>+'1955'!$D$17</f>
        <v>0.29912730762685147</v>
      </c>
      <c r="D47" s="2838">
        <f>+'1955'!$D$18</f>
        <v>0.57590582287804348</v>
      </c>
      <c r="E47" s="2838">
        <f>+'1955'!$D$19</f>
        <v>7.2604629621879802E-2</v>
      </c>
      <c r="F47" s="2838">
        <f>+'1955'!$D$20</f>
        <v>3.1469794744316201E-2</v>
      </c>
      <c r="G47" s="2838">
        <f t="shared" ref="G47:G58" si="11">+H47-SUM(C47:F47)</f>
        <v>2.0892445128909087E-2</v>
      </c>
      <c r="H47" s="3221">
        <f>+'1955'!$D$14</f>
        <v>1</v>
      </c>
      <c r="I47" s="3177"/>
      <c r="J47" s="2581">
        <v>1955</v>
      </c>
      <c r="K47" s="2584"/>
      <c r="L47" s="3222">
        <f>+'1955'!$F$17</f>
        <v>6</v>
      </c>
      <c r="M47" s="3222">
        <f>+'1955'!$F$18</f>
        <v>27</v>
      </c>
      <c r="N47" s="3222">
        <f>+'1955'!$F$19</f>
        <v>3</v>
      </c>
      <c r="O47" s="3223">
        <v>0</v>
      </c>
      <c r="P47" s="3223">
        <v>0</v>
      </c>
      <c r="Q47" s="3222">
        <f>+'1955'!$F$14</f>
        <v>36</v>
      </c>
      <c r="S47" s="919"/>
      <c r="T47" s="919"/>
      <c r="U47" s="919"/>
      <c r="V47" s="919"/>
      <c r="W47" s="919"/>
      <c r="X47" s="919"/>
      <c r="Y47" s="919"/>
      <c r="Z47" s="919"/>
      <c r="AA47" s="948"/>
      <c r="AB47" s="948"/>
      <c r="AC47" s="948"/>
      <c r="AD47" s="948"/>
      <c r="AE47" s="948"/>
      <c r="AF47" s="948"/>
      <c r="AG47" s="2632"/>
      <c r="AH47" s="2632"/>
      <c r="AI47" s="2632"/>
      <c r="AJ47" s="2632"/>
      <c r="AK47" s="2632"/>
    </row>
    <row r="48" spans="1:40" ht="12.75" customHeight="1">
      <c r="A48" s="2581">
        <v>1959</v>
      </c>
      <c r="B48" s="2584"/>
      <c r="C48" s="2838">
        <f>+'1959'!$D$17</f>
        <v>0.32612420260223424</v>
      </c>
      <c r="D48" s="2838">
        <f>+'1959'!$D$18</f>
        <v>0.56425552403106904</v>
      </c>
      <c r="E48" s="2838">
        <f>+'1959'!$D$19</f>
        <v>5.2942584678563116E-2</v>
      </c>
      <c r="F48" s="2838">
        <f>+'1959'!$D$20</f>
        <v>5.2017190866497191E-2</v>
      </c>
      <c r="G48" s="2838">
        <f t="shared" si="11"/>
        <v>4.6604978216363557E-3</v>
      </c>
      <c r="H48" s="3221">
        <f>+'1959'!$D$14</f>
        <v>1</v>
      </c>
      <c r="I48" s="3177"/>
      <c r="J48" s="2581">
        <v>1959</v>
      </c>
      <c r="K48" s="2584"/>
      <c r="L48" s="3222">
        <f>+'1959'!$F$17</f>
        <v>7</v>
      </c>
      <c r="M48" s="3222">
        <f>+'1959'!$F$18</f>
        <v>27</v>
      </c>
      <c r="N48" s="3222">
        <f>+'1959'!$F$19</f>
        <v>2</v>
      </c>
      <c r="O48" s="3223">
        <v>0</v>
      </c>
      <c r="P48" s="3223">
        <v>0</v>
      </c>
      <c r="Q48" s="3222">
        <f>+'1959'!$F$14</f>
        <v>36</v>
      </c>
      <c r="S48" s="919"/>
      <c r="T48" s="919"/>
      <c r="U48" s="919"/>
      <c r="V48" s="919"/>
      <c r="W48" s="919"/>
      <c r="X48" s="919"/>
      <c r="Y48" s="919"/>
      <c r="Z48" s="919"/>
      <c r="AA48" s="948"/>
      <c r="AB48" s="948"/>
      <c r="AC48" s="948"/>
      <c r="AD48" s="948"/>
      <c r="AE48" s="948"/>
      <c r="AF48" s="948"/>
      <c r="AG48" s="2632"/>
      <c r="AH48" s="2632"/>
      <c r="AI48" s="2632"/>
      <c r="AJ48" s="2632"/>
      <c r="AK48" s="2632"/>
    </row>
    <row r="49" spans="1:37" ht="12.75" customHeight="1">
      <c r="A49" s="2581">
        <v>1964</v>
      </c>
      <c r="B49" s="2584"/>
      <c r="C49" s="2838">
        <f>+'1964'!$D$17</f>
        <v>0.29371780501187938</v>
      </c>
      <c r="D49" s="2838">
        <f>+'1964'!$D$18</f>
        <v>0.57843656231125284</v>
      </c>
      <c r="E49" s="2838">
        <f>+'1964'!$D$19</f>
        <v>7.3331665563266299E-2</v>
      </c>
      <c r="F49" s="2838">
        <f>+'1964'!$D$20</f>
        <v>4.8033851125261047E-2</v>
      </c>
      <c r="G49" s="2838">
        <f t="shared" si="11"/>
        <v>6.480115988340418E-3</v>
      </c>
      <c r="H49" s="3221">
        <f>+'1964'!$D$14</f>
        <v>1</v>
      </c>
      <c r="I49" s="3177"/>
      <c r="J49" s="2581">
        <v>1964</v>
      </c>
      <c r="K49" s="2584"/>
      <c r="L49" s="3222">
        <f>+'1964'!$F$17</f>
        <v>6</v>
      </c>
      <c r="M49" s="3222">
        <f>+'1964'!$F$18</f>
        <v>28</v>
      </c>
      <c r="N49" s="3222">
        <f>+'1964'!$F$19</f>
        <v>2</v>
      </c>
      <c r="O49" s="3223">
        <v>0</v>
      </c>
      <c r="P49" s="3223">
        <v>0</v>
      </c>
      <c r="Q49" s="3222">
        <f>+'1964'!$F$14</f>
        <v>36</v>
      </c>
      <c r="S49" s="919"/>
      <c r="T49" s="919"/>
      <c r="U49" s="919"/>
      <c r="V49" s="919"/>
      <c r="W49" s="919"/>
      <c r="X49" s="919"/>
      <c r="Y49" s="919"/>
      <c r="Z49" s="919"/>
      <c r="AA49" s="948"/>
      <c r="AB49" s="948"/>
      <c r="AC49" s="948"/>
      <c r="AD49" s="948"/>
      <c r="AE49" s="948"/>
      <c r="AF49" s="948"/>
      <c r="AG49" s="2632"/>
      <c r="AH49" s="2632"/>
      <c r="AI49" s="2632"/>
      <c r="AJ49" s="2632"/>
      <c r="AK49" s="2632"/>
    </row>
    <row r="50" spans="1:37" ht="12.75" customHeight="1">
      <c r="A50" s="2581">
        <v>1966</v>
      </c>
      <c r="B50" s="2584"/>
      <c r="C50" s="2838">
        <f>+'1966'!$D$15</f>
        <v>0.27875877718336278</v>
      </c>
      <c r="D50" s="2838">
        <f>+'1966'!$D$16</f>
        <v>0.60676602725098094</v>
      </c>
      <c r="E50" s="2838">
        <f>+'1966'!$D$17</f>
        <v>6.260068074762809E-2</v>
      </c>
      <c r="F50" s="2838">
        <f>+'1966'!$D$18</f>
        <v>4.2903961192467518E-2</v>
      </c>
      <c r="G50" s="2838">
        <f t="shared" si="11"/>
        <v>8.9705536255606511E-3</v>
      </c>
      <c r="H50" s="3221">
        <f>+'1966'!$D$14</f>
        <v>1</v>
      </c>
      <c r="I50" s="3177"/>
      <c r="J50" s="2581">
        <v>1966</v>
      </c>
      <c r="K50" s="2584"/>
      <c r="L50" s="3222">
        <f>+'1966'!$F$15</f>
        <v>3</v>
      </c>
      <c r="M50" s="3222">
        <f>+'1966'!$F$16</f>
        <v>32</v>
      </c>
      <c r="N50" s="3222">
        <f>+'1966'!$F$17</f>
        <v>1</v>
      </c>
      <c r="O50" s="3223">
        <v>0</v>
      </c>
      <c r="P50" s="3223">
        <v>0</v>
      </c>
      <c r="Q50" s="3222">
        <f>+'1966'!$F$14</f>
        <v>36</v>
      </c>
      <c r="S50" s="919"/>
      <c r="T50" s="919"/>
      <c r="U50" s="919"/>
      <c r="V50" s="919"/>
      <c r="W50" s="919"/>
      <c r="X50" s="919"/>
      <c r="Y50" s="919"/>
      <c r="Z50" s="919"/>
      <c r="AA50" s="948"/>
      <c r="AB50" s="948"/>
      <c r="AC50" s="948"/>
      <c r="AD50" s="948"/>
      <c r="AE50" s="948"/>
      <c r="AF50" s="948"/>
      <c r="AG50" s="2632"/>
      <c r="AH50" s="2632"/>
      <c r="AI50" s="2632"/>
      <c r="AJ50" s="2632"/>
      <c r="AK50" s="2632"/>
    </row>
    <row r="51" spans="1:37" ht="12.75" customHeight="1">
      <c r="A51" s="2581">
        <v>1970</v>
      </c>
      <c r="B51" s="2584"/>
      <c r="C51" s="2838">
        <f>+'1970'!$D$13</f>
        <v>0.27686716068138689</v>
      </c>
      <c r="D51" s="2838">
        <f>+'1970'!$D$14</f>
        <v>0.5156037965018061</v>
      </c>
      <c r="E51" s="2838">
        <f>+'1970'!$D$15</f>
        <v>6.8409697247839504E-2</v>
      </c>
      <c r="F51" s="2838">
        <f>+'1970'!$D$16</f>
        <v>0.11540373768424995</v>
      </c>
      <c r="G51" s="2838">
        <f t="shared" si="11"/>
        <v>2.3715607884717604E-2</v>
      </c>
      <c r="H51" s="3221">
        <f>+'1970'!$D$12</f>
        <v>1</v>
      </c>
      <c r="I51" s="3177"/>
      <c r="J51" s="2581">
        <v>1970</v>
      </c>
      <c r="K51" s="2584"/>
      <c r="L51" s="3222">
        <f>+'1970'!$F$13</f>
        <v>7</v>
      </c>
      <c r="M51" s="3222">
        <f>+'1970'!$F$14</f>
        <v>27</v>
      </c>
      <c r="N51" s="3222">
        <f>+'1970'!$F$15</f>
        <v>1</v>
      </c>
      <c r="O51" s="3223">
        <v>0</v>
      </c>
      <c r="P51" s="3222">
        <f>+Q51-SUM(L51:O51)</f>
        <v>1</v>
      </c>
      <c r="Q51" s="3222">
        <f>+'1970'!$F$12</f>
        <v>36</v>
      </c>
      <c r="S51" s="919"/>
      <c r="T51" s="919"/>
      <c r="U51" s="919"/>
      <c r="V51" s="919"/>
      <c r="W51" s="919"/>
      <c r="X51" s="919"/>
      <c r="Y51" s="919"/>
      <c r="Z51" s="919"/>
      <c r="AA51" s="948"/>
      <c r="AB51" s="948"/>
      <c r="AC51" s="948"/>
      <c r="AD51" s="948"/>
      <c r="AE51" s="948"/>
      <c r="AF51" s="948"/>
      <c r="AG51" s="2632"/>
      <c r="AH51" s="2632"/>
      <c r="AI51" s="2632"/>
      <c r="AJ51" s="2632"/>
      <c r="AK51" s="2632"/>
    </row>
    <row r="52" spans="1:37" ht="12.75" customHeight="1">
      <c r="A52" s="2581">
        <v>1974</v>
      </c>
      <c r="B52" s="2584" t="s">
        <v>50</v>
      </c>
      <c r="C52" s="2838">
        <f>+'1974F'!$D$13</f>
        <v>0.25883038668174974</v>
      </c>
      <c r="D52" s="2838">
        <f>+'1974F'!$D$14</f>
        <v>0.46776690050400194</v>
      </c>
      <c r="E52" s="2838">
        <f>+'1974F'!$D$15</f>
        <v>0.16025606035224296</v>
      </c>
      <c r="F52" s="2838">
        <f>+'1974F'!$D$16</f>
        <v>0.10752251005902087</v>
      </c>
      <c r="G52" s="2838">
        <f t="shared" si="11"/>
        <v>5.6241424029844778E-3</v>
      </c>
      <c r="H52" s="3221">
        <f>+'1974F'!$D$12</f>
        <v>1</v>
      </c>
      <c r="I52" s="3177"/>
      <c r="J52" s="2581">
        <v>1974</v>
      </c>
      <c r="K52" s="2584" t="s">
        <v>50</v>
      </c>
      <c r="L52" s="3222">
        <f>+'1974F'!$F$13</f>
        <v>8</v>
      </c>
      <c r="M52" s="3222">
        <f>+'1974F'!$F$14</f>
        <v>24</v>
      </c>
      <c r="N52" s="3222">
        <f>+'1974F'!$F$15</f>
        <v>2</v>
      </c>
      <c r="O52" s="3222">
        <f>+'1974F'!$F$16</f>
        <v>2</v>
      </c>
      <c r="P52" s="3223">
        <v>0</v>
      </c>
      <c r="Q52" s="3222">
        <f>+'1974F'!$F$12</f>
        <v>36</v>
      </c>
      <c r="S52" s="1049"/>
      <c r="T52" s="1049"/>
      <c r="U52" s="1049"/>
      <c r="V52" s="1049"/>
      <c r="W52" s="1049"/>
      <c r="X52" s="1049"/>
      <c r="Z52" s="948"/>
      <c r="AA52" s="948"/>
      <c r="AB52" s="948"/>
      <c r="AC52" s="948"/>
      <c r="AD52" s="948"/>
      <c r="AE52" s="948"/>
      <c r="AF52" s="948"/>
      <c r="AG52" s="2632"/>
      <c r="AH52" s="2632"/>
      <c r="AI52" s="2632"/>
      <c r="AJ52" s="2632"/>
      <c r="AK52" s="2632"/>
    </row>
    <row r="53" spans="1:37" ht="12.75" customHeight="1">
      <c r="A53" s="2581">
        <v>1974</v>
      </c>
      <c r="B53" s="2584" t="s">
        <v>51</v>
      </c>
      <c r="C53" s="2838">
        <f>+'1974O'!$D$13</f>
        <v>0.23879597357332363</v>
      </c>
      <c r="D53" s="2838">
        <f>+'1974O'!$D$14</f>
        <v>0.49514058679706602</v>
      </c>
      <c r="E53" s="2838">
        <f>+'1974O'!$D$15</f>
        <v>0.15544985174010301</v>
      </c>
      <c r="F53" s="2838">
        <f>+'1974O'!$D$16</f>
        <v>0.1081523435467929</v>
      </c>
      <c r="G53" s="2838">
        <f t="shared" si="11"/>
        <v>2.4612443427144415E-3</v>
      </c>
      <c r="H53" s="3221">
        <f>+'1974O'!$D$12</f>
        <v>1</v>
      </c>
      <c r="I53" s="3177"/>
      <c r="J53" s="2581">
        <v>1974</v>
      </c>
      <c r="K53" s="2584" t="s">
        <v>51</v>
      </c>
      <c r="L53" s="3222">
        <f>+'1974O'!$F$13</f>
        <v>8</v>
      </c>
      <c r="M53" s="3222">
        <f>+'1974O'!$F$14</f>
        <v>23</v>
      </c>
      <c r="N53" s="3222">
        <f>+'1974O'!$F$15</f>
        <v>2</v>
      </c>
      <c r="O53" s="3222">
        <f>+'1974O'!$F$16</f>
        <v>3</v>
      </c>
      <c r="P53" s="3223">
        <v>0</v>
      </c>
      <c r="Q53" s="3222">
        <f>+'1974O'!$F$12</f>
        <v>36</v>
      </c>
      <c r="S53" s="1049"/>
      <c r="T53" s="1049"/>
      <c r="U53" s="1049"/>
      <c r="V53" s="1049"/>
      <c r="W53" s="1049"/>
      <c r="X53" s="1049"/>
      <c r="Z53" s="948"/>
      <c r="AA53" s="948"/>
      <c r="AB53" s="948"/>
      <c r="AC53" s="948"/>
      <c r="AD53" s="948"/>
      <c r="AE53" s="948"/>
      <c r="AF53" s="948"/>
      <c r="AG53" s="2632"/>
      <c r="AH53" s="2632"/>
      <c r="AI53" s="2632"/>
      <c r="AJ53" s="2632"/>
      <c r="AK53" s="2632"/>
    </row>
    <row r="54" spans="1:37" ht="12.75" customHeight="1">
      <c r="A54" s="2581">
        <v>1979</v>
      </c>
      <c r="B54" s="2584"/>
      <c r="C54" s="2838">
        <f>+'1979'!$D$13</f>
        <v>0.32155557782410721</v>
      </c>
      <c r="D54" s="2838">
        <f>+'1979'!$D$14</f>
        <v>0.48606796579224582</v>
      </c>
      <c r="E54" s="2838">
        <f>+'1979'!$D$15</f>
        <v>0.10602851786766125</v>
      </c>
      <c r="F54" s="2838">
        <f>+'1979'!$D$16</f>
        <v>8.0988006755518191E-2</v>
      </c>
      <c r="G54" s="2838">
        <f t="shared" si="11"/>
        <v>5.3599317604675623E-3</v>
      </c>
      <c r="H54" s="3221">
        <f>+'1979'!$D$12</f>
        <v>1</v>
      </c>
      <c r="I54" s="3177"/>
      <c r="J54" s="2581">
        <v>1979</v>
      </c>
      <c r="K54" s="2584"/>
      <c r="L54" s="3222">
        <f>+'1979'!$F$13</f>
        <v>11</v>
      </c>
      <c r="M54" s="3222">
        <f>+'1979'!$F$14</f>
        <v>22</v>
      </c>
      <c r="N54" s="3222">
        <f>+'1979'!$F$15</f>
        <v>1</v>
      </c>
      <c r="O54" s="3222">
        <f>+'1979'!$F$16</f>
        <v>2</v>
      </c>
      <c r="P54" s="3224">
        <v>0</v>
      </c>
      <c r="Q54" s="3222">
        <f>+'1979'!$F$12</f>
        <v>36</v>
      </c>
      <c r="S54" s="1049"/>
      <c r="T54" s="1049"/>
      <c r="U54" s="1049"/>
      <c r="V54" s="1049"/>
      <c r="W54" s="1049"/>
      <c r="X54" s="1049"/>
      <c r="Z54" s="948"/>
      <c r="AA54" s="948"/>
      <c r="AB54" s="948"/>
      <c r="AC54" s="948"/>
      <c r="AD54" s="948"/>
      <c r="AE54" s="948"/>
      <c r="AF54" s="948"/>
      <c r="AG54" s="2632"/>
      <c r="AH54" s="2632"/>
      <c r="AI54" s="2632"/>
      <c r="AJ54" s="2632"/>
      <c r="AK54" s="2632"/>
    </row>
    <row r="55" spans="1:37" ht="12.75" customHeight="1">
      <c r="A55" s="2581">
        <v>1983</v>
      </c>
      <c r="B55" s="2584"/>
      <c r="C55" s="2838">
        <f>+'1983'!$D$15</f>
        <v>0.31032588226373631</v>
      </c>
      <c r="D55" s="2838">
        <f>+'1983'!$D$16</f>
        <v>0.37530345198777365</v>
      </c>
      <c r="E55" s="2838">
        <f>+'1983'!$D$19</f>
        <v>0.23204552432401526</v>
      </c>
      <c r="F55" s="2838">
        <f>+'1983'!$D$20</f>
        <v>7.7880727364936675E-2</v>
      </c>
      <c r="G55" s="2838">
        <f t="shared" si="11"/>
        <v>4.4444140595381043E-3</v>
      </c>
      <c r="H55" s="3221">
        <f>+'1983'!$D$14</f>
        <v>1</v>
      </c>
      <c r="I55" s="3177"/>
      <c r="J55" s="2581">
        <v>1983</v>
      </c>
      <c r="K55" s="2584"/>
      <c r="L55" s="3222">
        <f>+'1983'!$F$15</f>
        <v>14</v>
      </c>
      <c r="M55" s="3222">
        <f>+'1983'!$F$16</f>
        <v>20</v>
      </c>
      <c r="N55" s="3222">
        <f>+'1983'!$F$19</f>
        <v>2</v>
      </c>
      <c r="O55" s="3222">
        <f>+'1983'!$F$20</f>
        <v>2</v>
      </c>
      <c r="P55" s="3223">
        <v>0</v>
      </c>
      <c r="Q55" s="3222">
        <f>+'1983'!$F$14</f>
        <v>38</v>
      </c>
      <c r="S55" s="1049"/>
      <c r="T55" s="1049"/>
      <c r="U55" s="1049"/>
      <c r="V55" s="1049"/>
      <c r="W55" s="1049"/>
      <c r="X55" s="1049"/>
      <c r="Z55" s="948"/>
      <c r="AA55" s="948"/>
      <c r="AB55" s="948"/>
      <c r="AC55" s="948"/>
      <c r="AD55" s="948"/>
      <c r="AE55" s="948"/>
      <c r="AF55" s="948"/>
      <c r="AG55" s="2632"/>
      <c r="AH55" s="2632"/>
      <c r="AI55" s="2634"/>
      <c r="AJ55" s="2632"/>
      <c r="AK55" s="2632"/>
    </row>
    <row r="56" spans="1:37" ht="12.75" customHeight="1">
      <c r="A56" s="2581">
        <v>1987</v>
      </c>
      <c r="B56" s="2584"/>
      <c r="C56" s="2838">
        <f>+'1987'!$D$15</f>
        <v>0.29522241380934883</v>
      </c>
      <c r="D56" s="2838">
        <f>+'1987'!$D$16</f>
        <v>0.45062764413790501</v>
      </c>
      <c r="E56" s="2838">
        <f>+'1987'!$D$19</f>
        <v>0.17915948214941912</v>
      </c>
      <c r="F56" s="2838">
        <f>+'1987'!$D$20</f>
        <v>7.2786815350840001E-2</v>
      </c>
      <c r="G56" s="2838">
        <f t="shared" si="11"/>
        <v>2.2036445524871162E-3</v>
      </c>
      <c r="H56" s="3221">
        <f>+'1987'!$D$14</f>
        <v>1</v>
      </c>
      <c r="I56" s="3177"/>
      <c r="J56" s="2581">
        <v>1987</v>
      </c>
      <c r="K56" s="2584"/>
      <c r="L56" s="3222">
        <f>+'1987'!$F$15</f>
        <v>8</v>
      </c>
      <c r="M56" s="3222">
        <f>+'1987'!$F$16</f>
        <v>24</v>
      </c>
      <c r="N56" s="3222">
        <f>+'1987'!$F$19</f>
        <v>3</v>
      </c>
      <c r="O56" s="3222">
        <f>+'1987'!$F$20</f>
        <v>3</v>
      </c>
      <c r="P56" s="3223">
        <v>0</v>
      </c>
      <c r="Q56" s="3222">
        <f>+'1987'!$F$14</f>
        <v>38</v>
      </c>
      <c r="S56" s="1049"/>
      <c r="T56" s="1049"/>
      <c r="U56" s="1049"/>
      <c r="V56" s="1049"/>
      <c r="W56" s="1049"/>
      <c r="X56" s="1049"/>
      <c r="Z56" s="948"/>
      <c r="AA56" s="948"/>
      <c r="AB56" s="948"/>
      <c r="AC56" s="948"/>
      <c r="AD56" s="948"/>
      <c r="AE56" s="948"/>
      <c r="AF56" s="948"/>
      <c r="AG56" s="2632"/>
      <c r="AH56" s="2632"/>
      <c r="AI56" s="2632"/>
      <c r="AJ56" s="2632"/>
      <c r="AK56" s="2632"/>
    </row>
    <row r="57" spans="1:37" ht="12.75" customHeight="1">
      <c r="A57" s="2581">
        <v>1992</v>
      </c>
      <c r="B57" s="2584"/>
      <c r="C57" s="2838">
        <f>+'1992'!$D$13</f>
        <v>0.28572939831665217</v>
      </c>
      <c r="D57" s="2838">
        <f>+'1992'!$D$14</f>
        <v>0.4950105130614138</v>
      </c>
      <c r="E57" s="2838">
        <f>+'1992'!$D$15</f>
        <v>0.12434804437615544</v>
      </c>
      <c r="F57" s="2838">
        <f>+'1992'!$D$16</f>
        <v>8.8603063741117358E-2</v>
      </c>
      <c r="G57" s="2838">
        <f t="shared" si="11"/>
        <v>6.3089805046612213E-3</v>
      </c>
      <c r="H57" s="3221">
        <f>+'1992'!$D$12</f>
        <v>1</v>
      </c>
      <c r="I57" s="3177"/>
      <c r="J57" s="2581">
        <v>1992</v>
      </c>
      <c r="K57" s="2584"/>
      <c r="L57" s="3222">
        <f>+'1992'!$F$13</f>
        <v>6</v>
      </c>
      <c r="M57" s="3222">
        <f>+'1992'!$F$14</f>
        <v>27</v>
      </c>
      <c r="N57" s="3222">
        <f>+'1992'!$F$15</f>
        <v>1</v>
      </c>
      <c r="O57" s="3222">
        <f>+'1992'!$F$16</f>
        <v>4</v>
      </c>
      <c r="P57" s="3223">
        <v>0</v>
      </c>
      <c r="Q57" s="3222">
        <f>+'1992'!$F$12</f>
        <v>38</v>
      </c>
      <c r="S57" s="1049"/>
      <c r="T57" s="1049"/>
      <c r="U57" s="1049"/>
      <c r="V57" s="1049"/>
      <c r="W57" s="1049"/>
      <c r="X57" s="1049"/>
      <c r="Z57" s="948"/>
      <c r="AA57" s="948"/>
      <c r="AB57" s="948"/>
      <c r="AC57" s="948"/>
      <c r="AD57" s="948"/>
      <c r="AE57" s="948"/>
      <c r="AF57" s="948"/>
      <c r="AG57" s="2632"/>
      <c r="AH57" s="2632"/>
      <c r="AI57" s="2632"/>
      <c r="AJ57" s="2632"/>
      <c r="AK57" s="2632"/>
    </row>
    <row r="58" spans="1:37" ht="12.75" customHeight="1">
      <c r="A58" s="2581">
        <v>1997</v>
      </c>
      <c r="B58" s="2584"/>
      <c r="C58" s="2838">
        <f>+'1997'!$D$13</f>
        <v>0.19576102642985269</v>
      </c>
      <c r="D58" s="2838">
        <f>+'1997'!$D$14</f>
        <v>0.5474697881932914</v>
      </c>
      <c r="E58" s="2838">
        <f>+'1997'!$D$15</f>
        <v>0.12346441062132189</v>
      </c>
      <c r="F58" s="2838">
        <f>+'1997'!$D$16</f>
        <v>9.9397430468710454E-2</v>
      </c>
      <c r="G58" s="2838">
        <f t="shared" si="11"/>
        <v>3.3907344286823626E-2</v>
      </c>
      <c r="H58" s="3221">
        <f>+'1997'!$D$12</f>
        <v>1</v>
      </c>
      <c r="I58" s="3177"/>
      <c r="J58" s="2581">
        <v>1997</v>
      </c>
      <c r="K58" s="2584"/>
      <c r="L58" s="3223">
        <v>0</v>
      </c>
      <c r="M58" s="3222">
        <f>+'1997'!$F$14</f>
        <v>34</v>
      </c>
      <c r="N58" s="3222">
        <f>+'1997'!$F$15</f>
        <v>2</v>
      </c>
      <c r="O58" s="3222">
        <f>+'1997'!$F$16</f>
        <v>4</v>
      </c>
      <c r="P58" s="3223">
        <v>0</v>
      </c>
      <c r="Q58" s="3222">
        <f>+'1997'!$F$12</f>
        <v>40</v>
      </c>
      <c r="S58" s="1049"/>
      <c r="T58" s="1049"/>
      <c r="U58" s="1049"/>
      <c r="V58" s="1049"/>
      <c r="W58" s="1049"/>
      <c r="X58" s="1049"/>
      <c r="Z58" s="948"/>
      <c r="AA58" s="948"/>
      <c r="AB58" s="948"/>
      <c r="AC58" s="948"/>
      <c r="AD58" s="948"/>
      <c r="AE58" s="948"/>
      <c r="AF58" s="948"/>
      <c r="AG58" s="2632"/>
      <c r="AH58" s="2632"/>
      <c r="AI58" s="2632"/>
      <c r="AJ58" s="2632"/>
      <c r="AK58" s="2632"/>
    </row>
    <row r="59" spans="1:37" ht="12.75" customHeight="1">
      <c r="A59" s="2581">
        <v>2001</v>
      </c>
      <c r="B59" s="2584"/>
      <c r="C59" s="2838">
        <f>+'2001'!$D$13</f>
        <v>0.19574207348970454</v>
      </c>
      <c r="D59" s="2838">
        <f>+'2001'!$D$14</f>
        <v>0.48592615475182616</v>
      </c>
      <c r="E59" s="2838">
        <f>+'2001'!$D$15</f>
        <v>0.13801650363630799</v>
      </c>
      <c r="F59" s="2838">
        <f>+'2001'!$D$16</f>
        <v>0.14272235684632792</v>
      </c>
      <c r="G59" s="2838">
        <f>+H59-SUM(C59:F59)</f>
        <v>3.7592911275833307E-2</v>
      </c>
      <c r="H59" s="3221">
        <f>+'2001'!$D$12</f>
        <v>1</v>
      </c>
      <c r="I59" s="3177"/>
      <c r="J59" s="2581">
        <v>2001</v>
      </c>
      <c r="K59" s="2584"/>
      <c r="L59" s="3223">
        <f>+'2001'!$F$13</f>
        <v>0</v>
      </c>
      <c r="M59" s="3222">
        <f>+'2001'!$F$14</f>
        <v>34</v>
      </c>
      <c r="N59" s="3222">
        <f>+'2001'!$F$15</f>
        <v>2</v>
      </c>
      <c r="O59" s="3222">
        <f>+'2001'!$F$16</f>
        <v>4</v>
      </c>
      <c r="P59" s="3223">
        <f>+'2001'!$F$17</f>
        <v>0</v>
      </c>
      <c r="Q59" s="3222">
        <f>+'2001'!$F$12</f>
        <v>40</v>
      </c>
      <c r="S59" s="1049"/>
      <c r="T59" s="1049"/>
      <c r="U59" s="1049"/>
      <c r="V59" s="1049"/>
      <c r="W59" s="1049"/>
      <c r="X59" s="1049"/>
      <c r="Z59" s="948"/>
      <c r="AA59" s="948"/>
      <c r="AB59" s="948"/>
      <c r="AC59" s="948"/>
      <c r="AD59" s="948"/>
      <c r="AE59" s="948"/>
      <c r="AF59" s="948"/>
      <c r="AG59" s="2632"/>
      <c r="AH59" s="2632"/>
      <c r="AI59" s="2632"/>
      <c r="AJ59" s="2632"/>
      <c r="AK59" s="2632"/>
    </row>
    <row r="60" spans="1:37" ht="12.75" customHeight="1">
      <c r="A60" s="2581">
        <v>2005</v>
      </c>
      <c r="B60" s="2584"/>
      <c r="C60" s="2838">
        <f>+'2005'!$D$13</f>
        <v>0.21384787598934171</v>
      </c>
      <c r="D60" s="2838">
        <f>+'2005'!$D$14</f>
        <v>0.42709333325674453</v>
      </c>
      <c r="E60" s="2838">
        <f>+'2005'!$D$15</f>
        <v>0.18399188924686172</v>
      </c>
      <c r="F60" s="2838">
        <f>+'2005'!$D$16</f>
        <v>0.12553716866072767</v>
      </c>
      <c r="G60" s="2838">
        <f>+H60-SUM(C60:F60)</f>
        <v>4.9529732846324448E-2</v>
      </c>
      <c r="H60" s="3221">
        <f>+'2005'!$D$12</f>
        <v>1</v>
      </c>
      <c r="I60" s="3177"/>
      <c r="J60" s="2581">
        <v>2005</v>
      </c>
      <c r="K60" s="2584"/>
      <c r="L60" s="3223">
        <f>+'2005'!$F$13</f>
        <v>3</v>
      </c>
      <c r="M60" s="3222">
        <f>+'2005'!$F$14</f>
        <v>29</v>
      </c>
      <c r="N60" s="3222">
        <f>+'2005'!$F$15</f>
        <v>4</v>
      </c>
      <c r="O60" s="3222">
        <f>+'2005'!$F$16</f>
        <v>3</v>
      </c>
      <c r="P60" s="3223">
        <f>+'2005'!$F$17</f>
        <v>1</v>
      </c>
      <c r="Q60" s="3222">
        <f>+'2005'!$F$12</f>
        <v>40</v>
      </c>
      <c r="S60" s="1049"/>
      <c r="T60" s="1049"/>
      <c r="U60" s="1049"/>
      <c r="V60" s="1049"/>
      <c r="W60" s="1049"/>
      <c r="X60" s="1049"/>
      <c r="Z60" s="948"/>
      <c r="AA60" s="948"/>
      <c r="AB60" s="948"/>
      <c r="AC60" s="948"/>
      <c r="AD60" s="948"/>
      <c r="AE60" s="948"/>
      <c r="AF60" s="948"/>
      <c r="AG60" s="2632"/>
      <c r="AH60" s="2632"/>
      <c r="AI60" s="2632"/>
      <c r="AJ60" s="2632"/>
      <c r="AK60" s="2632"/>
    </row>
    <row r="61" spans="1:37" ht="12.75" customHeight="1">
      <c r="A61" s="2581">
        <v>2010</v>
      </c>
      <c r="B61" s="2584"/>
      <c r="C61" s="2838">
        <f>+'2010'!$D$13</f>
        <v>0.2609490108646369</v>
      </c>
      <c r="D61" s="2838">
        <f>+'2010'!$D$14</f>
        <v>0.36245137844867847</v>
      </c>
      <c r="E61" s="2838">
        <f>+'2010'!$D$15</f>
        <v>0.20124566624735374</v>
      </c>
      <c r="F61" s="2838">
        <f>+'2010'!$D$16</f>
        <v>0.1127672267733017</v>
      </c>
      <c r="G61" s="2838">
        <f>+H61-SUM(C61:F61)</f>
        <v>6.2586717666029301E-2</v>
      </c>
      <c r="H61" s="3221">
        <f>+'2010'!$D$12</f>
        <v>1</v>
      </c>
      <c r="I61" s="3177"/>
      <c r="J61" s="2581">
        <v>2010</v>
      </c>
      <c r="K61" s="2584"/>
      <c r="L61" s="3223">
        <f>+'2010'!$F$13</f>
        <v>8</v>
      </c>
      <c r="M61" s="3222">
        <f>+'2010'!$F$14</f>
        <v>26</v>
      </c>
      <c r="N61" s="3222">
        <f>+'2010'!$F$15</f>
        <v>3</v>
      </c>
      <c r="O61" s="3222">
        <f>+'2010'!$F$16</f>
        <v>3</v>
      </c>
      <c r="P61" s="3223">
        <f>+'2010'!$F$17</f>
        <v>0</v>
      </c>
      <c r="Q61" s="3222">
        <f>+'2010'!$F$12</f>
        <v>40</v>
      </c>
      <c r="S61" s="1049"/>
      <c r="T61" s="1049"/>
      <c r="U61" s="1049"/>
      <c r="V61" s="1049"/>
      <c r="W61" s="1049"/>
      <c r="X61" s="1049"/>
      <c r="Z61" s="948"/>
      <c r="AA61" s="948"/>
      <c r="AB61" s="948"/>
      <c r="AC61" s="948"/>
      <c r="AD61" s="948"/>
      <c r="AE61" s="948"/>
      <c r="AF61" s="948"/>
      <c r="AG61" s="2632"/>
      <c r="AH61" s="2632"/>
      <c r="AI61" s="2632"/>
      <c r="AJ61" s="2632"/>
      <c r="AK61" s="2632"/>
    </row>
    <row r="62" spans="1:37" ht="12.75" customHeight="1">
      <c r="A62" s="2581">
        <v>2015</v>
      </c>
      <c r="B62" s="2584"/>
      <c r="C62" s="3171">
        <f t="shared" ref="C62:H62" si="12">IFERROR(C30/$H30,"..")</f>
        <v>0.27221146785928846</v>
      </c>
      <c r="D62" s="3171">
        <f t="shared" si="12"/>
        <v>0.36880048060877113</v>
      </c>
      <c r="E62" s="3171">
        <f t="shared" si="12"/>
        <v>6.5282691409118215E-2</v>
      </c>
      <c r="F62" s="3171">
        <f t="shared" si="12"/>
        <v>0.12128696348708363</v>
      </c>
      <c r="G62" s="3171">
        <f t="shared" si="12"/>
        <v>0.17241839663573857</v>
      </c>
      <c r="H62" s="3225">
        <f t="shared" si="12"/>
        <v>1</v>
      </c>
      <c r="I62" s="3177"/>
      <c r="J62" s="2581">
        <v>2015</v>
      </c>
      <c r="K62" s="2584"/>
      <c r="L62" s="3223">
        <v>11</v>
      </c>
      <c r="M62" s="3222">
        <v>25</v>
      </c>
      <c r="N62" s="3222">
        <v>1</v>
      </c>
      <c r="O62" s="3222">
        <v>3</v>
      </c>
      <c r="P62" s="2584">
        <v>0</v>
      </c>
      <c r="Q62" s="3222">
        <v>40</v>
      </c>
    </row>
    <row r="63" spans="1:37" ht="12.75" customHeight="1">
      <c r="A63" s="2581">
        <v>2017</v>
      </c>
      <c r="B63" s="2584"/>
      <c r="C63" s="3171">
        <f t="shared" ref="C63:H63" si="13">IFERROR(C31/$H31,"..")</f>
        <v>0.33560075593445349</v>
      </c>
      <c r="D63" s="3171">
        <f t="shared" si="13"/>
        <v>0.48950055781261298</v>
      </c>
      <c r="E63" s="3171">
        <f t="shared" si="13"/>
        <v>4.5081285799321989E-2</v>
      </c>
      <c r="F63" s="3171">
        <f t="shared" si="13"/>
        <v>0.10436997635483734</v>
      </c>
      <c r="G63" s="3171">
        <f t="shared" si="13"/>
        <v>2.5447424098774079E-2</v>
      </c>
      <c r="H63" s="3225">
        <f t="shared" si="13"/>
        <v>1</v>
      </c>
      <c r="I63" s="3177"/>
      <c r="J63" s="2581">
        <v>2017</v>
      </c>
      <c r="K63" s="2584"/>
      <c r="L63" s="3223">
        <v>8</v>
      </c>
      <c r="M63" s="3222">
        <v>28</v>
      </c>
      <c r="N63" s="3223">
        <v>0</v>
      </c>
      <c r="O63" s="3222">
        <v>4</v>
      </c>
      <c r="P63" s="3223">
        <v>0</v>
      </c>
      <c r="Q63" s="3222">
        <f>SUM(L63:P63)</f>
        <v>40</v>
      </c>
    </row>
    <row r="64" spans="1:37" ht="12.75" customHeight="1">
      <c r="A64" s="2581">
        <v>2019</v>
      </c>
      <c r="B64" s="2584"/>
      <c r="C64" s="3171">
        <f t="shared" ref="C64:H64" si="14">IFERROR(C32/$H32,"..")</f>
        <v>0.36081942193417715</v>
      </c>
      <c r="D64" s="3171">
        <f t="shared" si="14"/>
        <v>0.40925446642194774</v>
      </c>
      <c r="E64" s="3171">
        <f t="shared" si="14"/>
        <v>5.9682443890887928E-2</v>
      </c>
      <c r="F64" s="3171">
        <f t="shared" si="14"/>
        <v>9.9241949885939582E-2</v>
      </c>
      <c r="G64" s="3171">
        <f t="shared" si="14"/>
        <v>7.1001717867047578E-2</v>
      </c>
      <c r="H64" s="3225">
        <f t="shared" si="14"/>
        <v>1</v>
      </c>
      <c r="I64" s="3177"/>
      <c r="J64" s="2581">
        <v>2019</v>
      </c>
      <c r="K64" s="2584"/>
      <c r="L64" s="3223">
        <v>14</v>
      </c>
      <c r="M64" s="3222">
        <v>22</v>
      </c>
      <c r="N64" s="3223">
        <v>0</v>
      </c>
      <c r="O64" s="3222">
        <v>4</v>
      </c>
      <c r="P64" s="3223">
        <v>0</v>
      </c>
      <c r="Q64" s="3222">
        <f>SUM(L64:P64)</f>
        <v>40</v>
      </c>
    </row>
    <row r="65" spans="1:17" ht="3" customHeight="1">
      <c r="A65" s="1083"/>
      <c r="B65" s="1023"/>
      <c r="C65" s="1084"/>
      <c r="D65" s="1084"/>
      <c r="E65" s="1084"/>
      <c r="F65" s="1084"/>
      <c r="G65" s="1084"/>
      <c r="H65" s="1084"/>
      <c r="I65" s="1055"/>
      <c r="J65" s="1084"/>
      <c r="K65" s="1084"/>
      <c r="L65" s="1085"/>
      <c r="M65" s="1086"/>
      <c r="N65" s="1086"/>
      <c r="O65" s="1086"/>
      <c r="P65" s="1085"/>
      <c r="Q65" s="1086"/>
    </row>
    <row r="66" spans="1:17" ht="6" customHeight="1">
      <c r="A66" s="1068"/>
      <c r="B66" s="944"/>
      <c r="C66" s="944"/>
      <c r="D66" s="944"/>
      <c r="E66" s="944"/>
      <c r="F66" s="944"/>
      <c r="G66" s="944"/>
      <c r="H66" s="944"/>
      <c r="I66" s="948"/>
      <c r="J66" s="944"/>
      <c r="K66" s="944"/>
      <c r="L66" s="944"/>
      <c r="M66" s="944"/>
      <c r="N66" s="944"/>
      <c r="O66" s="944"/>
      <c r="P66" s="944"/>
      <c r="Q66" s="944"/>
    </row>
    <row r="67" spans="1:17">
      <c r="A67" s="1068" t="s">
        <v>1113</v>
      </c>
      <c r="B67" s="944"/>
      <c r="C67" s="944"/>
      <c r="D67" s="944"/>
      <c r="E67" s="944"/>
      <c r="F67" s="944"/>
      <c r="G67" s="944"/>
      <c r="H67" s="944"/>
      <c r="I67" s="948"/>
      <c r="J67" s="944"/>
      <c r="K67" s="944"/>
      <c r="L67" s="944"/>
      <c r="M67" s="944"/>
      <c r="N67" s="944"/>
      <c r="O67" s="944"/>
      <c r="P67" s="944"/>
      <c r="Q67" s="944"/>
    </row>
    <row r="68" spans="1:17" ht="22.5" customHeight="1">
      <c r="A68" s="3403" t="s">
        <v>1426</v>
      </c>
      <c r="B68" s="3403"/>
      <c r="C68" s="3403"/>
      <c r="D68" s="3403"/>
      <c r="E68" s="3403"/>
      <c r="F68" s="3403"/>
      <c r="G68" s="3403"/>
      <c r="H68" s="3403"/>
      <c r="I68" s="3403"/>
      <c r="J68" s="3403"/>
      <c r="K68" s="3403"/>
      <c r="L68" s="3403"/>
      <c r="M68" s="3403"/>
      <c r="N68" s="3403"/>
      <c r="O68" s="3403"/>
      <c r="P68" s="3403"/>
      <c r="Q68" s="3403"/>
    </row>
    <row r="69" spans="1:17" ht="22.5" customHeight="1">
      <c r="A69" s="3401" t="s">
        <v>1424</v>
      </c>
      <c r="B69" s="3401"/>
      <c r="C69" s="3401"/>
      <c r="D69" s="3401"/>
      <c r="E69" s="3401"/>
      <c r="F69" s="3401"/>
      <c r="G69" s="3401"/>
      <c r="H69" s="3401"/>
      <c r="I69" s="3401"/>
      <c r="J69" s="3401"/>
      <c r="K69" s="3401"/>
      <c r="L69" s="3401"/>
      <c r="M69" s="3401"/>
      <c r="N69" s="3401"/>
      <c r="O69" s="3401"/>
      <c r="P69" s="3401"/>
      <c r="Q69" s="3401"/>
    </row>
    <row r="70" spans="1:17" ht="22.5" customHeight="1">
      <c r="A70" s="3401" t="s">
        <v>1425</v>
      </c>
      <c r="B70" s="3401"/>
      <c r="C70" s="3401"/>
      <c r="D70" s="3401"/>
      <c r="E70" s="3401"/>
      <c r="F70" s="3401"/>
      <c r="G70" s="3401"/>
      <c r="H70" s="3401"/>
      <c r="I70" s="3401"/>
      <c r="J70" s="3401"/>
      <c r="K70" s="3401"/>
      <c r="L70" s="3401"/>
      <c r="M70" s="3401"/>
      <c r="N70" s="3401"/>
      <c r="O70" s="3401"/>
      <c r="P70" s="3401"/>
      <c r="Q70" s="3401"/>
    </row>
    <row r="71" spans="1:17" ht="4.5" customHeight="1"/>
    <row r="72" spans="1:17">
      <c r="A72" s="937" t="s">
        <v>1114</v>
      </c>
    </row>
    <row r="73" spans="1:17">
      <c r="A73" s="937" t="s">
        <v>2298</v>
      </c>
    </row>
    <row r="74" spans="1:17">
      <c r="A74" s="937" t="s">
        <v>2299</v>
      </c>
    </row>
    <row r="81" spans="1:2">
      <c r="A81" s="1058"/>
      <c r="B81" s="1058"/>
    </row>
    <row r="82" spans="1:2">
      <c r="B82" s="1059"/>
    </row>
  </sheetData>
  <mergeCells count="3">
    <mergeCell ref="A69:Q69"/>
    <mergeCell ref="A70:Q70"/>
    <mergeCell ref="A68:Q68"/>
  </mergeCells>
  <phoneticPr fontId="10" type="noConversion"/>
  <conditionalFormatting sqref="AG44:AK61">
    <cfRule type="cellIs" dxfId="202" priority="1" operator="equal">
      <formula>0</formula>
    </cfRule>
  </conditionalFormatting>
  <pageMargins left="0.74803149606299213" right="0.74803149606299213" top="0.98425196850393704" bottom="0.98425196850393704" header="0.51181102362204722" footer="0.51181102362204722"/>
  <pageSetup paperSize="9" scale="59" orientation="portrait" horizontalDpi="300" r:id="rId1"/>
  <headerFooter scaleWithDoc="0" alignWithMargins="0">
    <oddHeader>&amp;L&amp;"Arial,Regular"RESEARCH PAPER 12/43</oddHeader>
    <oddFooter>&amp;C&amp;"Arial,Regular"&amp;11 10</oddFooter>
  </headerFooter>
  <drawing r:id="rId2"/>
  <webPublishItems count="1">
    <webPublishItem id="13366" divId="RP11-XXX_Election Statistics UK 1918-2011_13366" sourceType="printArea" destinationFile="U:\election stats rp\Table 1d.mht"/>
  </webPublishItem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rgb="FFA3D9BC"/>
    <pageSetUpPr fitToPage="1"/>
  </sheetPr>
  <dimension ref="A1:AK83"/>
  <sheetViews>
    <sheetView showGridLines="0" zoomScale="70" zoomScaleNormal="70" workbookViewId="0">
      <selection activeCell="S38" sqref="S38"/>
    </sheetView>
  </sheetViews>
  <sheetFormatPr baseColWidth="10" defaultColWidth="9.3984375" defaultRowHeight="13"/>
  <cols>
    <col min="1" max="1" width="6.19921875" style="2831" customWidth="1"/>
    <col min="2" max="2" width="4.796875" style="2635" customWidth="1"/>
    <col min="3" max="7" width="8.796875" style="2635" customWidth="1"/>
    <col min="8" max="8" width="10.796875" style="2635" customWidth="1"/>
    <col min="9" max="9" width="10.796875" style="3166" customWidth="1"/>
    <col min="10" max="10" width="6.19921875" style="2635" customWidth="1"/>
    <col min="11" max="11" width="4.796875" style="2635" customWidth="1"/>
    <col min="12" max="16" width="8.796875" style="2635" customWidth="1"/>
    <col min="17" max="17" width="10.796875" style="2635" customWidth="1"/>
    <col min="18" max="19" width="9.3984375" style="3166"/>
    <col min="20" max="25" width="9.3984375" style="3166" bestFit="1" customWidth="1"/>
    <col min="26" max="26" width="10.3984375" style="3166" bestFit="1" customWidth="1"/>
    <col min="27" max="32" width="9.3984375" style="3166"/>
    <col min="33" max="16384" width="9.3984375" style="2635"/>
  </cols>
  <sheetData>
    <row r="1" spans="1:32" ht="23">
      <c r="A1" s="3140" t="s">
        <v>2869</v>
      </c>
      <c r="B1" s="3235"/>
      <c r="C1" s="3235"/>
      <c r="D1" s="3235"/>
      <c r="E1" s="3235"/>
      <c r="F1" s="3235"/>
      <c r="G1" s="3235"/>
      <c r="H1" s="3235"/>
      <c r="J1" s="3140" t="s">
        <v>2870</v>
      </c>
      <c r="K1" s="3235"/>
      <c r="L1" s="3235"/>
      <c r="M1" s="3235"/>
      <c r="N1" s="3235"/>
      <c r="O1" s="3235"/>
      <c r="P1" s="3235"/>
      <c r="Q1" s="3235"/>
    </row>
    <row r="2" spans="1:32" ht="15.75" customHeight="1">
      <c r="A2" s="2862"/>
      <c r="B2" s="2835"/>
      <c r="C2" s="1038" t="s">
        <v>98</v>
      </c>
      <c r="D2" s="3168"/>
      <c r="E2" s="3168"/>
      <c r="F2" s="3168"/>
      <c r="G2" s="3168"/>
      <c r="H2" s="3168"/>
      <c r="J2" s="2835"/>
      <c r="K2" s="2835"/>
      <c r="L2" s="1038" t="s">
        <v>37</v>
      </c>
      <c r="M2" s="3168"/>
      <c r="N2" s="3168"/>
      <c r="O2" s="3168"/>
      <c r="P2" s="3168"/>
      <c r="Q2" s="3168"/>
    </row>
    <row r="3" spans="1:32" s="2584" customFormat="1" ht="16">
      <c r="A3" s="3167"/>
      <c r="B3" s="3031"/>
      <c r="C3" s="2243" t="s">
        <v>2440</v>
      </c>
      <c r="D3" s="2244" t="s">
        <v>807</v>
      </c>
      <c r="E3" s="2245" t="s">
        <v>2442</v>
      </c>
      <c r="F3" s="2533" t="s">
        <v>2309</v>
      </c>
      <c r="G3" s="2246" t="s">
        <v>1972</v>
      </c>
      <c r="H3" s="3168" t="s">
        <v>16</v>
      </c>
      <c r="I3" s="3160"/>
      <c r="J3" s="3031"/>
      <c r="K3" s="3031"/>
      <c r="L3" s="2243" t="s">
        <v>2440</v>
      </c>
      <c r="M3" s="2244" t="s">
        <v>807</v>
      </c>
      <c r="N3" s="2245" t="s">
        <v>2442</v>
      </c>
      <c r="O3" s="2533" t="s">
        <v>2309</v>
      </c>
      <c r="P3" s="2246" t="s">
        <v>1972</v>
      </c>
      <c r="Q3" s="3168" t="s">
        <v>16</v>
      </c>
      <c r="R3" s="3160"/>
      <c r="S3" s="3160"/>
      <c r="T3" s="3160"/>
      <c r="U3" s="2243" t="s">
        <v>2440</v>
      </c>
      <c r="V3" s="2244" t="s">
        <v>807</v>
      </c>
      <c r="W3" s="2245" t="s">
        <v>2442</v>
      </c>
      <c r="X3" s="2533" t="s">
        <v>2309</v>
      </c>
      <c r="Y3" s="2246" t="s">
        <v>1972</v>
      </c>
      <c r="Z3" s="3160"/>
      <c r="AA3" s="3160"/>
      <c r="AB3" s="3160"/>
      <c r="AC3" s="3160"/>
      <c r="AD3" s="3160"/>
      <c r="AE3" s="3160"/>
      <c r="AF3" s="3160"/>
    </row>
    <row r="4" spans="1:32" s="2835" customFormat="1" ht="3" customHeight="1">
      <c r="A4" s="2862"/>
      <c r="I4" s="3166"/>
      <c r="J4" s="2862"/>
      <c r="L4" s="2854"/>
      <c r="M4" s="2854"/>
      <c r="N4" s="2854"/>
      <c r="O4" s="2854"/>
      <c r="P4" s="2854"/>
      <c r="R4" s="3166"/>
      <c r="S4" s="3166"/>
      <c r="T4" s="3166"/>
      <c r="U4" s="3166"/>
      <c r="V4" s="3166"/>
      <c r="W4" s="3166"/>
      <c r="X4" s="3166"/>
      <c r="Y4" s="3166"/>
      <c r="Z4" s="3166"/>
      <c r="AA4" s="3166"/>
      <c r="AB4" s="3166"/>
      <c r="AC4" s="3166"/>
      <c r="AD4" s="3166"/>
      <c r="AE4" s="3166"/>
      <c r="AF4" s="3166"/>
    </row>
    <row r="5" spans="1:32" s="2841" customFormat="1" ht="12.75" customHeight="1">
      <c r="A5" s="3151">
        <v>1918</v>
      </c>
      <c r="C5" s="3212">
        <f>U5/1000</f>
        <v>358.46899999999999</v>
      </c>
      <c r="D5" s="3212">
        <f>V5/1000</f>
        <v>265.74400000000003</v>
      </c>
      <c r="E5" s="3212">
        <f>W5/1000</f>
        <v>385.10500000000002</v>
      </c>
      <c r="F5" s="3212"/>
      <c r="G5" s="3212">
        <f>Y5/1000</f>
        <v>117.393</v>
      </c>
      <c r="H5" s="3212">
        <f>Z5/1000</f>
        <v>1126.711</v>
      </c>
      <c r="I5" s="3212"/>
      <c r="J5" s="3151">
        <v>1918</v>
      </c>
      <c r="L5" s="3226">
        <f>'1918 '!$E$35+'1918 '!$E$40</f>
        <v>37</v>
      </c>
      <c r="M5" s="3226">
        <f>'1918 '!$E$42</f>
        <v>39</v>
      </c>
      <c r="N5" s="3226">
        <f>'1918 '!$E$36+'1918 '!$E$41</f>
        <v>61</v>
      </c>
      <c r="O5" s="3226"/>
      <c r="P5" s="3190">
        <f t="shared" ref="P5:P11" si="0">Q5-SUM(L5:O5)</f>
        <v>28</v>
      </c>
      <c r="Q5" s="2841">
        <f>'1918 '!$E$46</f>
        <v>165</v>
      </c>
      <c r="T5" s="3207">
        <v>1918</v>
      </c>
      <c r="U5" s="3226">
        <f>'1918 '!$B$35+'1918 '!$B$40</f>
        <v>358469</v>
      </c>
      <c r="V5" s="3226">
        <f>'1918 '!$B$42</f>
        <v>265744</v>
      </c>
      <c r="W5" s="3226">
        <f>'1918 '!$B$36+'1918 '!$B$41</f>
        <v>385105</v>
      </c>
      <c r="X5" s="3226"/>
      <c r="Y5" s="3190">
        <f t="shared" ref="Y5:Y11" si="1">Z5-SUM(U5:X5)</f>
        <v>117393</v>
      </c>
      <c r="Z5" s="2841">
        <f>'1918 '!$B$46</f>
        <v>1126711</v>
      </c>
    </row>
    <row r="6" spans="1:32" ht="12.75" customHeight="1">
      <c r="A6" s="3155">
        <v>1922</v>
      </c>
      <c r="C6" s="3212">
        <f t="shared" ref="C6:C11" si="2">U6/1000</f>
        <v>379.39600000000002</v>
      </c>
      <c r="D6" s="3212">
        <f t="shared" ref="D6:D11" si="3">V6/1000</f>
        <v>501.25400000000002</v>
      </c>
      <c r="E6" s="3212">
        <f t="shared" ref="E6:E11" si="4">W6/1000</f>
        <v>617.178</v>
      </c>
      <c r="F6" s="3212"/>
      <c r="G6" s="3212">
        <f t="shared" ref="G6:G11" si="5">Y6/1000</f>
        <v>71.533000000000001</v>
      </c>
      <c r="H6" s="3212">
        <f t="shared" ref="H6:H11" si="6">Z6/1000</f>
        <v>1569.3610000000001</v>
      </c>
      <c r="I6" s="3227"/>
      <c r="J6" s="3155">
        <v>1922</v>
      </c>
      <c r="L6" s="2805">
        <f>'1922'!$E$22</f>
        <v>36</v>
      </c>
      <c r="M6" s="2805">
        <f>'1922'!$E$25</f>
        <v>43</v>
      </c>
      <c r="N6" s="2805">
        <f>'1922'!$E$23+'1922'!$E$24</f>
        <v>81</v>
      </c>
      <c r="O6" s="2805"/>
      <c r="P6" s="3190">
        <f t="shared" si="0"/>
        <v>8</v>
      </c>
      <c r="Q6" s="3166">
        <f>'1922'!$E$28</f>
        <v>168</v>
      </c>
      <c r="T6" s="3207">
        <v>1922</v>
      </c>
      <c r="U6" s="2805">
        <f>'1922'!$B$22</f>
        <v>379396</v>
      </c>
      <c r="V6" s="2805">
        <f>'1922'!$B$25</f>
        <v>501254</v>
      </c>
      <c r="W6" s="2805">
        <f>'1922'!$B$23+'1922'!$B$24</f>
        <v>617178</v>
      </c>
      <c r="X6" s="2805"/>
      <c r="Y6" s="3190">
        <f t="shared" si="1"/>
        <v>71533</v>
      </c>
      <c r="Z6" s="3166">
        <f>'1922'!$B$28</f>
        <v>1569361</v>
      </c>
    </row>
    <row r="7" spans="1:32" ht="12.75" customHeight="1">
      <c r="A7" s="3155">
        <v>1923</v>
      </c>
      <c r="C7" s="3212">
        <f t="shared" si="2"/>
        <v>468.52600000000001</v>
      </c>
      <c r="D7" s="3212">
        <f t="shared" si="3"/>
        <v>532.45000000000005</v>
      </c>
      <c r="E7" s="3212">
        <f t="shared" si="4"/>
        <v>422.995</v>
      </c>
      <c r="F7" s="3212"/>
      <c r="G7" s="3212">
        <f t="shared" si="5"/>
        <v>77.355999999999995</v>
      </c>
      <c r="H7" s="3212">
        <f t="shared" si="6"/>
        <v>1501.327</v>
      </c>
      <c r="I7" s="3227"/>
      <c r="J7" s="3155">
        <v>1923</v>
      </c>
      <c r="L7" s="2806">
        <f>'1923'!$E$19</f>
        <v>52</v>
      </c>
      <c r="M7" s="2806">
        <f>'1923'!$E$21</f>
        <v>48</v>
      </c>
      <c r="N7" s="2806">
        <f>'1923'!$E$20</f>
        <v>59</v>
      </c>
      <c r="O7" s="2806"/>
      <c r="P7" s="3190">
        <f t="shared" si="0"/>
        <v>8</v>
      </c>
      <c r="Q7" s="3166">
        <f>'1923'!$E$24</f>
        <v>167</v>
      </c>
      <c r="T7" s="3155">
        <v>1923</v>
      </c>
      <c r="U7" s="2806">
        <f>'1923'!$B$19</f>
        <v>468526</v>
      </c>
      <c r="V7" s="2806">
        <f>'1923'!$B$21</f>
        <v>532450</v>
      </c>
      <c r="W7" s="2806">
        <f>'1923'!$B$20</f>
        <v>422995</v>
      </c>
      <c r="X7" s="2806"/>
      <c r="Y7" s="3190">
        <f t="shared" si="1"/>
        <v>77356</v>
      </c>
      <c r="Z7" s="3166">
        <f>'1923'!$B$24</f>
        <v>1501327</v>
      </c>
    </row>
    <row r="8" spans="1:32" ht="12.75" customHeight="1">
      <c r="A8" s="3155">
        <v>1924</v>
      </c>
      <c r="C8" s="3212">
        <f t="shared" si="2"/>
        <v>688.29899999999998</v>
      </c>
      <c r="D8" s="3212">
        <f t="shared" si="3"/>
        <v>697.14599999999996</v>
      </c>
      <c r="E8" s="3212">
        <f t="shared" si="4"/>
        <v>286.54000000000002</v>
      </c>
      <c r="F8" s="3212"/>
      <c r="G8" s="3212">
        <f t="shared" si="5"/>
        <v>45.122999999999998</v>
      </c>
      <c r="H8" s="3212">
        <f t="shared" si="6"/>
        <v>1717.1079999999999</v>
      </c>
      <c r="I8" s="3227"/>
      <c r="J8" s="3155">
        <v>1924</v>
      </c>
      <c r="L8" s="2806">
        <f>'1924'!$E$20</f>
        <v>56</v>
      </c>
      <c r="M8" s="2806">
        <f>'1924'!$E$22</f>
        <v>63</v>
      </c>
      <c r="N8" s="2806">
        <f>'1924'!$E$21</f>
        <v>34</v>
      </c>
      <c r="O8" s="2806"/>
      <c r="P8" s="3190">
        <f t="shared" si="0"/>
        <v>3</v>
      </c>
      <c r="Q8" s="3166">
        <f>'1924'!$E$25</f>
        <v>156</v>
      </c>
      <c r="T8" s="3155">
        <v>1924</v>
      </c>
      <c r="U8" s="2806">
        <f>'1924'!$B$20</f>
        <v>688299</v>
      </c>
      <c r="V8" s="2806">
        <f>'1924'!$B$22</f>
        <v>697146</v>
      </c>
      <c r="W8" s="2806">
        <f>'1924'!$B$21</f>
        <v>286540</v>
      </c>
      <c r="X8" s="2806"/>
      <c r="Y8" s="3190">
        <f t="shared" si="1"/>
        <v>45123</v>
      </c>
      <c r="Z8" s="3166">
        <f>'1924'!$B$25</f>
        <v>1717108</v>
      </c>
    </row>
    <row r="9" spans="1:32" ht="12.75" customHeight="1">
      <c r="A9" s="3155">
        <v>1929</v>
      </c>
      <c r="C9" s="3212">
        <f t="shared" si="2"/>
        <v>792.06299999999999</v>
      </c>
      <c r="D9" s="3212">
        <f t="shared" si="3"/>
        <v>937.3</v>
      </c>
      <c r="E9" s="3212">
        <f t="shared" si="4"/>
        <v>407.08100000000002</v>
      </c>
      <c r="F9" s="3212">
        <f>X9/1000</f>
        <v>3.3130000000000002</v>
      </c>
      <c r="G9" s="3212">
        <f t="shared" si="5"/>
        <v>103.184</v>
      </c>
      <c r="H9" s="3212">
        <f t="shared" si="6"/>
        <v>2242.9409999999998</v>
      </c>
      <c r="I9" s="3227"/>
      <c r="J9" s="3155">
        <v>1929</v>
      </c>
      <c r="L9" s="2806">
        <f>'1929'!$E$21</f>
        <v>65</v>
      </c>
      <c r="M9" s="2806">
        <f>'1929'!$E$23</f>
        <v>66</v>
      </c>
      <c r="N9" s="2806">
        <f>'1929'!$E$22</f>
        <v>45</v>
      </c>
      <c r="O9" s="2806">
        <f>'1929'!$E$24</f>
        <v>2</v>
      </c>
      <c r="P9" s="3190">
        <f t="shared" si="0"/>
        <v>14</v>
      </c>
      <c r="Q9" s="3166">
        <f>'1929'!$E$27</f>
        <v>192</v>
      </c>
      <c r="T9" s="3155">
        <v>1929</v>
      </c>
      <c r="U9" s="2806">
        <f>'1929'!$B$21</f>
        <v>792063</v>
      </c>
      <c r="V9" s="2806">
        <f>'1929'!$B$23</f>
        <v>937300</v>
      </c>
      <c r="W9" s="2806">
        <f>'1929'!$B$22</f>
        <v>407081</v>
      </c>
      <c r="X9" s="2806">
        <f>'1929'!$B$24</f>
        <v>3313</v>
      </c>
      <c r="Y9" s="3190">
        <f t="shared" si="1"/>
        <v>103184</v>
      </c>
      <c r="Z9" s="3166">
        <f>'1929'!$B$27</f>
        <v>2242941</v>
      </c>
    </row>
    <row r="10" spans="1:32" ht="12.75" customHeight="1">
      <c r="A10" s="3155">
        <v>1931</v>
      </c>
      <c r="C10" s="3212">
        <f t="shared" si="2"/>
        <v>1180.001</v>
      </c>
      <c r="D10" s="3212">
        <f t="shared" si="3"/>
        <v>696.24800000000005</v>
      </c>
      <c r="E10" s="3212">
        <f t="shared" si="4"/>
        <v>205.38399999999999</v>
      </c>
      <c r="F10" s="3212">
        <f>X10/1000</f>
        <v>20.954000000000001</v>
      </c>
      <c r="G10" s="3212">
        <f t="shared" si="5"/>
        <v>71.742000000000004</v>
      </c>
      <c r="H10" s="3212">
        <f t="shared" si="6"/>
        <v>2174.3290000000002</v>
      </c>
      <c r="I10" s="3227"/>
      <c r="J10" s="3155">
        <v>1931</v>
      </c>
      <c r="L10" s="2806">
        <f>'1931'!$E$33+'1931'!$E$35+'1931'!$E$36</f>
        <v>65</v>
      </c>
      <c r="M10" s="2806">
        <f>'1931'!$E$38</f>
        <v>57</v>
      </c>
      <c r="N10" s="2806">
        <f>'1931'!$E$34</f>
        <v>14</v>
      </c>
      <c r="O10" s="2806">
        <f>'1931'!$E$41</f>
        <v>5</v>
      </c>
      <c r="P10" s="3190">
        <f t="shared" si="0"/>
        <v>14</v>
      </c>
      <c r="Q10" s="3166">
        <f>'1931'!$E$43</f>
        <v>155</v>
      </c>
      <c r="T10" s="3155">
        <v>1931</v>
      </c>
      <c r="U10" s="2806">
        <f>'1931'!$B$33+'1931'!$B$35+'1931'!$B$36</f>
        <v>1180001</v>
      </c>
      <c r="V10" s="2806">
        <f>'1931'!$B$38</f>
        <v>696248</v>
      </c>
      <c r="W10" s="2806">
        <f>'1931'!$B$34</f>
        <v>205384</v>
      </c>
      <c r="X10" s="2806">
        <f>'1931'!$B$41</f>
        <v>20954</v>
      </c>
      <c r="Y10" s="3190">
        <f t="shared" si="1"/>
        <v>71742</v>
      </c>
      <c r="Z10" s="3166">
        <f>'1931'!$B$43</f>
        <v>2174329</v>
      </c>
    </row>
    <row r="11" spans="1:32" ht="12.75" customHeight="1">
      <c r="A11" s="3155">
        <v>1935</v>
      </c>
      <c r="C11" s="3212">
        <f t="shared" si="2"/>
        <v>1135.403</v>
      </c>
      <c r="D11" s="3212">
        <f t="shared" si="3"/>
        <v>863.78899999999999</v>
      </c>
      <c r="E11" s="3212">
        <f t="shared" si="4"/>
        <v>174.23500000000001</v>
      </c>
      <c r="F11" s="3212">
        <f>X11/1000</f>
        <v>25.652000000000001</v>
      </c>
      <c r="G11" s="3212">
        <f t="shared" si="5"/>
        <v>124.718</v>
      </c>
      <c r="H11" s="3212">
        <f t="shared" si="6"/>
        <v>2323.797</v>
      </c>
      <c r="I11" s="3227"/>
      <c r="J11" s="3155">
        <v>1935</v>
      </c>
      <c r="L11" s="2806">
        <f>'1935'!$E$30+'1935'!$E$31+'1935'!$E$32+'1935'!$E$33</f>
        <v>69</v>
      </c>
      <c r="M11" s="2806">
        <f>'1935'!$E$36</f>
        <v>63</v>
      </c>
      <c r="N11" s="2806">
        <f>'1935'!$E$35</f>
        <v>16</v>
      </c>
      <c r="O11" s="2806">
        <f>'1935'!$E$37</f>
        <v>7</v>
      </c>
      <c r="P11" s="3190">
        <f t="shared" si="0"/>
        <v>12</v>
      </c>
      <c r="Q11" s="3166">
        <f>'1935'!$E$40</f>
        <v>167</v>
      </c>
      <c r="T11" s="3155">
        <v>1935</v>
      </c>
      <c r="U11" s="2806">
        <f>'1935'!$B$30+'1935'!$B$31+'1935'!$B$32+'1935'!$B$33</f>
        <v>1135403</v>
      </c>
      <c r="V11" s="2806">
        <f>'1935'!$B$36</f>
        <v>863789</v>
      </c>
      <c r="W11" s="2806">
        <f>'1935'!$B$35</f>
        <v>174235</v>
      </c>
      <c r="X11" s="2806">
        <f>'1935'!$B$37</f>
        <v>25652</v>
      </c>
      <c r="Y11" s="3190">
        <f t="shared" si="1"/>
        <v>124718</v>
      </c>
      <c r="Z11" s="3166">
        <f>'1935'!$B$40</f>
        <v>2323797</v>
      </c>
    </row>
    <row r="12" spans="1:32" ht="12.75" customHeight="1">
      <c r="A12" s="3155">
        <v>1945</v>
      </c>
      <c r="C12" s="3197">
        <f>+'1945'!$C$28/1000</f>
        <v>964.14300000000003</v>
      </c>
      <c r="D12" s="3197">
        <f>+'1945'!$C$29/1000</f>
        <v>1144.31</v>
      </c>
      <c r="E12" s="3197">
        <f>+'1945'!$C$30/1000</f>
        <v>132.84899999999999</v>
      </c>
      <c r="F12" s="3197">
        <f>+'1945'!$C$31/1000</f>
        <v>30.594999999999999</v>
      </c>
      <c r="G12" s="3197">
        <f t="shared" ref="G12:G26" si="7">+H12-SUM(C12:F12)</f>
        <v>117.99499999999989</v>
      </c>
      <c r="H12" s="3197">
        <f>+'1945'!$C$25/1000</f>
        <v>2389.8919999999998</v>
      </c>
      <c r="I12" s="3228"/>
      <c r="J12" s="3155">
        <v>1945</v>
      </c>
      <c r="L12" s="3229">
        <f>+'1945'!$E$28</f>
        <v>68</v>
      </c>
      <c r="M12" s="3229">
        <f>+'1945'!$E$29</f>
        <v>68</v>
      </c>
      <c r="N12" s="3229">
        <f>+'1945'!$E$30</f>
        <v>22</v>
      </c>
      <c r="O12" s="3229">
        <f>+'1945'!$E$31</f>
        <v>8</v>
      </c>
      <c r="P12" s="3229">
        <f t="shared" ref="P12:P26" si="8">+Q12-SUM(L12:O12)</f>
        <v>18</v>
      </c>
      <c r="Q12" s="3229">
        <f>+'1945'!$E$25</f>
        <v>184</v>
      </c>
      <c r="S12" s="2837"/>
      <c r="T12" s="2838"/>
      <c r="U12" s="2838"/>
      <c r="V12" s="2838"/>
      <c r="W12" s="2838"/>
      <c r="X12" s="2838"/>
      <c r="Z12" s="3160"/>
    </row>
    <row r="13" spans="1:32" ht="12.75" customHeight="1">
      <c r="A13" s="3155">
        <v>1950</v>
      </c>
      <c r="C13" s="3197">
        <f>+'1950'!$C$26/1000</f>
        <v>1222.01</v>
      </c>
      <c r="D13" s="3197">
        <f>+'1950'!$C$27/1000</f>
        <v>1259.4100000000001</v>
      </c>
      <c r="E13" s="3197">
        <f>+'1950'!$C$28/1000</f>
        <v>180.27</v>
      </c>
      <c r="F13" s="3197">
        <f>+'1950'!$C$29/1000</f>
        <v>9.7080000000000002</v>
      </c>
      <c r="G13" s="3197">
        <f t="shared" si="7"/>
        <v>55.286000000000058</v>
      </c>
      <c r="H13" s="3197">
        <f>+'1950'!$C$23/1000</f>
        <v>2726.6840000000002</v>
      </c>
      <c r="I13" s="3228"/>
      <c r="J13" s="3155">
        <v>1950</v>
      </c>
      <c r="L13" s="3229">
        <f>+'1950'!$E$26</f>
        <v>68</v>
      </c>
      <c r="M13" s="3229">
        <f>+'1950'!$E$27</f>
        <v>71</v>
      </c>
      <c r="N13" s="3229">
        <f>+'1950'!$E$28</f>
        <v>41</v>
      </c>
      <c r="O13" s="3229">
        <f>+'1950'!$E$29</f>
        <v>3</v>
      </c>
      <c r="P13" s="3229">
        <f t="shared" si="8"/>
        <v>29</v>
      </c>
      <c r="Q13" s="3229">
        <f>+'1950'!$E$23</f>
        <v>212</v>
      </c>
      <c r="S13" s="2837"/>
      <c r="T13" s="2838"/>
      <c r="U13" s="2838"/>
      <c r="V13" s="2838"/>
      <c r="W13" s="2838"/>
      <c r="X13" s="2838"/>
      <c r="Y13" s="2838"/>
      <c r="Z13" s="2838"/>
    </row>
    <row r="14" spans="1:32" ht="12.75" customHeight="1">
      <c r="A14" s="3155">
        <v>1951</v>
      </c>
      <c r="C14" s="3197">
        <f>+'1951'!$C$26/1000</f>
        <v>1349.298</v>
      </c>
      <c r="D14" s="3197">
        <f>+'1951'!$C$27/1000</f>
        <v>1330.2439999999999</v>
      </c>
      <c r="E14" s="3197">
        <f>+'1951'!$C$28/1000</f>
        <v>76.290999999999997</v>
      </c>
      <c r="F14" s="3197">
        <f>+'1951'!$C$29/1000</f>
        <v>7.2990000000000004</v>
      </c>
      <c r="G14" s="3197">
        <f t="shared" si="7"/>
        <v>14.704999999999927</v>
      </c>
      <c r="H14" s="3197">
        <f>+'1951'!$C$23/1000</f>
        <v>2777.837</v>
      </c>
      <c r="I14" s="3228"/>
      <c r="J14" s="3155">
        <v>1951</v>
      </c>
      <c r="L14" s="3229">
        <f>+'1951'!$E$26</f>
        <v>70</v>
      </c>
      <c r="M14" s="3229">
        <f>+'1951'!$E$27</f>
        <v>71</v>
      </c>
      <c r="N14" s="3229">
        <f>+'1951'!$E$28</f>
        <v>9</v>
      </c>
      <c r="O14" s="3229">
        <f>+'1951'!$E$29</f>
        <v>2</v>
      </c>
      <c r="P14" s="3229">
        <f t="shared" si="8"/>
        <v>8</v>
      </c>
      <c r="Q14" s="3229">
        <f>+'1951'!$E$23</f>
        <v>160</v>
      </c>
      <c r="S14" s="2837"/>
      <c r="T14" s="2838"/>
      <c r="U14" s="2838"/>
      <c r="V14" s="2838"/>
      <c r="W14" s="2838"/>
      <c r="X14" s="2838"/>
      <c r="Y14" s="2838"/>
      <c r="Z14" s="2838"/>
    </row>
    <row r="15" spans="1:32" ht="12.75" customHeight="1">
      <c r="A15" s="3155">
        <v>1955</v>
      </c>
      <c r="C15" s="3197">
        <f>+'1955'!$C$26/1000</f>
        <v>1273.942</v>
      </c>
      <c r="D15" s="3197">
        <f>+'1955'!$C$27/1000</f>
        <v>1188.058</v>
      </c>
      <c r="E15" s="3197">
        <f>+'1955'!$C$28/1000</f>
        <v>47.273000000000003</v>
      </c>
      <c r="F15" s="3197">
        <f>+'1955'!$C$29/1000</f>
        <v>12.112</v>
      </c>
      <c r="G15" s="3197">
        <f t="shared" si="7"/>
        <v>21.868999999999687</v>
      </c>
      <c r="H15" s="3197">
        <f>+'1955'!$C$23/1000</f>
        <v>2543.2539999999999</v>
      </c>
      <c r="I15" s="3228"/>
      <c r="J15" s="3155">
        <v>1955</v>
      </c>
      <c r="L15" s="3229">
        <f>+'1955'!$E$26</f>
        <v>71</v>
      </c>
      <c r="M15" s="3229">
        <f>+'1955'!$E$27</f>
        <v>71</v>
      </c>
      <c r="N15" s="3229">
        <f>+'1955'!$E$28</f>
        <v>5</v>
      </c>
      <c r="O15" s="3229">
        <f>+'1955'!$E$29</f>
        <v>2</v>
      </c>
      <c r="P15" s="3229">
        <f t="shared" si="8"/>
        <v>7</v>
      </c>
      <c r="Q15" s="3229">
        <f>+'1955'!$E$23</f>
        <v>156</v>
      </c>
      <c r="S15" s="2837"/>
      <c r="T15" s="2838"/>
      <c r="U15" s="2838"/>
      <c r="V15" s="2838"/>
      <c r="W15" s="2838"/>
      <c r="X15" s="2838"/>
      <c r="Y15" s="2838"/>
      <c r="Z15" s="2838"/>
    </row>
    <row r="16" spans="1:32" ht="12.75" customHeight="1">
      <c r="A16" s="3155">
        <v>1959</v>
      </c>
      <c r="C16" s="3197">
        <f>+'1959'!$C$26/1000</f>
        <v>1260.287</v>
      </c>
      <c r="D16" s="3197">
        <f>+'1959'!$C$27/1000</f>
        <v>1245.2550000000001</v>
      </c>
      <c r="E16" s="3197">
        <f>+'1959'!$C$28/1000</f>
        <v>108.96299999999999</v>
      </c>
      <c r="F16" s="3197">
        <f>+'1959'!$C$29/1000</f>
        <v>21.738</v>
      </c>
      <c r="G16" s="3197">
        <f t="shared" si="7"/>
        <v>31.269999999999527</v>
      </c>
      <c r="H16" s="3197">
        <f>+'1959'!$C$23/1000</f>
        <v>2667.5129999999999</v>
      </c>
      <c r="I16" s="3228"/>
      <c r="J16" s="3155">
        <v>1959</v>
      </c>
      <c r="L16" s="3229">
        <f>+'1959'!$E$26</f>
        <v>70</v>
      </c>
      <c r="M16" s="3229">
        <f>+'1959'!$E$27</f>
        <v>71</v>
      </c>
      <c r="N16" s="3229">
        <f>+'1959'!$E$28</f>
        <v>16</v>
      </c>
      <c r="O16" s="3229">
        <f>+'1959'!$E$29</f>
        <v>5</v>
      </c>
      <c r="P16" s="3229">
        <f t="shared" si="8"/>
        <v>10</v>
      </c>
      <c r="Q16" s="3229">
        <f>+'1959'!$E$23</f>
        <v>172</v>
      </c>
      <c r="S16" s="2837"/>
      <c r="T16" s="2838"/>
      <c r="U16" s="2838"/>
      <c r="V16" s="2838"/>
      <c r="W16" s="2838"/>
      <c r="X16" s="2838"/>
      <c r="Y16" s="2838"/>
      <c r="Z16" s="2838"/>
    </row>
    <row r="17" spans="1:28" ht="12.75" customHeight="1">
      <c r="A17" s="3155">
        <v>1964</v>
      </c>
      <c r="C17" s="3197">
        <f>+'1964'!$C$26/1000</f>
        <v>1069.6949999999999</v>
      </c>
      <c r="D17" s="3197">
        <f>+'1964'!$C$27/1000</f>
        <v>1283.6669999999999</v>
      </c>
      <c r="E17" s="3197">
        <f>+'1964'!$C$28/1000</f>
        <v>200.06299999999999</v>
      </c>
      <c r="F17" s="3197">
        <f>+'1964'!$C$29/1000</f>
        <v>64.043999999999997</v>
      </c>
      <c r="G17" s="3197">
        <f t="shared" si="7"/>
        <v>17.070000000000164</v>
      </c>
      <c r="H17" s="3197">
        <f>+'1964'!$C$23/1000</f>
        <v>2634.5390000000002</v>
      </c>
      <c r="I17" s="3228"/>
      <c r="J17" s="3155">
        <v>1964</v>
      </c>
      <c r="L17" s="3229">
        <f>+'1964'!$E$26</f>
        <v>71</v>
      </c>
      <c r="M17" s="3229">
        <f>+'1964'!$E$27</f>
        <v>71</v>
      </c>
      <c r="N17" s="3229">
        <f>+'1964'!$E$28</f>
        <v>26</v>
      </c>
      <c r="O17" s="3229">
        <f>'1964'!$E$29</f>
        <v>15</v>
      </c>
      <c r="P17" s="3229">
        <f t="shared" si="8"/>
        <v>14</v>
      </c>
      <c r="Q17" s="3229">
        <f>+'1964'!$E$23</f>
        <v>197</v>
      </c>
      <c r="S17" s="2837"/>
      <c r="T17" s="2838"/>
      <c r="U17" s="2838"/>
      <c r="V17" s="2838"/>
      <c r="W17" s="2838"/>
      <c r="X17" s="2838"/>
      <c r="Y17" s="2838"/>
      <c r="Z17" s="2838"/>
    </row>
    <row r="18" spans="1:28" ht="12.75" customHeight="1">
      <c r="A18" s="3155">
        <v>1966</v>
      </c>
      <c r="C18" s="3197">
        <f>+'1966'!$C$22/1000</f>
        <v>960.67499999999995</v>
      </c>
      <c r="D18" s="3197">
        <f>+'1966'!$C$23/1000</f>
        <v>1273.9159999999999</v>
      </c>
      <c r="E18" s="3197">
        <f>+'1966'!$C$24/1000</f>
        <v>172.447</v>
      </c>
      <c r="F18" s="3197">
        <f>+'1966'!$C$25/1000</f>
        <v>128.47399999999999</v>
      </c>
      <c r="G18" s="3197">
        <f t="shared" si="7"/>
        <v>16.867999999999938</v>
      </c>
      <c r="H18" s="3197">
        <f>+'1966'!$C$21/1000</f>
        <v>2552.38</v>
      </c>
      <c r="I18" s="3228"/>
      <c r="J18" s="3155">
        <v>1966</v>
      </c>
      <c r="L18" s="3229">
        <f>+'1966'!$E$22</f>
        <v>71</v>
      </c>
      <c r="M18" s="3229">
        <f>+'1966'!$E$23</f>
        <v>71</v>
      </c>
      <c r="N18" s="3229">
        <f>+'1966'!$E$24</f>
        <v>24</v>
      </c>
      <c r="O18" s="3229">
        <f>+'1966'!$E$25</f>
        <v>23</v>
      </c>
      <c r="P18" s="3229">
        <f t="shared" si="8"/>
        <v>17</v>
      </c>
      <c r="Q18" s="3229">
        <f>+'1966'!$E$21</f>
        <v>206</v>
      </c>
      <c r="S18" s="2837"/>
      <c r="T18" s="2838"/>
      <c r="U18" s="2838"/>
      <c r="V18" s="2838"/>
      <c r="W18" s="2838"/>
      <c r="X18" s="2838"/>
      <c r="Y18" s="2838"/>
      <c r="Z18" s="2838"/>
    </row>
    <row r="19" spans="1:28" ht="12.75" customHeight="1">
      <c r="A19" s="3155">
        <v>1970</v>
      </c>
      <c r="C19" s="3197">
        <f>+'1970'!$C$20/1000</f>
        <v>1020.674</v>
      </c>
      <c r="D19" s="3197">
        <f>+'1970'!$C$21/1000</f>
        <v>1197.068</v>
      </c>
      <c r="E19" s="3197">
        <f>+'1970'!$C$22/1000</f>
        <v>147.667</v>
      </c>
      <c r="F19" s="3197">
        <f>+'1970'!$C$23/1000</f>
        <v>306.80200000000002</v>
      </c>
      <c r="G19" s="3197">
        <f t="shared" si="7"/>
        <v>16.023999999999887</v>
      </c>
      <c r="H19" s="3197">
        <f>+'1970'!$C$19/1000</f>
        <v>2688.2350000000001</v>
      </c>
      <c r="I19" s="3228"/>
      <c r="J19" s="3155">
        <v>1970</v>
      </c>
      <c r="L19" s="3229">
        <f>+'1970'!$E$20</f>
        <v>70</v>
      </c>
      <c r="M19" s="3229">
        <f>+'1970'!$E$21</f>
        <v>71</v>
      </c>
      <c r="N19" s="3229">
        <f>+'1970'!$E$22</f>
        <v>27</v>
      </c>
      <c r="O19" s="3229">
        <f>+'1970'!$E$23</f>
        <v>65</v>
      </c>
      <c r="P19" s="3229">
        <f t="shared" si="8"/>
        <v>23</v>
      </c>
      <c r="Q19" s="3229">
        <f>+'1970'!$E$19</f>
        <v>256</v>
      </c>
      <c r="S19" s="2837"/>
      <c r="T19" s="2851"/>
      <c r="U19" s="2851"/>
      <c r="V19" s="2851"/>
      <c r="W19" s="2851"/>
      <c r="X19" s="2851"/>
      <c r="Y19" s="2851"/>
      <c r="Z19" s="2851"/>
      <c r="AA19" s="2841"/>
      <c r="AB19" s="2841"/>
    </row>
    <row r="20" spans="1:28" ht="12.75" customHeight="1">
      <c r="A20" s="3155">
        <v>1974</v>
      </c>
      <c r="B20" s="2635" t="s">
        <v>50</v>
      </c>
      <c r="C20" s="3197">
        <f>+'1974F'!$C$20/1000</f>
        <v>950.66800000000001</v>
      </c>
      <c r="D20" s="3197">
        <f>+'1974F'!$C$21/1000</f>
        <v>1057.6010000000001</v>
      </c>
      <c r="E20" s="3197">
        <f>+'1974F'!$C$22/1000</f>
        <v>229.16200000000001</v>
      </c>
      <c r="F20" s="3197">
        <f>+'1974F'!$C$23/1000</f>
        <v>633.17999999999995</v>
      </c>
      <c r="G20" s="3197">
        <f t="shared" si="7"/>
        <v>16.463999999999942</v>
      </c>
      <c r="H20" s="3197">
        <f>+'1974F'!$C$19/1000</f>
        <v>2887.0749999999998</v>
      </c>
      <c r="I20" s="3228"/>
      <c r="J20" s="3155">
        <v>1974</v>
      </c>
      <c r="K20" s="2635" t="s">
        <v>50</v>
      </c>
      <c r="L20" s="3229">
        <f>+'1974F'!$E$20</f>
        <v>71</v>
      </c>
      <c r="M20" s="3229">
        <f>+'1974F'!$E$21</f>
        <v>71</v>
      </c>
      <c r="N20" s="3229">
        <f>+'1974F'!$E$22</f>
        <v>34</v>
      </c>
      <c r="O20" s="3229">
        <f>+'1974F'!$E$23</f>
        <v>70</v>
      </c>
      <c r="P20" s="3229">
        <f t="shared" si="8"/>
        <v>19</v>
      </c>
      <c r="Q20" s="3229">
        <f>+'1974F'!$E$19</f>
        <v>265</v>
      </c>
      <c r="S20" s="2837"/>
      <c r="T20" s="2844"/>
      <c r="U20" s="2844"/>
      <c r="V20" s="2844"/>
      <c r="W20" s="2844"/>
      <c r="X20" s="2844"/>
      <c r="Y20" s="2844"/>
      <c r="Z20" s="2841"/>
      <c r="AA20" s="2841"/>
      <c r="AB20" s="2841"/>
    </row>
    <row r="21" spans="1:28" ht="12.75" customHeight="1">
      <c r="A21" s="3155">
        <v>1974</v>
      </c>
      <c r="B21" s="2635" t="s">
        <v>51</v>
      </c>
      <c r="C21" s="3197">
        <f>+'1974O'!$C$20/1000</f>
        <v>681.327</v>
      </c>
      <c r="D21" s="3197">
        <f>+'1974O'!$C$21/1000</f>
        <v>1000.581</v>
      </c>
      <c r="E21" s="3197">
        <f>+'1974O'!$C$22/1000</f>
        <v>228.85499999999999</v>
      </c>
      <c r="F21" s="3197">
        <f>+'1974O'!$C$23/1000</f>
        <v>839.61699999999996</v>
      </c>
      <c r="G21" s="3197">
        <f t="shared" si="7"/>
        <v>7.7210000000000036</v>
      </c>
      <c r="H21" s="3197">
        <f>+'1974O'!$C$19/1000</f>
        <v>2758.1010000000001</v>
      </c>
      <c r="I21" s="3228"/>
      <c r="J21" s="3155">
        <v>1974</v>
      </c>
      <c r="K21" s="2635" t="s">
        <v>51</v>
      </c>
      <c r="L21" s="3229">
        <f>+'1974O'!$E$20</f>
        <v>71</v>
      </c>
      <c r="M21" s="3229">
        <f>+'1974O'!$E$21</f>
        <v>71</v>
      </c>
      <c r="N21" s="3229">
        <f>+'1974O'!$E$22</f>
        <v>68</v>
      </c>
      <c r="O21" s="3229">
        <f>+'1974O'!$E$23</f>
        <v>71</v>
      </c>
      <c r="P21" s="3229">
        <f t="shared" si="8"/>
        <v>12</v>
      </c>
      <c r="Q21" s="3229">
        <f>+'1974O'!$E$19</f>
        <v>293</v>
      </c>
      <c r="S21" s="2837"/>
      <c r="T21" s="2844"/>
      <c r="U21" s="2844"/>
      <c r="V21" s="2844"/>
      <c r="W21" s="2844"/>
      <c r="X21" s="2844"/>
      <c r="Y21" s="2844"/>
      <c r="Z21" s="2841"/>
      <c r="AA21" s="2841"/>
      <c r="AB21" s="2841"/>
    </row>
    <row r="22" spans="1:28" ht="12.75" customHeight="1">
      <c r="A22" s="3155">
        <v>1979</v>
      </c>
      <c r="C22" s="3197">
        <f>+'1979'!$C$20/1000</f>
        <v>916.15499999999997</v>
      </c>
      <c r="D22" s="3197">
        <f>+'1979'!$C$21/1000</f>
        <v>1211.4449999999999</v>
      </c>
      <c r="E22" s="3197">
        <f>+'1979'!$C$22/1000</f>
        <v>262.22399999999999</v>
      </c>
      <c r="F22" s="3197">
        <f>+'1979'!$C$23/1000</f>
        <v>504.25900000000001</v>
      </c>
      <c r="G22" s="3197">
        <f t="shared" si="7"/>
        <v>22.554000000000087</v>
      </c>
      <c r="H22" s="3197">
        <f>+'1979'!$C$19/1000</f>
        <v>2916.6370000000002</v>
      </c>
      <c r="I22" s="3228"/>
      <c r="J22" s="3155">
        <v>1979</v>
      </c>
      <c r="L22" s="3229">
        <f>+'1979'!$E$20</f>
        <v>71</v>
      </c>
      <c r="M22" s="3229">
        <f>+'1979'!$E$21</f>
        <v>71</v>
      </c>
      <c r="N22" s="3229">
        <f>+'1979'!$E$22</f>
        <v>43</v>
      </c>
      <c r="O22" s="3229">
        <f>+'1979'!$E$23</f>
        <v>71</v>
      </c>
      <c r="P22" s="3229">
        <f t="shared" si="8"/>
        <v>28</v>
      </c>
      <c r="Q22" s="3229">
        <f>+'1979'!$E$19</f>
        <v>284</v>
      </c>
      <c r="S22" s="2837"/>
      <c r="T22" s="2844"/>
      <c r="U22" s="2844"/>
      <c r="V22" s="2844"/>
      <c r="W22" s="2844"/>
      <c r="X22" s="2844"/>
      <c r="Y22" s="2844"/>
      <c r="Z22" s="2841"/>
      <c r="AA22" s="2841"/>
      <c r="AB22" s="2841"/>
    </row>
    <row r="23" spans="1:28" ht="12.75" customHeight="1">
      <c r="A23" s="3155">
        <v>1983</v>
      </c>
      <c r="C23" s="3197">
        <f>+'1983'!$C$24/1000</f>
        <v>801.48699999999997</v>
      </c>
      <c r="D23" s="3197">
        <f>+'1983'!$C$25/1000</f>
        <v>990.654</v>
      </c>
      <c r="E23" s="3197">
        <f>+'1983'!$C$28/1000</f>
        <v>692.63400000000001</v>
      </c>
      <c r="F23" s="3197">
        <f>+'1983'!$C$29/1000</f>
        <v>331.97500000000002</v>
      </c>
      <c r="G23" s="3197">
        <f t="shared" si="7"/>
        <v>7.8299999999999272</v>
      </c>
      <c r="H23" s="3197">
        <f>+'1983'!$C$23/1000</f>
        <v>2824.58</v>
      </c>
      <c r="I23" s="3228"/>
      <c r="J23" s="3155">
        <v>1983</v>
      </c>
      <c r="L23" s="3229">
        <f>+'1983'!$E$24</f>
        <v>72</v>
      </c>
      <c r="M23" s="3229">
        <f>+'1983'!$E$25</f>
        <v>72</v>
      </c>
      <c r="N23" s="3229">
        <f>+'1983'!$E$28</f>
        <v>72</v>
      </c>
      <c r="O23" s="3229">
        <f>+'1983'!$E$29</f>
        <v>72</v>
      </c>
      <c r="P23" s="3229">
        <f t="shared" si="8"/>
        <v>26</v>
      </c>
      <c r="Q23" s="3229">
        <f>+'1983'!$E$23</f>
        <v>314</v>
      </c>
      <c r="S23" s="2837"/>
      <c r="T23" s="2844"/>
      <c r="U23" s="2844"/>
      <c r="V23" s="2844"/>
      <c r="W23" s="2844"/>
      <c r="X23" s="2844"/>
      <c r="Y23" s="2844"/>
      <c r="Z23" s="2841"/>
      <c r="AA23" s="2841"/>
      <c r="AB23" s="2841"/>
    </row>
    <row r="24" spans="1:28" ht="12.75" customHeight="1">
      <c r="A24" s="3155">
        <v>1987</v>
      </c>
      <c r="C24" s="3197">
        <f>+'1987'!$C$24/1000</f>
        <v>713.08100000000002</v>
      </c>
      <c r="D24" s="3197">
        <f>+'1987'!$C$25/1000</f>
        <v>1258.1320000000001</v>
      </c>
      <c r="E24" s="3197">
        <f>+'1987'!$C$28/1000</f>
        <v>570.053</v>
      </c>
      <c r="F24" s="3197">
        <f>+'1987'!$C$29/1000</f>
        <v>416.47300000000001</v>
      </c>
      <c r="G24" s="3197">
        <f t="shared" si="7"/>
        <v>10.06899999999996</v>
      </c>
      <c r="H24" s="3197">
        <f>+'1987'!$C$23/1000</f>
        <v>2967.808</v>
      </c>
      <c r="I24" s="3228"/>
      <c r="J24" s="3155">
        <v>1987</v>
      </c>
      <c r="L24" s="3229">
        <f>+'1987'!$E$24</f>
        <v>72</v>
      </c>
      <c r="M24" s="3229">
        <f>+'1987'!$E$25</f>
        <v>72</v>
      </c>
      <c r="N24" s="3229">
        <f>+'1987'!$E$28</f>
        <v>72</v>
      </c>
      <c r="O24" s="3229">
        <f>+'1987'!$E$29</f>
        <v>71</v>
      </c>
      <c r="P24" s="3229">
        <f t="shared" si="8"/>
        <v>21</v>
      </c>
      <c r="Q24" s="3229">
        <f>+'1987'!$E$23</f>
        <v>308</v>
      </c>
      <c r="S24" s="2837"/>
      <c r="T24" s="2844"/>
      <c r="U24" s="2844"/>
      <c r="V24" s="2844"/>
      <c r="W24" s="2844"/>
      <c r="X24" s="2844"/>
      <c r="Y24" s="2844"/>
      <c r="Z24" s="2841"/>
      <c r="AA24" s="2841"/>
      <c r="AB24" s="2841"/>
    </row>
    <row r="25" spans="1:28" ht="12.75" customHeight="1">
      <c r="A25" s="3155">
        <v>1992</v>
      </c>
      <c r="C25" s="3197">
        <f>+'1992'!$C$20/1000</f>
        <v>751.95</v>
      </c>
      <c r="D25" s="3197">
        <f>+'1992'!$C$21/1000</f>
        <v>1142.9110000000001</v>
      </c>
      <c r="E25" s="3197">
        <f>+'1992'!$C$22/1000</f>
        <v>383.85599999999999</v>
      </c>
      <c r="F25" s="3197">
        <f>+'1992'!$C$23/1000</f>
        <v>629.56399999999996</v>
      </c>
      <c r="G25" s="3197">
        <f t="shared" si="7"/>
        <v>23.416999999999916</v>
      </c>
      <c r="H25" s="3197">
        <f>+'1992'!$C$19/1000</f>
        <v>2931.6979999999999</v>
      </c>
      <c r="I25" s="3228"/>
      <c r="J25" s="3155">
        <v>1992</v>
      </c>
      <c r="L25" s="3229">
        <f>+'1992'!$E$20</f>
        <v>72</v>
      </c>
      <c r="M25" s="3229">
        <f>+'1992'!$E$21</f>
        <v>72</v>
      </c>
      <c r="N25" s="3229">
        <f>+'1992'!$E$22</f>
        <v>72</v>
      </c>
      <c r="O25" s="3229">
        <f>+'1992'!$E$23</f>
        <v>72</v>
      </c>
      <c r="P25" s="3229">
        <f t="shared" si="8"/>
        <v>53</v>
      </c>
      <c r="Q25" s="3229">
        <f>+'1992'!$E$19</f>
        <v>341</v>
      </c>
      <c r="S25" s="2837"/>
      <c r="T25" s="2844"/>
      <c r="U25" s="2844"/>
      <c r="V25" s="2844"/>
      <c r="W25" s="2844"/>
      <c r="X25" s="2844"/>
      <c r="Y25" s="2844"/>
      <c r="Z25" s="2841"/>
      <c r="AA25" s="2841"/>
      <c r="AB25" s="2841"/>
    </row>
    <row r="26" spans="1:28" ht="12.75" customHeight="1">
      <c r="A26" s="3155">
        <v>1997</v>
      </c>
      <c r="C26" s="3197">
        <f>+'1997'!$C$20/1000</f>
        <v>493.05900000000003</v>
      </c>
      <c r="D26" s="3197">
        <f>+'1997'!$C$21/1000</f>
        <v>1283.3499999999999</v>
      </c>
      <c r="E26" s="3197">
        <f>+'1997'!$C$22/1000</f>
        <v>365.36200000000002</v>
      </c>
      <c r="F26" s="3197">
        <f>+'1997'!$C$23/1000</f>
        <v>621.54999999999995</v>
      </c>
      <c r="G26" s="3197">
        <f t="shared" si="7"/>
        <v>53.427000000000135</v>
      </c>
      <c r="H26" s="3197">
        <f>+'1997'!$C$19/1000</f>
        <v>2816.748</v>
      </c>
      <c r="I26" s="3228"/>
      <c r="J26" s="3155">
        <v>1997</v>
      </c>
      <c r="L26" s="3229">
        <f>+'1997'!$E$20</f>
        <v>72</v>
      </c>
      <c r="M26" s="3229">
        <f>+'1997'!$E$21</f>
        <v>72</v>
      </c>
      <c r="N26" s="3229">
        <f>+'1997'!$E$22</f>
        <v>72</v>
      </c>
      <c r="O26" s="3229">
        <f>+'1997'!$E$23</f>
        <v>72</v>
      </c>
      <c r="P26" s="3229">
        <f t="shared" si="8"/>
        <v>143</v>
      </c>
      <c r="Q26" s="3229">
        <f>+'1997'!$E$19</f>
        <v>431</v>
      </c>
      <c r="S26" s="2837"/>
      <c r="T26" s="2844"/>
      <c r="U26" s="2844"/>
      <c r="V26" s="2844"/>
      <c r="W26" s="2844"/>
      <c r="X26" s="2844"/>
      <c r="Y26" s="2844"/>
      <c r="Z26" s="2841"/>
      <c r="AA26" s="2841"/>
      <c r="AB26" s="2841"/>
    </row>
    <row r="27" spans="1:28" ht="12.75" customHeight="1">
      <c r="A27" s="3155">
        <v>2001</v>
      </c>
      <c r="C27" s="3230">
        <f>+'2001'!$C$20/1000</f>
        <v>360.65800000000002</v>
      </c>
      <c r="D27" s="3230">
        <f>+'2001'!$C$21/1000</f>
        <v>1001.173</v>
      </c>
      <c r="E27" s="3230">
        <f>+'2001'!$C$22/1000</f>
        <v>378.03399999999999</v>
      </c>
      <c r="F27" s="3230">
        <f>+'2001'!$C$23/1000</f>
        <v>464.31400000000002</v>
      </c>
      <c r="G27" s="3231">
        <f>+H27-SUM(C27:F27)</f>
        <v>109.52199999999993</v>
      </c>
      <c r="H27" s="3230">
        <f>+'2001'!$C$19/1000</f>
        <v>2313.701</v>
      </c>
      <c r="I27" s="3232"/>
      <c r="J27" s="3155">
        <v>2001</v>
      </c>
      <c r="L27" s="3229">
        <f>+'2001'!$E$20</f>
        <v>71</v>
      </c>
      <c r="M27" s="3229">
        <f>+'2001'!$E$21</f>
        <v>71</v>
      </c>
      <c r="N27" s="3229">
        <f>+'2001'!$E$22</f>
        <v>71</v>
      </c>
      <c r="O27" s="3229">
        <f>+'2001'!$E$23</f>
        <v>72</v>
      </c>
      <c r="P27" s="3229">
        <f>+Q27-SUM(L27:O27)</f>
        <v>122</v>
      </c>
      <c r="Q27" s="3229">
        <f>+'2001'!$E$19</f>
        <v>407</v>
      </c>
      <c r="S27" s="2837"/>
      <c r="T27" s="2844"/>
      <c r="U27" s="2844"/>
      <c r="V27" s="2844"/>
      <c r="W27" s="2844"/>
      <c r="X27" s="2844"/>
      <c r="Y27" s="2844"/>
      <c r="Z27" s="2841"/>
      <c r="AA27" s="2841"/>
      <c r="AB27" s="2841"/>
    </row>
    <row r="28" spans="1:28" ht="12.75" customHeight="1">
      <c r="A28" s="3155">
        <v>2005</v>
      </c>
      <c r="C28" s="3230">
        <f>+'2005'!$C$20/1000</f>
        <v>369.38799999999998</v>
      </c>
      <c r="D28" s="3230">
        <f>+'2005'!$C$21/1000</f>
        <v>907.24900000000002</v>
      </c>
      <c r="E28" s="3230">
        <f>+'2005'!$C$22/1000</f>
        <v>528.07600000000002</v>
      </c>
      <c r="F28" s="3230">
        <f>+'2005'!$C$23/1000</f>
        <v>412.267</v>
      </c>
      <c r="G28" s="3231">
        <f>+H28-SUM(C28:F28)</f>
        <v>116.90700000000015</v>
      </c>
      <c r="H28" s="3230">
        <f>+'2005'!$C$19/1000</f>
        <v>2333.8870000000002</v>
      </c>
      <c r="I28" s="3232"/>
      <c r="J28" s="3155">
        <v>2005</v>
      </c>
      <c r="L28" s="3229">
        <f>+'2005'!$E$20</f>
        <v>58</v>
      </c>
      <c r="M28" s="3229">
        <f>+'2005'!$E$21</f>
        <v>58</v>
      </c>
      <c r="N28" s="3229">
        <f>+'2005'!$E$22</f>
        <v>58</v>
      </c>
      <c r="O28" s="3229">
        <f>+'2005'!$E$23</f>
        <v>59</v>
      </c>
      <c r="P28" s="3229">
        <f>+Q28-SUM(L28:O28)</f>
        <v>149</v>
      </c>
      <c r="Q28" s="3229">
        <f>+'2005'!$E$19</f>
        <v>382</v>
      </c>
      <c r="S28" s="2837"/>
      <c r="T28" s="2844"/>
      <c r="U28" s="2844"/>
      <c r="V28" s="2844"/>
      <c r="W28" s="2844"/>
      <c r="X28" s="2844"/>
      <c r="Y28" s="2844"/>
      <c r="Z28" s="2841"/>
      <c r="AA28" s="2841"/>
      <c r="AB28" s="2841"/>
    </row>
    <row r="29" spans="1:28" ht="12.75" customHeight="1">
      <c r="A29" s="3155">
        <v>2010</v>
      </c>
      <c r="C29" s="3230">
        <f>+'2010'!$C$20/1000</f>
        <v>412.90499999999997</v>
      </c>
      <c r="D29" s="3230">
        <f>+'2010'!$C$21/1000</f>
        <v>1035.528</v>
      </c>
      <c r="E29" s="3230">
        <f>+'2010'!$C$22/1000</f>
        <v>465.471</v>
      </c>
      <c r="F29" s="3230">
        <f>+'2010'!$C$23/1000</f>
        <v>491.38600000000002</v>
      </c>
      <c r="G29" s="3231">
        <f>+H29-SUM(C29:F29)</f>
        <v>60.490000000000236</v>
      </c>
      <c r="H29" s="3230">
        <f>+'2010'!$C$19/1000</f>
        <v>2465.7800000000002</v>
      </c>
      <c r="I29" s="3232"/>
      <c r="J29" s="3155">
        <v>2010</v>
      </c>
      <c r="L29" s="3229">
        <f>+'2010'!$E$20</f>
        <v>59</v>
      </c>
      <c r="M29" s="3229">
        <f>+'2010'!$E$21</f>
        <v>59</v>
      </c>
      <c r="N29" s="3229">
        <f>+'2010'!$E$22</f>
        <v>59</v>
      </c>
      <c r="O29" s="3229">
        <f>+'2010'!$E$23</f>
        <v>59</v>
      </c>
      <c r="P29" s="3229">
        <f>+Q29-SUM(L29:O29)</f>
        <v>113</v>
      </c>
      <c r="Q29" s="3229">
        <f>+'2010'!$E$19</f>
        <v>349</v>
      </c>
      <c r="S29" s="2837"/>
      <c r="T29" s="2844"/>
      <c r="U29" s="2844"/>
      <c r="V29" s="2844"/>
      <c r="W29" s="2844"/>
      <c r="X29" s="2844"/>
      <c r="Y29" s="2844"/>
      <c r="Z29" s="2841"/>
      <c r="AA29" s="2841"/>
      <c r="AB29" s="2841"/>
    </row>
    <row r="30" spans="1:28" ht="12.75" customHeight="1">
      <c r="A30" s="3155">
        <v>2015</v>
      </c>
      <c r="C30" s="3230">
        <v>434.1</v>
      </c>
      <c r="D30" s="3230">
        <v>707.1</v>
      </c>
      <c r="E30" s="3230">
        <v>219.7</v>
      </c>
      <c r="F30" s="3230">
        <v>1454.4</v>
      </c>
      <c r="G30" s="3231">
        <v>95.199999999999818</v>
      </c>
      <c r="H30" s="3230">
        <v>2910.5</v>
      </c>
      <c r="I30" s="3232"/>
      <c r="J30" s="3155">
        <v>2015</v>
      </c>
      <c r="L30" s="3229">
        <v>59</v>
      </c>
      <c r="M30" s="3229">
        <v>59</v>
      </c>
      <c r="N30" s="3229">
        <v>59</v>
      </c>
      <c r="O30" s="3229">
        <v>59</v>
      </c>
      <c r="P30" s="3229">
        <v>110</v>
      </c>
      <c r="Q30" s="3229">
        <v>346</v>
      </c>
      <c r="T30" s="2841"/>
      <c r="U30" s="2841"/>
      <c r="V30" s="2841"/>
      <c r="W30" s="2841"/>
      <c r="X30" s="2841"/>
      <c r="Y30" s="2841"/>
      <c r="Z30" s="2841"/>
      <c r="AA30" s="2841"/>
      <c r="AB30" s="2841"/>
    </row>
    <row r="31" spans="1:28" ht="12.75" customHeight="1">
      <c r="A31" s="3155">
        <v>2017</v>
      </c>
      <c r="C31" s="3230">
        <v>757.94899999999996</v>
      </c>
      <c r="D31" s="3230">
        <v>717.00699999999995</v>
      </c>
      <c r="E31" s="3230">
        <v>179.06200000000001</v>
      </c>
      <c r="F31" s="3230">
        <v>977.56799999999998</v>
      </c>
      <c r="G31" s="3231">
        <v>18.109000000000002</v>
      </c>
      <c r="H31" s="3230">
        <f>SUM(C31:G31)</f>
        <v>2649.6950000000002</v>
      </c>
      <c r="I31" s="3232"/>
      <c r="J31" s="3155">
        <v>2017</v>
      </c>
      <c r="L31" s="3229">
        <v>59</v>
      </c>
      <c r="M31" s="3229">
        <v>59</v>
      </c>
      <c r="N31" s="3229">
        <v>59</v>
      </c>
      <c r="O31" s="3229">
        <v>59</v>
      </c>
      <c r="P31" s="3229">
        <v>30</v>
      </c>
      <c r="Q31" s="3233">
        <f>SUM(L31:P31)</f>
        <v>266</v>
      </c>
      <c r="T31" s="2841"/>
      <c r="U31" s="2841"/>
      <c r="V31" s="2841"/>
      <c r="W31" s="2841"/>
      <c r="X31" s="2841"/>
      <c r="Y31" s="2841"/>
      <c r="Z31" s="2841"/>
      <c r="AA31" s="2841"/>
      <c r="AB31" s="2841"/>
    </row>
    <row r="32" spans="1:28" ht="12.75" customHeight="1">
      <c r="A32" s="3155">
        <v>2019</v>
      </c>
      <c r="C32" s="3230">
        <v>692.93899999999996</v>
      </c>
      <c r="D32" s="3230">
        <v>511.83800000000002</v>
      </c>
      <c r="E32" s="3230">
        <v>263.03500000000003</v>
      </c>
      <c r="F32" s="3230">
        <v>1242.3800000000001</v>
      </c>
      <c r="G32" s="3231">
        <v>48.487000000000002</v>
      </c>
      <c r="H32" s="3230">
        <v>2759.0610000000001</v>
      </c>
      <c r="I32" s="3232"/>
      <c r="J32" s="3155">
        <v>2019</v>
      </c>
      <c r="L32" s="3229">
        <v>59</v>
      </c>
      <c r="M32" s="3229">
        <v>59</v>
      </c>
      <c r="N32" s="3229">
        <v>59</v>
      </c>
      <c r="O32" s="3229">
        <v>59</v>
      </c>
      <c r="P32" s="3229">
        <v>56</v>
      </c>
      <c r="Q32" s="3233">
        <f>SUM(L32:P32)</f>
        <v>292</v>
      </c>
      <c r="T32" s="2841"/>
      <c r="U32" s="2841"/>
      <c r="V32" s="2841"/>
      <c r="W32" s="2841"/>
      <c r="X32" s="2841"/>
      <c r="Y32" s="2841"/>
      <c r="Z32" s="2841"/>
      <c r="AA32" s="2841"/>
      <c r="AB32" s="2841"/>
    </row>
    <row r="33" spans="1:37" ht="12.75" customHeight="1">
      <c r="J33" s="2831"/>
      <c r="T33" s="2841"/>
      <c r="U33" s="2841"/>
      <c r="V33" s="2841"/>
      <c r="W33" s="2841"/>
      <c r="X33" s="2841"/>
      <c r="Y33" s="2841"/>
      <c r="Z33" s="2841"/>
      <c r="AA33" s="2841"/>
      <c r="AB33" s="2841"/>
    </row>
    <row r="34" spans="1:37" ht="12.75" customHeight="1">
      <c r="A34" s="2862"/>
      <c r="B34" s="2835"/>
      <c r="C34" s="1038" t="s">
        <v>55</v>
      </c>
      <c r="D34" s="3168"/>
      <c r="E34" s="3168"/>
      <c r="F34" s="3168"/>
      <c r="G34" s="3168"/>
      <c r="H34" s="3168"/>
      <c r="I34" s="3169"/>
      <c r="J34" s="2862"/>
      <c r="K34" s="2835"/>
      <c r="L34" s="1038" t="s">
        <v>56</v>
      </c>
      <c r="M34" s="3168"/>
      <c r="N34" s="3168"/>
      <c r="O34" s="3168"/>
      <c r="P34" s="3168"/>
      <c r="Q34" s="3168"/>
      <c r="T34" s="2841"/>
      <c r="U34" s="2841"/>
      <c r="V34" s="2841"/>
      <c r="W34" s="2841"/>
      <c r="X34" s="2841"/>
      <c r="Y34" s="2841"/>
      <c r="Z34" s="2841"/>
      <c r="AA34" s="2841"/>
      <c r="AB34" s="2841"/>
    </row>
    <row r="35" spans="1:37" s="2584" customFormat="1" ht="15.75" customHeight="1">
      <c r="A35" s="3167"/>
      <c r="B35" s="3031"/>
      <c r="C35" s="2243" t="s">
        <v>2440</v>
      </c>
      <c r="D35" s="2244" t="s">
        <v>807</v>
      </c>
      <c r="E35" s="2245" t="s">
        <v>2442</v>
      </c>
      <c r="F35" s="2533" t="s">
        <v>2309</v>
      </c>
      <c r="G35" s="2246" t="s">
        <v>1972</v>
      </c>
      <c r="H35" s="3168" t="s">
        <v>16</v>
      </c>
      <c r="I35" s="3160"/>
      <c r="J35" s="3031"/>
      <c r="K35" s="3031"/>
      <c r="L35" s="2243" t="s">
        <v>2440</v>
      </c>
      <c r="M35" s="2244" t="s">
        <v>807</v>
      </c>
      <c r="N35" s="2245" t="s">
        <v>2442</v>
      </c>
      <c r="O35" s="2533" t="s">
        <v>2309</v>
      </c>
      <c r="P35" s="2246" t="s">
        <v>1972</v>
      </c>
      <c r="Q35" s="3168" t="s">
        <v>16</v>
      </c>
      <c r="R35" s="3160"/>
      <c r="S35" s="3160"/>
      <c r="T35" s="3154"/>
      <c r="U35" s="2821"/>
      <c r="V35" s="2821"/>
      <c r="W35" s="2820"/>
      <c r="X35" s="2820"/>
      <c r="Y35" s="2821"/>
      <c r="Z35" s="3154"/>
      <c r="AA35" s="3154"/>
      <c r="AB35" s="3154"/>
      <c r="AC35" s="3160"/>
      <c r="AD35" s="3160"/>
      <c r="AE35" s="3160"/>
      <c r="AF35" s="3160"/>
    </row>
    <row r="36" spans="1:37" s="2835" customFormat="1" ht="3.75" customHeight="1">
      <c r="A36" s="2862"/>
      <c r="C36" s="2854"/>
      <c r="D36" s="2854"/>
      <c r="E36" s="2854"/>
      <c r="F36" s="2854"/>
      <c r="G36" s="2854"/>
      <c r="I36" s="3166"/>
      <c r="J36" s="2862"/>
      <c r="L36" s="2854"/>
      <c r="M36" s="2854"/>
      <c r="N36" s="2854"/>
      <c r="O36" s="2854"/>
      <c r="P36" s="2854"/>
      <c r="R36" s="3166"/>
      <c r="S36" s="3166"/>
      <c r="T36" s="2841"/>
      <c r="U36" s="2841"/>
      <c r="V36" s="2841"/>
      <c r="W36" s="2841"/>
      <c r="X36" s="2841"/>
      <c r="Y36" s="2841"/>
      <c r="Z36" s="2841"/>
      <c r="AA36" s="2841"/>
      <c r="AB36" s="2841"/>
      <c r="AC36" s="3166"/>
      <c r="AD36" s="3166"/>
      <c r="AE36" s="3166"/>
      <c r="AF36" s="3166"/>
    </row>
    <row r="37" spans="1:37" s="2841" customFormat="1">
      <c r="A37" s="3207">
        <v>1918</v>
      </c>
      <c r="C37" s="2852">
        <f>'1918 '!$C$35+'1918 '!$C$40</f>
        <v>0.32800000000000001</v>
      </c>
      <c r="D37" s="2852">
        <f>'1918 '!$C$42</f>
        <v>0.22899999999999998</v>
      </c>
      <c r="E37" s="2852">
        <f>'1918 '!$C$36+'1918 '!$C$41</f>
        <v>0.34099999999999997</v>
      </c>
      <c r="F37" s="2852"/>
      <c r="G37" s="2631">
        <f t="shared" ref="G37:G43" si="9">H37-SUM(C37:F37)</f>
        <v>0.10200000000000009</v>
      </c>
      <c r="H37" s="3172">
        <v>1</v>
      </c>
      <c r="J37" s="3151">
        <v>1918</v>
      </c>
      <c r="L37" s="3226">
        <f>'1918 '!$G$35+'1918 '!$G$40</f>
        <v>30</v>
      </c>
      <c r="M37" s="3226">
        <f>'1918 '!$G$42</f>
        <v>6</v>
      </c>
      <c r="N37" s="3226">
        <f>'1918 '!$G$36+'1918 '!$G$41</f>
        <v>33</v>
      </c>
      <c r="O37" s="3226"/>
      <c r="P37" s="3190">
        <f t="shared" ref="P37:P43" si="10">Q37-SUM(L37:O37)</f>
        <v>2</v>
      </c>
      <c r="Q37" s="2841">
        <f>'1918 '!$G$46</f>
        <v>71</v>
      </c>
      <c r="T37" s="3151"/>
      <c r="U37" s="3226"/>
      <c r="V37" s="3226"/>
      <c r="W37" s="3226"/>
      <c r="X37" s="3226"/>
      <c r="Y37" s="2872"/>
    </row>
    <row r="38" spans="1:37" s="3166" customFormat="1" ht="12.75" customHeight="1">
      <c r="A38" s="3207">
        <v>1922</v>
      </c>
      <c r="C38" s="3208">
        <f>'1922'!$C$22</f>
        <v>0.251</v>
      </c>
      <c r="D38" s="3208">
        <f>'1922'!$C$25</f>
        <v>0.32200000000000001</v>
      </c>
      <c r="E38" s="3208">
        <f>'1922'!$C$23+'1922'!$C$24</f>
        <v>0.39200000000000002</v>
      </c>
      <c r="F38" s="3208"/>
      <c r="G38" s="2631">
        <f t="shared" si="9"/>
        <v>3.5000000000000031E-2</v>
      </c>
      <c r="H38" s="3172">
        <v>1</v>
      </c>
      <c r="I38" s="2631"/>
      <c r="J38" s="3151">
        <v>1922</v>
      </c>
      <c r="K38" s="2841"/>
      <c r="L38" s="2805">
        <f>'1922'!$G$22</f>
        <v>13</v>
      </c>
      <c r="M38" s="2805">
        <f>'1922'!$G$25</f>
        <v>29</v>
      </c>
      <c r="N38" s="2805">
        <f>'1922'!$G$23+'1922'!$G$24</f>
        <v>27</v>
      </c>
      <c r="O38" s="2805"/>
      <c r="P38" s="3190">
        <f t="shared" si="10"/>
        <v>2</v>
      </c>
      <c r="Q38" s="3166">
        <f>'1922'!$G$28</f>
        <v>71</v>
      </c>
      <c r="T38" s="3151"/>
      <c r="U38" s="3226"/>
      <c r="V38" s="3226"/>
      <c r="W38" s="3226"/>
      <c r="X38" s="3226"/>
      <c r="Y38" s="2872"/>
      <c r="Z38" s="2841"/>
      <c r="AA38" s="2841"/>
      <c r="AB38" s="2841"/>
    </row>
    <row r="39" spans="1:37" ht="12.5" customHeight="1">
      <c r="A39" s="3155">
        <v>1923</v>
      </c>
      <c r="C39" s="2846">
        <f>'1923'!$C$19</f>
        <v>0.316</v>
      </c>
      <c r="D39" s="2846">
        <f>'1923'!$C$21</f>
        <v>0.35899999999999999</v>
      </c>
      <c r="E39" s="2846">
        <f>'1923'!$C$20</f>
        <v>0.28399999999999997</v>
      </c>
      <c r="F39" s="2846"/>
      <c r="G39" s="2631">
        <f t="shared" si="9"/>
        <v>4.0999999999999925E-2</v>
      </c>
      <c r="H39" s="3172">
        <v>1</v>
      </c>
      <c r="I39" s="3208"/>
      <c r="J39" s="3151">
        <v>1923</v>
      </c>
      <c r="K39" s="2841"/>
      <c r="L39" s="2806">
        <f>'1923'!$G$19</f>
        <v>14</v>
      </c>
      <c r="M39" s="2806">
        <f>'1923'!$G$21</f>
        <v>34</v>
      </c>
      <c r="N39" s="2806">
        <f>'1923'!$G$20</f>
        <v>22</v>
      </c>
      <c r="O39" s="2806"/>
      <c r="P39" s="3190">
        <f t="shared" si="10"/>
        <v>1</v>
      </c>
      <c r="Q39" s="3166">
        <f>'1923'!$G$24</f>
        <v>71</v>
      </c>
      <c r="S39" s="2635"/>
      <c r="T39" s="3151"/>
      <c r="U39" s="3226"/>
      <c r="V39" s="3226"/>
      <c r="W39" s="3226"/>
      <c r="X39" s="3226"/>
      <c r="Y39" s="2872"/>
      <c r="Z39" s="2841"/>
      <c r="AA39" s="2841"/>
      <c r="AB39" s="2841"/>
    </row>
    <row r="40" spans="1:37" ht="12.5" customHeight="1">
      <c r="A40" s="3155">
        <v>1924</v>
      </c>
      <c r="C40" s="2846">
        <f>'1924'!$C$20</f>
        <v>0.40700000000000003</v>
      </c>
      <c r="D40" s="2846">
        <f>'1924'!$C$22</f>
        <v>0.41100000000000003</v>
      </c>
      <c r="E40" s="2846">
        <f>'1924'!$C$21</f>
        <v>0.16600000000000001</v>
      </c>
      <c r="F40" s="2846"/>
      <c r="G40" s="2631">
        <f t="shared" si="9"/>
        <v>1.5999999999999903E-2</v>
      </c>
      <c r="H40" s="3172">
        <v>1</v>
      </c>
      <c r="I40" s="3208"/>
      <c r="J40" s="3151">
        <v>1924</v>
      </c>
      <c r="K40" s="2841"/>
      <c r="L40" s="2806">
        <f>'1924'!$G$20</f>
        <v>36</v>
      </c>
      <c r="M40" s="2806">
        <f>'1924'!$G$22</f>
        <v>26</v>
      </c>
      <c r="N40" s="2806">
        <f>'1924'!$G$21</f>
        <v>8</v>
      </c>
      <c r="O40" s="2806"/>
      <c r="P40" s="3190">
        <f t="shared" si="10"/>
        <v>1</v>
      </c>
      <c r="Q40" s="3166">
        <f>'1924'!$G$25</f>
        <v>71</v>
      </c>
      <c r="S40" s="2635"/>
      <c r="T40" s="3151"/>
      <c r="U40" s="3226"/>
      <c r="V40" s="3226"/>
      <c r="W40" s="3226"/>
      <c r="X40" s="3226"/>
      <c r="Y40" s="2872"/>
      <c r="Z40" s="2841"/>
      <c r="AA40" s="2841"/>
      <c r="AB40" s="2841"/>
    </row>
    <row r="41" spans="1:37" ht="12.75" customHeight="1">
      <c r="A41" s="3155">
        <v>1929</v>
      </c>
      <c r="C41" s="2846">
        <f>'1929'!$C$21</f>
        <v>0.35899999999999999</v>
      </c>
      <c r="D41" s="2846">
        <f>'1929'!$C$23</f>
        <v>0.42299999999999999</v>
      </c>
      <c r="E41" s="2846">
        <f>'1929'!$C$22</f>
        <v>0.18100000000000002</v>
      </c>
      <c r="F41" s="2846">
        <f>'1929'!$C$24</f>
        <v>2E-3</v>
      </c>
      <c r="G41" s="2631">
        <f t="shared" si="9"/>
        <v>3.499999999999992E-2</v>
      </c>
      <c r="H41" s="3172">
        <v>1</v>
      </c>
      <c r="I41" s="3208"/>
      <c r="J41" s="3151">
        <v>1929</v>
      </c>
      <c r="K41" s="2841"/>
      <c r="L41" s="2806">
        <f>'1929'!$G$21</f>
        <v>20</v>
      </c>
      <c r="M41" s="2806">
        <f>'1929'!$G$23</f>
        <v>36</v>
      </c>
      <c r="N41" s="2806">
        <f>'1929'!$G$22</f>
        <v>13</v>
      </c>
      <c r="O41" s="2806">
        <f>'1929'!$G$24</f>
        <v>0</v>
      </c>
      <c r="P41" s="3190">
        <f t="shared" si="10"/>
        <v>2</v>
      </c>
      <c r="Q41" s="3166">
        <f>'1929'!$G$27</f>
        <v>71</v>
      </c>
      <c r="S41" s="2635"/>
      <c r="T41" s="3151"/>
      <c r="U41" s="3226"/>
      <c r="V41" s="3226"/>
      <c r="W41" s="3226"/>
      <c r="X41" s="3226"/>
      <c r="Y41" s="2872"/>
      <c r="Z41" s="2841"/>
      <c r="AA41" s="2841"/>
      <c r="AB41" s="2841"/>
    </row>
    <row r="42" spans="1:37" ht="12.5" customHeight="1">
      <c r="A42" s="3155">
        <v>1931</v>
      </c>
      <c r="C42" s="2846">
        <f>'1931'!$C$33+'1931'!$C$35+'1931'!$C$36</f>
        <v>0.55400000000000005</v>
      </c>
      <c r="D42" s="2846">
        <f>'1931'!$C$38</f>
        <v>0.32600000000000001</v>
      </c>
      <c r="E42" s="2846">
        <f>'1931'!$C$34</f>
        <v>8.5999999999999993E-2</v>
      </c>
      <c r="F42" s="2846">
        <f>'1931'!$C$41</f>
        <v>0.01</v>
      </c>
      <c r="G42" s="2631">
        <f t="shared" si="9"/>
        <v>2.399999999999991E-2</v>
      </c>
      <c r="H42" s="3172">
        <v>1</v>
      </c>
      <c r="I42" s="3208"/>
      <c r="J42" s="3151">
        <v>1931</v>
      </c>
      <c r="K42" s="2841"/>
      <c r="L42" s="2806">
        <f>'1931'!$G$33+'1931'!$G$35+'1931'!$G$36</f>
        <v>57</v>
      </c>
      <c r="M42" s="2806">
        <f>'1931'!$G$38</f>
        <v>7</v>
      </c>
      <c r="N42" s="2806">
        <f>'1931'!$G$34</f>
        <v>7</v>
      </c>
      <c r="O42" s="2806">
        <f>'1931'!$G$41</f>
        <v>0</v>
      </c>
      <c r="P42" s="3190">
        <f t="shared" si="10"/>
        <v>0</v>
      </c>
      <c r="Q42" s="3166">
        <f>'1931'!$G$43</f>
        <v>71</v>
      </c>
      <c r="S42" s="2635"/>
      <c r="T42" s="3151"/>
      <c r="U42" s="3226"/>
      <c r="V42" s="3226"/>
      <c r="W42" s="3226"/>
      <c r="X42" s="3226"/>
      <c r="Y42" s="2872"/>
      <c r="Z42" s="2841"/>
      <c r="AA42" s="2841"/>
      <c r="AB42" s="2841"/>
    </row>
    <row r="43" spans="1:37" ht="12.5" customHeight="1">
      <c r="A43" s="3155">
        <v>1935</v>
      </c>
      <c r="C43" s="2846">
        <f>'1935'!$C$30+'1935'!$C$31+'1935'!$C$32+'1935'!$C$33</f>
        <v>0.498</v>
      </c>
      <c r="D43" s="2846">
        <f>'1935'!$C$36</f>
        <v>0.36799999999999999</v>
      </c>
      <c r="E43" s="2846">
        <f>'1935'!$C$35</f>
        <v>6.7000000000000004E-2</v>
      </c>
      <c r="F43" s="2846">
        <f>'1935'!$C$37</f>
        <v>1.1000000000000001E-2</v>
      </c>
      <c r="G43" s="2631">
        <f t="shared" si="9"/>
        <v>5.5999999999999939E-2</v>
      </c>
      <c r="H43" s="3172">
        <v>1</v>
      </c>
      <c r="I43" s="2631"/>
      <c r="J43" s="3151">
        <v>1935</v>
      </c>
      <c r="K43" s="2841"/>
      <c r="L43" s="2806">
        <f>'1935'!$G$30+'1935'!$G$31+'1935'!$G$32+'1935'!$G$33</f>
        <v>43</v>
      </c>
      <c r="M43" s="2806">
        <f>'1935'!$G$36</f>
        <v>20</v>
      </c>
      <c r="N43" s="2806">
        <f>'1935'!$G$35</f>
        <v>3</v>
      </c>
      <c r="O43" s="2806">
        <f>'1935'!$G$37</f>
        <v>0</v>
      </c>
      <c r="P43" s="3190">
        <f t="shared" si="10"/>
        <v>5</v>
      </c>
      <c r="Q43" s="3166">
        <f>'1935'!$G$40</f>
        <v>71</v>
      </c>
      <c r="S43" s="2635"/>
      <c r="T43" s="3151"/>
      <c r="U43" s="3226"/>
      <c r="V43" s="3226"/>
      <c r="W43" s="3226"/>
      <c r="X43" s="3226"/>
      <c r="Y43" s="2872"/>
      <c r="Z43" s="2841"/>
      <c r="AA43" s="2841"/>
      <c r="AB43" s="2841"/>
    </row>
    <row r="44" spans="1:37" ht="12.75" customHeight="1">
      <c r="A44" s="3155">
        <v>1945</v>
      </c>
      <c r="C44" s="2846">
        <f t="shared" ref="C44:H50" si="11">IFERROR(C12/$H12,"..")</f>
        <v>0.40342534306989608</v>
      </c>
      <c r="D44" s="2846">
        <f t="shared" si="11"/>
        <v>0.47881243169147392</v>
      </c>
      <c r="E44" s="2846">
        <f t="shared" si="11"/>
        <v>5.5587867568911063E-2</v>
      </c>
      <c r="F44" s="2846">
        <f t="shared" si="11"/>
        <v>1.2801833723030162E-2</v>
      </c>
      <c r="G44" s="2846">
        <f t="shared" si="11"/>
        <v>4.9372523946688764E-2</v>
      </c>
      <c r="H44" s="3234">
        <f t="shared" si="11"/>
        <v>1</v>
      </c>
      <c r="I44" s="2631"/>
      <c r="J44" s="3155">
        <v>1945</v>
      </c>
      <c r="L44" s="2837">
        <f>+'1945'!$F$28</f>
        <v>27</v>
      </c>
      <c r="M44" s="2837">
        <f>+'1945'!$F$29</f>
        <v>37</v>
      </c>
      <c r="N44" s="2837">
        <f>+'1945'!$F$30</f>
        <v>0</v>
      </c>
      <c r="O44" s="2837">
        <f>+'1945'!$F$31</f>
        <v>0</v>
      </c>
      <c r="P44" s="2837">
        <f t="shared" ref="P44:P49" si="12">+Q44-SUM(L44:O44)</f>
        <v>7</v>
      </c>
      <c r="Q44" s="2837">
        <f>+'1945'!$F$25</f>
        <v>71</v>
      </c>
      <c r="S44" s="2838"/>
      <c r="T44" s="2851"/>
      <c r="U44" s="2851"/>
      <c r="V44" s="2851"/>
      <c r="W44" s="2851"/>
      <c r="X44" s="2851"/>
      <c r="Y44" s="2841"/>
      <c r="Z44" s="3154"/>
      <c r="AA44" s="3154"/>
      <c r="AB44" s="3154"/>
      <c r="AC44" s="3160"/>
      <c r="AD44" s="3160"/>
      <c r="AE44" s="3160"/>
      <c r="AF44" s="3160"/>
      <c r="AG44" s="3236"/>
      <c r="AH44" s="3236"/>
      <c r="AI44" s="3236"/>
      <c r="AJ44" s="3236"/>
      <c r="AK44" s="3237"/>
    </row>
    <row r="45" spans="1:37" ht="12.75" customHeight="1">
      <c r="A45" s="3155">
        <v>1950</v>
      </c>
      <c r="C45" s="2846">
        <f t="shared" si="11"/>
        <v>0.44816707766649888</v>
      </c>
      <c r="D45" s="2846">
        <f t="shared" si="11"/>
        <v>0.46188337189054546</v>
      </c>
      <c r="E45" s="2846">
        <f t="shared" si="11"/>
        <v>6.6113271651573852E-2</v>
      </c>
      <c r="F45" s="2846">
        <f t="shared" si="11"/>
        <v>3.5603685648942082E-3</v>
      </c>
      <c r="G45" s="2846">
        <f t="shared" si="11"/>
        <v>2.0275910226487576E-2</v>
      </c>
      <c r="H45" s="3234">
        <f t="shared" si="11"/>
        <v>1</v>
      </c>
      <c r="I45" s="2631"/>
      <c r="J45" s="3155">
        <v>1950</v>
      </c>
      <c r="L45" s="2837">
        <f>+'1950'!$F$26</f>
        <v>31</v>
      </c>
      <c r="M45" s="2837">
        <f>+'1950'!$F$27</f>
        <v>37</v>
      </c>
      <c r="N45" s="2837">
        <f>+'1950'!$F$28</f>
        <v>2</v>
      </c>
      <c r="O45" s="2837">
        <f>+'1950'!$F$29</f>
        <v>0</v>
      </c>
      <c r="P45" s="2837">
        <f t="shared" si="12"/>
        <v>1</v>
      </c>
      <c r="Q45" s="2837">
        <f>+'1950'!$F$23</f>
        <v>71</v>
      </c>
      <c r="S45" s="2838"/>
      <c r="T45" s="2851"/>
      <c r="U45" s="2851"/>
      <c r="V45" s="2851"/>
      <c r="W45" s="2851"/>
      <c r="X45" s="2851"/>
      <c r="Y45" s="2851"/>
      <c r="Z45" s="2851"/>
      <c r="AA45" s="3154"/>
      <c r="AB45" s="3154"/>
      <c r="AC45" s="3160"/>
      <c r="AD45" s="3160"/>
      <c r="AE45" s="3160"/>
      <c r="AF45" s="3160"/>
      <c r="AG45" s="3237"/>
      <c r="AH45" s="3237"/>
      <c r="AI45" s="3237"/>
      <c r="AJ45" s="3237"/>
      <c r="AK45" s="3237"/>
    </row>
    <row r="46" spans="1:37" ht="12.75" customHeight="1">
      <c r="A46" s="3155">
        <v>1951</v>
      </c>
      <c r="C46" s="2846">
        <f t="shared" si="11"/>
        <v>0.48573692408877844</v>
      </c>
      <c r="D46" s="2846">
        <f t="shared" si="11"/>
        <v>0.47887763032892133</v>
      </c>
      <c r="E46" s="2846">
        <f t="shared" si="11"/>
        <v>2.746417446380043E-2</v>
      </c>
      <c r="F46" s="2846">
        <f t="shared" si="11"/>
        <v>2.6275839799095486E-3</v>
      </c>
      <c r="G46" s="2846">
        <f t="shared" si="11"/>
        <v>5.2936871385901793E-3</v>
      </c>
      <c r="H46" s="3234">
        <f t="shared" si="11"/>
        <v>1</v>
      </c>
      <c r="I46" s="2631"/>
      <c r="J46" s="3155">
        <v>1951</v>
      </c>
      <c r="L46" s="2837">
        <f>+'1951'!$F$26</f>
        <v>35</v>
      </c>
      <c r="M46" s="2837">
        <f>+'1951'!$F$27</f>
        <v>35</v>
      </c>
      <c r="N46" s="2837">
        <f>+'1951'!$F$28</f>
        <v>1</v>
      </c>
      <c r="O46" s="2837">
        <f>+'1951'!$F$29</f>
        <v>0</v>
      </c>
      <c r="P46" s="2837">
        <f t="shared" si="12"/>
        <v>0</v>
      </c>
      <c r="Q46" s="2837">
        <f>+'1951'!$F$23</f>
        <v>71</v>
      </c>
      <c r="S46" s="2838"/>
      <c r="T46" s="2851"/>
      <c r="U46" s="2851"/>
      <c r="V46" s="2851"/>
      <c r="W46" s="2851"/>
      <c r="X46" s="2851"/>
      <c r="Y46" s="2851"/>
      <c r="Z46" s="2851"/>
      <c r="AA46" s="3154"/>
      <c r="AB46" s="3154"/>
      <c r="AC46" s="3160"/>
      <c r="AD46" s="3160"/>
      <c r="AE46" s="3160"/>
      <c r="AF46" s="3160"/>
      <c r="AG46" s="3237"/>
      <c r="AH46" s="3237"/>
      <c r="AI46" s="3237"/>
      <c r="AJ46" s="3237"/>
      <c r="AK46" s="3237"/>
    </row>
    <row r="47" spans="1:37" ht="12.75" customHeight="1">
      <c r="A47" s="3155">
        <v>1955</v>
      </c>
      <c r="C47" s="2846">
        <f t="shared" si="11"/>
        <v>0.50091025119787491</v>
      </c>
      <c r="D47" s="2846">
        <f t="shared" si="11"/>
        <v>0.46714091474937225</v>
      </c>
      <c r="E47" s="2846">
        <f t="shared" si="11"/>
        <v>1.8587604698547609E-2</v>
      </c>
      <c r="F47" s="2846">
        <f t="shared" si="11"/>
        <v>4.7624028115162706E-3</v>
      </c>
      <c r="G47" s="2846">
        <f t="shared" si="11"/>
        <v>8.598826542688889E-3</v>
      </c>
      <c r="H47" s="3234">
        <f t="shared" si="11"/>
        <v>1</v>
      </c>
      <c r="I47" s="2631"/>
      <c r="J47" s="3155">
        <v>1955</v>
      </c>
      <c r="L47" s="2837">
        <f>+'1955'!$F$26</f>
        <v>36</v>
      </c>
      <c r="M47" s="2837">
        <f>+'1955'!$F$27</f>
        <v>34</v>
      </c>
      <c r="N47" s="2837">
        <f>+'1955'!$F$28</f>
        <v>1</v>
      </c>
      <c r="O47" s="2837">
        <f>+'1955'!$F$29</f>
        <v>0</v>
      </c>
      <c r="P47" s="2837">
        <f t="shared" si="12"/>
        <v>0</v>
      </c>
      <c r="Q47" s="2837">
        <f>+'1955'!$F$23</f>
        <v>71</v>
      </c>
      <c r="S47" s="2838"/>
      <c r="T47" s="2838"/>
      <c r="U47" s="2838"/>
      <c r="V47" s="2838"/>
      <c r="W47" s="2838"/>
      <c r="X47" s="2838"/>
      <c r="Y47" s="2838"/>
      <c r="Z47" s="2838"/>
      <c r="AA47" s="3160"/>
      <c r="AB47" s="3160"/>
      <c r="AC47" s="3160"/>
      <c r="AD47" s="3160"/>
      <c r="AE47" s="3160"/>
      <c r="AF47" s="3160"/>
      <c r="AG47" s="3237"/>
      <c r="AH47" s="3237"/>
      <c r="AI47" s="3237"/>
      <c r="AJ47" s="3237"/>
      <c r="AK47" s="3237"/>
    </row>
    <row r="48" spans="1:37" ht="12.75" customHeight="1">
      <c r="A48" s="3155">
        <v>1959</v>
      </c>
      <c r="C48" s="2846">
        <f t="shared" si="11"/>
        <v>0.47245767874420858</v>
      </c>
      <c r="D48" s="2846">
        <f t="shared" si="11"/>
        <v>0.4668224672194663</v>
      </c>
      <c r="E48" s="2846">
        <f t="shared" si="11"/>
        <v>4.084816081496135E-2</v>
      </c>
      <c r="F48" s="2846">
        <f t="shared" si="11"/>
        <v>8.1491636591836669E-3</v>
      </c>
      <c r="G48" s="2846">
        <f t="shared" si="11"/>
        <v>1.1722529562180025E-2</v>
      </c>
      <c r="H48" s="3234">
        <f t="shared" si="11"/>
        <v>1</v>
      </c>
      <c r="I48" s="2631"/>
      <c r="J48" s="3155">
        <v>1959</v>
      </c>
      <c r="L48" s="2837">
        <f>+'1959'!$F$26</f>
        <v>31</v>
      </c>
      <c r="M48" s="2837">
        <f>+'1959'!$F$27</f>
        <v>38</v>
      </c>
      <c r="N48" s="2837">
        <f>+'1959'!$F$28</f>
        <v>1</v>
      </c>
      <c r="O48" s="2837">
        <f>+'1959'!$F$29</f>
        <v>0</v>
      </c>
      <c r="P48" s="2837">
        <f t="shared" si="12"/>
        <v>1</v>
      </c>
      <c r="Q48" s="2837">
        <f>+'1959'!$F$23</f>
        <v>71</v>
      </c>
      <c r="S48" s="2838"/>
      <c r="T48" s="2838"/>
      <c r="U48" s="2838"/>
      <c r="V48" s="2838"/>
      <c r="W48" s="2838"/>
      <c r="X48" s="2838"/>
      <c r="Y48" s="2838"/>
      <c r="Z48" s="2838"/>
      <c r="AA48" s="3160"/>
      <c r="AB48" s="3160"/>
      <c r="AC48" s="3160"/>
      <c r="AD48" s="3160"/>
      <c r="AE48" s="3160"/>
      <c r="AF48" s="3160"/>
      <c r="AG48" s="3237"/>
      <c r="AH48" s="3237"/>
      <c r="AI48" s="3237"/>
      <c r="AJ48" s="3237"/>
      <c r="AK48" s="3237"/>
    </row>
    <row r="49" spans="1:37" ht="12.75" customHeight="1">
      <c r="A49" s="3155">
        <v>1964</v>
      </c>
      <c r="C49" s="2846">
        <f t="shared" si="11"/>
        <v>0.40602739226862833</v>
      </c>
      <c r="D49" s="2846">
        <f t="shared" si="11"/>
        <v>0.48724539663295924</v>
      </c>
      <c r="E49" s="2846">
        <f t="shared" si="11"/>
        <v>7.5938522830749505E-2</v>
      </c>
      <c r="F49" s="2846">
        <f t="shared" si="11"/>
        <v>2.4309376327319502E-2</v>
      </c>
      <c r="G49" s="2846">
        <f t="shared" si="11"/>
        <v>6.4793119403433247E-3</v>
      </c>
      <c r="H49" s="3234">
        <f t="shared" si="11"/>
        <v>1</v>
      </c>
      <c r="I49" s="2631"/>
      <c r="J49" s="3155">
        <v>1964</v>
      </c>
      <c r="L49" s="2837">
        <f>+'1964'!$F$26</f>
        <v>24</v>
      </c>
      <c r="M49" s="2837">
        <f>+'1964'!$F$27</f>
        <v>43</v>
      </c>
      <c r="N49" s="2837">
        <f>+'1964'!$F$28</f>
        <v>4</v>
      </c>
      <c r="O49" s="2837">
        <f>'1964'!$F$29</f>
        <v>0</v>
      </c>
      <c r="P49" s="2837">
        <f t="shared" si="12"/>
        <v>0</v>
      </c>
      <c r="Q49" s="2837">
        <f>+'1964'!$F$23</f>
        <v>71</v>
      </c>
      <c r="S49" s="2838"/>
      <c r="T49" s="2838"/>
      <c r="U49" s="2838"/>
      <c r="V49" s="2838"/>
      <c r="W49" s="2838"/>
      <c r="X49" s="2838"/>
      <c r="Y49" s="2838"/>
      <c r="Z49" s="2838"/>
      <c r="AA49" s="3160"/>
      <c r="AB49" s="3160"/>
      <c r="AC49" s="3160"/>
      <c r="AD49" s="3160"/>
      <c r="AE49" s="3160"/>
      <c r="AF49" s="3160"/>
      <c r="AG49" s="3237"/>
      <c r="AH49" s="3237"/>
      <c r="AI49" s="3237"/>
      <c r="AJ49" s="3237"/>
      <c r="AK49" s="3237"/>
    </row>
    <row r="50" spans="1:37" ht="12.75" customHeight="1">
      <c r="A50" s="3155">
        <v>1966</v>
      </c>
      <c r="C50" s="2846">
        <f t="shared" si="11"/>
        <v>0.37638400238209041</v>
      </c>
      <c r="D50" s="2846">
        <f t="shared" si="11"/>
        <v>0.49910906683174133</v>
      </c>
      <c r="E50" s="2846">
        <f t="shared" si="11"/>
        <v>6.7563215508662497E-2</v>
      </c>
      <c r="F50" s="2846">
        <f t="shared" si="11"/>
        <v>5.0334981468276661E-2</v>
      </c>
      <c r="G50" s="2846">
        <f t="shared" si="11"/>
        <v>6.6087338092290088E-3</v>
      </c>
      <c r="H50" s="3234">
        <f t="shared" si="11"/>
        <v>1</v>
      </c>
      <c r="I50" s="2631"/>
      <c r="J50" s="3155">
        <v>1966</v>
      </c>
      <c r="L50" s="2837">
        <f>+'1966'!$F$22</f>
        <v>20</v>
      </c>
      <c r="M50" s="2837">
        <f>+'1966'!$F$23</f>
        <v>46</v>
      </c>
      <c r="N50" s="2837">
        <f>+'1966'!$F$24</f>
        <v>5</v>
      </c>
      <c r="O50" s="2837">
        <f>+'1966'!$F$25</f>
        <v>0</v>
      </c>
      <c r="P50" s="2837">
        <f t="shared" ref="P50:P58" si="13">+Q50-SUM(L50:O50)</f>
        <v>0</v>
      </c>
      <c r="Q50" s="2837">
        <f>+'1966'!$F$21</f>
        <v>71</v>
      </c>
      <c r="S50" s="2838"/>
      <c r="T50" s="2838"/>
      <c r="U50" s="2838"/>
      <c r="V50" s="2838"/>
      <c r="W50" s="2838"/>
      <c r="X50" s="2838"/>
      <c r="Y50" s="2838"/>
      <c r="Z50" s="2838"/>
      <c r="AA50" s="3160"/>
      <c r="AB50" s="3160"/>
      <c r="AC50" s="3160"/>
      <c r="AD50" s="3160"/>
      <c r="AE50" s="3160"/>
      <c r="AF50" s="3160"/>
      <c r="AG50" s="3237"/>
      <c r="AH50" s="3237"/>
      <c r="AI50" s="3237"/>
      <c r="AJ50" s="3237"/>
      <c r="AK50" s="3237"/>
    </row>
    <row r="51" spans="1:37" ht="12.75" customHeight="1">
      <c r="A51" s="3155">
        <v>1970</v>
      </c>
      <c r="C51" s="2846">
        <f t="shared" ref="C51:H51" si="14">IFERROR(C19/$H19,"..")</f>
        <v>0.37968183585140436</v>
      </c>
      <c r="D51" s="2846">
        <f t="shared" si="14"/>
        <v>0.44529886710053246</v>
      </c>
      <c r="E51" s="2846">
        <f t="shared" si="14"/>
        <v>5.4930837519785287E-2</v>
      </c>
      <c r="F51" s="2846">
        <f t="shared" si="14"/>
        <v>0.11412767112994214</v>
      </c>
      <c r="G51" s="2846">
        <f t="shared" si="14"/>
        <v>5.960788398335669E-3</v>
      </c>
      <c r="H51" s="3234">
        <f t="shared" si="14"/>
        <v>1</v>
      </c>
      <c r="I51" s="2631"/>
      <c r="J51" s="3155">
        <v>1970</v>
      </c>
      <c r="L51" s="2837">
        <f>+'1970'!$F$20</f>
        <v>23</v>
      </c>
      <c r="M51" s="2837">
        <f>+'1970'!$F$21</f>
        <v>44</v>
      </c>
      <c r="N51" s="2837">
        <f>+'1970'!$F$22</f>
        <v>3</v>
      </c>
      <c r="O51" s="2837">
        <f>+'1970'!$F$23</f>
        <v>1</v>
      </c>
      <c r="P51" s="2837">
        <f t="shared" si="13"/>
        <v>0</v>
      </c>
      <c r="Q51" s="2837">
        <f>+'1970'!$F$19</f>
        <v>71</v>
      </c>
      <c r="S51" s="2838"/>
      <c r="T51" s="2838"/>
      <c r="U51" s="2838"/>
      <c r="V51" s="2838"/>
      <c r="W51" s="2838"/>
      <c r="X51" s="2838"/>
      <c r="Y51" s="2838"/>
      <c r="Z51" s="2838"/>
      <c r="AA51" s="3160"/>
      <c r="AB51" s="3160"/>
      <c r="AC51" s="3160"/>
      <c r="AD51" s="3160"/>
      <c r="AE51" s="3160"/>
      <c r="AF51" s="3160"/>
      <c r="AG51" s="3237"/>
      <c r="AH51" s="3237"/>
      <c r="AI51" s="3237"/>
      <c r="AJ51" s="3237"/>
      <c r="AK51" s="3237"/>
    </row>
    <row r="52" spans="1:37" ht="12.75" customHeight="1">
      <c r="A52" s="3155">
        <v>1974</v>
      </c>
      <c r="B52" s="2635" t="s">
        <v>50</v>
      </c>
      <c r="C52" s="2846">
        <f t="shared" ref="C52:H52" si="15">IFERROR(C20/$H20,"..")</f>
        <v>0.32928413705913429</v>
      </c>
      <c r="D52" s="2846">
        <f t="shared" si="15"/>
        <v>0.3663226622100223</v>
      </c>
      <c r="E52" s="2846">
        <f t="shared" si="15"/>
        <v>7.937514612540375E-2</v>
      </c>
      <c r="F52" s="2846">
        <f t="shared" si="15"/>
        <v>0.21931539707143041</v>
      </c>
      <c r="G52" s="2846">
        <f t="shared" si="15"/>
        <v>5.7026575340093149E-3</v>
      </c>
      <c r="H52" s="3234">
        <f t="shared" si="15"/>
        <v>1</v>
      </c>
      <c r="I52" s="2631"/>
      <c r="J52" s="3155">
        <v>1974</v>
      </c>
      <c r="K52" s="2635" t="s">
        <v>50</v>
      </c>
      <c r="L52" s="2837">
        <f>+'1974F'!$F$20</f>
        <v>21</v>
      </c>
      <c r="M52" s="2837">
        <f>+'1974F'!$F$21</f>
        <v>40</v>
      </c>
      <c r="N52" s="2837">
        <f>+'1974F'!$F$22</f>
        <v>3</v>
      </c>
      <c r="O52" s="2837">
        <f>+'1974F'!$F$23</f>
        <v>7</v>
      </c>
      <c r="P52" s="2837">
        <f t="shared" si="13"/>
        <v>0</v>
      </c>
      <c r="Q52" s="2837">
        <f>+'1974F'!$F$19</f>
        <v>71</v>
      </c>
      <c r="S52" s="2838"/>
      <c r="T52" s="2838"/>
      <c r="U52" s="2838"/>
      <c r="V52" s="2838"/>
      <c r="W52" s="2838"/>
      <c r="X52" s="2838"/>
      <c r="Z52" s="3160"/>
      <c r="AA52" s="3160"/>
      <c r="AB52" s="3160"/>
      <c r="AC52" s="3160"/>
      <c r="AD52" s="3160"/>
      <c r="AE52" s="3160"/>
      <c r="AF52" s="3160"/>
      <c r="AG52" s="3237"/>
      <c r="AH52" s="3237"/>
      <c r="AI52" s="3237"/>
      <c r="AJ52" s="3237"/>
      <c r="AK52" s="3237"/>
    </row>
    <row r="53" spans="1:37" ht="12.75" customHeight="1">
      <c r="A53" s="3155">
        <v>1974</v>
      </c>
      <c r="B53" s="2635" t="s">
        <v>51</v>
      </c>
      <c r="C53" s="2846">
        <f t="shared" ref="C53:H53" si="16">IFERROR(C21/$H21,"..")</f>
        <v>0.24702757440717363</v>
      </c>
      <c r="D53" s="2846">
        <f t="shared" si="16"/>
        <v>0.36277895552048312</v>
      </c>
      <c r="E53" s="2846">
        <f t="shared" si="16"/>
        <v>8.2975569060016283E-2</v>
      </c>
      <c r="F53" s="2846">
        <f t="shared" si="16"/>
        <v>0.30441851114226781</v>
      </c>
      <c r="G53" s="2846">
        <f t="shared" si="16"/>
        <v>2.7993898700591469E-3</v>
      </c>
      <c r="H53" s="3234">
        <f t="shared" si="16"/>
        <v>1</v>
      </c>
      <c r="I53" s="2631"/>
      <c r="J53" s="3155">
        <v>1974</v>
      </c>
      <c r="K53" s="2635" t="s">
        <v>51</v>
      </c>
      <c r="L53" s="2837">
        <f>+'1974O'!$F$20</f>
        <v>16</v>
      </c>
      <c r="M53" s="2837">
        <f>+'1974O'!$F$21</f>
        <v>41</v>
      </c>
      <c r="N53" s="2837">
        <f>+'1974O'!$F$22</f>
        <v>3</v>
      </c>
      <c r="O53" s="2837">
        <f>+'1974O'!$F$23</f>
        <v>11</v>
      </c>
      <c r="P53" s="2837">
        <f t="shared" si="13"/>
        <v>0</v>
      </c>
      <c r="Q53" s="2837">
        <f>+'1974O'!$F$19</f>
        <v>71</v>
      </c>
      <c r="S53" s="2838"/>
      <c r="T53" s="2838"/>
      <c r="U53" s="2838"/>
      <c r="V53" s="2838"/>
      <c r="W53" s="2838"/>
      <c r="X53" s="2838"/>
      <c r="Z53" s="3160"/>
      <c r="AA53" s="3160"/>
      <c r="AB53" s="3160"/>
      <c r="AC53" s="3160"/>
      <c r="AD53" s="3160"/>
      <c r="AE53" s="3160"/>
      <c r="AF53" s="3160"/>
      <c r="AG53" s="3237"/>
      <c r="AH53" s="3237"/>
      <c r="AI53" s="3237"/>
      <c r="AJ53" s="3237"/>
      <c r="AK53" s="3237"/>
    </row>
    <row r="54" spans="1:37" ht="12.75" customHeight="1">
      <c r="A54" s="3155">
        <v>1979</v>
      </c>
      <c r="C54" s="2846">
        <f t="shared" ref="C54:H54" si="17">IFERROR(C22/$H22,"..")</f>
        <v>0.31411348069711792</v>
      </c>
      <c r="D54" s="2846">
        <f t="shared" si="17"/>
        <v>0.4153567962005556</v>
      </c>
      <c r="E54" s="2846">
        <f t="shared" si="17"/>
        <v>8.9906285903936609E-2</v>
      </c>
      <c r="F54" s="2846">
        <f t="shared" si="17"/>
        <v>0.1728905585439669</v>
      </c>
      <c r="G54" s="2846">
        <f t="shared" si="17"/>
        <v>7.7328786544229146E-3</v>
      </c>
      <c r="H54" s="3234">
        <f t="shared" si="17"/>
        <v>1</v>
      </c>
      <c r="I54" s="2631"/>
      <c r="J54" s="3155">
        <v>1979</v>
      </c>
      <c r="L54" s="2837">
        <f>+'1979'!$F$20</f>
        <v>22</v>
      </c>
      <c r="M54" s="2837">
        <f>+'1979'!$F$21</f>
        <v>44</v>
      </c>
      <c r="N54" s="2837">
        <f>+'1979'!$F$22</f>
        <v>3</v>
      </c>
      <c r="O54" s="2837">
        <f>+'1979'!$F$23</f>
        <v>2</v>
      </c>
      <c r="P54" s="2837">
        <f t="shared" si="13"/>
        <v>0</v>
      </c>
      <c r="Q54" s="2837">
        <f>+'1979'!$F$19</f>
        <v>71</v>
      </c>
      <c r="S54" s="2838"/>
      <c r="T54" s="2838"/>
      <c r="U54" s="2838"/>
      <c r="V54" s="2838"/>
      <c r="W54" s="2838"/>
      <c r="X54" s="2838"/>
      <c r="Z54" s="3160"/>
      <c r="AA54" s="3160"/>
      <c r="AB54" s="3160"/>
      <c r="AC54" s="3160"/>
      <c r="AD54" s="3160"/>
      <c r="AE54" s="3160"/>
      <c r="AF54" s="3160"/>
      <c r="AG54" s="3237"/>
      <c r="AH54" s="3237"/>
      <c r="AI54" s="3237"/>
      <c r="AJ54" s="3237"/>
      <c r="AK54" s="3237"/>
    </row>
    <row r="55" spans="1:37" ht="12.75" customHeight="1">
      <c r="A55" s="3155">
        <v>1983</v>
      </c>
      <c r="C55" s="2846">
        <f t="shared" ref="C55:H55" si="18">IFERROR(C23/$H23,"..")</f>
        <v>0.28375439888408188</v>
      </c>
      <c r="D55" s="2846">
        <f t="shared" si="18"/>
        <v>0.35072612565407957</v>
      </c>
      <c r="E55" s="2846">
        <f t="shared" si="18"/>
        <v>0.2452166339774409</v>
      </c>
      <c r="F55" s="2846">
        <f t="shared" si="18"/>
        <v>0.11753074793420616</v>
      </c>
      <c r="G55" s="2846">
        <f t="shared" si="18"/>
        <v>2.7720935501915072E-3</v>
      </c>
      <c r="H55" s="3234">
        <f t="shared" si="18"/>
        <v>1</v>
      </c>
      <c r="I55" s="2631"/>
      <c r="J55" s="3155">
        <v>1983</v>
      </c>
      <c r="L55" s="2837">
        <f>+'1983'!$F$24</f>
        <v>21</v>
      </c>
      <c r="M55" s="2837">
        <f>+'1983'!$F$25</f>
        <v>41</v>
      </c>
      <c r="N55" s="2837">
        <f>+'1983'!$F$28</f>
        <v>8</v>
      </c>
      <c r="O55" s="2837">
        <f>+'1983'!$F$29</f>
        <v>2</v>
      </c>
      <c r="P55" s="2837">
        <f t="shared" si="13"/>
        <v>0</v>
      </c>
      <c r="Q55" s="2837">
        <f>+'1983'!$F$23</f>
        <v>72</v>
      </c>
      <c r="S55" s="2838"/>
      <c r="T55" s="2838"/>
      <c r="U55" s="2838"/>
      <c r="V55" s="2838"/>
      <c r="W55" s="2838"/>
      <c r="X55" s="2838"/>
      <c r="Z55" s="3160"/>
      <c r="AA55" s="3160"/>
      <c r="AB55" s="3160"/>
      <c r="AC55" s="3160"/>
      <c r="AD55" s="3160"/>
      <c r="AE55" s="3160"/>
      <c r="AF55" s="3160"/>
      <c r="AG55" s="3237"/>
      <c r="AH55" s="3237"/>
      <c r="AI55" s="3238"/>
      <c r="AJ55" s="3237"/>
      <c r="AK55" s="3237"/>
    </row>
    <row r="56" spans="1:37" ht="12.75" customHeight="1">
      <c r="A56" s="3155">
        <v>1987</v>
      </c>
      <c r="C56" s="2846">
        <f t="shared" ref="C56:H56" si="19">IFERROR(C24/$H24,"..")</f>
        <v>0.24027194481583716</v>
      </c>
      <c r="D56" s="2846">
        <f t="shared" si="19"/>
        <v>0.42392634563961012</v>
      </c>
      <c r="E56" s="2846">
        <f t="shared" si="19"/>
        <v>0.19207880024583801</v>
      </c>
      <c r="F56" s="2846">
        <f t="shared" si="19"/>
        <v>0.1403301696066592</v>
      </c>
      <c r="G56" s="2846">
        <f t="shared" si="19"/>
        <v>3.3927396920555371E-3</v>
      </c>
      <c r="H56" s="3234">
        <f t="shared" si="19"/>
        <v>1</v>
      </c>
      <c r="I56" s="2631"/>
      <c r="J56" s="3155">
        <v>1987</v>
      </c>
      <c r="L56" s="2837">
        <f>+'1987'!$F$24</f>
        <v>10</v>
      </c>
      <c r="M56" s="2837">
        <f>+'1987'!$F$25</f>
        <v>50</v>
      </c>
      <c r="N56" s="2837">
        <f>+'1987'!$F$28</f>
        <v>9</v>
      </c>
      <c r="O56" s="2837">
        <f>+'1987'!$F$29</f>
        <v>3</v>
      </c>
      <c r="P56" s="2837">
        <f t="shared" si="13"/>
        <v>0</v>
      </c>
      <c r="Q56" s="2837">
        <f>+'1987'!$F$23</f>
        <v>72</v>
      </c>
      <c r="S56" s="2838"/>
      <c r="T56" s="2838"/>
      <c r="U56" s="2838"/>
      <c r="V56" s="2838"/>
      <c r="W56" s="2838"/>
      <c r="X56" s="2838"/>
      <c r="Z56" s="3160"/>
      <c r="AA56" s="3160"/>
      <c r="AB56" s="3160"/>
      <c r="AC56" s="3160"/>
      <c r="AD56" s="3160"/>
      <c r="AE56" s="3160"/>
      <c r="AF56" s="3160"/>
      <c r="AG56" s="3237"/>
      <c r="AH56" s="3237"/>
      <c r="AI56" s="3237"/>
      <c r="AJ56" s="3237"/>
      <c r="AK56" s="3237"/>
    </row>
    <row r="57" spans="1:37" ht="12.75" customHeight="1">
      <c r="A57" s="3155">
        <v>1992</v>
      </c>
      <c r="C57" s="2846">
        <f t="shared" ref="C57:H57" si="20">IFERROR(C25/$H25,"..")</f>
        <v>0.25648958385208848</v>
      </c>
      <c r="D57" s="2846">
        <f t="shared" si="20"/>
        <v>0.38984608919472608</v>
      </c>
      <c r="E57" s="2846">
        <f t="shared" si="20"/>
        <v>0.13093299514479323</v>
      </c>
      <c r="F57" s="2846">
        <f t="shared" si="20"/>
        <v>0.21474381058349121</v>
      </c>
      <c r="G57" s="2846">
        <f t="shared" si="20"/>
        <v>7.9875212249010362E-3</v>
      </c>
      <c r="H57" s="3234">
        <f t="shared" si="20"/>
        <v>1</v>
      </c>
      <c r="I57" s="2631"/>
      <c r="J57" s="3155">
        <v>1992</v>
      </c>
      <c r="L57" s="2837">
        <f>+'1992'!$F$20</f>
        <v>11</v>
      </c>
      <c r="M57" s="2837">
        <f>+'1992'!$F$21</f>
        <v>49</v>
      </c>
      <c r="N57" s="2837">
        <f>+'1992'!$F$22</f>
        <v>9</v>
      </c>
      <c r="O57" s="2837">
        <f>+'1992'!$F$23</f>
        <v>3</v>
      </c>
      <c r="P57" s="2837">
        <f t="shared" si="13"/>
        <v>0</v>
      </c>
      <c r="Q57" s="2837">
        <f>+'1992'!$F$19</f>
        <v>72</v>
      </c>
      <c r="S57" s="2838"/>
      <c r="T57" s="2838"/>
      <c r="U57" s="2838"/>
      <c r="V57" s="2838"/>
      <c r="W57" s="2838"/>
      <c r="X57" s="2838"/>
      <c r="Z57" s="3160"/>
      <c r="AA57" s="3160"/>
      <c r="AB57" s="3160"/>
      <c r="AC57" s="3160"/>
      <c r="AD57" s="3160"/>
      <c r="AE57" s="3160"/>
      <c r="AF57" s="3160"/>
      <c r="AG57" s="3237"/>
      <c r="AH57" s="3237"/>
      <c r="AI57" s="3237"/>
      <c r="AJ57" s="3237"/>
      <c r="AK57" s="3237"/>
    </row>
    <row r="58" spans="1:37" ht="12.75" customHeight="1">
      <c r="A58" s="3155">
        <v>1997</v>
      </c>
      <c r="C58" s="2846">
        <f t="shared" ref="C58:H58" si="21">IFERROR(C26/$H26,"..")</f>
        <v>0.17504547797673062</v>
      </c>
      <c r="D58" s="2846">
        <f t="shared" si="21"/>
        <v>0.4556140627418569</v>
      </c>
      <c r="E58" s="2846">
        <f t="shared" si="21"/>
        <v>0.1297105740378621</v>
      </c>
      <c r="F58" s="2846">
        <f t="shared" si="21"/>
        <v>0.22066226726707536</v>
      </c>
      <c r="G58" s="2846">
        <f t="shared" si="21"/>
        <v>1.8967617976475046E-2</v>
      </c>
      <c r="H58" s="3234">
        <f t="shared" si="21"/>
        <v>1</v>
      </c>
      <c r="I58" s="2631"/>
      <c r="J58" s="3155">
        <v>1997</v>
      </c>
      <c r="L58" s="2837">
        <f>+'1997'!$F$20</f>
        <v>0</v>
      </c>
      <c r="M58" s="2837">
        <f>+'1997'!$F$21</f>
        <v>56</v>
      </c>
      <c r="N58" s="2837">
        <f>+'1997'!$F$22</f>
        <v>10</v>
      </c>
      <c r="O58" s="2837">
        <f>+'1997'!$F$23</f>
        <v>6</v>
      </c>
      <c r="P58" s="2837">
        <f t="shared" si="13"/>
        <v>0</v>
      </c>
      <c r="Q58" s="2837">
        <f>+'1997'!$F$19</f>
        <v>72</v>
      </c>
      <c r="S58" s="2838"/>
      <c r="T58" s="2838"/>
      <c r="U58" s="2838"/>
      <c r="V58" s="2838"/>
      <c r="W58" s="2838"/>
      <c r="X58" s="2838"/>
      <c r="Z58" s="3160"/>
      <c r="AA58" s="3160"/>
      <c r="AB58" s="3160"/>
      <c r="AC58" s="3160"/>
      <c r="AD58" s="3160"/>
      <c r="AE58" s="3160"/>
      <c r="AF58" s="3160"/>
      <c r="AG58" s="3237"/>
      <c r="AH58" s="3237"/>
      <c r="AI58" s="3237"/>
      <c r="AJ58" s="3237"/>
      <c r="AK58" s="3237"/>
    </row>
    <row r="59" spans="1:37" ht="12.75" customHeight="1">
      <c r="A59" s="3155">
        <v>2001</v>
      </c>
      <c r="C59" s="2846">
        <f t="shared" ref="C59:H59" si="22">IFERROR(C27/$H27,"..")</f>
        <v>0.15587926011182948</v>
      </c>
      <c r="D59" s="2846">
        <f t="shared" si="22"/>
        <v>0.43271494458445581</v>
      </c>
      <c r="E59" s="2846">
        <f t="shared" si="22"/>
        <v>0.16338930570544768</v>
      </c>
      <c r="F59" s="2846">
        <f t="shared" si="22"/>
        <v>0.20068020889475346</v>
      </c>
      <c r="G59" s="2846">
        <f t="shared" si="22"/>
        <v>4.733628070351352E-2</v>
      </c>
      <c r="H59" s="3234">
        <f t="shared" si="22"/>
        <v>1</v>
      </c>
      <c r="I59" s="2631"/>
      <c r="J59" s="3155">
        <v>2001</v>
      </c>
      <c r="L59" s="2837">
        <f>+'2001'!$F$20</f>
        <v>1</v>
      </c>
      <c r="M59" s="2837">
        <f>+'2001'!$F$21</f>
        <v>55</v>
      </c>
      <c r="N59" s="2837">
        <f>+'2001'!$F$22</f>
        <v>10</v>
      </c>
      <c r="O59" s="2837">
        <f>+'2001'!$F$23</f>
        <v>5</v>
      </c>
      <c r="P59" s="2837">
        <f>+Q59-SUM(L59:O59)</f>
        <v>1</v>
      </c>
      <c r="Q59" s="2837">
        <f>+'2001'!$F$19</f>
        <v>72</v>
      </c>
      <c r="S59" s="2838"/>
      <c r="T59" s="2838"/>
      <c r="U59" s="2838"/>
      <c r="V59" s="2838"/>
      <c r="W59" s="2838"/>
      <c r="X59" s="2838"/>
      <c r="Z59" s="3160"/>
      <c r="AA59" s="3160"/>
      <c r="AB59" s="3160"/>
      <c r="AC59" s="3160"/>
      <c r="AD59" s="3160"/>
      <c r="AE59" s="3160"/>
      <c r="AF59" s="3160"/>
      <c r="AG59" s="3237"/>
      <c r="AH59" s="3237"/>
      <c r="AI59" s="3237"/>
      <c r="AJ59" s="3237"/>
      <c r="AK59" s="3237"/>
    </row>
    <row r="60" spans="1:37" ht="12.75" customHeight="1">
      <c r="A60" s="3155">
        <v>2005</v>
      </c>
      <c r="C60" s="2846">
        <f t="shared" ref="C60:H60" si="23">IFERROR(C28/$H28,"..")</f>
        <v>0.15827158727050622</v>
      </c>
      <c r="D60" s="2846">
        <f t="shared" si="23"/>
        <v>0.38872876021846814</v>
      </c>
      <c r="E60" s="2846">
        <f t="shared" si="23"/>
        <v>0.22626459635792134</v>
      </c>
      <c r="F60" s="2846">
        <f t="shared" si="23"/>
        <v>0.17664394205889145</v>
      </c>
      <c r="G60" s="2846">
        <f t="shared" si="23"/>
        <v>5.0091114094212852E-2</v>
      </c>
      <c r="H60" s="3234">
        <f t="shared" si="23"/>
        <v>1</v>
      </c>
      <c r="I60" s="2631"/>
      <c r="J60" s="3155">
        <v>2005</v>
      </c>
      <c r="L60" s="2837">
        <f>+'2005'!$F$20</f>
        <v>1</v>
      </c>
      <c r="M60" s="2837">
        <f>+'2005'!$F$21</f>
        <v>40</v>
      </c>
      <c r="N60" s="2837">
        <f>+'2005'!$F$22</f>
        <v>11</v>
      </c>
      <c r="O60" s="2837">
        <f>+'2005'!$F$23</f>
        <v>6</v>
      </c>
      <c r="P60" s="2837">
        <f>+Q60-SUM(L60:O60)</f>
        <v>1</v>
      </c>
      <c r="Q60" s="2837">
        <f>+'2005'!$F$19</f>
        <v>59</v>
      </c>
      <c r="S60" s="2838"/>
      <c r="T60" s="2838"/>
      <c r="U60" s="2838"/>
      <c r="V60" s="2838"/>
      <c r="W60" s="2838"/>
      <c r="X60" s="2838"/>
      <c r="Z60" s="3160"/>
      <c r="AA60" s="3160"/>
      <c r="AB60" s="3160"/>
      <c r="AC60" s="3160"/>
      <c r="AD60" s="3160"/>
      <c r="AE60" s="3160"/>
      <c r="AF60" s="3160"/>
      <c r="AG60" s="3237"/>
      <c r="AH60" s="3237"/>
      <c r="AI60" s="3237"/>
      <c r="AJ60" s="3237"/>
      <c r="AK60" s="3237"/>
    </row>
    <row r="61" spans="1:37" ht="12.75" customHeight="1">
      <c r="A61" s="3155">
        <v>2010</v>
      </c>
      <c r="C61" s="2846">
        <f t="shared" ref="C61:H61" si="24">IFERROR(C29/$H29,"..")</f>
        <v>0.16745411188346079</v>
      </c>
      <c r="D61" s="2846">
        <f t="shared" si="24"/>
        <v>0.4199596071020123</v>
      </c>
      <c r="E61" s="2846">
        <f t="shared" si="24"/>
        <v>0.18877231545393341</v>
      </c>
      <c r="F61" s="2846">
        <f t="shared" si="24"/>
        <v>0.19928217440323143</v>
      </c>
      <c r="G61" s="2846">
        <f t="shared" si="24"/>
        <v>2.4531791157362065E-2</v>
      </c>
      <c r="H61" s="3234">
        <f t="shared" si="24"/>
        <v>1</v>
      </c>
      <c r="I61" s="2631"/>
      <c r="J61" s="3155">
        <v>2010</v>
      </c>
      <c r="L61" s="2837">
        <f>+'2010'!$F$20</f>
        <v>1</v>
      </c>
      <c r="M61" s="2837">
        <f>+'2010'!$F$21</f>
        <v>41</v>
      </c>
      <c r="N61" s="2837">
        <f>+'2010'!$F$22</f>
        <v>11</v>
      </c>
      <c r="O61" s="2837">
        <f>+'2010'!$F$23</f>
        <v>6</v>
      </c>
      <c r="P61" s="2837">
        <f>+Q61-SUM(L61:O61)</f>
        <v>0</v>
      </c>
      <c r="Q61" s="2837">
        <f>+'2010'!$F$19</f>
        <v>59</v>
      </c>
      <c r="S61" s="2838"/>
      <c r="T61" s="2838"/>
      <c r="U61" s="2838"/>
      <c r="V61" s="2838"/>
      <c r="W61" s="2838"/>
      <c r="X61" s="2838"/>
      <c r="Z61" s="3160"/>
      <c r="AA61" s="3160"/>
      <c r="AB61" s="3160"/>
      <c r="AC61" s="3160"/>
      <c r="AD61" s="3160"/>
      <c r="AE61" s="3160"/>
      <c r="AF61" s="3160"/>
      <c r="AG61" s="3237"/>
      <c r="AH61" s="3237"/>
      <c r="AI61" s="3237"/>
      <c r="AJ61" s="3237"/>
      <c r="AK61" s="3237"/>
    </row>
    <row r="62" spans="1:37" ht="12.75" customHeight="1">
      <c r="A62" s="3155">
        <v>2015</v>
      </c>
      <c r="C62" s="2846">
        <f t="shared" ref="C62:H62" si="25">IFERROR(C30/$H30,"..")</f>
        <v>0.14914963064765505</v>
      </c>
      <c r="D62" s="2846">
        <f t="shared" si="25"/>
        <v>0.2429479470881292</v>
      </c>
      <c r="E62" s="2846">
        <f t="shared" si="25"/>
        <v>7.5485311802095861E-2</v>
      </c>
      <c r="F62" s="2846">
        <f t="shared" si="25"/>
        <v>0.49970795395980078</v>
      </c>
      <c r="G62" s="2846">
        <f t="shared" si="25"/>
        <v>3.2709156502319127E-2</v>
      </c>
      <c r="H62" s="3234">
        <f t="shared" si="25"/>
        <v>1</v>
      </c>
      <c r="I62" s="2631"/>
      <c r="J62" s="3155">
        <v>2015</v>
      </c>
      <c r="L62" s="3229">
        <v>1</v>
      </c>
      <c r="M62" s="3229">
        <v>1</v>
      </c>
      <c r="N62" s="3229">
        <v>1</v>
      </c>
      <c r="O62" s="3229">
        <v>56</v>
      </c>
      <c r="P62" s="2837">
        <v>0</v>
      </c>
      <c r="Q62" s="3229">
        <v>59</v>
      </c>
      <c r="AG62" s="3166"/>
      <c r="AH62" s="3166"/>
      <c r="AI62" s="3166"/>
      <c r="AJ62" s="3166"/>
      <c r="AK62" s="3166"/>
    </row>
    <row r="63" spans="1:37" ht="12.75" customHeight="1">
      <c r="A63" s="3155">
        <v>2017</v>
      </c>
      <c r="C63" s="2846">
        <f t="shared" ref="C63:H63" si="26">IFERROR(C31/$H31,"..")</f>
        <v>0.28605141346456853</v>
      </c>
      <c r="D63" s="2846">
        <f t="shared" si="26"/>
        <v>0.27059982375329988</v>
      </c>
      <c r="E63" s="2846">
        <f t="shared" si="26"/>
        <v>6.757834392260241E-2</v>
      </c>
      <c r="F63" s="2846">
        <f t="shared" si="26"/>
        <v>0.36893604735639379</v>
      </c>
      <c r="G63" s="2846">
        <f t="shared" si="26"/>
        <v>6.8343715031352666E-3</v>
      </c>
      <c r="H63" s="3234">
        <f t="shared" si="26"/>
        <v>1</v>
      </c>
      <c r="I63" s="2631"/>
      <c r="J63" s="3155">
        <v>2017</v>
      </c>
      <c r="L63" s="3229">
        <v>13</v>
      </c>
      <c r="M63" s="3229">
        <v>7</v>
      </c>
      <c r="N63" s="3229">
        <v>4</v>
      </c>
      <c r="O63" s="3229">
        <v>35</v>
      </c>
      <c r="P63" s="2837">
        <v>0</v>
      </c>
      <c r="Q63" s="3233">
        <f>SUM(L63:P63)</f>
        <v>59</v>
      </c>
    </row>
    <row r="64" spans="1:37" ht="12.75" customHeight="1">
      <c r="A64" s="3155">
        <v>2019</v>
      </c>
      <c r="C64" s="2846">
        <f t="shared" ref="C64:H64" si="27">IFERROR(C32/$H32,"..")</f>
        <v>0.25115030077261791</v>
      </c>
      <c r="D64" s="2846">
        <f t="shared" si="27"/>
        <v>0.18551166501936708</v>
      </c>
      <c r="E64" s="2846">
        <f t="shared" si="27"/>
        <v>9.5334970846965697E-2</v>
      </c>
      <c r="F64" s="2846">
        <f t="shared" si="27"/>
        <v>0.45029087794724365</v>
      </c>
      <c r="G64" s="2846">
        <f t="shared" si="27"/>
        <v>1.7573732512619331E-2</v>
      </c>
      <c r="H64" s="3234">
        <f t="shared" si="27"/>
        <v>1</v>
      </c>
      <c r="I64" s="2631"/>
      <c r="J64" s="3155">
        <v>2019</v>
      </c>
      <c r="L64" s="3229">
        <v>6</v>
      </c>
      <c r="M64" s="3229">
        <v>1</v>
      </c>
      <c r="N64" s="3229">
        <v>4</v>
      </c>
      <c r="O64" s="3229">
        <v>48</v>
      </c>
      <c r="P64" s="2837">
        <v>0</v>
      </c>
      <c r="Q64" s="3233">
        <f>SUM(L64:P64)</f>
        <v>59</v>
      </c>
    </row>
    <row r="65" spans="1:32" ht="3" customHeight="1">
      <c r="A65" s="2581"/>
      <c r="B65" s="2584"/>
      <c r="C65" s="3222"/>
      <c r="D65" s="3222"/>
      <c r="E65" s="3222"/>
      <c r="F65" s="3222"/>
      <c r="G65" s="3222"/>
      <c r="H65" s="3222"/>
      <c r="I65" s="3239"/>
      <c r="J65" s="3222"/>
      <c r="K65" s="3185"/>
      <c r="L65" s="3222"/>
      <c r="M65" s="3222"/>
      <c r="N65" s="3222"/>
      <c r="O65" s="3222"/>
      <c r="P65" s="3223"/>
      <c r="Q65" s="3222"/>
    </row>
    <row r="66" spans="1:32" ht="3" customHeight="1">
      <c r="A66" s="3167"/>
      <c r="B66" s="3031"/>
      <c r="C66" s="3031"/>
      <c r="D66" s="3031"/>
      <c r="E66" s="3031"/>
      <c r="F66" s="3031"/>
      <c r="G66" s="3031"/>
      <c r="H66" s="3031"/>
      <c r="I66" s="3160"/>
      <c r="J66" s="3031"/>
      <c r="K66" s="3031"/>
      <c r="L66" s="3031"/>
      <c r="M66" s="3031"/>
      <c r="N66" s="3031"/>
      <c r="O66" s="3031"/>
      <c r="P66" s="3031"/>
      <c r="Q66" s="3031"/>
    </row>
    <row r="67" spans="1:32" s="949" customFormat="1" ht="11">
      <c r="A67" s="2833" t="s">
        <v>1113</v>
      </c>
      <c r="I67" s="3240"/>
      <c r="R67" s="3240"/>
      <c r="S67" s="3240"/>
      <c r="T67" s="3240"/>
      <c r="U67" s="3240"/>
      <c r="V67" s="3240"/>
      <c r="W67" s="3240"/>
      <c r="X67" s="3240"/>
      <c r="Y67" s="3240"/>
      <c r="Z67" s="3240"/>
      <c r="AA67" s="3240"/>
      <c r="AB67" s="3240"/>
      <c r="AC67" s="3240"/>
      <c r="AD67" s="3240"/>
      <c r="AE67" s="3240"/>
      <c r="AF67" s="3240"/>
    </row>
    <row r="68" spans="1:32" s="949" customFormat="1" ht="22.5" customHeight="1">
      <c r="A68" s="3402" t="s">
        <v>1426</v>
      </c>
      <c r="B68" s="3402"/>
      <c r="C68" s="3402"/>
      <c r="D68" s="3402"/>
      <c r="E68" s="3402"/>
      <c r="F68" s="3402"/>
      <c r="G68" s="3402"/>
      <c r="H68" s="3402"/>
      <c r="I68" s="3402"/>
      <c r="J68" s="3402"/>
      <c r="K68" s="3402"/>
      <c r="L68" s="3402"/>
      <c r="M68" s="3402"/>
      <c r="N68" s="3402"/>
      <c r="O68" s="3402"/>
      <c r="P68" s="3402"/>
      <c r="Q68" s="3402"/>
      <c r="R68" s="3240"/>
      <c r="S68" s="3240"/>
      <c r="T68" s="3240"/>
      <c r="U68" s="3240"/>
      <c r="V68" s="3240"/>
      <c r="W68" s="3240"/>
      <c r="X68" s="3240"/>
      <c r="Y68" s="3240"/>
      <c r="Z68" s="3240"/>
      <c r="AA68" s="3240"/>
      <c r="AB68" s="3240"/>
      <c r="AC68" s="3240"/>
      <c r="AD68" s="3240"/>
      <c r="AE68" s="3240"/>
      <c r="AF68" s="3240"/>
    </row>
    <row r="69" spans="1:32" s="949" customFormat="1" ht="22.5" customHeight="1">
      <c r="A69" s="3402" t="s">
        <v>1424</v>
      </c>
      <c r="B69" s="3402"/>
      <c r="C69" s="3402"/>
      <c r="D69" s="3402"/>
      <c r="E69" s="3402"/>
      <c r="F69" s="3402"/>
      <c r="G69" s="3402"/>
      <c r="H69" s="3402"/>
      <c r="I69" s="3402"/>
      <c r="J69" s="3402"/>
      <c r="K69" s="3402"/>
      <c r="L69" s="3402"/>
      <c r="M69" s="3402"/>
      <c r="N69" s="3402"/>
      <c r="O69" s="3402"/>
      <c r="P69" s="3402"/>
      <c r="Q69" s="3402"/>
      <c r="R69" s="3240"/>
      <c r="S69" s="3240"/>
      <c r="T69" s="3240"/>
      <c r="U69" s="3240"/>
      <c r="V69" s="3240"/>
      <c r="W69" s="3240"/>
      <c r="X69" s="3240"/>
      <c r="Y69" s="3240"/>
      <c r="Z69" s="3240"/>
      <c r="AA69" s="3240"/>
      <c r="AB69" s="3240"/>
      <c r="AC69" s="3240"/>
      <c r="AD69" s="3240"/>
      <c r="AE69" s="3240"/>
      <c r="AF69" s="3240"/>
    </row>
    <row r="70" spans="1:32" s="949" customFormat="1" ht="22.5" customHeight="1">
      <c r="A70" s="3402" t="s">
        <v>1425</v>
      </c>
      <c r="B70" s="3402"/>
      <c r="C70" s="3402"/>
      <c r="D70" s="3402"/>
      <c r="E70" s="3402"/>
      <c r="F70" s="3402"/>
      <c r="G70" s="3402"/>
      <c r="H70" s="3402"/>
      <c r="I70" s="3402"/>
      <c r="J70" s="3402"/>
      <c r="K70" s="3402"/>
      <c r="L70" s="3402"/>
      <c r="M70" s="3402"/>
      <c r="N70" s="3402"/>
      <c r="O70" s="3402"/>
      <c r="P70" s="3402"/>
      <c r="Q70" s="3402"/>
      <c r="R70" s="3240"/>
      <c r="S70" s="3240"/>
      <c r="T70" s="3240"/>
      <c r="U70" s="3240"/>
      <c r="V70" s="3240"/>
      <c r="W70" s="3240"/>
      <c r="X70" s="3240"/>
      <c r="Y70" s="3240"/>
      <c r="Z70" s="3240"/>
      <c r="AA70" s="3240"/>
      <c r="AB70" s="3240"/>
      <c r="AC70" s="3240"/>
      <c r="AD70" s="3240"/>
      <c r="AE70" s="3240"/>
      <c r="AF70" s="3240"/>
    </row>
    <row r="71" spans="1:32" s="949" customFormat="1" ht="4.5" customHeight="1">
      <c r="A71" s="2833"/>
      <c r="I71" s="3240"/>
      <c r="R71" s="3240"/>
      <c r="S71" s="3240"/>
      <c r="T71" s="3240"/>
      <c r="U71" s="3240"/>
      <c r="V71" s="3240"/>
      <c r="W71" s="3240"/>
      <c r="X71" s="3240"/>
      <c r="Y71" s="3240"/>
      <c r="Z71" s="3240"/>
      <c r="AA71" s="3240"/>
      <c r="AB71" s="3240"/>
      <c r="AC71" s="3240"/>
      <c r="AD71" s="3240"/>
      <c r="AE71" s="3240"/>
      <c r="AF71" s="3240"/>
    </row>
    <row r="72" spans="1:32" s="949" customFormat="1" ht="11">
      <c r="A72" s="2833" t="s">
        <v>1114</v>
      </c>
      <c r="I72" s="3240"/>
      <c r="R72" s="3240"/>
      <c r="S72" s="3240"/>
      <c r="T72" s="3240"/>
      <c r="U72" s="3240"/>
      <c r="V72" s="3240"/>
      <c r="W72" s="3240"/>
      <c r="X72" s="3240"/>
      <c r="Y72" s="3240"/>
      <c r="Z72" s="3240"/>
      <c r="AA72" s="3240"/>
      <c r="AB72" s="3240"/>
      <c r="AC72" s="3240"/>
      <c r="AD72" s="3240"/>
      <c r="AE72" s="3240"/>
      <c r="AF72" s="3240"/>
    </row>
    <row r="73" spans="1:32" s="949" customFormat="1" ht="11">
      <c r="A73" s="2833" t="s">
        <v>2294</v>
      </c>
      <c r="I73" s="3240"/>
      <c r="R73" s="3240"/>
      <c r="S73" s="3240"/>
      <c r="T73" s="3240"/>
      <c r="U73" s="3240"/>
      <c r="V73" s="3240"/>
      <c r="W73" s="3240"/>
      <c r="X73" s="3240"/>
      <c r="Y73" s="3240"/>
      <c r="Z73" s="3240"/>
      <c r="AA73" s="3240"/>
      <c r="AB73" s="3240"/>
      <c r="AC73" s="3240"/>
      <c r="AD73" s="3240"/>
      <c r="AE73" s="3240"/>
      <c r="AF73" s="3240"/>
    </row>
    <row r="74" spans="1:32" s="949" customFormat="1" ht="11">
      <c r="A74" s="2833" t="s">
        <v>2300</v>
      </c>
      <c r="I74" s="3240"/>
      <c r="R74" s="3240"/>
      <c r="S74" s="3240"/>
      <c r="T74" s="3240"/>
      <c r="U74" s="3240"/>
      <c r="V74" s="3240"/>
      <c r="W74" s="3240"/>
      <c r="X74" s="3240"/>
      <c r="Y74" s="3240"/>
      <c r="Z74" s="3240"/>
      <c r="AA74" s="3240"/>
      <c r="AB74" s="3240"/>
      <c r="AC74" s="3240"/>
      <c r="AD74" s="3240"/>
      <c r="AE74" s="3240"/>
      <c r="AF74" s="3240"/>
    </row>
    <row r="75" spans="1:32">
      <c r="A75" s="2833"/>
      <c r="B75" s="949"/>
      <c r="C75" s="949"/>
      <c r="D75" s="949"/>
      <c r="E75" s="949"/>
      <c r="F75" s="949"/>
      <c r="G75" s="949"/>
      <c r="H75" s="949"/>
      <c r="I75" s="3240"/>
      <c r="J75" s="949"/>
      <c r="K75" s="949"/>
      <c r="L75" s="949"/>
      <c r="M75" s="949"/>
      <c r="N75" s="949"/>
      <c r="O75" s="949"/>
      <c r="P75" s="949"/>
      <c r="Q75" s="949"/>
      <c r="R75" s="3240"/>
    </row>
    <row r="76" spans="1:32">
      <c r="A76" s="2833"/>
      <c r="B76" s="949"/>
      <c r="C76" s="949"/>
      <c r="D76" s="949"/>
      <c r="E76" s="949"/>
      <c r="F76" s="949"/>
      <c r="G76" s="949"/>
      <c r="H76" s="949"/>
      <c r="I76" s="3240"/>
      <c r="J76" s="949"/>
      <c r="K76" s="949"/>
      <c r="L76" s="949"/>
      <c r="M76" s="949"/>
      <c r="N76" s="949"/>
      <c r="O76" s="949"/>
      <c r="P76" s="949"/>
      <c r="Q76" s="949"/>
      <c r="R76" s="3240"/>
    </row>
    <row r="77" spans="1:32">
      <c r="A77" s="2833"/>
      <c r="B77" s="949"/>
      <c r="C77" s="949"/>
      <c r="D77" s="949"/>
      <c r="E77" s="949"/>
      <c r="F77" s="949"/>
      <c r="G77" s="949"/>
      <c r="H77" s="949"/>
      <c r="I77" s="3240"/>
      <c r="J77" s="949"/>
      <c r="K77" s="949"/>
      <c r="L77" s="949"/>
      <c r="M77" s="949"/>
      <c r="N77" s="949"/>
      <c r="O77" s="949"/>
      <c r="P77" s="949"/>
      <c r="Q77" s="949"/>
      <c r="R77" s="3240"/>
    </row>
    <row r="78" spans="1:32">
      <c r="A78" s="2833"/>
      <c r="B78" s="949"/>
      <c r="C78" s="949"/>
      <c r="D78" s="949"/>
      <c r="E78" s="949"/>
      <c r="F78" s="949"/>
      <c r="G78" s="949"/>
      <c r="H78" s="949"/>
      <c r="I78" s="3240"/>
      <c r="J78" s="949"/>
      <c r="K78" s="949"/>
      <c r="L78" s="949"/>
      <c r="M78" s="949"/>
      <c r="N78" s="949"/>
      <c r="O78" s="949"/>
      <c r="P78" s="949"/>
      <c r="Q78" s="949"/>
      <c r="R78" s="3240"/>
    </row>
    <row r="79" spans="1:32">
      <c r="A79" s="2833"/>
      <c r="B79" s="949"/>
      <c r="C79" s="949"/>
      <c r="D79" s="949"/>
      <c r="E79" s="949"/>
      <c r="F79" s="949"/>
      <c r="G79" s="949"/>
      <c r="H79" s="949"/>
      <c r="I79" s="3240"/>
      <c r="J79" s="949"/>
      <c r="K79" s="949"/>
      <c r="L79" s="949"/>
      <c r="M79" s="949"/>
      <c r="N79" s="949"/>
      <c r="O79" s="949"/>
      <c r="P79" s="949"/>
      <c r="Q79" s="949"/>
      <c r="R79" s="3240"/>
    </row>
    <row r="80" spans="1:32">
      <c r="A80" s="2833"/>
      <c r="B80" s="949"/>
      <c r="C80" s="949"/>
      <c r="D80" s="949"/>
      <c r="E80" s="949"/>
      <c r="F80" s="949"/>
      <c r="G80" s="949"/>
      <c r="H80" s="949"/>
      <c r="I80" s="3240"/>
      <c r="J80" s="949"/>
      <c r="K80" s="949"/>
      <c r="L80" s="949"/>
      <c r="M80" s="949"/>
      <c r="N80" s="949"/>
      <c r="O80" s="949"/>
      <c r="P80" s="949"/>
      <c r="Q80" s="949"/>
      <c r="R80" s="3240"/>
    </row>
    <row r="81" spans="1:18">
      <c r="A81" s="2829"/>
      <c r="B81" s="2829"/>
      <c r="C81" s="949"/>
      <c r="D81" s="949"/>
      <c r="E81" s="949"/>
      <c r="F81" s="949"/>
      <c r="G81" s="949"/>
      <c r="H81" s="949"/>
      <c r="I81" s="3240"/>
      <c r="J81" s="949"/>
      <c r="K81" s="949"/>
      <c r="L81" s="949"/>
      <c r="M81" s="949"/>
      <c r="N81" s="949"/>
      <c r="O81" s="949"/>
      <c r="P81" s="949"/>
      <c r="Q81" s="949"/>
      <c r="R81" s="3240"/>
    </row>
    <row r="82" spans="1:18">
      <c r="A82" s="2833"/>
      <c r="B82" s="2161"/>
      <c r="C82" s="949"/>
      <c r="D82" s="949"/>
      <c r="E82" s="949"/>
      <c r="F82" s="949"/>
      <c r="G82" s="949"/>
      <c r="H82" s="949"/>
      <c r="I82" s="3240"/>
      <c r="J82" s="949"/>
      <c r="K82" s="949"/>
      <c r="L82" s="949"/>
      <c r="M82" s="949"/>
      <c r="N82" s="949"/>
      <c r="O82" s="949"/>
      <c r="P82" s="949"/>
      <c r="Q82" s="949"/>
      <c r="R82" s="3240"/>
    </row>
    <row r="83" spans="1:18">
      <c r="A83" s="2833"/>
      <c r="B83" s="949"/>
      <c r="C83" s="949"/>
      <c r="D83" s="949"/>
      <c r="E83" s="949"/>
      <c r="F83" s="949"/>
      <c r="G83" s="949"/>
      <c r="H83" s="949"/>
      <c r="I83" s="3240"/>
      <c r="J83" s="949"/>
      <c r="K83" s="949"/>
      <c r="L83" s="949"/>
      <c r="M83" s="949"/>
      <c r="N83" s="949"/>
      <c r="O83" s="949"/>
      <c r="P83" s="949"/>
      <c r="Q83" s="949"/>
      <c r="R83" s="3240"/>
    </row>
  </sheetData>
  <mergeCells count="3">
    <mergeCell ref="A69:Q69"/>
    <mergeCell ref="A70:Q70"/>
    <mergeCell ref="A68:Q68"/>
  </mergeCells>
  <phoneticPr fontId="10" type="noConversion"/>
  <conditionalFormatting sqref="AG44:AK61">
    <cfRule type="cellIs" dxfId="201" priority="1" operator="equal">
      <formula>0</formula>
    </cfRule>
  </conditionalFormatting>
  <pageMargins left="0.74803149606299213" right="0.74803149606299213" top="0.98425196850393704" bottom="0.98425196850393704" header="0.51181102362204722" footer="0.51181102362204722"/>
  <pageSetup paperSize="9" scale="67" orientation="portrait" horizontalDpi="300" r:id="rId1"/>
  <headerFooter scaleWithDoc="0" alignWithMargins="0">
    <oddHeader>&amp;R&amp;"Arial,Regular"RESEARCH PAPER 12/43</oddHeader>
    <oddFooter>&amp;C&amp;"Arial,Regular"&amp;11 11</oddFooter>
  </headerFooter>
  <drawing r:id="rId2"/>
  <webPublishItems count="1">
    <webPublishItem id="18046" divId="RP11-XXX_Election Statistics UK 1918-2011_18046" sourceType="printArea" destinationFile="U:\election stats rp\Table 1e.mht"/>
  </webPublishItem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3B6B-4EC0-4814-BF86-603A4A0DACB5}">
  <sheetPr>
    <tabColor theme="4" tint="0.59999389629810485"/>
    <pageSetUpPr fitToPage="1"/>
  </sheetPr>
  <dimension ref="A1:AI87"/>
  <sheetViews>
    <sheetView showGridLines="0" zoomScale="70" zoomScaleNormal="70" workbookViewId="0">
      <selection activeCell="D27" sqref="D27"/>
    </sheetView>
  </sheetViews>
  <sheetFormatPr baseColWidth="10" defaultColWidth="9.3984375" defaultRowHeight="12"/>
  <cols>
    <col min="1" max="1" width="5.796875" style="2887" customWidth="1"/>
    <col min="2" max="2" width="4.19921875" style="2885" customWidth="1"/>
    <col min="3" max="3" width="13.3984375" style="2885" customWidth="1"/>
    <col min="4" max="4" width="13.3984375" style="2886" customWidth="1"/>
    <col min="5" max="5" width="13.3984375" style="2885" customWidth="1"/>
    <col min="6" max="6" width="13.3984375" style="2886" customWidth="1"/>
    <col min="7" max="7" width="13.3984375" style="2885" customWidth="1"/>
    <col min="8" max="8" width="11.19921875" style="2885" customWidth="1"/>
    <col min="9" max="9" width="10.796875" style="2885" customWidth="1"/>
    <col min="10" max="10" width="5.796875" style="2885" customWidth="1"/>
    <col min="11" max="11" width="4.796875" style="2885" customWidth="1"/>
    <col min="12" max="12" width="13.3984375" style="2885" customWidth="1"/>
    <col min="13" max="13" width="13.3984375" style="2886" customWidth="1"/>
    <col min="14" max="16" width="13.3984375" style="2885" customWidth="1"/>
    <col min="17" max="17" width="10.19921875" style="2885" customWidth="1"/>
    <col min="18" max="21" width="6.796875" style="2885" customWidth="1"/>
    <col min="22" max="22" width="9.3984375" style="2885" bestFit="1" customWidth="1"/>
    <col min="23" max="23" width="10.59765625" style="2885" bestFit="1" customWidth="1"/>
    <col min="24" max="25" width="11.796875" style="2885" bestFit="1" customWidth="1"/>
    <col min="26" max="26" width="11.3984375" style="2885" bestFit="1" customWidth="1"/>
    <col min="27" max="27" width="9.3984375" style="2885" bestFit="1" customWidth="1"/>
    <col min="28" max="16384" width="9.3984375" style="2885"/>
  </cols>
  <sheetData>
    <row r="1" spans="1:35" ht="18.75" customHeight="1">
      <c r="A1" s="2950" t="s">
        <v>2871</v>
      </c>
      <c r="B1" s="2949"/>
      <c r="C1" s="2949"/>
      <c r="D1" s="2949"/>
      <c r="E1" s="2949"/>
      <c r="F1" s="2949"/>
      <c r="G1" s="2949"/>
      <c r="H1" s="2949"/>
      <c r="J1" s="2950" t="s">
        <v>2872</v>
      </c>
      <c r="K1" s="2949"/>
      <c r="L1" s="2949"/>
      <c r="M1" s="2949"/>
      <c r="N1" s="2949"/>
      <c r="O1" s="2949"/>
      <c r="P1" s="2949"/>
      <c r="Q1" s="2949"/>
      <c r="AC1" s="2885" t="s">
        <v>1422</v>
      </c>
      <c r="AG1" s="2885" t="s">
        <v>1065</v>
      </c>
    </row>
    <row r="2" spans="1:35" ht="13">
      <c r="A2" s="2948"/>
      <c r="B2" s="2946"/>
      <c r="C2" s="2945" t="s">
        <v>98</v>
      </c>
      <c r="D2" s="2944"/>
      <c r="E2" s="2944"/>
      <c r="F2" s="2944"/>
      <c r="G2" s="2944"/>
      <c r="H2" s="2944"/>
      <c r="I2" s="2947"/>
      <c r="J2" s="2946"/>
      <c r="K2" s="2946"/>
      <c r="L2" s="2945" t="s">
        <v>37</v>
      </c>
      <c r="M2" s="2944"/>
      <c r="N2" s="2944"/>
      <c r="O2" s="2944"/>
      <c r="P2" s="2944"/>
      <c r="Q2" s="2944"/>
    </row>
    <row r="3" spans="1:35" s="2919" customFormat="1" ht="15.75" customHeight="1">
      <c r="A3" s="2936"/>
      <c r="B3" s="2935"/>
      <c r="C3" s="2934" t="s">
        <v>2440</v>
      </c>
      <c r="D3" s="2933" t="s">
        <v>2441</v>
      </c>
      <c r="E3" s="2932" t="s">
        <v>807</v>
      </c>
      <c r="F3" s="2931" t="s">
        <v>2443</v>
      </c>
      <c r="G3" s="2930" t="s">
        <v>1972</v>
      </c>
      <c r="H3" s="2937" t="s">
        <v>16</v>
      </c>
      <c r="I3" s="2938"/>
      <c r="J3" s="2935"/>
      <c r="K3" s="2935"/>
      <c r="L3" s="2934" t="s">
        <v>2440</v>
      </c>
      <c r="M3" s="2933" t="s">
        <v>2441</v>
      </c>
      <c r="N3" s="2932" t="s">
        <v>807</v>
      </c>
      <c r="O3" s="2931" t="s">
        <v>2443</v>
      </c>
      <c r="P3" s="2930" t="s">
        <v>1972</v>
      </c>
      <c r="Q3" s="2937" t="s">
        <v>16</v>
      </c>
      <c r="V3" s="2934" t="s">
        <v>2440</v>
      </c>
      <c r="W3" s="2933" t="s">
        <v>2441</v>
      </c>
      <c r="X3" s="2932" t="s">
        <v>807</v>
      </c>
      <c r="Y3" s="2931" t="s">
        <v>2443</v>
      </c>
      <c r="Z3" s="2930" t="s">
        <v>1972</v>
      </c>
      <c r="AC3" s="2919" t="s">
        <v>111</v>
      </c>
      <c r="AD3" s="2919" t="s">
        <v>37</v>
      </c>
      <c r="AE3" s="2919" t="s">
        <v>1421</v>
      </c>
      <c r="AG3" s="2919" t="s">
        <v>111</v>
      </c>
      <c r="AH3" s="2919" t="s">
        <v>11</v>
      </c>
      <c r="AI3" s="2919" t="s">
        <v>1421</v>
      </c>
    </row>
    <row r="4" spans="1:35" s="2916" customFormat="1" ht="3" customHeight="1">
      <c r="A4" s="2918"/>
      <c r="D4" s="2917"/>
      <c r="I4" s="2885"/>
      <c r="J4" s="2918"/>
      <c r="L4" s="2917"/>
      <c r="M4" s="2917"/>
      <c r="N4" s="2917"/>
      <c r="O4" s="2917"/>
      <c r="P4" s="2917"/>
      <c r="R4" s="2885"/>
      <c r="S4" s="2885"/>
      <c r="V4" s="2917"/>
      <c r="W4" s="2917"/>
      <c r="X4" s="2917"/>
      <c r="Y4" s="2917"/>
      <c r="Z4" s="2917"/>
      <c r="AA4" s="2885"/>
      <c r="AB4" s="2885"/>
      <c r="AC4" s="2885"/>
      <c r="AD4" s="2885"/>
      <c r="AE4" s="2885"/>
      <c r="AF4" s="2885"/>
      <c r="AG4" s="2885"/>
      <c r="AH4" s="2885"/>
      <c r="AI4" s="2885"/>
    </row>
    <row r="5" spans="1:35" s="2923" customFormat="1" ht="12.75" customHeight="1">
      <c r="A5" s="3331">
        <v>1918</v>
      </c>
      <c r="B5" s="3332">
        <v>7</v>
      </c>
      <c r="C5" s="3333">
        <f t="shared" ref="C5:H10" si="0">IFERROR(V5/1000,"..")</f>
        <v>289.21300000000002</v>
      </c>
      <c r="D5" s="3333">
        <f t="shared" si="0"/>
        <v>228.90199999999999</v>
      </c>
      <c r="E5" s="3333" t="str">
        <f t="shared" si="0"/>
        <v>..</v>
      </c>
      <c r="F5" s="3333" t="str">
        <f t="shared" si="0"/>
        <v>..</v>
      </c>
      <c r="G5" s="3333">
        <f t="shared" si="0"/>
        <v>521.11</v>
      </c>
      <c r="H5" s="3333">
        <f t="shared" si="0"/>
        <v>1039.2249999999999</v>
      </c>
      <c r="I5" s="2927"/>
      <c r="J5" s="3331">
        <v>1918</v>
      </c>
      <c r="K5" s="3332">
        <v>7</v>
      </c>
      <c r="L5" s="3211">
        <f>'1918 '!$E$50</f>
        <v>36</v>
      </c>
      <c r="M5" s="2806">
        <f>'1918 '!$E$52</f>
        <v>56</v>
      </c>
      <c r="N5" s="2806" t="s">
        <v>103</v>
      </c>
      <c r="O5" s="2806" t="s">
        <v>103</v>
      </c>
      <c r="P5" s="3211">
        <f>'1918 '!$E$55</f>
        <v>112</v>
      </c>
      <c r="Q5" s="2947">
        <f>'1918 '!$E$54</f>
        <v>204</v>
      </c>
      <c r="T5" s="2924">
        <v>1918</v>
      </c>
      <c r="V5" s="2929">
        <f>'1918 '!$B$50</f>
        <v>289213</v>
      </c>
      <c r="W5" s="2883">
        <f>'1918 '!$B$52</f>
        <v>228902</v>
      </c>
      <c r="X5" s="2883" t="s">
        <v>103</v>
      </c>
      <c r="Y5" s="2883" t="s">
        <v>103</v>
      </c>
      <c r="Z5" s="2929">
        <f>'1918 '!$B$55</f>
        <v>521110</v>
      </c>
      <c r="AA5" s="2885">
        <f>'1918 '!$B$54</f>
        <v>1039225</v>
      </c>
      <c r="AC5" s="2943">
        <v>228.90199999999999</v>
      </c>
      <c r="AD5" s="2923">
        <v>56</v>
      </c>
      <c r="AE5" s="2923">
        <v>6</v>
      </c>
      <c r="AG5" s="2943">
        <v>495.34500000000003</v>
      </c>
      <c r="AH5" s="2923">
        <v>100</v>
      </c>
      <c r="AI5" s="2923">
        <v>72</v>
      </c>
    </row>
    <row r="6" spans="1:35" ht="12.75" customHeight="1">
      <c r="A6" s="3334">
        <v>1922</v>
      </c>
      <c r="B6" s="2947"/>
      <c r="C6" s="3333">
        <f t="shared" si="0"/>
        <v>107.97199999999999</v>
      </c>
      <c r="D6" s="3333">
        <f t="shared" si="0"/>
        <v>90.052999999999997</v>
      </c>
      <c r="E6" s="3333" t="str">
        <f t="shared" si="0"/>
        <v>..</v>
      </c>
      <c r="F6" s="3333" t="str">
        <f t="shared" si="0"/>
        <v>..</v>
      </c>
      <c r="G6" s="3333">
        <f t="shared" si="0"/>
        <v>9.8610000000000007</v>
      </c>
      <c r="H6" s="3333">
        <f t="shared" si="0"/>
        <v>207.886</v>
      </c>
      <c r="I6" s="2886"/>
      <c r="J6" s="3334">
        <v>1922</v>
      </c>
      <c r="K6" s="2947"/>
      <c r="L6" s="3226">
        <f>'1922'!$E$31</f>
        <v>12</v>
      </c>
      <c r="M6" s="3226">
        <f>'1922'!$E$32</f>
        <v>2</v>
      </c>
      <c r="N6" s="3226" t="s">
        <v>103</v>
      </c>
      <c r="O6" s="3364" t="s">
        <v>103</v>
      </c>
      <c r="P6" s="3226">
        <f>'1922'!$E$33</f>
        <v>1</v>
      </c>
      <c r="Q6" s="3365">
        <f>'1922'!$E$34</f>
        <v>15</v>
      </c>
      <c r="T6" s="2924">
        <v>1922</v>
      </c>
      <c r="V6" s="2882">
        <f>'1922'!$B$31</f>
        <v>107972</v>
      </c>
      <c r="W6" s="2882">
        <f>'1922'!$B$32</f>
        <v>90053</v>
      </c>
      <c r="X6" s="2882" t="s">
        <v>103</v>
      </c>
      <c r="Y6" s="2926" t="s">
        <v>103</v>
      </c>
      <c r="Z6" s="2882">
        <f>'1922'!$B$33</f>
        <v>9861</v>
      </c>
      <c r="AA6" s="2923">
        <f>'1922'!$B$34</f>
        <v>207886</v>
      </c>
      <c r="AC6" s="2939">
        <v>90.052999999999997</v>
      </c>
      <c r="AD6" s="2885">
        <v>2</v>
      </c>
      <c r="AE6" s="2885">
        <v>2</v>
      </c>
      <c r="AG6" s="2939"/>
    </row>
    <row r="7" spans="1:35" ht="12.75" customHeight="1">
      <c r="A7" s="3334">
        <v>1923</v>
      </c>
      <c r="B7" s="2947"/>
      <c r="C7" s="3333">
        <f t="shared" si="0"/>
        <v>117.161</v>
      </c>
      <c r="D7" s="3333">
        <f t="shared" si="0"/>
        <v>87.671000000000006</v>
      </c>
      <c r="E7" s="3333" t="str">
        <f t="shared" si="0"/>
        <v>..</v>
      </c>
      <c r="F7" s="3333" t="str">
        <f t="shared" si="0"/>
        <v>..</v>
      </c>
      <c r="G7" s="3333">
        <f t="shared" si="0"/>
        <v>37.426000000000002</v>
      </c>
      <c r="H7" s="3333">
        <f t="shared" si="0"/>
        <v>242.25800000000001</v>
      </c>
      <c r="I7" s="2886"/>
      <c r="J7" s="3334">
        <v>1923</v>
      </c>
      <c r="K7" s="2947"/>
      <c r="L7" s="2806">
        <f>'1923'!$E$27</f>
        <v>12</v>
      </c>
      <c r="M7" s="2806">
        <f>'1923'!$E$28</f>
        <v>2</v>
      </c>
      <c r="N7" s="2806" t="s">
        <v>103</v>
      </c>
      <c r="O7" s="3366" t="s">
        <v>103</v>
      </c>
      <c r="P7" s="2806">
        <f>'1923'!$E$29</f>
        <v>2</v>
      </c>
      <c r="Q7" s="2947">
        <f>'1923'!$E$30</f>
        <v>16</v>
      </c>
      <c r="T7" s="2922">
        <v>1923</v>
      </c>
      <c r="V7" s="2883">
        <f>'1923'!$B$27</f>
        <v>117161</v>
      </c>
      <c r="W7" s="2883">
        <f>'1923'!$B$28</f>
        <v>87671</v>
      </c>
      <c r="X7" s="2883" t="s">
        <v>103</v>
      </c>
      <c r="Y7" s="2904" t="s">
        <v>103</v>
      </c>
      <c r="Z7" s="2883">
        <f>'1923'!$B$29</f>
        <v>37426</v>
      </c>
      <c r="AA7" s="2885">
        <f>'1923'!$B$30</f>
        <v>242258</v>
      </c>
      <c r="AC7" s="2939">
        <v>87.671000000000006</v>
      </c>
      <c r="AD7" s="2885">
        <v>2</v>
      </c>
      <c r="AE7" s="2885">
        <v>2</v>
      </c>
      <c r="AG7" s="2939"/>
    </row>
    <row r="8" spans="1:35" ht="12.75" customHeight="1">
      <c r="A8" s="3334">
        <v>1924</v>
      </c>
      <c r="B8" s="2947"/>
      <c r="C8" s="3333">
        <f t="shared" si="0"/>
        <v>451.27800000000002</v>
      </c>
      <c r="D8" s="3333" t="str">
        <f t="shared" si="0"/>
        <v>..</v>
      </c>
      <c r="E8" s="3333" t="str">
        <f t="shared" si="0"/>
        <v>..</v>
      </c>
      <c r="F8" s="3333" t="str">
        <f t="shared" si="0"/>
        <v>..</v>
      </c>
      <c r="G8" s="3333">
        <f t="shared" si="0"/>
        <v>68.096000000000004</v>
      </c>
      <c r="H8" s="3333">
        <f t="shared" si="0"/>
        <v>519.37400000000002</v>
      </c>
      <c r="I8" s="2886"/>
      <c r="J8" s="3334">
        <v>1924</v>
      </c>
      <c r="K8" s="2947"/>
      <c r="L8" s="2806">
        <f>'1924'!$E$28</f>
        <v>12</v>
      </c>
      <c r="M8" s="2806" t="s">
        <v>103</v>
      </c>
      <c r="N8" s="2806" t="s">
        <v>103</v>
      </c>
      <c r="O8" s="3366" t="s">
        <v>103</v>
      </c>
      <c r="P8" s="2806">
        <f>'1924'!$E$30+'1924'!$E$29</f>
        <v>10</v>
      </c>
      <c r="Q8" s="2947">
        <f>'1924'!$E$31</f>
        <v>22</v>
      </c>
      <c r="T8" s="2922">
        <v>1924</v>
      </c>
      <c r="V8" s="2883">
        <f>'1924'!$B$28</f>
        <v>451278</v>
      </c>
      <c r="W8" s="2883" t="s">
        <v>103</v>
      </c>
      <c r="X8" s="2883" t="s">
        <v>103</v>
      </c>
      <c r="Y8" s="2904" t="s">
        <v>103</v>
      </c>
      <c r="Z8" s="2883">
        <f>'1924'!$B$30+'1924'!$B$29</f>
        <v>68096</v>
      </c>
      <c r="AA8" s="2885">
        <f>'1924'!$B$31</f>
        <v>519374</v>
      </c>
      <c r="AC8" s="2886" t="s">
        <v>103</v>
      </c>
      <c r="AD8" s="2886" t="s">
        <v>103</v>
      </c>
      <c r="AE8" s="2886" t="s">
        <v>103</v>
      </c>
      <c r="AG8" s="2939">
        <v>46.457000000000001</v>
      </c>
      <c r="AH8" s="2885">
        <v>8</v>
      </c>
      <c r="AI8" s="2885">
        <v>0</v>
      </c>
    </row>
    <row r="9" spans="1:35" ht="12.75" customHeight="1">
      <c r="A9" s="3334">
        <v>1929</v>
      </c>
      <c r="B9" s="2947"/>
      <c r="C9" s="3333">
        <f t="shared" si="0"/>
        <v>354.65699999999998</v>
      </c>
      <c r="D9" s="3333">
        <f t="shared" si="0"/>
        <v>24.177</v>
      </c>
      <c r="E9" s="3333" t="str">
        <f t="shared" si="0"/>
        <v>..</v>
      </c>
      <c r="F9" s="3333">
        <f t="shared" si="0"/>
        <v>100.10299999999999</v>
      </c>
      <c r="G9" s="3333">
        <f t="shared" si="0"/>
        <v>31.116</v>
      </c>
      <c r="H9" s="3333">
        <f t="shared" si="0"/>
        <v>510.053</v>
      </c>
      <c r="I9" s="2886"/>
      <c r="J9" s="3334">
        <v>1929</v>
      </c>
      <c r="K9" s="2947"/>
      <c r="L9" s="2806">
        <f>'1929'!$E$30</f>
        <v>10</v>
      </c>
      <c r="M9" s="2806">
        <f>'1929'!$E$32</f>
        <v>3</v>
      </c>
      <c r="N9" s="2806" t="s">
        <v>103</v>
      </c>
      <c r="O9" s="2806">
        <f>'1929'!$E$31</f>
        <v>6</v>
      </c>
      <c r="P9" s="2806">
        <f>'1929'!$E$33</f>
        <v>3</v>
      </c>
      <c r="Q9" s="2947">
        <f>'1929'!$E$34</f>
        <v>22</v>
      </c>
      <c r="T9" s="2922">
        <v>1929</v>
      </c>
      <c r="V9" s="2883">
        <f>'1929'!$B$30</f>
        <v>354657</v>
      </c>
      <c r="W9" s="2883">
        <f>'1929'!$B$32</f>
        <v>24177</v>
      </c>
      <c r="X9" s="2883" t="s">
        <v>103</v>
      </c>
      <c r="Y9" s="2883">
        <f>'1929'!$B$31</f>
        <v>100103</v>
      </c>
      <c r="Z9" s="2883">
        <f>'1929'!$B$33</f>
        <v>31116</v>
      </c>
      <c r="AA9" s="2885">
        <f>'1929'!$B$34</f>
        <v>510053</v>
      </c>
      <c r="AC9" s="2939">
        <v>24.177</v>
      </c>
      <c r="AD9" s="2885">
        <v>3</v>
      </c>
      <c r="AE9" s="2885">
        <v>2</v>
      </c>
      <c r="AG9" s="2939"/>
    </row>
    <row r="10" spans="1:35" ht="12.75" customHeight="1">
      <c r="A10" s="3334">
        <v>1931</v>
      </c>
      <c r="B10" s="2947"/>
      <c r="C10" s="3333">
        <f t="shared" si="0"/>
        <v>149.566</v>
      </c>
      <c r="D10" s="3333">
        <f t="shared" si="0"/>
        <v>123.053</v>
      </c>
      <c r="E10" s="3333">
        <f t="shared" si="0"/>
        <v>9.41</v>
      </c>
      <c r="F10" s="3333" t="str">
        <f t="shared" si="0"/>
        <v>..</v>
      </c>
      <c r="G10" s="3333" t="str">
        <f t="shared" si="0"/>
        <v>..</v>
      </c>
      <c r="H10" s="3333">
        <f t="shared" si="0"/>
        <v>282.029</v>
      </c>
      <c r="I10" s="2886"/>
      <c r="J10" s="3334">
        <v>1931</v>
      </c>
      <c r="K10" s="2947"/>
      <c r="L10" s="2806">
        <f>'1931'!$E$47</f>
        <v>12</v>
      </c>
      <c r="M10" s="2806">
        <f>'1931'!$E$49</f>
        <v>3</v>
      </c>
      <c r="N10" s="2806">
        <f>'1931'!$E$48</f>
        <v>1</v>
      </c>
      <c r="O10" s="2806" t="s">
        <v>103</v>
      </c>
      <c r="P10" s="2806" t="s">
        <v>103</v>
      </c>
      <c r="Q10" s="2947">
        <f>'1931'!$E$50</f>
        <v>16</v>
      </c>
      <c r="T10" s="2922">
        <v>1931</v>
      </c>
      <c r="V10" s="2883">
        <f>'1931'!$B$47</f>
        <v>149566</v>
      </c>
      <c r="W10" s="2883">
        <f>'1931'!$B$49</f>
        <v>123053</v>
      </c>
      <c r="X10" s="2883">
        <f>'1931'!$B$48</f>
        <v>9410</v>
      </c>
      <c r="Y10" s="2883" t="s">
        <v>103</v>
      </c>
      <c r="Z10" s="2883" t="s">
        <v>103</v>
      </c>
      <c r="AA10" s="2885">
        <f>'1931'!$B$50</f>
        <v>282029</v>
      </c>
      <c r="AC10" s="2939">
        <v>123.053</v>
      </c>
      <c r="AD10" s="2885">
        <v>3</v>
      </c>
      <c r="AE10" s="2885">
        <v>2</v>
      </c>
      <c r="AG10" s="2939"/>
    </row>
    <row r="11" spans="1:35" ht="12.75" customHeight="1" thickBot="1">
      <c r="A11" s="3334">
        <v>1935</v>
      </c>
      <c r="B11" s="2947"/>
      <c r="C11" s="3333">
        <f t="shared" ref="C11:H11" si="1">IFERROR(V11/1000,"..")</f>
        <v>292.83999999999997</v>
      </c>
      <c r="D11" s="3333">
        <f t="shared" si="1"/>
        <v>101.494</v>
      </c>
      <c r="E11" s="3333" t="str">
        <f t="shared" si="1"/>
        <v>..</v>
      </c>
      <c r="F11" s="3333" t="str">
        <f t="shared" si="1"/>
        <v>..</v>
      </c>
      <c r="G11" s="3333">
        <f t="shared" si="1"/>
        <v>56.832999999999998</v>
      </c>
      <c r="H11" s="3333">
        <f t="shared" si="1"/>
        <v>451.16699999999997</v>
      </c>
      <c r="I11" s="2886"/>
      <c r="J11" s="3334">
        <v>1935</v>
      </c>
      <c r="K11" s="2947"/>
      <c r="L11" s="2806">
        <f>'1935'!$E$43</f>
        <v>12</v>
      </c>
      <c r="M11" s="2806">
        <f>'1935'!$E$45</f>
        <v>2</v>
      </c>
      <c r="N11" s="2806" t="s">
        <v>103</v>
      </c>
      <c r="O11" s="2806" t="s">
        <v>103</v>
      </c>
      <c r="P11" s="2806">
        <f>'1935'!$E$46</f>
        <v>3</v>
      </c>
      <c r="Q11" s="2947">
        <f>'1935'!$E$47</f>
        <v>17</v>
      </c>
      <c r="T11" s="2941">
        <v>1935</v>
      </c>
      <c r="U11" s="2940"/>
      <c r="V11" s="2884">
        <f>'1935'!$B$43</f>
        <v>292840</v>
      </c>
      <c r="W11" s="2884">
        <f>'1935'!$B$45</f>
        <v>101494</v>
      </c>
      <c r="X11" s="2884" t="s">
        <v>103</v>
      </c>
      <c r="Y11" s="2884" t="s">
        <v>103</v>
      </c>
      <c r="Z11" s="2884">
        <f>'1935'!$B$46</f>
        <v>56833</v>
      </c>
      <c r="AA11" s="2940">
        <f>'1935'!$B$47</f>
        <v>451167</v>
      </c>
      <c r="AC11" s="2939">
        <v>101.494</v>
      </c>
      <c r="AD11" s="2885">
        <v>2</v>
      </c>
      <c r="AE11" s="2885">
        <v>2</v>
      </c>
      <c r="AG11" s="2939"/>
    </row>
    <row r="12" spans="1:35" ht="12.75" customHeight="1">
      <c r="A12" s="3334">
        <v>1945</v>
      </c>
      <c r="B12" s="2947"/>
      <c r="C12" s="3333">
        <f t="shared" ref="C12:C19" si="2">IFERROR(V12/1000,"..")</f>
        <v>392.45</v>
      </c>
      <c r="D12" s="3333">
        <f t="shared" ref="D12:D19" si="3">IFERROR(W12/1000,"..")</f>
        <v>148.078</v>
      </c>
      <c r="E12" s="3333">
        <f t="shared" ref="E12:E19" si="4">IFERROR(X12/1000,"..")</f>
        <v>65.459000000000003</v>
      </c>
      <c r="F12" s="3333" t="str">
        <f t="shared" ref="F12:F19" si="5">IFERROR(Y12/1000,"..")</f>
        <v>..</v>
      </c>
      <c r="G12" s="3333">
        <f t="shared" ref="G12:G19" si="6">IFERROR(Z12/1000,"..")</f>
        <v>113.77800000000001</v>
      </c>
      <c r="H12" s="3333">
        <f t="shared" ref="H12:H19" si="7">IFERROR(AA12/1000,"..")</f>
        <v>719.76499999999999</v>
      </c>
      <c r="I12" s="2886"/>
      <c r="J12" s="3334">
        <v>1945</v>
      </c>
      <c r="K12" s="2947"/>
      <c r="L12" s="2845">
        <f>+'1945'!$E$35</f>
        <v>12</v>
      </c>
      <c r="M12" s="2845">
        <f>'1945'!$E$37</f>
        <v>3</v>
      </c>
      <c r="N12" s="2845">
        <f>+'1945'!$E$36</f>
        <v>5</v>
      </c>
      <c r="O12" s="2845" t="s">
        <v>103</v>
      </c>
      <c r="P12" s="2845">
        <f>Q12-SUM(L12:O12)</f>
        <v>4</v>
      </c>
      <c r="Q12" s="2806">
        <f>+'1945'!$E$34</f>
        <v>24</v>
      </c>
      <c r="T12" s="2922">
        <v>1945</v>
      </c>
      <c r="V12" s="2951">
        <f>+'1945'!$C$35</f>
        <v>392450</v>
      </c>
      <c r="W12" s="2951">
        <f>'1945'!$C$37</f>
        <v>148078</v>
      </c>
      <c r="X12" s="2951">
        <f>+'1945'!$C$36</f>
        <v>65459</v>
      </c>
      <c r="Y12" s="2907" t="s">
        <v>103</v>
      </c>
      <c r="Z12" s="2907">
        <f>AA12-SUM(V12:Y12)</f>
        <v>113778</v>
      </c>
      <c r="AA12" s="2883">
        <f>+'1945'!$C$34</f>
        <v>719765</v>
      </c>
      <c r="AC12" s="2939">
        <v>148.078</v>
      </c>
      <c r="AD12" s="2885">
        <v>3</v>
      </c>
      <c r="AE12" s="2885">
        <v>2</v>
      </c>
      <c r="AG12" s="2939"/>
    </row>
    <row r="13" spans="1:35" ht="12.75" customHeight="1">
      <c r="A13" s="3334">
        <v>1950</v>
      </c>
      <c r="B13" s="2947"/>
      <c r="C13" s="3333">
        <f t="shared" si="2"/>
        <v>352.334</v>
      </c>
      <c r="D13" s="3333">
        <f t="shared" si="3"/>
        <v>65.210999999999999</v>
      </c>
      <c r="E13" s="3333">
        <f t="shared" si="4"/>
        <v>67.816000000000003</v>
      </c>
      <c r="F13" s="3333" t="str">
        <f t="shared" si="5"/>
        <v>..</v>
      </c>
      <c r="G13" s="3333">
        <f t="shared" si="6"/>
        <v>76.076999999999998</v>
      </c>
      <c r="H13" s="3333">
        <f t="shared" si="7"/>
        <v>561.43799999999999</v>
      </c>
      <c r="I13" s="2886"/>
      <c r="J13" s="3334">
        <v>1950</v>
      </c>
      <c r="K13" s="2947"/>
      <c r="L13" s="2845">
        <f>+'1950'!$E$33</f>
        <v>12</v>
      </c>
      <c r="M13" s="2845">
        <f>'1950'!$E$36</f>
        <v>2</v>
      </c>
      <c r="N13" s="2845">
        <f>+'1950'!$E$34</f>
        <v>5</v>
      </c>
      <c r="O13" s="2845" t="s">
        <v>103</v>
      </c>
      <c r="P13" s="2845">
        <f t="shared" ref="P13:P19" si="8">+Q13-SUM(L13:O13)</f>
        <v>4</v>
      </c>
      <c r="Q13" s="2845">
        <f>+'1950'!$E$32</f>
        <v>23</v>
      </c>
      <c r="T13" s="2922">
        <v>1950</v>
      </c>
      <c r="V13" s="2951">
        <f>+'1950'!$C$33</f>
        <v>352334</v>
      </c>
      <c r="W13" s="2952">
        <f>'1950'!$C$36</f>
        <v>65211</v>
      </c>
      <c r="X13" s="2951">
        <f>+'1950'!$C$34</f>
        <v>67816</v>
      </c>
      <c r="Y13" s="2907" t="s">
        <v>103</v>
      </c>
      <c r="Z13" s="2907">
        <f t="shared" ref="Z13:Z19" si="9">+AA13-SUM(V13:Y13)</f>
        <v>76077</v>
      </c>
      <c r="AA13" s="2951">
        <f>+'1950'!$C$32</f>
        <v>561438</v>
      </c>
      <c r="AC13" s="2939">
        <v>65.210999999999999</v>
      </c>
      <c r="AD13" s="2885">
        <v>2</v>
      </c>
      <c r="AE13" s="2885">
        <v>2</v>
      </c>
      <c r="AG13" s="2939">
        <v>23.361999999999998</v>
      </c>
      <c r="AH13" s="2885">
        <v>2</v>
      </c>
      <c r="AI13" s="2885">
        <v>0</v>
      </c>
    </row>
    <row r="14" spans="1:35" ht="12.75" customHeight="1">
      <c r="A14" s="3334">
        <v>1951</v>
      </c>
      <c r="B14" s="2947"/>
      <c r="C14" s="3333">
        <f t="shared" si="2"/>
        <v>274.928</v>
      </c>
      <c r="D14" s="3333">
        <f t="shared" si="3"/>
        <v>92.787000000000006</v>
      </c>
      <c r="E14" s="3333">
        <f t="shared" si="4"/>
        <v>62.323999999999998</v>
      </c>
      <c r="F14" s="3333" t="str">
        <f t="shared" si="5"/>
        <v>..</v>
      </c>
      <c r="G14" s="3333">
        <f t="shared" si="6"/>
        <v>33.173999999999999</v>
      </c>
      <c r="H14" s="3333">
        <f t="shared" si="7"/>
        <v>463.21300000000002</v>
      </c>
      <c r="I14" s="2886"/>
      <c r="J14" s="3334">
        <v>1951</v>
      </c>
      <c r="K14" s="2947"/>
      <c r="L14" s="2845">
        <f>+'1951'!$E$33</f>
        <v>12</v>
      </c>
      <c r="M14" s="2845">
        <f>'1951'!$E$36</f>
        <v>3</v>
      </c>
      <c r="N14" s="2845">
        <f>+'1951'!$E$34</f>
        <v>4</v>
      </c>
      <c r="O14" s="2845" t="s">
        <v>103</v>
      </c>
      <c r="P14" s="2845">
        <f t="shared" si="8"/>
        <v>1</v>
      </c>
      <c r="Q14" s="2845">
        <f>+'1951'!$E$32</f>
        <v>20</v>
      </c>
      <c r="T14" s="2922">
        <v>1951</v>
      </c>
      <c r="V14" s="2951">
        <f>+'1951'!$C$33</f>
        <v>274928</v>
      </c>
      <c r="W14" s="2952">
        <f>'1951'!$C$36</f>
        <v>92787</v>
      </c>
      <c r="X14" s="2951">
        <f>+'1951'!$C$34</f>
        <v>62324</v>
      </c>
      <c r="Y14" s="2907" t="s">
        <v>103</v>
      </c>
      <c r="Z14" s="2907">
        <f t="shared" si="9"/>
        <v>33174</v>
      </c>
      <c r="AA14" s="2951">
        <f>+'1951'!$C$32</f>
        <v>463213</v>
      </c>
      <c r="AC14" s="2939">
        <v>92.787000000000006</v>
      </c>
      <c r="AD14" s="2885">
        <v>3</v>
      </c>
      <c r="AE14" s="2885">
        <v>2</v>
      </c>
      <c r="AG14" s="2939"/>
    </row>
    <row r="15" spans="1:35" ht="12.75" customHeight="1">
      <c r="A15" s="3334">
        <v>1955</v>
      </c>
      <c r="B15" s="2947"/>
      <c r="C15" s="3333">
        <f t="shared" si="2"/>
        <v>442.64699999999999</v>
      </c>
      <c r="D15" s="3333" t="str">
        <f t="shared" si="3"/>
        <v>..</v>
      </c>
      <c r="E15" s="3333">
        <f t="shared" si="4"/>
        <v>35.613999999999997</v>
      </c>
      <c r="F15" s="3333" t="str">
        <f t="shared" si="5"/>
        <v>..</v>
      </c>
      <c r="G15" s="3333">
        <f t="shared" si="6"/>
        <v>168.36</v>
      </c>
      <c r="H15" s="3333">
        <f t="shared" si="7"/>
        <v>646.62099999999998</v>
      </c>
      <c r="I15" s="2886"/>
      <c r="J15" s="3334">
        <v>1955</v>
      </c>
      <c r="K15" s="2947"/>
      <c r="L15" s="2845">
        <f>+'1955'!$E$33</f>
        <v>12</v>
      </c>
      <c r="M15" s="2845" t="s">
        <v>103</v>
      </c>
      <c r="N15" s="2845">
        <f>+'1955'!$E$34</f>
        <v>3</v>
      </c>
      <c r="O15" s="2845" t="s">
        <v>103</v>
      </c>
      <c r="P15" s="2845">
        <f t="shared" si="8"/>
        <v>13</v>
      </c>
      <c r="Q15" s="2845">
        <f>+'1955'!$E$32</f>
        <v>28</v>
      </c>
      <c r="T15" s="2922">
        <v>1955</v>
      </c>
      <c r="V15" s="2951">
        <f>+'1955'!$C$33</f>
        <v>442647</v>
      </c>
      <c r="W15" s="2907" t="s">
        <v>103</v>
      </c>
      <c r="X15" s="2951">
        <f>+'1955'!$C$34</f>
        <v>35614</v>
      </c>
      <c r="Y15" s="2907" t="s">
        <v>103</v>
      </c>
      <c r="Z15" s="2907">
        <f t="shared" si="9"/>
        <v>168360</v>
      </c>
      <c r="AA15" s="2951">
        <f>+'1955'!$C$32</f>
        <v>646621</v>
      </c>
      <c r="AC15" s="2939"/>
      <c r="AG15" s="2939">
        <v>152.31</v>
      </c>
      <c r="AH15" s="2885">
        <v>12</v>
      </c>
      <c r="AI15" s="2885">
        <v>2</v>
      </c>
    </row>
    <row r="16" spans="1:35" ht="12.75" customHeight="1">
      <c r="A16" s="3334">
        <v>1959</v>
      </c>
      <c r="B16" s="2947"/>
      <c r="C16" s="3333">
        <f t="shared" si="2"/>
        <v>445.01299999999998</v>
      </c>
      <c r="D16" s="3333" t="str">
        <f t="shared" si="3"/>
        <v>..</v>
      </c>
      <c r="E16" s="3333">
        <f t="shared" si="4"/>
        <v>44.37</v>
      </c>
      <c r="F16" s="3333">
        <f t="shared" si="5"/>
        <v>3.2530000000000001</v>
      </c>
      <c r="G16" s="3333">
        <f t="shared" si="6"/>
        <v>83.477000000000004</v>
      </c>
      <c r="H16" s="3333">
        <f t="shared" si="7"/>
        <v>576.11300000000006</v>
      </c>
      <c r="I16" s="2886"/>
      <c r="J16" s="3334">
        <v>1959</v>
      </c>
      <c r="K16" s="2947"/>
      <c r="L16" s="2845">
        <f>+'1959'!$E$33</f>
        <v>12</v>
      </c>
      <c r="M16" s="2845" t="s">
        <v>103</v>
      </c>
      <c r="N16" s="2845">
        <f>+'1959'!$E$34</f>
        <v>3</v>
      </c>
      <c r="O16" s="2845">
        <f>+'1959'!$E$35</f>
        <v>1</v>
      </c>
      <c r="P16" s="2845">
        <f t="shared" si="8"/>
        <v>13</v>
      </c>
      <c r="Q16" s="2845">
        <f>+'1959'!$E$32</f>
        <v>29</v>
      </c>
      <c r="T16" s="2922">
        <v>1959</v>
      </c>
      <c r="V16" s="2951">
        <f>+'1959'!$C$33</f>
        <v>445013</v>
      </c>
      <c r="W16" s="2907" t="s">
        <v>103</v>
      </c>
      <c r="X16" s="2951">
        <f>+'1959'!$C$34</f>
        <v>44370</v>
      </c>
      <c r="Y16" s="2951">
        <f>+'1959'!$C$35</f>
        <v>3253</v>
      </c>
      <c r="Z16" s="2907">
        <f t="shared" si="9"/>
        <v>83477</v>
      </c>
      <c r="AA16" s="2951">
        <f>+'1959'!$C$32</f>
        <v>576113</v>
      </c>
      <c r="AC16" s="2939"/>
      <c r="AG16" s="2939">
        <v>63.414999999999999</v>
      </c>
      <c r="AH16" s="2885">
        <v>12</v>
      </c>
      <c r="AI16" s="2885">
        <v>0</v>
      </c>
    </row>
    <row r="17" spans="1:33" ht="12.75" customHeight="1">
      <c r="A17" s="3334">
        <v>1964</v>
      </c>
      <c r="B17" s="2947"/>
      <c r="C17" s="3333">
        <f t="shared" si="2"/>
        <v>401.89699999999999</v>
      </c>
      <c r="D17" s="3333" t="str">
        <f t="shared" si="3"/>
        <v>..</v>
      </c>
      <c r="E17" s="3333">
        <f t="shared" si="4"/>
        <v>102.759</v>
      </c>
      <c r="F17" s="3333">
        <f t="shared" si="5"/>
        <v>17.353999999999999</v>
      </c>
      <c r="G17" s="3333">
        <f t="shared" si="6"/>
        <v>116.306</v>
      </c>
      <c r="H17" s="3333">
        <f t="shared" si="7"/>
        <v>638.31600000000003</v>
      </c>
      <c r="I17" s="2886"/>
      <c r="J17" s="3334">
        <v>1964</v>
      </c>
      <c r="K17" s="2947"/>
      <c r="L17" s="2845">
        <f>+'1964'!$E$33</f>
        <v>12</v>
      </c>
      <c r="M17" s="2845" t="s">
        <v>103</v>
      </c>
      <c r="N17" s="2845">
        <f>+'1964'!$E$34</f>
        <v>10</v>
      </c>
      <c r="O17" s="2845">
        <f>+'1964'!$E$35</f>
        <v>4</v>
      </c>
      <c r="P17" s="2845">
        <f t="shared" si="8"/>
        <v>13</v>
      </c>
      <c r="Q17" s="2845">
        <f>+'1964'!$E$32</f>
        <v>39</v>
      </c>
      <c r="T17" s="2922">
        <v>1964</v>
      </c>
      <c r="V17" s="2951">
        <f>+'1964'!$C$33</f>
        <v>401897</v>
      </c>
      <c r="W17" s="2907" t="s">
        <v>103</v>
      </c>
      <c r="X17" s="2951">
        <f>+'1964'!$C$34</f>
        <v>102759</v>
      </c>
      <c r="Y17" s="2951">
        <f>+'1964'!$C$35</f>
        <v>17354</v>
      </c>
      <c r="Z17" s="2907">
        <f t="shared" si="9"/>
        <v>116306</v>
      </c>
      <c r="AA17" s="2951">
        <f>+'1964'!$C$32</f>
        <v>638316</v>
      </c>
      <c r="AC17" s="2939"/>
    </row>
    <row r="18" spans="1:33" ht="12.75" customHeight="1">
      <c r="A18" s="3334">
        <v>1966</v>
      </c>
      <c r="B18" s="2947"/>
      <c r="C18" s="3333">
        <f t="shared" si="2"/>
        <v>368.62900000000002</v>
      </c>
      <c r="D18" s="3333">
        <f t="shared" si="3"/>
        <v>22.167000000000002</v>
      </c>
      <c r="E18" s="3333">
        <f t="shared" si="4"/>
        <v>72.613</v>
      </c>
      <c r="F18" s="3333">
        <f t="shared" si="5"/>
        <v>29.109000000000002</v>
      </c>
      <c r="G18" s="3333">
        <f t="shared" si="6"/>
        <v>103.71899999999999</v>
      </c>
      <c r="H18" s="3333">
        <f t="shared" si="7"/>
        <v>596.23699999999997</v>
      </c>
      <c r="I18" s="2886"/>
      <c r="J18" s="3334">
        <v>1966</v>
      </c>
      <c r="K18" s="2947"/>
      <c r="L18" s="2845">
        <f>+'1966'!$E$29</f>
        <v>12</v>
      </c>
      <c r="M18" s="2845">
        <f>'1966'!$E$32</f>
        <v>1</v>
      </c>
      <c r="N18" s="2845">
        <f>+'1966'!$E$30</f>
        <v>4</v>
      </c>
      <c r="O18" s="2845">
        <f>+'1966'!$E$31</f>
        <v>3</v>
      </c>
      <c r="P18" s="2845">
        <f t="shared" si="8"/>
        <v>7</v>
      </c>
      <c r="Q18" s="2845">
        <f>+'1966'!$E$28</f>
        <v>27</v>
      </c>
      <c r="T18" s="2922">
        <v>1966</v>
      </c>
      <c r="V18" s="2951">
        <f>+'1966'!$C$29</f>
        <v>368629</v>
      </c>
      <c r="W18" s="2951">
        <f>'1966'!$C$32</f>
        <v>22167</v>
      </c>
      <c r="X18" s="2951">
        <f>+'1966'!$C$30</f>
        <v>72613</v>
      </c>
      <c r="Y18" s="2951">
        <f>+'1966'!$C$31</f>
        <v>29109</v>
      </c>
      <c r="Z18" s="2907">
        <f t="shared" si="9"/>
        <v>103719</v>
      </c>
      <c r="AA18" s="2951">
        <f>+'1966'!$C$28</f>
        <v>596237</v>
      </c>
      <c r="AC18" s="2939">
        <v>22.167000000000002</v>
      </c>
      <c r="AD18" s="2885">
        <v>1</v>
      </c>
      <c r="AE18" s="2885">
        <v>0</v>
      </c>
    </row>
    <row r="19" spans="1:33" ht="12.75" customHeight="1">
      <c r="A19" s="3334">
        <v>1970</v>
      </c>
      <c r="B19" s="2947"/>
      <c r="C19" s="3333">
        <f t="shared" si="2"/>
        <v>422.041</v>
      </c>
      <c r="D19" s="3333" t="str">
        <f t="shared" si="3"/>
        <v>..</v>
      </c>
      <c r="E19" s="3333">
        <f t="shared" si="4"/>
        <v>98.194000000000003</v>
      </c>
      <c r="F19" s="3333">
        <f t="shared" si="5"/>
        <v>12.005000000000001</v>
      </c>
      <c r="G19" s="3333">
        <f t="shared" si="6"/>
        <v>246.87299999999999</v>
      </c>
      <c r="H19" s="3333">
        <f t="shared" si="7"/>
        <v>779.11300000000006</v>
      </c>
      <c r="I19" s="2886"/>
      <c r="J19" s="3334">
        <v>1970</v>
      </c>
      <c r="K19" s="2947"/>
      <c r="L19" s="2845">
        <f>+'1970'!$E$27</f>
        <v>12</v>
      </c>
      <c r="M19" s="2845" t="s">
        <v>103</v>
      </c>
      <c r="N19" s="2845">
        <f>+'1970'!$E$28</f>
        <v>7</v>
      </c>
      <c r="O19" s="2845">
        <f>+'1970'!$E$29</f>
        <v>4</v>
      </c>
      <c r="P19" s="2845">
        <f t="shared" si="8"/>
        <v>17</v>
      </c>
      <c r="Q19" s="2845">
        <f>+'1970'!$E$26</f>
        <v>40</v>
      </c>
      <c r="T19" s="2922">
        <v>1970</v>
      </c>
      <c r="V19" s="2951">
        <f>+'1970'!$C$27</f>
        <v>422041</v>
      </c>
      <c r="W19" s="2907" t="s">
        <v>103</v>
      </c>
      <c r="X19" s="2951">
        <f>+'1970'!$C$28</f>
        <v>98194</v>
      </c>
      <c r="Y19" s="2951">
        <f>+'1970'!$C$29</f>
        <v>12005</v>
      </c>
      <c r="Z19" s="2907">
        <f t="shared" si="9"/>
        <v>246873</v>
      </c>
      <c r="AA19" s="2951">
        <f>+'1970'!$C$26</f>
        <v>779113</v>
      </c>
    </row>
    <row r="20" spans="1:33" ht="2.25" customHeight="1">
      <c r="A20" s="3335"/>
      <c r="B20" s="2946"/>
      <c r="C20" s="3336"/>
      <c r="D20" s="3336"/>
      <c r="E20" s="3336"/>
      <c r="F20" s="3336"/>
      <c r="G20" s="3336"/>
      <c r="H20" s="3337"/>
      <c r="I20" s="2886"/>
      <c r="J20" s="3346"/>
      <c r="K20" s="3347"/>
      <c r="L20" s="3367"/>
      <c r="M20" s="3367"/>
      <c r="N20" s="3367"/>
      <c r="O20" s="3367"/>
      <c r="P20" s="3367"/>
      <c r="Q20" s="3367"/>
    </row>
    <row r="21" spans="1:33" s="2919" customFormat="1" ht="15.75" customHeight="1">
      <c r="A21" s="3338"/>
      <c r="B21" s="3339"/>
      <c r="C21" s="3340" t="s">
        <v>2418</v>
      </c>
      <c r="D21" s="3341" t="s">
        <v>2419</v>
      </c>
      <c r="E21" s="3342" t="s">
        <v>2444</v>
      </c>
      <c r="F21" s="3343" t="s">
        <v>2421</v>
      </c>
      <c r="G21" s="3344" t="s">
        <v>1972</v>
      </c>
      <c r="H21" s="3345" t="s">
        <v>16</v>
      </c>
      <c r="I21" s="2921"/>
      <c r="J21" s="3338"/>
      <c r="K21" s="3339"/>
      <c r="L21" s="3340" t="s">
        <v>2418</v>
      </c>
      <c r="M21" s="3341" t="s">
        <v>2419</v>
      </c>
      <c r="N21" s="3342" t="s">
        <v>2444</v>
      </c>
      <c r="O21" s="3343" t="s">
        <v>2421</v>
      </c>
      <c r="P21" s="3344" t="s">
        <v>1972</v>
      </c>
      <c r="Q21" s="3368" t="s">
        <v>16</v>
      </c>
    </row>
    <row r="22" spans="1:33" s="2916" customFormat="1" ht="3" customHeight="1">
      <c r="A22" s="3346"/>
      <c r="B22" s="3347"/>
      <c r="C22" s="3348"/>
      <c r="D22" s="3348"/>
      <c r="E22" s="3348"/>
      <c r="F22" s="3348"/>
      <c r="G22" s="3348"/>
      <c r="H22" s="3348"/>
      <c r="I22" s="2886"/>
      <c r="J22" s="2948"/>
      <c r="K22" s="2946"/>
      <c r="L22" s="2944"/>
      <c r="M22" s="2944"/>
      <c r="N22" s="2944"/>
      <c r="O22" s="2944"/>
      <c r="P22" s="2944"/>
      <c r="Q22" s="2944"/>
      <c r="R22" s="2885"/>
      <c r="S22" s="2885"/>
      <c r="T22" s="2885"/>
      <c r="U22" s="2885"/>
      <c r="V22" s="2885"/>
      <c r="W22" s="2885"/>
      <c r="X22" s="2885"/>
      <c r="Y22" s="2885"/>
      <c r="Z22" s="2885"/>
      <c r="AA22" s="2885"/>
      <c r="AB22" s="2885"/>
      <c r="AC22" s="2885"/>
      <c r="AD22" s="2885"/>
      <c r="AE22" s="2885"/>
      <c r="AF22" s="2885"/>
      <c r="AG22" s="2885"/>
    </row>
    <row r="23" spans="1:33" ht="12.75" customHeight="1">
      <c r="A23" s="3349">
        <v>1974</v>
      </c>
      <c r="B23" s="3350" t="s">
        <v>50</v>
      </c>
      <c r="C23" s="3351">
        <v>326.404</v>
      </c>
      <c r="D23" s="3351">
        <v>160.43700000000001</v>
      </c>
      <c r="E23" s="3351">
        <v>58.655999999999999</v>
      </c>
      <c r="F23" s="3352" t="s">
        <v>103</v>
      </c>
      <c r="G23" s="3351">
        <f t="shared" ref="G23:G32" si="10">H23-SUM(C23:F23)</f>
        <v>172.12900000000002</v>
      </c>
      <c r="H23" s="3353">
        <v>717.62599999999998</v>
      </c>
      <c r="I23" s="2886"/>
      <c r="J23" s="3349">
        <v>1974</v>
      </c>
      <c r="K23" s="3350" t="s">
        <v>50</v>
      </c>
      <c r="L23" s="3369">
        <v>14</v>
      </c>
      <c r="M23" s="3366">
        <v>12</v>
      </c>
      <c r="N23" s="3369">
        <v>2</v>
      </c>
      <c r="O23" s="3352" t="s">
        <v>103</v>
      </c>
      <c r="P23" s="3366">
        <f t="shared" ref="P23:P32" si="11">Q23-SUM(L23:O23)</f>
        <v>20</v>
      </c>
      <c r="Q23" s="3366">
        <v>48</v>
      </c>
    </row>
    <row r="24" spans="1:33" ht="12.75" customHeight="1">
      <c r="A24" s="3349">
        <v>1974</v>
      </c>
      <c r="B24" s="3350" t="s">
        <v>51</v>
      </c>
      <c r="C24" s="3351">
        <v>256.065</v>
      </c>
      <c r="D24" s="3351">
        <v>154.19300000000001</v>
      </c>
      <c r="E24" s="3351">
        <v>59.451000000000001</v>
      </c>
      <c r="F24" s="3352" t="s">
        <v>103</v>
      </c>
      <c r="G24" s="3351">
        <f t="shared" si="10"/>
        <v>232.38499999999999</v>
      </c>
      <c r="H24" s="3353">
        <v>702.09400000000005</v>
      </c>
      <c r="I24" s="2886"/>
      <c r="J24" s="3349">
        <v>1974</v>
      </c>
      <c r="K24" s="3350" t="s">
        <v>51</v>
      </c>
      <c r="L24" s="3369">
        <v>7</v>
      </c>
      <c r="M24" s="3366">
        <v>9</v>
      </c>
      <c r="N24" s="3369">
        <v>2</v>
      </c>
      <c r="O24" s="3352" t="s">
        <v>103</v>
      </c>
      <c r="P24" s="3366">
        <f t="shared" si="11"/>
        <v>25</v>
      </c>
      <c r="Q24" s="3366">
        <v>43</v>
      </c>
    </row>
    <row r="25" spans="1:33" ht="12.75" customHeight="1">
      <c r="A25" s="3349">
        <v>1979</v>
      </c>
      <c r="B25" s="3350"/>
      <c r="C25" s="3351">
        <v>254.578</v>
      </c>
      <c r="D25" s="3351">
        <v>126.325</v>
      </c>
      <c r="E25" s="3351">
        <v>70.974999999999994</v>
      </c>
      <c r="F25" s="3352" t="s">
        <v>103</v>
      </c>
      <c r="G25" s="3351">
        <f t="shared" si="10"/>
        <v>244.0089999999999</v>
      </c>
      <c r="H25" s="3353">
        <v>695.88699999999994</v>
      </c>
      <c r="I25" s="2886"/>
      <c r="J25" s="3349">
        <v>1979</v>
      </c>
      <c r="K25" s="3350"/>
      <c r="L25" s="3369">
        <v>11</v>
      </c>
      <c r="M25" s="3366">
        <v>9</v>
      </c>
      <c r="N25" s="3369">
        <v>5</v>
      </c>
      <c r="O25" s="3352" t="s">
        <v>103</v>
      </c>
      <c r="P25" s="3366">
        <f t="shared" si="11"/>
        <v>39</v>
      </c>
      <c r="Q25" s="3366">
        <v>64</v>
      </c>
    </row>
    <row r="26" spans="1:33" ht="12.75" customHeight="1">
      <c r="A26" s="3349">
        <v>1983</v>
      </c>
      <c r="B26" s="3350"/>
      <c r="C26" s="3351">
        <v>259.952</v>
      </c>
      <c r="D26" s="3351">
        <v>137.012</v>
      </c>
      <c r="E26" s="3351">
        <v>152.749</v>
      </c>
      <c r="F26" s="3353">
        <v>102.70099999999999</v>
      </c>
      <c r="G26" s="3351">
        <f t="shared" si="10"/>
        <v>112.51099999999997</v>
      </c>
      <c r="H26" s="3353">
        <v>764.92499999999995</v>
      </c>
      <c r="I26" s="2886"/>
      <c r="J26" s="3349">
        <v>1983</v>
      </c>
      <c r="K26" s="3350"/>
      <c r="L26" s="3369">
        <v>16</v>
      </c>
      <c r="M26" s="3366">
        <v>17</v>
      </c>
      <c r="N26" s="3369">
        <v>14</v>
      </c>
      <c r="O26" s="3366">
        <v>14</v>
      </c>
      <c r="P26" s="3366">
        <f t="shared" si="11"/>
        <v>34</v>
      </c>
      <c r="Q26" s="3366">
        <v>95</v>
      </c>
    </row>
    <row r="27" spans="1:33" ht="12.75" customHeight="1">
      <c r="A27" s="3349">
        <v>1987</v>
      </c>
      <c r="B27" s="3350"/>
      <c r="C27" s="3351">
        <v>276.23</v>
      </c>
      <c r="D27" s="3351">
        <v>154.08699999999999</v>
      </c>
      <c r="E27" s="3351">
        <v>85.641999999999996</v>
      </c>
      <c r="F27" s="3353">
        <v>83.388999999999996</v>
      </c>
      <c r="G27" s="3351">
        <f t="shared" si="10"/>
        <v>130.75199999999995</v>
      </c>
      <c r="H27" s="3353">
        <v>730.1</v>
      </c>
      <c r="I27" s="2886"/>
      <c r="J27" s="3349">
        <v>1987</v>
      </c>
      <c r="K27" s="3350"/>
      <c r="L27" s="3369">
        <v>12</v>
      </c>
      <c r="M27" s="3366">
        <v>13</v>
      </c>
      <c r="N27" s="3369">
        <v>4</v>
      </c>
      <c r="O27" s="3366">
        <v>14</v>
      </c>
      <c r="P27" s="3366">
        <f t="shared" si="11"/>
        <v>34</v>
      </c>
      <c r="Q27" s="3366">
        <v>77</v>
      </c>
    </row>
    <row r="28" spans="1:33" ht="12.75" customHeight="1">
      <c r="A28" s="3349">
        <v>1992</v>
      </c>
      <c r="B28" s="3350"/>
      <c r="C28" s="3351">
        <v>271.04899999999998</v>
      </c>
      <c r="D28" s="3351">
        <v>154.44499999999999</v>
      </c>
      <c r="E28" s="3351">
        <v>103.039</v>
      </c>
      <c r="F28" s="3353">
        <v>78.290999999999997</v>
      </c>
      <c r="G28" s="3351">
        <f t="shared" si="10"/>
        <v>178.26899999999989</v>
      </c>
      <c r="H28" s="3353">
        <v>785.09299999999996</v>
      </c>
      <c r="I28" s="2886"/>
      <c r="J28" s="3349">
        <v>1992</v>
      </c>
      <c r="K28" s="3350"/>
      <c r="L28" s="3369">
        <v>13</v>
      </c>
      <c r="M28" s="3366">
        <v>13</v>
      </c>
      <c r="N28" s="3369">
        <v>7</v>
      </c>
      <c r="O28" s="3366">
        <v>14</v>
      </c>
      <c r="P28" s="3366">
        <f t="shared" si="11"/>
        <v>53</v>
      </c>
      <c r="Q28" s="3366">
        <v>100</v>
      </c>
    </row>
    <row r="29" spans="1:33" ht="12.75" customHeight="1">
      <c r="A29" s="3349">
        <v>1997</v>
      </c>
      <c r="B29" s="3350"/>
      <c r="C29" s="3351">
        <v>258.34899999999999</v>
      </c>
      <c r="D29" s="3351">
        <v>190.81399999999999</v>
      </c>
      <c r="E29" s="3351">
        <v>107.348</v>
      </c>
      <c r="F29" s="3353">
        <v>126.92100000000001</v>
      </c>
      <c r="G29" s="3351">
        <f t="shared" si="10"/>
        <v>107.32999999999993</v>
      </c>
      <c r="H29" s="3353">
        <v>790.76199999999994</v>
      </c>
      <c r="I29" s="2886"/>
      <c r="J29" s="3349">
        <v>1997</v>
      </c>
      <c r="K29" s="3350"/>
      <c r="L29" s="3369">
        <v>16</v>
      </c>
      <c r="M29" s="3366">
        <v>18</v>
      </c>
      <c r="N29" s="3369">
        <v>9</v>
      </c>
      <c r="O29" s="3366">
        <v>17</v>
      </c>
      <c r="P29" s="3366">
        <f t="shared" si="11"/>
        <v>65</v>
      </c>
      <c r="Q29" s="3366">
        <v>125</v>
      </c>
    </row>
    <row r="30" spans="1:33" ht="12.75" customHeight="1">
      <c r="A30" s="3349">
        <v>2001</v>
      </c>
      <c r="B30" s="3350"/>
      <c r="C30" s="3351">
        <v>216.839</v>
      </c>
      <c r="D30" s="3351">
        <v>169.86500000000001</v>
      </c>
      <c r="E30" s="3351">
        <v>181.999</v>
      </c>
      <c r="F30" s="3354">
        <f>175933/1000</f>
        <v>175.93299999999999</v>
      </c>
      <c r="G30" s="3351">
        <f t="shared" si="10"/>
        <v>65.738000000000056</v>
      </c>
      <c r="H30" s="3354">
        <v>810.37400000000002</v>
      </c>
      <c r="I30" s="2886"/>
      <c r="J30" s="3349">
        <v>2001</v>
      </c>
      <c r="K30" s="3350"/>
      <c r="L30" s="3369">
        <v>17</v>
      </c>
      <c r="M30" s="3366">
        <v>18</v>
      </c>
      <c r="N30" s="3369">
        <v>14</v>
      </c>
      <c r="O30" s="3366">
        <v>18</v>
      </c>
      <c r="P30" s="3366">
        <f t="shared" si="11"/>
        <v>33</v>
      </c>
      <c r="Q30" s="3366">
        <v>100</v>
      </c>
    </row>
    <row r="31" spans="1:33" ht="12.75" customHeight="1">
      <c r="A31" s="3349">
        <v>2005</v>
      </c>
      <c r="B31" s="3350"/>
      <c r="C31" s="3351">
        <v>127.414</v>
      </c>
      <c r="D31" s="3351">
        <v>125.626</v>
      </c>
      <c r="E31" s="3351">
        <v>241.85599999999999</v>
      </c>
      <c r="F31" s="3354">
        <f>174530/1000</f>
        <v>174.53</v>
      </c>
      <c r="G31" s="3351">
        <f t="shared" si="10"/>
        <v>48.175999999999931</v>
      </c>
      <c r="H31" s="3354">
        <v>717.60199999999998</v>
      </c>
      <c r="I31" s="2886"/>
      <c r="J31" s="3349">
        <v>2005</v>
      </c>
      <c r="K31" s="3350"/>
      <c r="L31" s="3369">
        <v>18</v>
      </c>
      <c r="M31" s="3366">
        <v>18</v>
      </c>
      <c r="N31" s="3369">
        <v>18</v>
      </c>
      <c r="O31" s="3366">
        <v>18</v>
      </c>
      <c r="P31" s="3366">
        <f t="shared" si="11"/>
        <v>33</v>
      </c>
      <c r="Q31" s="3366">
        <v>105</v>
      </c>
    </row>
    <row r="32" spans="1:33" ht="12.75" customHeight="1">
      <c r="A32" s="3349">
        <v>2010</v>
      </c>
      <c r="B32" s="3350"/>
      <c r="C32" s="3351">
        <v>102.4</v>
      </c>
      <c r="D32" s="3351">
        <v>111</v>
      </c>
      <c r="E32" s="3351">
        <v>168.2</v>
      </c>
      <c r="F32" s="3354">
        <v>171.9</v>
      </c>
      <c r="G32" s="3351">
        <f t="shared" si="10"/>
        <v>120.39999999999998</v>
      </c>
      <c r="H32" s="3354">
        <v>673.9</v>
      </c>
      <c r="I32" s="2886"/>
      <c r="J32" s="3349">
        <v>2010</v>
      </c>
      <c r="K32" s="3350"/>
      <c r="L32" s="3369">
        <v>17</v>
      </c>
      <c r="M32" s="3366">
        <v>18</v>
      </c>
      <c r="N32" s="3369">
        <v>16</v>
      </c>
      <c r="O32" s="3366">
        <v>17</v>
      </c>
      <c r="P32" s="3366">
        <f t="shared" si="11"/>
        <v>40</v>
      </c>
      <c r="Q32" s="3366">
        <v>108</v>
      </c>
    </row>
    <row r="33" spans="1:33" ht="12" customHeight="1">
      <c r="A33" s="3349">
        <v>2015</v>
      </c>
      <c r="B33" s="3350"/>
      <c r="C33" s="3351">
        <v>114.9</v>
      </c>
      <c r="D33" s="3351">
        <v>99.8</v>
      </c>
      <c r="E33" s="3351">
        <v>184.3</v>
      </c>
      <c r="F33" s="3354">
        <v>176.2</v>
      </c>
      <c r="G33" s="3351">
        <v>142.9</v>
      </c>
      <c r="H33" s="3354">
        <v>718.1</v>
      </c>
      <c r="I33" s="2886"/>
      <c r="J33" s="3349">
        <v>2015</v>
      </c>
      <c r="K33" s="3350"/>
      <c r="L33" s="3369">
        <v>15</v>
      </c>
      <c r="M33" s="3366">
        <v>18</v>
      </c>
      <c r="N33" s="3369">
        <v>16</v>
      </c>
      <c r="O33" s="3366">
        <v>18</v>
      </c>
      <c r="P33" s="3366">
        <v>71</v>
      </c>
      <c r="Q33" s="3366">
        <v>138</v>
      </c>
    </row>
    <row r="34" spans="1:33" ht="12" customHeight="1">
      <c r="A34" s="3355">
        <v>2017</v>
      </c>
      <c r="B34" s="2947"/>
      <c r="C34" s="3351">
        <v>83.28</v>
      </c>
      <c r="D34" s="3351">
        <v>95.418999999999997</v>
      </c>
      <c r="E34" s="3351">
        <v>292.31599999999997</v>
      </c>
      <c r="F34" s="3354">
        <v>238.91499999999999</v>
      </c>
      <c r="G34" s="3351">
        <v>102.253</v>
      </c>
      <c r="H34" s="3356">
        <f>SUM(C34:G34)</f>
        <v>812.18299999999999</v>
      </c>
      <c r="I34" s="2886"/>
      <c r="J34" s="3355">
        <v>2017</v>
      </c>
      <c r="K34" s="2947"/>
      <c r="L34" s="3369">
        <v>14</v>
      </c>
      <c r="M34" s="3366">
        <v>18</v>
      </c>
      <c r="N34" s="3369">
        <v>17</v>
      </c>
      <c r="O34" s="3366">
        <v>18</v>
      </c>
      <c r="P34" s="3366">
        <v>42</v>
      </c>
      <c r="Q34" s="2845">
        <f>SUM(L34:P34)</f>
        <v>109</v>
      </c>
      <c r="S34" s="2923"/>
      <c r="T34" s="2923"/>
      <c r="U34" s="2923"/>
      <c r="V34" s="2923"/>
      <c r="W34" s="2923"/>
      <c r="X34" s="2923"/>
      <c r="Y34" s="2923"/>
      <c r="Z34" s="2923"/>
      <c r="AA34" s="2923"/>
      <c r="AB34" s="2923"/>
      <c r="AC34" s="2923"/>
    </row>
    <row r="35" spans="1:33" ht="12" customHeight="1">
      <c r="A35" s="3355">
        <v>2019</v>
      </c>
      <c r="B35" s="2947"/>
      <c r="C35" s="3351">
        <v>93.123000000000005</v>
      </c>
      <c r="D35" s="3351">
        <v>118.73699999999999</v>
      </c>
      <c r="E35" s="3351">
        <v>244.12799999999999</v>
      </c>
      <c r="F35" s="3354">
        <v>181.85300000000001</v>
      </c>
      <c r="G35" s="3351">
        <f>H35-SUM(C35:F35)</f>
        <v>161.19399999999996</v>
      </c>
      <c r="H35" s="3356">
        <v>799.03499999999997</v>
      </c>
      <c r="I35" s="2886"/>
      <c r="J35" s="3355">
        <v>2019</v>
      </c>
      <c r="K35" s="2947"/>
      <c r="L35" s="3369">
        <v>16</v>
      </c>
      <c r="M35" s="3366">
        <v>15</v>
      </c>
      <c r="N35" s="3369">
        <v>17</v>
      </c>
      <c r="O35" s="3366">
        <v>15</v>
      </c>
      <c r="P35" s="3369">
        <f>Q35-SUM(L35:O35)</f>
        <v>39</v>
      </c>
      <c r="Q35" s="2845">
        <v>102</v>
      </c>
      <c r="S35" s="2923"/>
      <c r="T35" s="2923"/>
      <c r="U35" s="2923"/>
      <c r="V35" s="2923"/>
      <c r="W35" s="2923"/>
      <c r="X35" s="2923"/>
      <c r="Y35" s="2923"/>
      <c r="Z35" s="2923"/>
      <c r="AA35" s="2923"/>
      <c r="AB35" s="2923"/>
      <c r="AC35" s="2923"/>
    </row>
    <row r="36" spans="1:33" ht="7.5" customHeight="1">
      <c r="A36" s="3355"/>
      <c r="B36" s="2947"/>
      <c r="C36" s="3357"/>
      <c r="D36" s="2846"/>
      <c r="E36" s="2846"/>
      <c r="F36" s="2846"/>
      <c r="G36" s="2846"/>
      <c r="H36" s="3210"/>
      <c r="I36" s="2886"/>
      <c r="J36" s="3355"/>
      <c r="K36" s="2947"/>
      <c r="L36" s="3357"/>
      <c r="M36" s="2846"/>
      <c r="N36" s="2846"/>
      <c r="O36" s="2846"/>
      <c r="P36" s="2846"/>
      <c r="Q36" s="3210"/>
      <c r="S36" s="2923"/>
      <c r="T36" s="2923"/>
      <c r="U36" s="2923"/>
      <c r="V36" s="2923"/>
      <c r="W36" s="2923"/>
      <c r="X36" s="2923"/>
      <c r="Y36" s="2923"/>
      <c r="Z36" s="2923"/>
      <c r="AA36" s="2923"/>
      <c r="AB36" s="2923"/>
      <c r="AC36" s="2923"/>
    </row>
    <row r="37" spans="1:33" ht="11.25" customHeight="1">
      <c r="A37" s="2948"/>
      <c r="B37" s="2946"/>
      <c r="C37" s="2945" t="s">
        <v>55</v>
      </c>
      <c r="D37" s="2944"/>
      <c r="E37" s="2944"/>
      <c r="F37" s="2944"/>
      <c r="G37" s="2944"/>
      <c r="H37" s="2944"/>
      <c r="J37" s="2948"/>
      <c r="K37" s="2946"/>
      <c r="L37" s="2945" t="s">
        <v>56</v>
      </c>
      <c r="M37" s="2946"/>
      <c r="N37" s="2946"/>
      <c r="O37" s="2946"/>
      <c r="P37" s="2946"/>
      <c r="Q37" s="2946"/>
      <c r="S37" s="2923"/>
      <c r="T37" s="2923"/>
      <c r="U37" s="2923"/>
      <c r="V37" s="2923"/>
      <c r="W37" s="2923"/>
      <c r="X37" s="2923"/>
      <c r="Y37" s="2923"/>
      <c r="Z37" s="2923"/>
      <c r="AA37" s="2923"/>
      <c r="AB37" s="2923"/>
      <c r="AC37" s="2923"/>
    </row>
    <row r="38" spans="1:33" s="2919" customFormat="1" ht="15.75" customHeight="1">
      <c r="A38" s="2936"/>
      <c r="B38" s="2935"/>
      <c r="C38" s="2934" t="s">
        <v>2440</v>
      </c>
      <c r="D38" s="3358" t="s">
        <v>2441</v>
      </c>
      <c r="E38" s="2932" t="s">
        <v>807</v>
      </c>
      <c r="F38" s="2931" t="s">
        <v>2443</v>
      </c>
      <c r="G38" s="2930" t="s">
        <v>1972</v>
      </c>
      <c r="H38" s="2937" t="s">
        <v>16</v>
      </c>
      <c r="I38" s="2938"/>
      <c r="J38" s="2935"/>
      <c r="K38" s="2935"/>
      <c r="L38" s="2934" t="s">
        <v>2301</v>
      </c>
      <c r="M38" s="3358" t="s">
        <v>1430</v>
      </c>
      <c r="N38" s="2932" t="s">
        <v>699</v>
      </c>
      <c r="O38" s="2931" t="s">
        <v>2302</v>
      </c>
      <c r="P38" s="2930" t="s">
        <v>12</v>
      </c>
      <c r="Q38" s="2937" t="s">
        <v>16</v>
      </c>
      <c r="S38" s="2953"/>
      <c r="T38" s="2954"/>
      <c r="U38" s="2955"/>
      <c r="V38" s="2956"/>
      <c r="W38" s="2957"/>
      <c r="X38" s="2956"/>
      <c r="Y38" s="2958"/>
      <c r="Z38" s="2956"/>
      <c r="AA38" s="2959"/>
      <c r="AB38" s="2959"/>
      <c r="AC38" s="2959"/>
      <c r="AD38" s="2921"/>
      <c r="AE38" s="2921"/>
      <c r="AF38" s="2921"/>
    </row>
    <row r="39" spans="1:33" s="2916" customFormat="1" ht="3" customHeight="1">
      <c r="A39" s="2948"/>
      <c r="B39" s="2946"/>
      <c r="C39" s="2946"/>
      <c r="D39" s="2944"/>
      <c r="E39" s="2946"/>
      <c r="F39" s="2946"/>
      <c r="G39" s="2946"/>
      <c r="H39" s="2946"/>
      <c r="I39" s="2885"/>
      <c r="J39" s="2948"/>
      <c r="K39" s="2946"/>
      <c r="L39" s="2944"/>
      <c r="M39" s="2944"/>
      <c r="N39" s="2944"/>
      <c r="O39" s="2944"/>
      <c r="P39" s="2944"/>
      <c r="Q39" s="2946"/>
      <c r="R39" s="2885"/>
      <c r="S39" s="2923"/>
      <c r="T39" s="2960"/>
      <c r="U39" s="2923"/>
      <c r="V39" s="2923"/>
      <c r="W39" s="2927"/>
      <c r="X39" s="2923"/>
      <c r="Y39" s="2923"/>
      <c r="Z39" s="2923"/>
      <c r="AA39" s="2923"/>
      <c r="AB39" s="2927"/>
      <c r="AC39" s="2923"/>
      <c r="AD39" s="2885"/>
      <c r="AE39" s="2885"/>
      <c r="AF39" s="2885"/>
      <c r="AG39" s="2885"/>
    </row>
    <row r="40" spans="1:33" ht="16">
      <c r="A40" s="3331">
        <v>1918</v>
      </c>
      <c r="B40" s="3332">
        <v>7</v>
      </c>
      <c r="C40" s="2838">
        <f>'1918 '!$C$50</f>
        <v>0.28399999999999997</v>
      </c>
      <c r="D40" s="2846">
        <f>'1918 '!$C$52</f>
        <v>0.22</v>
      </c>
      <c r="E40" s="2846" t="s">
        <v>103</v>
      </c>
      <c r="F40" s="2846" t="s">
        <v>103</v>
      </c>
      <c r="G40" s="2838">
        <f>'1918 '!$C$55</f>
        <v>0.496</v>
      </c>
      <c r="H40" s="3221">
        <v>1</v>
      </c>
      <c r="J40" s="3331">
        <v>1918</v>
      </c>
      <c r="K40" s="3332">
        <v>7</v>
      </c>
      <c r="L40" s="3211">
        <f>'1918 '!$G$50</f>
        <v>23</v>
      </c>
      <c r="M40" s="2806">
        <f>'1918 '!$G$52</f>
        <v>6</v>
      </c>
      <c r="N40" s="2806" t="s">
        <v>103</v>
      </c>
      <c r="O40" s="2806" t="s">
        <v>103</v>
      </c>
      <c r="P40" s="3211">
        <f>'1918 '!$G$55</f>
        <v>72</v>
      </c>
      <c r="Q40" s="2947">
        <f>'1918 '!$G$54</f>
        <v>101</v>
      </c>
      <c r="S40" s="2923"/>
      <c r="T40" s="2923"/>
      <c r="U40" s="2923"/>
      <c r="V40" s="2923"/>
      <c r="W40" s="2923"/>
      <c r="X40" s="2923"/>
      <c r="Y40" s="2923"/>
      <c r="Z40" s="2923"/>
      <c r="AA40" s="2923"/>
      <c r="AB40" s="2927"/>
      <c r="AC40" s="2923"/>
    </row>
    <row r="41" spans="1:33" s="2923" customFormat="1" ht="12.75" customHeight="1">
      <c r="A41" s="3331">
        <v>1922</v>
      </c>
      <c r="B41" s="3332"/>
      <c r="C41" s="2852">
        <f>'1922'!$C$31</f>
        <v>0.55799999999999994</v>
      </c>
      <c r="D41" s="2852">
        <f>'1922'!$C$32</f>
        <v>0.36299999999999999</v>
      </c>
      <c r="E41" s="2852" t="s">
        <v>103</v>
      </c>
      <c r="F41" s="3359" t="s">
        <v>103</v>
      </c>
      <c r="G41" s="2852">
        <f>'1922'!$C$33</f>
        <v>7.9000000000000001E-2</v>
      </c>
      <c r="H41" s="3360">
        <v>1</v>
      </c>
      <c r="I41" s="2927"/>
      <c r="J41" s="3331">
        <v>1922</v>
      </c>
      <c r="K41" s="3365"/>
      <c r="L41" s="3226">
        <f>'1922'!$G$31</f>
        <v>10</v>
      </c>
      <c r="M41" s="3226">
        <f>'1922'!$G$32</f>
        <v>2</v>
      </c>
      <c r="N41" s="3226" t="s">
        <v>103</v>
      </c>
      <c r="O41" s="3364" t="s">
        <v>103</v>
      </c>
      <c r="P41" s="3226">
        <f>'1922'!$G$33</f>
        <v>0</v>
      </c>
      <c r="Q41" s="3365">
        <f>'1922'!$G$34</f>
        <v>12</v>
      </c>
      <c r="AB41" s="2637"/>
      <c r="AC41" s="2637"/>
      <c r="AD41" s="2925"/>
      <c r="AE41" s="2637"/>
      <c r="AF41" s="2637"/>
    </row>
    <row r="42" spans="1:33" ht="12.5" customHeight="1">
      <c r="A42" s="3334">
        <v>1923</v>
      </c>
      <c r="B42" s="2947"/>
      <c r="C42" s="2846">
        <f>'1923'!$C$27</f>
        <v>0.49399999999999999</v>
      </c>
      <c r="D42" s="2846">
        <f>'1923'!$C$28</f>
        <v>0.27300000000000002</v>
      </c>
      <c r="E42" s="2846" t="s">
        <v>103</v>
      </c>
      <c r="F42" s="3352" t="s">
        <v>103</v>
      </c>
      <c r="G42" s="2846">
        <f>'1923'!$C$29</f>
        <v>0.23300000000000001</v>
      </c>
      <c r="H42" s="3210">
        <v>1</v>
      </c>
      <c r="I42" s="2886"/>
      <c r="J42" s="3331">
        <v>1923</v>
      </c>
      <c r="K42" s="3365"/>
      <c r="L42" s="2806">
        <f>'1923'!$G$27</f>
        <v>10</v>
      </c>
      <c r="M42" s="2806">
        <f>'1923'!$G$28</f>
        <v>2</v>
      </c>
      <c r="N42" s="2806" t="s">
        <v>103</v>
      </c>
      <c r="O42" s="3366" t="s">
        <v>103</v>
      </c>
      <c r="P42" s="2806">
        <f>'1923'!$G$29</f>
        <v>0</v>
      </c>
      <c r="Q42" s="2947">
        <f>'1923'!$G$30</f>
        <v>12</v>
      </c>
      <c r="S42" s="2923"/>
      <c r="T42" s="2923"/>
      <c r="U42" s="2923"/>
      <c r="V42" s="2923"/>
      <c r="W42" s="2923"/>
      <c r="X42" s="2923"/>
      <c r="Y42" s="2923"/>
      <c r="Z42" s="2923"/>
      <c r="AA42" s="2923"/>
      <c r="AB42" s="2637"/>
      <c r="AC42" s="2637"/>
      <c r="AD42" s="2914"/>
      <c r="AE42" s="142"/>
      <c r="AF42" s="142"/>
    </row>
    <row r="43" spans="1:33" ht="12.5" customHeight="1">
      <c r="A43" s="3334">
        <v>1924</v>
      </c>
      <c r="B43" s="2947"/>
      <c r="C43" s="2846">
        <f>'1924'!$C$28</f>
        <v>0.83799999999999997</v>
      </c>
      <c r="D43" s="2846" t="s">
        <v>103</v>
      </c>
      <c r="E43" s="2846" t="s">
        <v>103</v>
      </c>
      <c r="F43" s="3352" t="s">
        <v>103</v>
      </c>
      <c r="G43" s="2846">
        <f>'1924'!$C$30+'1924'!$C$29</f>
        <v>0.16200000000000001</v>
      </c>
      <c r="H43" s="3210">
        <v>1</v>
      </c>
      <c r="I43" s="2886"/>
      <c r="J43" s="3331">
        <v>1924</v>
      </c>
      <c r="K43" s="3365"/>
      <c r="L43" s="2806">
        <f>'1924'!$G$28</f>
        <v>12</v>
      </c>
      <c r="M43" s="2806" t="s">
        <v>103</v>
      </c>
      <c r="N43" s="2806" t="s">
        <v>103</v>
      </c>
      <c r="O43" s="3366" t="s">
        <v>103</v>
      </c>
      <c r="P43" s="2806">
        <f>'1924'!$G$30+'1924'!$G$29</f>
        <v>0</v>
      </c>
      <c r="Q43" s="2947">
        <f>'1924'!$G$31</f>
        <v>12</v>
      </c>
      <c r="AB43" s="142"/>
      <c r="AC43" s="142"/>
      <c r="AD43" s="2914"/>
      <c r="AE43" s="142"/>
      <c r="AF43" s="142"/>
    </row>
    <row r="44" spans="1:33" ht="12.75" customHeight="1">
      <c r="A44" s="3334">
        <v>1929</v>
      </c>
      <c r="B44" s="2947"/>
      <c r="C44" s="2846">
        <f>'1929'!$C$30</f>
        <v>0.68</v>
      </c>
      <c r="D44" s="2846">
        <f>'1929'!$C$32</f>
        <v>6.6000000000000003E-2</v>
      </c>
      <c r="E44" s="2846" t="s">
        <v>103</v>
      </c>
      <c r="F44" s="2846">
        <f>'1929'!$C$31</f>
        <v>0.16800000000000001</v>
      </c>
      <c r="G44" s="2846">
        <f>'1929'!$C$33</f>
        <v>8.5999999999999993E-2</v>
      </c>
      <c r="H44" s="3210">
        <v>1</v>
      </c>
      <c r="I44" s="2886"/>
      <c r="J44" s="3331">
        <v>1929</v>
      </c>
      <c r="K44" s="3365"/>
      <c r="L44" s="2806">
        <f>'1929'!$G$30</f>
        <v>10</v>
      </c>
      <c r="M44" s="2806">
        <f>'1929'!$G$32</f>
        <v>2</v>
      </c>
      <c r="N44" s="2806" t="s">
        <v>103</v>
      </c>
      <c r="O44" s="2806">
        <f>'1929'!$G$31</f>
        <v>0</v>
      </c>
      <c r="P44" s="2806">
        <f>'1929'!$G$33</f>
        <v>0</v>
      </c>
      <c r="Q44" s="2947">
        <f>'1929'!$G$34</f>
        <v>12</v>
      </c>
      <c r="AB44" s="142"/>
      <c r="AC44" s="142"/>
      <c r="AD44" s="142"/>
      <c r="AE44" s="142"/>
      <c r="AF44" s="142"/>
    </row>
    <row r="45" spans="1:33" ht="12.75" customHeight="1">
      <c r="A45" s="3334">
        <v>1931</v>
      </c>
      <c r="B45" s="2947"/>
      <c r="C45" s="2846">
        <f>'1931'!$C$47</f>
        <v>0.56100000000000005</v>
      </c>
      <c r="D45" s="2846">
        <f>'1931'!$C$49</f>
        <v>0.38900000000000001</v>
      </c>
      <c r="E45" s="2846">
        <f>'1931'!$C$48</f>
        <v>0.05</v>
      </c>
      <c r="F45" s="2846" t="s">
        <v>103</v>
      </c>
      <c r="G45" s="2846" t="s">
        <v>103</v>
      </c>
      <c r="H45" s="3210">
        <f>SUM(C45:E45)</f>
        <v>1</v>
      </c>
      <c r="I45" s="2886"/>
      <c r="J45" s="3331">
        <v>1931</v>
      </c>
      <c r="K45" s="3365"/>
      <c r="L45" s="2806">
        <f>'1931'!$G$47</f>
        <v>10</v>
      </c>
      <c r="M45" s="2806">
        <f>'1931'!$G$49</f>
        <v>2</v>
      </c>
      <c r="N45" s="2806">
        <f>'1931'!$G$48</f>
        <v>0</v>
      </c>
      <c r="O45" s="2806" t="s">
        <v>103</v>
      </c>
      <c r="P45" s="2806" t="s">
        <v>103</v>
      </c>
      <c r="Q45" s="2947">
        <f>'1931'!$G$50</f>
        <v>12</v>
      </c>
      <c r="AB45" s="142"/>
      <c r="AC45" s="142"/>
      <c r="AD45" s="142"/>
      <c r="AE45" s="142"/>
      <c r="AF45" s="142"/>
    </row>
    <row r="46" spans="1:33" ht="12.75" customHeight="1">
      <c r="A46" s="3334">
        <v>1935</v>
      </c>
      <c r="B46" s="2947"/>
      <c r="C46" s="2846">
        <f>'1935'!$C$43</f>
        <v>0.64900000000000002</v>
      </c>
      <c r="D46" s="2846">
        <f>'1935'!$C$45</f>
        <v>0.183</v>
      </c>
      <c r="E46" s="2846" t="s">
        <v>103</v>
      </c>
      <c r="F46" s="2846" t="s">
        <v>103</v>
      </c>
      <c r="G46" s="2846">
        <f>'1935'!$C$46</f>
        <v>0.16800000000000001</v>
      </c>
      <c r="H46" s="3210">
        <f>SUM(C46:G46)</f>
        <v>1</v>
      </c>
      <c r="I46" s="2886"/>
      <c r="J46" s="3331">
        <v>1935</v>
      </c>
      <c r="K46" s="3365"/>
      <c r="L46" s="2806">
        <f>'1935'!$G$43</f>
        <v>10</v>
      </c>
      <c r="M46" s="2806">
        <f>'1935'!$G$45</f>
        <v>2</v>
      </c>
      <c r="N46" s="2806" t="s">
        <v>103</v>
      </c>
      <c r="O46" s="2806" t="s">
        <v>103</v>
      </c>
      <c r="P46" s="2806">
        <f>'1935'!$G$46</f>
        <v>0</v>
      </c>
      <c r="Q46" s="2947">
        <f>'1935'!$G$47</f>
        <v>12</v>
      </c>
      <c r="AB46" s="142"/>
      <c r="AC46" s="142"/>
      <c r="AD46" s="142"/>
      <c r="AE46" s="142"/>
      <c r="AF46" s="142"/>
    </row>
    <row r="47" spans="1:33" ht="12.75" customHeight="1">
      <c r="A47" s="3334">
        <v>1945</v>
      </c>
      <c r="B47" s="2947"/>
      <c r="C47" s="2846">
        <f>+'1945'!$D$35</f>
        <v>0.53700000000000003</v>
      </c>
      <c r="D47" s="2846">
        <f>'1945'!$D$37</f>
        <v>0.188</v>
      </c>
      <c r="E47" s="2846">
        <f>+'1945'!$D$36</f>
        <v>0.114</v>
      </c>
      <c r="F47" s="2846" t="s">
        <v>103</v>
      </c>
      <c r="G47" s="2846">
        <f>H47-SUM(C47:F47)</f>
        <v>0.16099999999999992</v>
      </c>
      <c r="H47" s="3234">
        <f>+'1945'!$D$34</f>
        <v>1</v>
      </c>
      <c r="I47" s="2886"/>
      <c r="J47" s="3334">
        <v>1945</v>
      </c>
      <c r="K47" s="2947"/>
      <c r="L47" s="2845">
        <f>+'1945'!$F$35</f>
        <v>8</v>
      </c>
      <c r="M47" s="2845">
        <f>'1945'!$F$37</f>
        <v>2</v>
      </c>
      <c r="N47" s="2845">
        <f>+'1945'!$F$36</f>
        <v>0</v>
      </c>
      <c r="O47" s="2845" t="s">
        <v>103</v>
      </c>
      <c r="P47" s="2845">
        <f>Q47-SUM(L47:O47)</f>
        <v>2</v>
      </c>
      <c r="Q47" s="2845">
        <f>+'1945'!$F$34</f>
        <v>12</v>
      </c>
      <c r="T47" s="2922"/>
      <c r="V47" s="2907"/>
      <c r="W47" s="2907"/>
      <c r="X47" s="2907"/>
      <c r="Y47" s="2907"/>
      <c r="Z47" s="2907"/>
      <c r="AA47" s="2907"/>
      <c r="AB47" s="142"/>
      <c r="AC47" s="142"/>
      <c r="AD47" s="2914"/>
      <c r="AE47" s="142"/>
      <c r="AF47" s="142"/>
    </row>
    <row r="48" spans="1:33" ht="12.75" customHeight="1">
      <c r="A48" s="3334">
        <v>1950</v>
      </c>
      <c r="B48" s="2947"/>
      <c r="C48" s="2846">
        <f>+'1950'!$D$33</f>
        <v>0.62755638200478059</v>
      </c>
      <c r="D48" s="2846">
        <f>'1950'!$D$36</f>
        <v>0.11614995778696846</v>
      </c>
      <c r="E48" s="2846">
        <f>+'1950'!$D$34</f>
        <v>0.12078982897488236</v>
      </c>
      <c r="F48" s="2846" t="s">
        <v>103</v>
      </c>
      <c r="G48" s="2846">
        <f t="shared" ref="G48:G54" si="12">+H48-SUM(C48:F48)</f>
        <v>0.13550383123336862</v>
      </c>
      <c r="H48" s="3234">
        <f>+'1950'!$D$32</f>
        <v>1</v>
      </c>
      <c r="I48" s="2886"/>
      <c r="J48" s="3334">
        <v>1950</v>
      </c>
      <c r="K48" s="2947"/>
      <c r="L48" s="2845">
        <f>+'1950'!$F$33</f>
        <v>10</v>
      </c>
      <c r="M48" s="2845">
        <f>'1950'!$F$36</f>
        <v>2</v>
      </c>
      <c r="N48" s="2845">
        <f>+'1950'!$F$34</f>
        <v>0</v>
      </c>
      <c r="O48" s="2845" t="s">
        <v>103</v>
      </c>
      <c r="P48" s="2845">
        <f t="shared" ref="P48:P54" si="13">+Q48-SUM(L48:O48)</f>
        <v>0</v>
      </c>
      <c r="Q48" s="2845">
        <f>+'1950'!$F$32</f>
        <v>12</v>
      </c>
      <c r="T48" s="2922"/>
      <c r="V48" s="2907"/>
      <c r="W48" s="2907"/>
      <c r="X48" s="2907"/>
      <c r="Y48" s="2907"/>
      <c r="Z48" s="2907"/>
      <c r="AA48" s="2907"/>
      <c r="AB48" s="142"/>
      <c r="AC48" s="142"/>
      <c r="AD48" s="2914"/>
      <c r="AE48" s="142"/>
      <c r="AF48" s="142"/>
    </row>
    <row r="49" spans="1:33" ht="12.75" customHeight="1">
      <c r="A49" s="3334">
        <v>1951</v>
      </c>
      <c r="B49" s="2947"/>
      <c r="C49" s="2846">
        <f>+'1951'!$D$33</f>
        <v>0.59352392959610378</v>
      </c>
      <c r="D49" s="2846">
        <f>'1951'!$D$36</f>
        <v>0.20031173563781673</v>
      </c>
      <c r="E49" s="2846">
        <f>+'1951'!$D$34</f>
        <v>0.13454717376239442</v>
      </c>
      <c r="F49" s="2846" t="s">
        <v>103</v>
      </c>
      <c r="G49" s="2846">
        <f t="shared" si="12"/>
        <v>7.1617161003685093E-2</v>
      </c>
      <c r="H49" s="3234">
        <f>+'1951'!$D$32</f>
        <v>1</v>
      </c>
      <c r="I49" s="2886"/>
      <c r="J49" s="3334">
        <v>1951</v>
      </c>
      <c r="K49" s="2947"/>
      <c r="L49" s="2845">
        <f>+'1951'!$F$33</f>
        <v>9</v>
      </c>
      <c r="M49" s="2845">
        <f>'1951'!$F$36</f>
        <v>2</v>
      </c>
      <c r="N49" s="2845">
        <f>+'1951'!$F$34</f>
        <v>0</v>
      </c>
      <c r="O49" s="2845" t="s">
        <v>103</v>
      </c>
      <c r="P49" s="2845">
        <f t="shared" si="13"/>
        <v>1</v>
      </c>
      <c r="Q49" s="2845">
        <f>+'1951'!$F$32</f>
        <v>12</v>
      </c>
      <c r="T49" s="2922"/>
      <c r="V49" s="2907"/>
      <c r="W49" s="2907"/>
      <c r="X49" s="2907"/>
      <c r="Y49" s="2907"/>
      <c r="Z49" s="2907"/>
      <c r="AA49" s="2907"/>
      <c r="AB49" s="142"/>
      <c r="AC49" s="142"/>
      <c r="AD49" s="2914"/>
      <c r="AE49" s="142"/>
      <c r="AF49" s="142"/>
    </row>
    <row r="50" spans="1:33" ht="12.75" customHeight="1">
      <c r="A50" s="3334">
        <v>1955</v>
      </c>
      <c r="B50" s="2947"/>
      <c r="C50" s="2846">
        <f>+'1955'!$D$33</f>
        <v>0.6845540123194267</v>
      </c>
      <c r="D50" s="2846" t="s">
        <v>103</v>
      </c>
      <c r="E50" s="2846">
        <f>+'1955'!$D$34</f>
        <v>5.5077085340562708E-2</v>
      </c>
      <c r="F50" s="2846" t="s">
        <v>103</v>
      </c>
      <c r="G50" s="2846">
        <f t="shared" si="12"/>
        <v>0.26036890234001064</v>
      </c>
      <c r="H50" s="3234">
        <f>+'1955'!$D$32</f>
        <v>1</v>
      </c>
      <c r="I50" s="2886"/>
      <c r="J50" s="3334">
        <v>1955</v>
      </c>
      <c r="K50" s="2947"/>
      <c r="L50" s="2845">
        <f>+'1955'!$F$33</f>
        <v>10</v>
      </c>
      <c r="M50" s="2845" t="s">
        <v>103</v>
      </c>
      <c r="N50" s="2845">
        <f>+'1955'!$F$34</f>
        <v>0</v>
      </c>
      <c r="O50" s="2845" t="s">
        <v>103</v>
      </c>
      <c r="P50" s="2845">
        <f t="shared" si="13"/>
        <v>2</v>
      </c>
      <c r="Q50" s="2845">
        <f>+'1955'!$F$32</f>
        <v>12</v>
      </c>
      <c r="T50" s="2922"/>
      <c r="V50" s="2907"/>
      <c r="W50" s="2907"/>
      <c r="X50" s="2907"/>
      <c r="Y50" s="2907"/>
      <c r="Z50" s="2907"/>
      <c r="AA50" s="2907"/>
      <c r="AB50" s="142"/>
      <c r="AC50" s="142"/>
      <c r="AD50" s="2914"/>
      <c r="AE50" s="142"/>
      <c r="AF50" s="142"/>
    </row>
    <row r="51" spans="1:33" ht="12.75" customHeight="1">
      <c r="A51" s="3334">
        <v>1959</v>
      </c>
      <c r="B51" s="2947"/>
      <c r="C51" s="2846">
        <f>+'1959'!$D$33</f>
        <v>0.77244047608715649</v>
      </c>
      <c r="D51" s="2846" t="s">
        <v>103</v>
      </c>
      <c r="E51" s="2846">
        <f>+'1959'!$D$34</f>
        <v>7.701614093068547E-2</v>
      </c>
      <c r="F51" s="2846">
        <f>+'1959'!$D$35</f>
        <v>5.6464617184475959E-3</v>
      </c>
      <c r="G51" s="2846">
        <f t="shared" si="12"/>
        <v>0.14489692126371045</v>
      </c>
      <c r="H51" s="3234">
        <f>+'1959'!$D$32</f>
        <v>1</v>
      </c>
      <c r="I51" s="2886"/>
      <c r="J51" s="3334">
        <v>1959</v>
      </c>
      <c r="K51" s="2947"/>
      <c r="L51" s="2845">
        <f>+'1959'!$F$33</f>
        <v>12</v>
      </c>
      <c r="M51" s="2845" t="s">
        <v>103</v>
      </c>
      <c r="N51" s="2845">
        <f>+'1959'!$F$34</f>
        <v>0</v>
      </c>
      <c r="O51" s="2845">
        <f>+'1959'!$F$35</f>
        <v>0</v>
      </c>
      <c r="P51" s="2845">
        <f t="shared" si="13"/>
        <v>0</v>
      </c>
      <c r="Q51" s="2845">
        <f>+'1959'!$F$32</f>
        <v>12</v>
      </c>
      <c r="T51" s="2922"/>
      <c r="V51" s="2907"/>
      <c r="W51" s="2907"/>
      <c r="X51" s="2907"/>
      <c r="Y51" s="2907"/>
      <c r="Z51" s="2907"/>
      <c r="AA51" s="2907"/>
      <c r="AB51" s="142"/>
      <c r="AC51" s="142"/>
      <c r="AD51" s="142"/>
      <c r="AE51" s="142"/>
      <c r="AF51" s="142"/>
    </row>
    <row r="52" spans="1:33" ht="12.75" customHeight="1">
      <c r="A52" s="3334">
        <v>1964</v>
      </c>
      <c r="B52" s="2947"/>
      <c r="C52" s="2846">
        <f>+'1964'!$D$33</f>
        <v>0.62962075210397361</v>
      </c>
      <c r="D52" s="2846" t="s">
        <v>103</v>
      </c>
      <c r="E52" s="2846">
        <f>+'1964'!$D$34</f>
        <v>0.16098452803940369</v>
      </c>
      <c r="F52" s="2846">
        <f>+'1964'!$D$35</f>
        <v>2.7187161217954742E-2</v>
      </c>
      <c r="G52" s="2846">
        <f t="shared" si="12"/>
        <v>0.182207558638668</v>
      </c>
      <c r="H52" s="3234">
        <f>+'1964'!$D$32</f>
        <v>1</v>
      </c>
      <c r="I52" s="2886"/>
      <c r="J52" s="3334">
        <v>1964</v>
      </c>
      <c r="K52" s="2947"/>
      <c r="L52" s="2845">
        <f>+'1964'!$F$33</f>
        <v>12</v>
      </c>
      <c r="M52" s="2845" t="s">
        <v>103</v>
      </c>
      <c r="N52" s="2845">
        <f>+'1964'!$F$34</f>
        <v>0</v>
      </c>
      <c r="O52" s="2845">
        <f>+'1964'!$F$35</f>
        <v>0</v>
      </c>
      <c r="P52" s="2845">
        <f t="shared" si="13"/>
        <v>0</v>
      </c>
      <c r="Q52" s="2845">
        <f>+'1964'!$F$32</f>
        <v>12</v>
      </c>
      <c r="T52" s="2922"/>
      <c r="V52" s="2907"/>
      <c r="W52" s="2907"/>
      <c r="X52" s="2907"/>
      <c r="Y52" s="2907"/>
      <c r="Z52" s="2907"/>
      <c r="AA52" s="2907"/>
      <c r="AB52" s="142"/>
      <c r="AC52" s="142"/>
      <c r="AD52" s="142"/>
      <c r="AE52" s="142"/>
      <c r="AF52" s="142"/>
    </row>
    <row r="53" spans="1:33" ht="12.75" customHeight="1">
      <c r="A53" s="3334">
        <v>1966</v>
      </c>
      <c r="B53" s="2947"/>
      <c r="C53" s="2846">
        <f>+'1966'!$D$29</f>
        <v>0.61825918217084819</v>
      </c>
      <c r="D53" s="2846">
        <f>'1966'!$D$32</f>
        <v>3.7178169083770377E-2</v>
      </c>
      <c r="E53" s="2846">
        <f>+'1966'!$D$30</f>
        <v>0.12178546450488648</v>
      </c>
      <c r="F53" s="2846">
        <f>+'1966'!$D$31</f>
        <v>4.8821190231401274E-2</v>
      </c>
      <c r="G53" s="2846">
        <f t="shared" si="12"/>
        <v>0.17395599400909367</v>
      </c>
      <c r="H53" s="3234">
        <f>+'1966'!$D$28</f>
        <v>1</v>
      </c>
      <c r="I53" s="2886"/>
      <c r="J53" s="3334">
        <v>1966</v>
      </c>
      <c r="K53" s="2947"/>
      <c r="L53" s="2845">
        <f>+'1966'!$F$29</f>
        <v>11</v>
      </c>
      <c r="M53" s="2845">
        <f>'1966'!$F$32</f>
        <v>0</v>
      </c>
      <c r="N53" s="2845">
        <f>+'1966'!$F$30</f>
        <v>0</v>
      </c>
      <c r="O53" s="2845">
        <f>+'1966'!$F$31</f>
        <v>0</v>
      </c>
      <c r="P53" s="2845">
        <f t="shared" si="13"/>
        <v>1</v>
      </c>
      <c r="Q53" s="2845">
        <f>+'1966'!$F$28</f>
        <v>12</v>
      </c>
      <c r="T53" s="2922"/>
      <c r="V53" s="2907"/>
      <c r="W53" s="2907"/>
      <c r="X53" s="2907"/>
      <c r="Y53" s="2907"/>
      <c r="Z53" s="2907"/>
      <c r="AA53" s="2907"/>
      <c r="AB53" s="142"/>
      <c r="AC53" s="142"/>
      <c r="AD53" s="142"/>
      <c r="AE53" s="142"/>
      <c r="AF53" s="142"/>
    </row>
    <row r="54" spans="1:33" ht="12.75" customHeight="1">
      <c r="A54" s="3334">
        <v>1970</v>
      </c>
      <c r="B54" s="2947"/>
      <c r="C54" s="2846">
        <f>+'1970'!$D$27</f>
        <v>0.54169420867062934</v>
      </c>
      <c r="D54" s="2846" t="s">
        <v>103</v>
      </c>
      <c r="E54" s="2846">
        <f>+'1970'!$D$28</f>
        <v>0.12603306580688553</v>
      </c>
      <c r="F54" s="2846">
        <f>+'1970'!$D$29</f>
        <v>1.5408547925653916E-2</v>
      </c>
      <c r="G54" s="2846">
        <f t="shared" si="12"/>
        <v>0.31686417759683116</v>
      </c>
      <c r="H54" s="3234">
        <f>+'1970'!$D$26</f>
        <v>1</v>
      </c>
      <c r="I54" s="2886"/>
      <c r="J54" s="3334">
        <v>1970</v>
      </c>
      <c r="K54" s="2947"/>
      <c r="L54" s="2845">
        <f>+'1970'!$F$27</f>
        <v>8</v>
      </c>
      <c r="M54" s="2845" t="s">
        <v>103</v>
      </c>
      <c r="N54" s="2845">
        <f>+'1970'!$F$28</f>
        <v>0</v>
      </c>
      <c r="O54" s="2845">
        <f>+'1970'!$F$29</f>
        <v>0</v>
      </c>
      <c r="P54" s="2845">
        <f t="shared" si="13"/>
        <v>4</v>
      </c>
      <c r="Q54" s="2845">
        <f>+'1970'!$F$26</f>
        <v>12</v>
      </c>
      <c r="T54" s="2922"/>
      <c r="V54" s="2907"/>
      <c r="W54" s="2907"/>
      <c r="X54" s="2907"/>
      <c r="Y54" s="2907"/>
      <c r="Z54" s="2907"/>
      <c r="AA54" s="2907"/>
      <c r="AB54" s="142"/>
      <c r="AC54" s="142"/>
      <c r="AD54" s="142"/>
      <c r="AE54" s="142"/>
      <c r="AF54" s="142"/>
    </row>
    <row r="55" spans="1:33" ht="4.5" customHeight="1">
      <c r="A55" s="3335"/>
      <c r="B55" s="2946"/>
      <c r="C55" s="3336"/>
      <c r="D55" s="3336"/>
      <c r="E55" s="3336"/>
      <c r="F55" s="3336"/>
      <c r="G55" s="3336"/>
      <c r="H55" s="3337"/>
      <c r="I55" s="2886"/>
      <c r="J55" s="3346"/>
      <c r="K55" s="3347"/>
      <c r="L55" s="3367"/>
      <c r="M55" s="3367"/>
      <c r="N55" s="3367"/>
      <c r="O55" s="3367"/>
      <c r="P55" s="3367"/>
      <c r="Q55" s="3367"/>
      <c r="AB55" s="142"/>
      <c r="AC55" s="142"/>
      <c r="AD55" s="142"/>
      <c r="AE55" s="142"/>
      <c r="AF55" s="142"/>
    </row>
    <row r="56" spans="1:33" s="2919" customFormat="1" ht="15.75" customHeight="1">
      <c r="A56" s="3338"/>
      <c r="B56" s="3339"/>
      <c r="C56" s="3340" t="s">
        <v>2418</v>
      </c>
      <c r="D56" s="3341" t="s">
        <v>2419</v>
      </c>
      <c r="E56" s="3342" t="s">
        <v>2444</v>
      </c>
      <c r="F56" s="3343" t="s">
        <v>2421</v>
      </c>
      <c r="G56" s="3344" t="s">
        <v>1972</v>
      </c>
      <c r="H56" s="3345" t="s">
        <v>16</v>
      </c>
      <c r="I56" s="2921"/>
      <c r="J56" s="3338"/>
      <c r="K56" s="3339"/>
      <c r="L56" s="3340" t="s">
        <v>2418</v>
      </c>
      <c r="M56" s="3341" t="s">
        <v>2419</v>
      </c>
      <c r="N56" s="3342" t="s">
        <v>2444</v>
      </c>
      <c r="O56" s="3343" t="s">
        <v>2421</v>
      </c>
      <c r="P56" s="3344" t="s">
        <v>1972</v>
      </c>
      <c r="Q56" s="3368" t="s">
        <v>16</v>
      </c>
      <c r="V56" s="2885"/>
      <c r="W56" s="2885"/>
      <c r="X56" s="2885"/>
      <c r="Y56" s="2885"/>
      <c r="Z56" s="2885"/>
      <c r="AA56" s="2885"/>
      <c r="AB56" s="2920"/>
      <c r="AC56" s="2920"/>
      <c r="AD56" s="2920"/>
      <c r="AE56" s="2920"/>
      <c r="AF56" s="2920"/>
    </row>
    <row r="57" spans="1:33" s="2916" customFormat="1" ht="3" customHeight="1">
      <c r="A57" s="3346"/>
      <c r="B57" s="3347"/>
      <c r="C57" s="3348"/>
      <c r="D57" s="3348"/>
      <c r="E57" s="3348"/>
      <c r="F57" s="3348"/>
      <c r="G57" s="3348"/>
      <c r="H57" s="3361"/>
      <c r="I57" s="2886"/>
      <c r="J57" s="2948"/>
      <c r="K57" s="2946"/>
      <c r="L57" s="2944"/>
      <c r="M57" s="2944"/>
      <c r="N57" s="2944"/>
      <c r="O57" s="2944"/>
      <c r="P57" s="2944"/>
      <c r="Q57" s="2944"/>
      <c r="R57" s="2885"/>
      <c r="S57" s="2885"/>
      <c r="T57" s="2885"/>
      <c r="U57" s="2885"/>
      <c r="V57" s="2885"/>
      <c r="W57" s="2885"/>
      <c r="X57" s="2885"/>
      <c r="Y57" s="2885"/>
      <c r="Z57" s="2885"/>
      <c r="AA57" s="2885"/>
      <c r="AB57" s="2909"/>
      <c r="AC57" s="2909"/>
      <c r="AD57" s="2909"/>
      <c r="AE57" s="2909"/>
      <c r="AF57" s="2909"/>
      <c r="AG57" s="2885"/>
    </row>
    <row r="58" spans="1:33" ht="12.75" customHeight="1">
      <c r="A58" s="3349">
        <v>1974</v>
      </c>
      <c r="B58" s="3350" t="s">
        <v>50</v>
      </c>
      <c r="C58" s="3362">
        <v>0.45483859280460853</v>
      </c>
      <c r="D58" s="3362">
        <v>0.22356631448693332</v>
      </c>
      <c r="E58" s="3362">
        <v>8.1736168979384807E-2</v>
      </c>
      <c r="F58" s="3362" t="s">
        <v>103</v>
      </c>
      <c r="G58" s="3362">
        <v>0.23985892372907339</v>
      </c>
      <c r="H58" s="3363">
        <v>1</v>
      </c>
      <c r="I58" s="161"/>
      <c r="J58" s="3370">
        <v>1974</v>
      </c>
      <c r="K58" s="3350" t="s">
        <v>50</v>
      </c>
      <c r="L58" s="3366">
        <v>7</v>
      </c>
      <c r="M58" s="3366">
        <v>1</v>
      </c>
      <c r="N58" s="3366">
        <v>1</v>
      </c>
      <c r="O58" s="3352" t="s">
        <v>103</v>
      </c>
      <c r="P58" s="3369">
        <f t="shared" ref="P58:P67" si="14">Q58-SUM(L58:O58)</f>
        <v>3</v>
      </c>
      <c r="Q58" s="3371">
        <v>12</v>
      </c>
      <c r="AB58" s="2911"/>
      <c r="AC58" s="2911"/>
      <c r="AD58" s="2911"/>
      <c r="AE58" s="2911"/>
      <c r="AF58" s="2911"/>
    </row>
    <row r="59" spans="1:33" ht="12.75" customHeight="1">
      <c r="A59" s="3349">
        <v>1974</v>
      </c>
      <c r="B59" s="3350" t="s">
        <v>51</v>
      </c>
      <c r="C59" s="3362">
        <v>0.36471612063341941</v>
      </c>
      <c r="D59" s="3362">
        <v>0.21961874051052993</v>
      </c>
      <c r="E59" s="3362">
        <v>8.4676695713109637E-2</v>
      </c>
      <c r="F59" s="3362" t="s">
        <v>103</v>
      </c>
      <c r="G59" s="3362">
        <v>0.33098844314294096</v>
      </c>
      <c r="H59" s="3363">
        <v>1</v>
      </c>
      <c r="I59" s="2915"/>
      <c r="J59" s="3370">
        <v>1974</v>
      </c>
      <c r="K59" s="3350" t="s">
        <v>51</v>
      </c>
      <c r="L59" s="3366">
        <v>6</v>
      </c>
      <c r="M59" s="3366">
        <v>1</v>
      </c>
      <c r="N59" s="3366">
        <v>1</v>
      </c>
      <c r="O59" s="3352" t="s">
        <v>103</v>
      </c>
      <c r="P59" s="3369">
        <f t="shared" si="14"/>
        <v>4</v>
      </c>
      <c r="Q59" s="3371">
        <v>12</v>
      </c>
      <c r="AB59" s="2911"/>
      <c r="AC59" s="2911"/>
      <c r="AD59" s="2911"/>
      <c r="AE59" s="2911"/>
      <c r="AF59" s="2911"/>
    </row>
    <row r="60" spans="1:33" ht="12.75" customHeight="1">
      <c r="A60" s="3349">
        <v>1979</v>
      </c>
      <c r="B60" s="3350"/>
      <c r="C60" s="3362">
        <v>0.36583238370597526</v>
      </c>
      <c r="D60" s="3362">
        <v>0.18153090947237124</v>
      </c>
      <c r="E60" s="3362">
        <v>0.10199213378034078</v>
      </c>
      <c r="F60" s="3362" t="s">
        <v>103</v>
      </c>
      <c r="G60" s="3362">
        <v>0.35064457304131263</v>
      </c>
      <c r="H60" s="3363">
        <v>1</v>
      </c>
      <c r="I60" s="2915"/>
      <c r="J60" s="3370">
        <v>1979</v>
      </c>
      <c r="K60" s="3350"/>
      <c r="L60" s="3366">
        <v>5</v>
      </c>
      <c r="M60" s="3366">
        <v>1</v>
      </c>
      <c r="N60" s="3366">
        <v>3</v>
      </c>
      <c r="O60" s="3352" t="s">
        <v>103</v>
      </c>
      <c r="P60" s="3369">
        <f t="shared" si="14"/>
        <v>3</v>
      </c>
      <c r="Q60" s="3371">
        <v>12</v>
      </c>
      <c r="AB60" s="2911"/>
      <c r="AC60" s="2911"/>
      <c r="AD60" s="2911"/>
      <c r="AE60" s="2911"/>
      <c r="AF60" s="2911"/>
    </row>
    <row r="61" spans="1:33" ht="12.75" customHeight="1">
      <c r="A61" s="3349">
        <v>1983</v>
      </c>
      <c r="B61" s="3350"/>
      <c r="C61" s="3362">
        <v>0.33983985358041641</v>
      </c>
      <c r="D61" s="3362">
        <v>0.17911821420400695</v>
      </c>
      <c r="E61" s="3362">
        <v>0.19969147302023074</v>
      </c>
      <c r="F61" s="3362">
        <v>0.13426283622577376</v>
      </c>
      <c r="G61" s="3362">
        <v>0.14708762296957215</v>
      </c>
      <c r="H61" s="3363">
        <v>1</v>
      </c>
      <c r="I61" s="2909"/>
      <c r="J61" s="3370">
        <v>1983</v>
      </c>
      <c r="K61" s="3350"/>
      <c r="L61" s="3366">
        <v>11</v>
      </c>
      <c r="M61" s="3366">
        <v>1</v>
      </c>
      <c r="N61" s="3366">
        <v>3</v>
      </c>
      <c r="O61" s="3366">
        <v>1</v>
      </c>
      <c r="P61" s="3369">
        <f t="shared" si="14"/>
        <v>1</v>
      </c>
      <c r="Q61" s="3371">
        <v>17</v>
      </c>
      <c r="AB61" s="2911"/>
      <c r="AC61" s="2911"/>
      <c r="AD61" s="2911"/>
      <c r="AE61" s="2911"/>
      <c r="AF61" s="2911"/>
    </row>
    <row r="62" spans="1:33" ht="12.75" customHeight="1">
      <c r="A62" s="3349">
        <v>1987</v>
      </c>
      <c r="B62" s="3350"/>
      <c r="C62" s="3362">
        <v>0.37834543213258459</v>
      </c>
      <c r="D62" s="3362">
        <v>0.2110491713463909</v>
      </c>
      <c r="E62" s="3362">
        <v>0.11730173948774139</v>
      </c>
      <c r="F62" s="3362">
        <v>0.11421586084098068</v>
      </c>
      <c r="G62" s="3362">
        <v>0.17908779619230236</v>
      </c>
      <c r="H62" s="3363">
        <v>1</v>
      </c>
      <c r="I62" s="2909"/>
      <c r="J62" s="3370">
        <v>1987</v>
      </c>
      <c r="K62" s="3350"/>
      <c r="L62" s="3366">
        <v>9</v>
      </c>
      <c r="M62" s="3366">
        <v>3</v>
      </c>
      <c r="N62" s="3366">
        <v>3</v>
      </c>
      <c r="O62" s="3366">
        <v>1</v>
      </c>
      <c r="P62" s="3369">
        <f t="shared" si="14"/>
        <v>1</v>
      </c>
      <c r="Q62" s="3371">
        <v>17</v>
      </c>
      <c r="AB62" s="2911"/>
      <c r="AC62" s="2911"/>
      <c r="AD62" s="2911"/>
      <c r="AE62" s="2911"/>
      <c r="AF62" s="2911"/>
    </row>
    <row r="63" spans="1:33" ht="12.75" customHeight="1">
      <c r="A63" s="3349">
        <v>1992</v>
      </c>
      <c r="B63" s="3350"/>
      <c r="C63" s="3362">
        <v>0.34524444874683635</v>
      </c>
      <c r="D63" s="3362">
        <v>0.19672191702129557</v>
      </c>
      <c r="E63" s="3362">
        <v>0.13124432392086033</v>
      </c>
      <c r="F63" s="3362">
        <v>9.9721943769719004E-2</v>
      </c>
      <c r="G63" s="3362">
        <v>0.22706736654128862</v>
      </c>
      <c r="H63" s="3363">
        <v>1</v>
      </c>
      <c r="I63" s="2909"/>
      <c r="J63" s="3370">
        <v>1992</v>
      </c>
      <c r="K63" s="3350"/>
      <c r="L63" s="3366">
        <v>9</v>
      </c>
      <c r="M63" s="3366">
        <v>4</v>
      </c>
      <c r="N63" s="3366">
        <v>3</v>
      </c>
      <c r="O63" s="3366">
        <v>0</v>
      </c>
      <c r="P63" s="3369">
        <f t="shared" si="14"/>
        <v>1</v>
      </c>
      <c r="Q63" s="3371">
        <v>17</v>
      </c>
      <c r="AB63" s="2911"/>
      <c r="AC63" s="2911"/>
      <c r="AD63" s="2911"/>
      <c r="AE63" s="2911"/>
      <c r="AF63" s="2911"/>
    </row>
    <row r="64" spans="1:33" ht="12.75" customHeight="1">
      <c r="A64" s="3349">
        <v>1997</v>
      </c>
      <c r="B64" s="3350"/>
      <c r="C64" s="3362">
        <v>0.32670892126834622</v>
      </c>
      <c r="D64" s="3362">
        <v>0.24130395744863817</v>
      </c>
      <c r="E64" s="3362">
        <v>0.13575260318528204</v>
      </c>
      <c r="F64" s="3362">
        <v>0.16050467776650879</v>
      </c>
      <c r="G64" s="3362">
        <v>0.13572984033122473</v>
      </c>
      <c r="H64" s="3363">
        <v>1</v>
      </c>
      <c r="I64" s="2909"/>
      <c r="J64" s="3370">
        <v>1997</v>
      </c>
      <c r="K64" s="3350"/>
      <c r="L64" s="3366">
        <v>10</v>
      </c>
      <c r="M64" s="3366">
        <v>3</v>
      </c>
      <c r="N64" s="3366">
        <v>2</v>
      </c>
      <c r="O64" s="3366">
        <v>2</v>
      </c>
      <c r="P64" s="3369">
        <f t="shared" si="14"/>
        <v>1</v>
      </c>
      <c r="Q64" s="3371">
        <v>18</v>
      </c>
      <c r="AB64" s="2911"/>
      <c r="AC64" s="2911"/>
      <c r="AD64" s="2911"/>
      <c r="AE64" s="2911"/>
      <c r="AF64" s="2911"/>
    </row>
    <row r="65" spans="1:32" ht="12.75" customHeight="1">
      <c r="A65" s="3349">
        <v>2001</v>
      </c>
      <c r="B65" s="3350"/>
      <c r="C65" s="3362">
        <v>0.26757892035035674</v>
      </c>
      <c r="D65" s="3362">
        <v>0.20961309222655219</v>
      </c>
      <c r="E65" s="3362">
        <v>0.22458642552697888</v>
      </c>
      <c r="F65" s="3362">
        <v>0.21710099287489479</v>
      </c>
      <c r="G65" s="3362">
        <v>8.1120569021217434E-2</v>
      </c>
      <c r="H65" s="3363">
        <v>1</v>
      </c>
      <c r="I65" s="2909"/>
      <c r="J65" s="3370">
        <v>2001</v>
      </c>
      <c r="K65" s="3350"/>
      <c r="L65" s="3366">
        <v>6</v>
      </c>
      <c r="M65" s="3366">
        <v>3</v>
      </c>
      <c r="N65" s="3366">
        <v>5</v>
      </c>
      <c r="O65" s="3366">
        <v>4</v>
      </c>
      <c r="P65" s="3369">
        <f t="shared" si="14"/>
        <v>0</v>
      </c>
      <c r="Q65" s="3371">
        <v>18</v>
      </c>
      <c r="AB65" s="2911"/>
      <c r="AC65" s="2911"/>
      <c r="AD65" s="2911"/>
      <c r="AE65" s="2911"/>
      <c r="AF65" s="2911"/>
    </row>
    <row r="66" spans="1:32" ht="12.75" customHeight="1">
      <c r="A66" s="3349">
        <v>2005</v>
      </c>
      <c r="B66" s="3350"/>
      <c r="C66" s="2846">
        <f t="shared" ref="C66:G67" si="15">C31/$H31</f>
        <v>0.17755524650154264</v>
      </c>
      <c r="D66" s="2846">
        <f t="shared" si="15"/>
        <v>0.17506361464990344</v>
      </c>
      <c r="E66" s="2846">
        <f t="shared" si="15"/>
        <v>0.33703362030763573</v>
      </c>
      <c r="F66" s="2846">
        <f t="shared" si="15"/>
        <v>0.24321281155849622</v>
      </c>
      <c r="G66" s="2846">
        <f t="shared" si="15"/>
        <v>6.7134706982421924E-2</v>
      </c>
      <c r="H66" s="3363">
        <v>1</v>
      </c>
      <c r="I66" s="2909"/>
      <c r="J66" s="3370">
        <v>2005</v>
      </c>
      <c r="K66" s="3350"/>
      <c r="L66" s="3366">
        <v>1</v>
      </c>
      <c r="M66" s="3366">
        <v>3</v>
      </c>
      <c r="N66" s="3366">
        <v>9</v>
      </c>
      <c r="O66" s="3366">
        <v>5</v>
      </c>
      <c r="P66" s="3369">
        <f t="shared" si="14"/>
        <v>0</v>
      </c>
      <c r="Q66" s="3371">
        <v>18</v>
      </c>
      <c r="AB66" s="2911"/>
      <c r="AC66" s="2911"/>
      <c r="AD66" s="2911"/>
      <c r="AE66" s="2911"/>
      <c r="AF66" s="2911"/>
    </row>
    <row r="67" spans="1:32" ht="12.75" customHeight="1">
      <c r="A67" s="3349">
        <v>2010</v>
      </c>
      <c r="B67" s="3350"/>
      <c r="C67" s="2846">
        <f t="shared" si="15"/>
        <v>0.1519513280902211</v>
      </c>
      <c r="D67" s="2846">
        <f t="shared" si="15"/>
        <v>0.16471286541029828</v>
      </c>
      <c r="E67" s="2846">
        <f t="shared" si="15"/>
        <v>0.24959192758569521</v>
      </c>
      <c r="F67" s="2846">
        <f t="shared" si="15"/>
        <v>0.25508235643270516</v>
      </c>
      <c r="G67" s="2846">
        <f t="shared" si="15"/>
        <v>0.17866152248108025</v>
      </c>
      <c r="H67" s="3363">
        <v>1</v>
      </c>
      <c r="I67" s="2909"/>
      <c r="J67" s="3370">
        <v>2010</v>
      </c>
      <c r="K67" s="3350"/>
      <c r="L67" s="3366">
        <v>0</v>
      </c>
      <c r="M67" s="3366">
        <v>3</v>
      </c>
      <c r="N67" s="3366">
        <v>8</v>
      </c>
      <c r="O67" s="3366">
        <v>5</v>
      </c>
      <c r="P67" s="3369">
        <f t="shared" si="14"/>
        <v>2</v>
      </c>
      <c r="Q67" s="3371">
        <v>18</v>
      </c>
      <c r="AB67" s="2911"/>
      <c r="AC67" s="2911"/>
      <c r="AD67" s="2911"/>
      <c r="AE67" s="2911"/>
      <c r="AF67" s="2911"/>
    </row>
    <row r="68" spans="1:32" ht="12" customHeight="1">
      <c r="A68" s="3355">
        <v>2015</v>
      </c>
      <c r="B68" s="2947"/>
      <c r="C68" s="2846">
        <f>C33/$H33</f>
        <v>0.16000557025483916</v>
      </c>
      <c r="D68" s="2846">
        <f t="shared" ref="D68:G69" si="16">D33/$H33</f>
        <v>0.13897785823701433</v>
      </c>
      <c r="E68" s="2846">
        <f t="shared" si="16"/>
        <v>0.25664949171424595</v>
      </c>
      <c r="F68" s="2846">
        <f t="shared" si="16"/>
        <v>0.24536972566494913</v>
      </c>
      <c r="G68" s="2846">
        <f t="shared" si="16"/>
        <v>0.19899735412895139</v>
      </c>
      <c r="H68" s="3210">
        <v>1</v>
      </c>
      <c r="I68" s="2909"/>
      <c r="J68" s="3372">
        <v>2015</v>
      </c>
      <c r="K68" s="2947"/>
      <c r="L68" s="3366">
        <v>2</v>
      </c>
      <c r="M68" s="3366">
        <v>3</v>
      </c>
      <c r="N68" s="3366">
        <v>8</v>
      </c>
      <c r="O68" s="3366">
        <v>4</v>
      </c>
      <c r="P68" s="3369">
        <v>1</v>
      </c>
      <c r="Q68" s="3371">
        <v>18</v>
      </c>
      <c r="AB68" s="142"/>
      <c r="AC68" s="142"/>
      <c r="AD68" s="142"/>
      <c r="AE68" s="142"/>
      <c r="AF68" s="142"/>
    </row>
    <row r="69" spans="1:32" ht="12" customHeight="1">
      <c r="A69" s="3355">
        <v>2017</v>
      </c>
      <c r="B69" s="2947"/>
      <c r="C69" s="2846">
        <f>C34/$H34</f>
        <v>0.10253846731586355</v>
      </c>
      <c r="D69" s="2846">
        <f t="shared" si="16"/>
        <v>0.11748460630178174</v>
      </c>
      <c r="E69" s="2846">
        <f t="shared" si="16"/>
        <v>0.35991396027742512</v>
      </c>
      <c r="F69" s="2846">
        <f t="shared" si="16"/>
        <v>0.29416399998522502</v>
      </c>
      <c r="G69" s="2846">
        <f t="shared" si="16"/>
        <v>0.12589896611970455</v>
      </c>
      <c r="H69" s="3210">
        <v>1</v>
      </c>
      <c r="I69" s="2909"/>
      <c r="J69" s="3372">
        <v>2017</v>
      </c>
      <c r="K69" s="2947"/>
      <c r="L69" s="3373">
        <v>0</v>
      </c>
      <c r="M69" s="2845">
        <v>0</v>
      </c>
      <c r="N69" s="2845">
        <v>10</v>
      </c>
      <c r="O69" s="2845">
        <v>7</v>
      </c>
      <c r="P69" s="2806">
        <v>1</v>
      </c>
      <c r="Q69" s="2806">
        <f>SUM(L69:P69)</f>
        <v>18</v>
      </c>
      <c r="AB69" s="142"/>
      <c r="AC69" s="142"/>
      <c r="AD69" s="142"/>
      <c r="AE69" s="142"/>
      <c r="AF69" s="142"/>
    </row>
    <row r="70" spans="1:32" ht="12" customHeight="1">
      <c r="A70" s="3355">
        <v>2019</v>
      </c>
      <c r="B70" s="2947"/>
      <c r="C70" s="2846">
        <f>C35/$H35</f>
        <v>0.1165443315999925</v>
      </c>
      <c r="D70" s="2846">
        <f>D35/$H35</f>
        <v>0.14860049935234376</v>
      </c>
      <c r="E70" s="2846">
        <f>E35/$H35</f>
        <v>0.30552854380596595</v>
      </c>
      <c r="F70" s="2846">
        <f>F35/$H35</f>
        <v>0.22759078138003969</v>
      </c>
      <c r="G70" s="2846">
        <f>G35/$H35</f>
        <v>0.20173584386165808</v>
      </c>
      <c r="H70" s="3210">
        <v>1</v>
      </c>
      <c r="I70" s="2909"/>
      <c r="J70" s="3372">
        <v>2019</v>
      </c>
      <c r="K70" s="2947"/>
      <c r="L70" s="3373">
        <v>0</v>
      </c>
      <c r="M70" s="2845">
        <v>2</v>
      </c>
      <c r="N70" s="2845">
        <v>8</v>
      </c>
      <c r="O70" s="2845">
        <v>7</v>
      </c>
      <c r="P70" s="2806">
        <v>1</v>
      </c>
      <c r="Q70" s="2806">
        <f>SUM(L70:P70)</f>
        <v>18</v>
      </c>
      <c r="AB70" s="142"/>
      <c r="AC70" s="142"/>
      <c r="AD70" s="142"/>
      <c r="AE70" s="142"/>
      <c r="AF70" s="142"/>
    </row>
    <row r="71" spans="1:32" ht="3" customHeight="1">
      <c r="A71" s="2906"/>
      <c r="B71" s="2899"/>
      <c r="C71" s="2905"/>
      <c r="D71" s="2905"/>
      <c r="E71" s="2903"/>
      <c r="F71" s="2904"/>
      <c r="G71" s="2903"/>
      <c r="H71" s="2903"/>
      <c r="I71" s="2899"/>
      <c r="J71" s="2899"/>
      <c r="K71" s="2899"/>
      <c r="L71" s="2903"/>
      <c r="M71" s="2904"/>
      <c r="N71" s="2903"/>
      <c r="O71" s="2903"/>
      <c r="P71" s="2902"/>
      <c r="Q71" s="2899"/>
    </row>
    <row r="72" spans="1:32" ht="3" customHeight="1">
      <c r="A72" s="2901"/>
      <c r="B72" s="2895"/>
      <c r="C72" s="2900"/>
      <c r="D72" s="2900"/>
      <c r="E72" s="2897"/>
      <c r="F72" s="2898"/>
      <c r="G72" s="2897"/>
      <c r="H72" s="2897"/>
      <c r="I72" s="2899"/>
      <c r="J72" s="2895"/>
      <c r="K72" s="2895"/>
      <c r="L72" s="2897"/>
      <c r="M72" s="2898"/>
      <c r="N72" s="2897"/>
      <c r="O72" s="2897"/>
      <c r="P72" s="2896"/>
      <c r="Q72" s="2895"/>
    </row>
    <row r="73" spans="1:32" s="2888" customFormat="1" ht="11">
      <c r="A73" s="2891" t="s">
        <v>1113</v>
      </c>
      <c r="D73" s="2889"/>
      <c r="F73" s="2889"/>
      <c r="M73" s="2889"/>
    </row>
    <row r="74" spans="1:32" s="2888" customFormat="1" ht="27.5" customHeight="1">
      <c r="A74" s="3404" t="s">
        <v>1517</v>
      </c>
      <c r="B74" s="3404"/>
      <c r="C74" s="3404"/>
      <c r="D74" s="3404"/>
      <c r="E74" s="3404"/>
      <c r="F74" s="3404"/>
      <c r="G74" s="3404"/>
      <c r="H74" s="3404"/>
      <c r="I74" s="3404"/>
      <c r="J74" s="3404"/>
      <c r="K74" s="3404"/>
      <c r="L74" s="3404"/>
      <c r="M74" s="3404"/>
      <c r="N74" s="3404"/>
      <c r="O74" s="3404"/>
      <c r="P74" s="3404"/>
      <c r="Q74" s="3404"/>
    </row>
    <row r="75" spans="1:32" s="2888" customFormat="1" ht="11.25" customHeight="1">
      <c r="A75" s="2891" t="s">
        <v>1518</v>
      </c>
      <c r="B75" s="2893"/>
      <c r="C75" s="2893"/>
      <c r="D75" s="2894"/>
      <c r="E75" s="2893"/>
      <c r="F75" s="2894"/>
      <c r="G75" s="2893"/>
      <c r="H75" s="2893"/>
      <c r="I75" s="2893"/>
      <c r="J75" s="2893"/>
      <c r="K75" s="2893"/>
      <c r="L75" s="2893"/>
      <c r="M75" s="2894"/>
      <c r="N75" s="2893"/>
      <c r="O75" s="2893"/>
      <c r="P75" s="2893"/>
      <c r="Q75" s="2893"/>
    </row>
    <row r="76" spans="1:32" s="2888" customFormat="1" ht="11.25" customHeight="1">
      <c r="A76" s="3404" t="s">
        <v>1519</v>
      </c>
      <c r="B76" s="3404"/>
      <c r="C76" s="3404"/>
      <c r="D76" s="3404"/>
      <c r="E76" s="3404"/>
      <c r="F76" s="3404"/>
      <c r="G76" s="3404"/>
      <c r="H76" s="3404"/>
      <c r="I76" s="3404"/>
      <c r="J76" s="3404"/>
      <c r="K76" s="3404"/>
      <c r="L76" s="3404"/>
      <c r="M76" s="3404"/>
      <c r="N76" s="3404"/>
      <c r="O76" s="3404"/>
      <c r="P76" s="3404"/>
      <c r="Q76" s="3404"/>
    </row>
    <row r="77" spans="1:32" s="2888" customFormat="1" ht="4.5" customHeight="1">
      <c r="A77" s="2891"/>
      <c r="D77" s="2889"/>
      <c r="F77" s="2889"/>
      <c r="M77" s="2889"/>
    </row>
    <row r="78" spans="1:32" s="2888" customFormat="1" ht="11">
      <c r="A78" s="2891" t="s">
        <v>1114</v>
      </c>
      <c r="D78" s="2889"/>
      <c r="F78" s="2889"/>
      <c r="M78" s="2889"/>
    </row>
    <row r="79" spans="1:32" s="2888" customFormat="1" ht="11">
      <c r="A79" s="3404" t="s">
        <v>1512</v>
      </c>
      <c r="B79" s="3404"/>
      <c r="C79" s="3404"/>
      <c r="D79" s="3404"/>
      <c r="E79" s="3404"/>
      <c r="F79" s="3404"/>
      <c r="G79" s="3404"/>
      <c r="H79" s="3404"/>
      <c r="I79" s="3404"/>
      <c r="J79" s="3404"/>
      <c r="K79" s="3404"/>
      <c r="L79" s="3404"/>
      <c r="M79" s="3404"/>
      <c r="N79" s="3404"/>
      <c r="O79" s="3404"/>
      <c r="P79" s="3404"/>
      <c r="Q79" s="3404"/>
    </row>
    <row r="80" spans="1:32" s="2888" customFormat="1" ht="11">
      <c r="A80" s="3404" t="s">
        <v>1514</v>
      </c>
      <c r="B80" s="3404"/>
      <c r="C80" s="3404"/>
      <c r="D80" s="3404"/>
      <c r="E80" s="3404"/>
      <c r="F80" s="3404"/>
      <c r="G80" s="3404"/>
      <c r="H80" s="3404"/>
      <c r="I80" s="3404"/>
      <c r="J80" s="3404"/>
      <c r="K80" s="3404"/>
      <c r="L80" s="3404"/>
      <c r="M80" s="3404"/>
      <c r="N80" s="3404"/>
      <c r="O80" s="3404"/>
      <c r="P80" s="3404"/>
      <c r="Q80" s="3404"/>
    </row>
    <row r="82" spans="1:19">
      <c r="A82" s="2891"/>
      <c r="B82" s="2888"/>
      <c r="C82" s="2888"/>
      <c r="D82" s="2889"/>
      <c r="E82" s="2888"/>
      <c r="F82" s="2889"/>
      <c r="G82" s="2888"/>
      <c r="H82" s="2888"/>
      <c r="I82" s="2888"/>
      <c r="J82" s="2888"/>
      <c r="K82" s="2888"/>
      <c r="L82" s="2888"/>
      <c r="M82" s="2889"/>
      <c r="N82" s="2888"/>
      <c r="O82" s="2888"/>
      <c r="P82" s="2888"/>
      <c r="Q82" s="2888"/>
      <c r="R82" s="2888"/>
      <c r="S82" s="2888"/>
    </row>
    <row r="83" spans="1:19">
      <c r="A83" s="2891"/>
      <c r="B83" s="2888"/>
      <c r="C83" s="2888"/>
      <c r="D83" s="2889"/>
      <c r="E83" s="2888"/>
      <c r="F83" s="2889"/>
      <c r="G83" s="2888"/>
      <c r="H83" s="2888"/>
      <c r="I83" s="2888"/>
      <c r="J83" s="2888"/>
      <c r="K83" s="2888"/>
      <c r="L83" s="2888"/>
      <c r="M83" s="2889"/>
      <c r="N83" s="2888"/>
      <c r="O83" s="2888"/>
      <c r="P83" s="2888"/>
      <c r="Q83" s="2888"/>
      <c r="R83" s="2888"/>
      <c r="S83" s="2888"/>
    </row>
    <row r="84" spans="1:19" ht="13.5" customHeight="1">
      <c r="A84" s="2891"/>
      <c r="B84" s="2888"/>
      <c r="C84" s="2888"/>
      <c r="D84" s="2889"/>
      <c r="E84" s="2888"/>
      <c r="F84" s="2889"/>
      <c r="G84" s="2888"/>
      <c r="H84" s="2888"/>
      <c r="I84" s="2888"/>
      <c r="J84" s="2888"/>
      <c r="K84" s="2888"/>
      <c r="L84" s="2888"/>
      <c r="M84" s="2889"/>
      <c r="N84" s="2888"/>
      <c r="O84" s="2888"/>
      <c r="P84" s="2888"/>
      <c r="Q84" s="2888"/>
      <c r="R84" s="2888"/>
      <c r="S84" s="2888"/>
    </row>
    <row r="85" spans="1:19" ht="13.5" customHeight="1">
      <c r="A85" s="2891"/>
      <c r="B85" s="2888"/>
      <c r="C85" s="2888"/>
      <c r="D85" s="2889"/>
      <c r="E85" s="2888"/>
      <c r="F85" s="2889"/>
      <c r="G85" s="2888"/>
      <c r="H85" s="2888"/>
      <c r="I85" s="2888"/>
      <c r="J85" s="2888"/>
      <c r="K85" s="2888"/>
      <c r="L85" s="2888"/>
      <c r="M85" s="2889"/>
      <c r="N85" s="2888"/>
      <c r="O85" s="2888"/>
      <c r="P85" s="2888"/>
      <c r="Q85" s="2888"/>
      <c r="R85" s="2888"/>
      <c r="S85" s="2888"/>
    </row>
    <row r="86" spans="1:19">
      <c r="A86" s="2892"/>
      <c r="B86" s="2892"/>
      <c r="C86" s="2888"/>
      <c r="D86" s="2889"/>
      <c r="E86" s="2888"/>
      <c r="F86" s="2889"/>
      <c r="G86" s="2888"/>
      <c r="H86" s="2888"/>
      <c r="I86" s="2888"/>
      <c r="J86" s="2888"/>
      <c r="K86" s="2888"/>
      <c r="L86" s="2888"/>
      <c r="M86" s="2889"/>
      <c r="N86" s="2888"/>
      <c r="O86" s="2888"/>
      <c r="P86" s="2888"/>
      <c r="Q86" s="2888"/>
      <c r="R86" s="2888"/>
      <c r="S86" s="2888"/>
    </row>
    <row r="87" spans="1:19">
      <c r="A87" s="2891"/>
      <c r="B87" s="2890"/>
      <c r="C87" s="2888"/>
      <c r="D87" s="2889"/>
      <c r="E87" s="2888"/>
      <c r="F87" s="2889"/>
      <c r="G87" s="2888"/>
      <c r="H87" s="2888"/>
      <c r="I87" s="2888"/>
      <c r="J87" s="2888"/>
      <c r="K87" s="2888"/>
      <c r="L87" s="2888"/>
      <c r="M87" s="2889"/>
      <c r="N87" s="2888"/>
      <c r="O87" s="2888"/>
      <c r="P87" s="2888"/>
      <c r="Q87" s="2888"/>
      <c r="R87" s="2888"/>
      <c r="S87" s="2888"/>
    </row>
  </sheetData>
  <mergeCells count="4">
    <mergeCell ref="A76:Q76"/>
    <mergeCell ref="A74:Q74"/>
    <mergeCell ref="A80:Q80"/>
    <mergeCell ref="A79:Q79"/>
  </mergeCells>
  <pageMargins left="0.74803149606299213" right="0.74803149606299213" top="0.98425196850393704" bottom="0.98425196850393704" header="0.51181102362204722" footer="0.51181102362204722"/>
  <pageSetup paperSize="9" scale="59" orientation="portrait" horizontalDpi="300" r:id="rId1"/>
  <headerFooter scaleWithDoc="0" alignWithMargins="0">
    <oddHeader>&amp;L&amp;"Arial,Regular"RESEARCH PAPER 12/43</oddHeader>
    <oddFooter>&amp;C&amp;"Arial,Regular"&amp;11 12</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B8184-87EC-4E98-8666-50204FC35E2F}">
  <sheetPr>
    <tabColor theme="0"/>
    <pageSetUpPr fitToPage="1"/>
  </sheetPr>
  <dimension ref="A1:AE86"/>
  <sheetViews>
    <sheetView showGridLines="0" zoomScale="55" zoomScaleNormal="55" workbookViewId="0">
      <selection activeCell="S60" sqref="S60"/>
    </sheetView>
  </sheetViews>
  <sheetFormatPr baseColWidth="10" defaultColWidth="9.3984375" defaultRowHeight="13"/>
  <cols>
    <col min="1" max="1" width="7.59765625" style="2910" customWidth="1"/>
    <col min="2" max="2" width="10.796875" style="2885" customWidth="1"/>
    <col min="3" max="3" width="10.796875" style="2886" customWidth="1"/>
    <col min="4" max="4" width="10.796875" style="2885" customWidth="1"/>
    <col min="5" max="5" width="10.796875" style="2886" customWidth="1"/>
    <col min="6" max="8" width="10.796875" style="2885" customWidth="1"/>
    <col min="9" max="9" width="5.796875" style="3263" customWidth="1"/>
    <col min="10" max="10" width="10.796875" style="2885" customWidth="1"/>
    <col min="11" max="11" width="10.796875" style="2886" customWidth="1"/>
    <col min="12" max="15" width="10.796875" style="2885" customWidth="1"/>
    <col min="16" max="19" width="6.796875" style="2885" customWidth="1"/>
    <col min="20" max="24" width="9.3984375" style="2885"/>
    <col min="25" max="25" width="9.3984375" style="175"/>
    <col min="26" max="16384" width="9.3984375" style="2885"/>
  </cols>
  <sheetData>
    <row r="1" spans="1:22">
      <c r="A1" s="2910" t="s">
        <v>102</v>
      </c>
      <c r="H1" s="2885">
        <f>MAX(B10:F37)</f>
        <v>521.11</v>
      </c>
    </row>
    <row r="3" spans="1:22" ht="15">
      <c r="A3" s="3279" t="s">
        <v>2076</v>
      </c>
      <c r="B3" s="3278"/>
      <c r="C3" s="3278"/>
      <c r="D3" s="3278"/>
      <c r="E3" s="3278"/>
      <c r="F3" s="3278"/>
      <c r="G3" s="3278"/>
      <c r="H3" s="3278"/>
      <c r="I3" s="3279"/>
      <c r="J3" s="3278" t="s">
        <v>2077</v>
      </c>
      <c r="K3" s="3278"/>
      <c r="L3" s="3278"/>
      <c r="M3" s="3278"/>
      <c r="N3" s="3278"/>
      <c r="O3" s="3278"/>
    </row>
    <row r="4" spans="1:22">
      <c r="R4" s="2885" t="s">
        <v>1422</v>
      </c>
      <c r="V4" s="2885" t="s">
        <v>1065</v>
      </c>
    </row>
    <row r="5" spans="1:22">
      <c r="B5" s="3276" t="s">
        <v>98</v>
      </c>
      <c r="C5" s="3277"/>
      <c r="D5" s="3277"/>
      <c r="E5" s="3277"/>
      <c r="F5" s="3277"/>
      <c r="G5" s="2886"/>
      <c r="J5" s="3276" t="s">
        <v>37</v>
      </c>
      <c r="K5" s="3277"/>
      <c r="L5" s="3277"/>
      <c r="M5" s="3277"/>
      <c r="N5" s="3277"/>
      <c r="O5" s="2886"/>
    </row>
    <row r="6" spans="1:22" ht="13.5" customHeight="1">
      <c r="A6" s="2906"/>
      <c r="B6" s="3275" t="s">
        <v>1066</v>
      </c>
      <c r="C6" s="3275" t="s">
        <v>113</v>
      </c>
      <c r="D6" s="3275" t="s">
        <v>1092</v>
      </c>
      <c r="E6" s="3275" t="s">
        <v>1065</v>
      </c>
      <c r="F6" s="3275" t="s">
        <v>12</v>
      </c>
      <c r="G6" s="3275" t="s">
        <v>16</v>
      </c>
      <c r="H6" s="2886"/>
      <c r="I6" s="2906"/>
      <c r="J6" s="3275" t="s">
        <v>1066</v>
      </c>
      <c r="K6" s="3275" t="s">
        <v>113</v>
      </c>
      <c r="L6" s="3275" t="s">
        <v>1092</v>
      </c>
      <c r="M6" s="3275" t="s">
        <v>1065</v>
      </c>
      <c r="N6" s="3275" t="s">
        <v>12</v>
      </c>
      <c r="O6" s="3275" t="s">
        <v>16</v>
      </c>
    </row>
    <row r="7" spans="1:22" ht="3" customHeight="1">
      <c r="A7" s="2906"/>
      <c r="B7" s="2909"/>
      <c r="C7" s="2909"/>
      <c r="D7" s="2909"/>
      <c r="E7" s="2909"/>
      <c r="F7" s="2909"/>
      <c r="G7" s="2909"/>
      <c r="H7" s="2886"/>
      <c r="I7" s="2906"/>
      <c r="J7" s="2886"/>
      <c r="L7" s="2886"/>
      <c r="M7" s="2886"/>
      <c r="N7" s="2886"/>
      <c r="O7" s="2886"/>
    </row>
    <row r="8" spans="1:22" ht="12" customHeight="1">
      <c r="A8" s="2910">
        <v>2019</v>
      </c>
      <c r="B8" s="2915">
        <f>'1 GE-NI'!C35</f>
        <v>93.123000000000005</v>
      </c>
      <c r="C8" s="2915">
        <f>'1 GE-NI'!D35</f>
        <v>118.73699999999999</v>
      </c>
      <c r="D8" s="2915">
        <f>'1 GE-NI'!E35</f>
        <v>244.12799999999999</v>
      </c>
      <c r="E8" s="2915">
        <f>'1 GE-NI'!F35</f>
        <v>181.85300000000001</v>
      </c>
      <c r="F8" s="2915">
        <f>'1 GE-NI'!G35</f>
        <v>161.19399999999996</v>
      </c>
      <c r="G8" s="2915">
        <f>'1 GE-NI'!H35</f>
        <v>799.03499999999997</v>
      </c>
      <c r="H8" s="2915">
        <f>'1 GE-NI'!I35</f>
        <v>0</v>
      </c>
      <c r="I8" s="2905">
        <f>'1 GE-NI'!J35</f>
        <v>2019</v>
      </c>
      <c r="J8" s="2905">
        <f>'1 GE-NI'!L35</f>
        <v>16</v>
      </c>
      <c r="K8" s="2905">
        <f>'1 GE-NI'!M35</f>
        <v>15</v>
      </c>
      <c r="L8" s="2905">
        <f>'1 GE-NI'!N35</f>
        <v>17</v>
      </c>
      <c r="M8" s="2905">
        <f>'1 GE-NI'!O35</f>
        <v>15</v>
      </c>
      <c r="N8" s="2905">
        <f>'1 GE-NI'!P35</f>
        <v>39</v>
      </c>
      <c r="O8" s="2905">
        <f>'1 GE-NI'!Q35</f>
        <v>102</v>
      </c>
    </row>
    <row r="9" spans="1:22" ht="12" customHeight="1">
      <c r="A9" s="2910">
        <v>2017</v>
      </c>
      <c r="B9" s="2915">
        <f>'1 GE-NI'!C34</f>
        <v>83.28</v>
      </c>
      <c r="C9" s="2915">
        <f>'1 GE-NI'!D34</f>
        <v>95.418999999999997</v>
      </c>
      <c r="D9" s="2915">
        <f>'1 GE-NI'!E34</f>
        <v>292.31599999999997</v>
      </c>
      <c r="E9" s="2915">
        <f>'1 GE-NI'!F34</f>
        <v>238.91499999999999</v>
      </c>
      <c r="F9" s="2915">
        <f>'1 GE-NI'!G34</f>
        <v>102.253</v>
      </c>
      <c r="G9" s="2915">
        <f>'1 GE-NI'!H34</f>
        <v>812.18299999999999</v>
      </c>
      <c r="H9" s="2915">
        <f>'1 GE-NI'!I34</f>
        <v>0</v>
      </c>
      <c r="I9" s="2905">
        <f>'1 GE-NI'!J34</f>
        <v>2017</v>
      </c>
      <c r="J9" s="2905">
        <f>'1 GE-NI'!L34</f>
        <v>14</v>
      </c>
      <c r="K9" s="2905">
        <f>'1 GE-NI'!M34</f>
        <v>18</v>
      </c>
      <c r="L9" s="2905">
        <f>'1 GE-NI'!N34</f>
        <v>17</v>
      </c>
      <c r="M9" s="2905">
        <f>'1 GE-NI'!O34</f>
        <v>18</v>
      </c>
      <c r="N9" s="2905">
        <f>'1 GE-NI'!P34</f>
        <v>42</v>
      </c>
      <c r="O9" s="2905">
        <f>'1 GE-NI'!Q34</f>
        <v>109</v>
      </c>
    </row>
    <row r="10" spans="1:22" ht="12.75" customHeight="1">
      <c r="A10" s="2906">
        <v>2015</v>
      </c>
      <c r="B10" s="2915">
        <f>'1 GE-NI'!C33</f>
        <v>114.9</v>
      </c>
      <c r="C10" s="2915">
        <f>'1 GE-NI'!D33</f>
        <v>99.8</v>
      </c>
      <c r="D10" s="2915">
        <f>'1 GE-NI'!E33</f>
        <v>184.3</v>
      </c>
      <c r="E10" s="2915">
        <f>'1 GE-NI'!F33</f>
        <v>176.2</v>
      </c>
      <c r="F10" s="2915">
        <f>'1 GE-NI'!G33</f>
        <v>142.9</v>
      </c>
      <c r="G10" s="2915">
        <f>'1 GE-NI'!H33</f>
        <v>718.1</v>
      </c>
      <c r="H10" s="2915">
        <f>'1 GE-NI'!I33</f>
        <v>0</v>
      </c>
      <c r="I10" s="2905">
        <f>'1 GE-NI'!J33</f>
        <v>2015</v>
      </c>
      <c r="J10" s="2905">
        <f>'1 GE-NI'!L33</f>
        <v>15</v>
      </c>
      <c r="K10" s="2905">
        <f>'1 GE-NI'!M33</f>
        <v>18</v>
      </c>
      <c r="L10" s="2905">
        <f>'1 GE-NI'!N33</f>
        <v>16</v>
      </c>
      <c r="M10" s="2905">
        <f>'1 GE-NI'!O33</f>
        <v>18</v>
      </c>
      <c r="N10" s="2905">
        <f>'1 GE-NI'!P33</f>
        <v>71</v>
      </c>
      <c r="O10" s="2905">
        <f>'1 GE-NI'!Q33</f>
        <v>138</v>
      </c>
    </row>
    <row r="11" spans="1:22" ht="12.75" customHeight="1">
      <c r="A11" s="2906">
        <v>2010</v>
      </c>
      <c r="B11" s="2915">
        <f>'1 GE-NI'!C32</f>
        <v>102.4</v>
      </c>
      <c r="C11" s="2915">
        <f>'1 GE-NI'!D32</f>
        <v>111</v>
      </c>
      <c r="D11" s="2915">
        <f>'1 GE-NI'!E32</f>
        <v>168.2</v>
      </c>
      <c r="E11" s="2915">
        <f>'1 GE-NI'!F32</f>
        <v>171.9</v>
      </c>
      <c r="F11" s="2915">
        <f>'1 GE-NI'!G32</f>
        <v>120.39999999999998</v>
      </c>
      <c r="G11" s="2915">
        <f>'1 GE-NI'!H32</f>
        <v>673.9</v>
      </c>
      <c r="H11" s="2915">
        <f>'1 GE-NI'!I32</f>
        <v>0</v>
      </c>
      <c r="I11" s="2905">
        <f>'1 GE-NI'!J32</f>
        <v>2010</v>
      </c>
      <c r="J11" s="2905">
        <f>'1 GE-NI'!L32</f>
        <v>17</v>
      </c>
      <c r="K11" s="2905">
        <f>'1 GE-NI'!M32</f>
        <v>18</v>
      </c>
      <c r="L11" s="2905">
        <f>'1 GE-NI'!N32</f>
        <v>16</v>
      </c>
      <c r="M11" s="2905">
        <f>'1 GE-NI'!O32</f>
        <v>17</v>
      </c>
      <c r="N11" s="2905">
        <f>'1 GE-NI'!P32</f>
        <v>40</v>
      </c>
      <c r="O11" s="2905">
        <f>'1 GE-NI'!Q32</f>
        <v>108</v>
      </c>
    </row>
    <row r="12" spans="1:22" ht="12.75" customHeight="1">
      <c r="A12" s="2906">
        <v>2005</v>
      </c>
      <c r="B12" s="2915">
        <f>'1 GE-NI'!C31</f>
        <v>127.414</v>
      </c>
      <c r="C12" s="2915">
        <f>'1 GE-NI'!D31</f>
        <v>125.626</v>
      </c>
      <c r="D12" s="2915">
        <f>'1 GE-NI'!E31</f>
        <v>241.85599999999999</v>
      </c>
      <c r="E12" s="2915">
        <f>'1 GE-NI'!F31</f>
        <v>174.53</v>
      </c>
      <c r="F12" s="2915">
        <f>'1 GE-NI'!G31</f>
        <v>48.175999999999931</v>
      </c>
      <c r="G12" s="2915">
        <f>'1 GE-NI'!H31</f>
        <v>717.60199999999998</v>
      </c>
      <c r="H12" s="2915">
        <f>'1 GE-NI'!I31</f>
        <v>0</v>
      </c>
      <c r="I12" s="2905">
        <f>'1 GE-NI'!J31</f>
        <v>2005</v>
      </c>
      <c r="J12" s="2905">
        <f>'1 GE-NI'!L31</f>
        <v>18</v>
      </c>
      <c r="K12" s="2905">
        <f>'1 GE-NI'!M31</f>
        <v>18</v>
      </c>
      <c r="L12" s="2905">
        <f>'1 GE-NI'!N31</f>
        <v>18</v>
      </c>
      <c r="M12" s="2905">
        <f>'1 GE-NI'!O31</f>
        <v>18</v>
      </c>
      <c r="N12" s="2905">
        <f>'1 GE-NI'!P31</f>
        <v>33</v>
      </c>
      <c r="O12" s="2905">
        <f>'1 GE-NI'!Q31</f>
        <v>105</v>
      </c>
    </row>
    <row r="13" spans="1:22" ht="12.75" customHeight="1">
      <c r="A13" s="2906">
        <v>2001</v>
      </c>
      <c r="B13" s="2915">
        <f>'1 GE-NI'!C30</f>
        <v>216.839</v>
      </c>
      <c r="C13" s="2915">
        <f>'1 GE-NI'!D30</f>
        <v>169.86500000000001</v>
      </c>
      <c r="D13" s="2915">
        <f>'1 GE-NI'!E30</f>
        <v>181.999</v>
      </c>
      <c r="E13" s="2915">
        <f>'1 GE-NI'!F30</f>
        <v>175.93299999999999</v>
      </c>
      <c r="F13" s="2915">
        <f>'1 GE-NI'!G30</f>
        <v>65.738000000000056</v>
      </c>
      <c r="G13" s="2915">
        <f>'1 GE-NI'!H30</f>
        <v>810.37400000000002</v>
      </c>
      <c r="H13" s="2915">
        <f>'1 GE-NI'!I30</f>
        <v>0</v>
      </c>
      <c r="I13" s="2905">
        <f>'1 GE-NI'!J30</f>
        <v>2001</v>
      </c>
      <c r="J13" s="2905">
        <f>'1 GE-NI'!L30</f>
        <v>17</v>
      </c>
      <c r="K13" s="2905">
        <f>'1 GE-NI'!M30</f>
        <v>18</v>
      </c>
      <c r="L13" s="2905">
        <f>'1 GE-NI'!N30</f>
        <v>14</v>
      </c>
      <c r="M13" s="2905">
        <f>'1 GE-NI'!O30</f>
        <v>18</v>
      </c>
      <c r="N13" s="2905">
        <f>'1 GE-NI'!P30</f>
        <v>33</v>
      </c>
      <c r="O13" s="2905">
        <f>'1 GE-NI'!Q30</f>
        <v>100</v>
      </c>
    </row>
    <row r="14" spans="1:22" ht="12.75" customHeight="1">
      <c r="A14" s="2906">
        <v>1997</v>
      </c>
      <c r="B14" s="2915">
        <f>'1 GE-NI'!C29</f>
        <v>258.34899999999999</v>
      </c>
      <c r="C14" s="2915">
        <f>'1 GE-NI'!D29</f>
        <v>190.81399999999999</v>
      </c>
      <c r="D14" s="2915">
        <f>'1 GE-NI'!E29</f>
        <v>107.348</v>
      </c>
      <c r="E14" s="2915">
        <f>'1 GE-NI'!F29</f>
        <v>126.92100000000001</v>
      </c>
      <c r="F14" s="2915">
        <f>'1 GE-NI'!G29</f>
        <v>107.32999999999993</v>
      </c>
      <c r="G14" s="2915">
        <f>'1 GE-NI'!H29</f>
        <v>790.76199999999994</v>
      </c>
      <c r="H14" s="2915">
        <f>'1 GE-NI'!I29</f>
        <v>0</v>
      </c>
      <c r="I14" s="2905">
        <f>'1 GE-NI'!J29</f>
        <v>1997</v>
      </c>
      <c r="J14" s="2905">
        <f>'1 GE-NI'!L29</f>
        <v>16</v>
      </c>
      <c r="K14" s="2905">
        <f>'1 GE-NI'!M29</f>
        <v>18</v>
      </c>
      <c r="L14" s="2905">
        <f>'1 GE-NI'!N29</f>
        <v>9</v>
      </c>
      <c r="M14" s="2905">
        <f>'1 GE-NI'!O29</f>
        <v>17</v>
      </c>
      <c r="N14" s="2905">
        <f>'1 GE-NI'!P29</f>
        <v>65</v>
      </c>
      <c r="O14" s="2905">
        <f>'1 GE-NI'!Q29</f>
        <v>125</v>
      </c>
    </row>
    <row r="15" spans="1:22" ht="12.75" customHeight="1">
      <c r="A15" s="2906">
        <v>1992</v>
      </c>
      <c r="B15" s="2915">
        <f>'1 GE-NI'!C28</f>
        <v>271.04899999999998</v>
      </c>
      <c r="C15" s="2915">
        <f>'1 GE-NI'!D28</f>
        <v>154.44499999999999</v>
      </c>
      <c r="D15" s="2915">
        <f>'1 GE-NI'!E28</f>
        <v>103.039</v>
      </c>
      <c r="E15" s="2915">
        <f>'1 GE-NI'!F28</f>
        <v>78.290999999999997</v>
      </c>
      <c r="F15" s="2915">
        <f>'1 GE-NI'!G28</f>
        <v>178.26899999999989</v>
      </c>
      <c r="G15" s="2915">
        <f>'1 GE-NI'!H28</f>
        <v>785.09299999999996</v>
      </c>
      <c r="H15" s="2915">
        <f>'1 GE-NI'!I28</f>
        <v>0</v>
      </c>
      <c r="I15" s="2905">
        <f>'1 GE-NI'!J28</f>
        <v>1992</v>
      </c>
      <c r="J15" s="2905">
        <f>'1 GE-NI'!L28</f>
        <v>13</v>
      </c>
      <c r="K15" s="2905">
        <f>'1 GE-NI'!M28</f>
        <v>13</v>
      </c>
      <c r="L15" s="2905">
        <f>'1 GE-NI'!N28</f>
        <v>7</v>
      </c>
      <c r="M15" s="2905">
        <f>'1 GE-NI'!O28</f>
        <v>14</v>
      </c>
      <c r="N15" s="2905">
        <f>'1 GE-NI'!P28</f>
        <v>53</v>
      </c>
      <c r="O15" s="2905">
        <f>'1 GE-NI'!Q28</f>
        <v>100</v>
      </c>
    </row>
    <row r="16" spans="1:22" ht="12.75" customHeight="1">
      <c r="A16" s="2906">
        <v>1987</v>
      </c>
      <c r="B16" s="2915">
        <f>'1 GE-NI'!C27</f>
        <v>276.23</v>
      </c>
      <c r="C16" s="2915">
        <f>'1 GE-NI'!D27</f>
        <v>154.08699999999999</v>
      </c>
      <c r="D16" s="2915">
        <f>'1 GE-NI'!E27</f>
        <v>85.641999999999996</v>
      </c>
      <c r="E16" s="2915">
        <f>'1 GE-NI'!F27</f>
        <v>83.388999999999996</v>
      </c>
      <c r="F16" s="2915">
        <f>'1 GE-NI'!G27</f>
        <v>130.75199999999995</v>
      </c>
      <c r="G16" s="2915">
        <f>'1 GE-NI'!H27</f>
        <v>730.1</v>
      </c>
      <c r="H16" s="2915">
        <f>'1 GE-NI'!I27</f>
        <v>0</v>
      </c>
      <c r="I16" s="2905">
        <f>'1 GE-NI'!J27</f>
        <v>1987</v>
      </c>
      <c r="J16" s="2905">
        <f>'1 GE-NI'!L27</f>
        <v>12</v>
      </c>
      <c r="K16" s="2905">
        <f>'1 GE-NI'!M27</f>
        <v>13</v>
      </c>
      <c r="L16" s="2905">
        <f>'1 GE-NI'!N27</f>
        <v>4</v>
      </c>
      <c r="M16" s="2905">
        <f>'1 GE-NI'!O27</f>
        <v>14</v>
      </c>
      <c r="N16" s="2905">
        <f>'1 GE-NI'!P27</f>
        <v>34</v>
      </c>
      <c r="O16" s="2905">
        <f>'1 GE-NI'!Q27</f>
        <v>77</v>
      </c>
    </row>
    <row r="17" spans="1:25" ht="12.75" customHeight="1">
      <c r="A17" s="2906">
        <v>1983</v>
      </c>
      <c r="B17" s="2915">
        <f>'1 GE-NI'!C26</f>
        <v>259.952</v>
      </c>
      <c r="C17" s="2915">
        <f>'1 GE-NI'!D26</f>
        <v>137.012</v>
      </c>
      <c r="D17" s="2915">
        <f>'1 GE-NI'!E26</f>
        <v>152.749</v>
      </c>
      <c r="E17" s="2915">
        <f>'1 GE-NI'!F26</f>
        <v>102.70099999999999</v>
      </c>
      <c r="F17" s="2915">
        <f>'1 GE-NI'!G26</f>
        <v>112.51099999999997</v>
      </c>
      <c r="G17" s="2915">
        <f>'1 GE-NI'!H26</f>
        <v>764.92499999999995</v>
      </c>
      <c r="H17" s="2915">
        <f>'1 GE-NI'!I26</f>
        <v>0</v>
      </c>
      <c r="I17" s="2905">
        <f>'1 GE-NI'!J26</f>
        <v>1983</v>
      </c>
      <c r="J17" s="2905">
        <f>'1 GE-NI'!L26</f>
        <v>16</v>
      </c>
      <c r="K17" s="2905">
        <f>'1 GE-NI'!M26</f>
        <v>17</v>
      </c>
      <c r="L17" s="2905">
        <f>'1 GE-NI'!N26</f>
        <v>14</v>
      </c>
      <c r="M17" s="2905">
        <f>'1 GE-NI'!O26</f>
        <v>14</v>
      </c>
      <c r="N17" s="2905">
        <f>'1 GE-NI'!P26</f>
        <v>34</v>
      </c>
      <c r="O17" s="2905">
        <f>'1 GE-NI'!Q26</f>
        <v>95</v>
      </c>
    </row>
    <row r="18" spans="1:25" ht="12.75" customHeight="1">
      <c r="A18" s="2906">
        <v>1979</v>
      </c>
      <c r="B18" s="2915">
        <f>'1 GE-NI'!C25</f>
        <v>254.578</v>
      </c>
      <c r="C18" s="2915">
        <f>'1 GE-NI'!D25</f>
        <v>126.325</v>
      </c>
      <c r="D18" s="2915">
        <f>'1 GE-NI'!E25</f>
        <v>70.974999999999994</v>
      </c>
      <c r="E18" s="2915" t="str">
        <f>'1 GE-NI'!F25</f>
        <v>..</v>
      </c>
      <c r="F18" s="2915">
        <f>'1 GE-NI'!G25</f>
        <v>244.0089999999999</v>
      </c>
      <c r="G18" s="2915">
        <f>'1 GE-NI'!H25</f>
        <v>695.88699999999994</v>
      </c>
      <c r="H18" s="2915">
        <f>'1 GE-NI'!I25</f>
        <v>0</v>
      </c>
      <c r="I18" s="2905">
        <f>'1 GE-NI'!J25</f>
        <v>1979</v>
      </c>
      <c r="J18" s="2905">
        <f>'1 GE-NI'!L25</f>
        <v>11</v>
      </c>
      <c r="K18" s="2905">
        <f>'1 GE-NI'!M25</f>
        <v>9</v>
      </c>
      <c r="L18" s="2905">
        <f>'1 GE-NI'!N25</f>
        <v>5</v>
      </c>
      <c r="M18" s="2905" t="str">
        <f>'1 GE-NI'!O25</f>
        <v>..</v>
      </c>
      <c r="N18" s="2905">
        <f>'1 GE-NI'!P25</f>
        <v>39</v>
      </c>
      <c r="O18" s="2905">
        <f>'1 GE-NI'!Q25</f>
        <v>64</v>
      </c>
    </row>
    <row r="19" spans="1:25" ht="12.75" customHeight="1">
      <c r="A19" s="2906">
        <v>1974</v>
      </c>
      <c r="B19" s="2915">
        <f>'1 GE-NI'!C24</f>
        <v>256.065</v>
      </c>
      <c r="C19" s="2915">
        <f>'1 GE-NI'!D24</f>
        <v>154.19300000000001</v>
      </c>
      <c r="D19" s="2915">
        <f>'1 GE-NI'!E24</f>
        <v>59.451000000000001</v>
      </c>
      <c r="E19" s="2915" t="str">
        <f>'1 GE-NI'!F24</f>
        <v>..</v>
      </c>
      <c r="F19" s="2915">
        <f>'1 GE-NI'!G24</f>
        <v>232.38499999999999</v>
      </c>
      <c r="G19" s="2915">
        <f>'1 GE-NI'!H24</f>
        <v>702.09400000000005</v>
      </c>
      <c r="H19" s="2915">
        <f>'1 GE-NI'!I24</f>
        <v>0</v>
      </c>
      <c r="I19" s="2905">
        <f>'1 GE-NI'!J24</f>
        <v>1974</v>
      </c>
      <c r="J19" s="2905">
        <f>'1 GE-NI'!L24</f>
        <v>7</v>
      </c>
      <c r="K19" s="2905">
        <f>'1 GE-NI'!M24</f>
        <v>9</v>
      </c>
      <c r="L19" s="2905">
        <f>'1 GE-NI'!N24</f>
        <v>2</v>
      </c>
      <c r="M19" s="2905" t="str">
        <f>'1 GE-NI'!O24</f>
        <v>..</v>
      </c>
      <c r="N19" s="2905">
        <f>'1 GE-NI'!P24</f>
        <v>25</v>
      </c>
      <c r="O19" s="2905">
        <f>'1 GE-NI'!Q24</f>
        <v>43</v>
      </c>
    </row>
    <row r="20" spans="1:25" ht="12" customHeight="1">
      <c r="A20" s="2906">
        <v>1974</v>
      </c>
      <c r="B20" s="2915">
        <f>'1 GE-NI'!C23</f>
        <v>326.404</v>
      </c>
      <c r="C20" s="2915">
        <f>'1 GE-NI'!D23</f>
        <v>160.43700000000001</v>
      </c>
      <c r="D20" s="2915">
        <f>'1 GE-NI'!E23</f>
        <v>58.655999999999999</v>
      </c>
      <c r="E20" s="2915" t="str">
        <f>'1 GE-NI'!F23</f>
        <v>..</v>
      </c>
      <c r="F20" s="2915">
        <f>'1 GE-NI'!G23</f>
        <v>172.12900000000002</v>
      </c>
      <c r="G20" s="2915">
        <f>'1 GE-NI'!H23</f>
        <v>717.62599999999998</v>
      </c>
      <c r="H20" s="2915">
        <f>'1 GE-NI'!I23</f>
        <v>0</v>
      </c>
      <c r="I20" s="2905">
        <f>'1 GE-NI'!J23</f>
        <v>1974</v>
      </c>
      <c r="J20" s="2905">
        <f>'1 GE-NI'!L23</f>
        <v>14</v>
      </c>
      <c r="K20" s="2905">
        <f>'1 GE-NI'!M23</f>
        <v>12</v>
      </c>
      <c r="L20" s="2905">
        <f>'1 GE-NI'!N23</f>
        <v>2</v>
      </c>
      <c r="M20" s="2905" t="str">
        <f>'1 GE-NI'!O23</f>
        <v>..</v>
      </c>
      <c r="N20" s="2905">
        <f>'1 GE-NI'!P23</f>
        <v>20</v>
      </c>
      <c r="O20" s="2905">
        <f>'1 GE-NI'!Q23</f>
        <v>48</v>
      </c>
    </row>
    <row r="21" spans="1:25">
      <c r="B21" s="3274" t="s">
        <v>698</v>
      </c>
      <c r="C21" s="3274" t="s">
        <v>1430</v>
      </c>
      <c r="D21" s="3274" t="s">
        <v>699</v>
      </c>
      <c r="E21" s="3274" t="s">
        <v>827</v>
      </c>
      <c r="F21" s="3274" t="s">
        <v>12</v>
      </c>
      <c r="G21" s="3274" t="s">
        <v>16</v>
      </c>
      <c r="I21" s="2910"/>
      <c r="J21" s="3274" t="s">
        <v>698</v>
      </c>
      <c r="K21" s="3274" t="s">
        <v>1430</v>
      </c>
      <c r="L21" s="3274" t="s">
        <v>699</v>
      </c>
      <c r="M21" s="3274" t="s">
        <v>827</v>
      </c>
      <c r="N21" s="3274" t="s">
        <v>12</v>
      </c>
      <c r="O21" s="3274" t="s">
        <v>16</v>
      </c>
    </row>
    <row r="22" spans="1:25" ht="12.75" customHeight="1">
      <c r="A22" s="2922">
        <v>1970</v>
      </c>
      <c r="B22" s="2942">
        <f t="shared" ref="B22:B36" si="0">IFERROR(T22/1000,"..")</f>
        <v>422.041</v>
      </c>
      <c r="C22" s="2942" t="str">
        <f t="shared" ref="C22:C36" si="1">IFERROR(U22/1000,"..")</f>
        <v>..</v>
      </c>
      <c r="D22" s="2942">
        <f t="shared" ref="D22:D36" si="2">IFERROR(V22/1000,"..")</f>
        <v>98.194000000000003</v>
      </c>
      <c r="E22" s="2942">
        <f t="shared" ref="E22:E36" si="3">IFERROR(W22/1000,"..")</f>
        <v>12.005000000000001</v>
      </c>
      <c r="F22" s="2942">
        <f t="shared" ref="F22:F36" si="4">IFERROR(X22/1000,"..")</f>
        <v>246.87299999999999</v>
      </c>
      <c r="G22" s="2942">
        <f t="shared" ref="G22:G36" si="5">IFERROR(Y22/1000,"..")</f>
        <v>779.11300000000006</v>
      </c>
      <c r="H22" s="2886"/>
      <c r="I22" s="2922">
        <v>1970</v>
      </c>
      <c r="J22" s="2907">
        <f>+'1970'!$E$27</f>
        <v>12</v>
      </c>
      <c r="K22" s="2907" t="s">
        <v>103</v>
      </c>
      <c r="L22" s="2907">
        <f>+'1970'!$E$28</f>
        <v>7</v>
      </c>
      <c r="M22" s="2907">
        <f>+'1970'!$E$29</f>
        <v>4</v>
      </c>
      <c r="N22" s="2907">
        <f t="shared" ref="N22:N28" si="6">+O22-SUM(J22:M22)</f>
        <v>17</v>
      </c>
      <c r="O22" s="2907">
        <f>+'1970'!$E$26</f>
        <v>40</v>
      </c>
      <c r="R22" s="2922">
        <v>1970</v>
      </c>
      <c r="T22" s="2951">
        <f>+'1970'!$C$27</f>
        <v>422041</v>
      </c>
      <c r="U22" s="2907" t="s">
        <v>103</v>
      </c>
      <c r="V22" s="2951">
        <f>+'1970'!$C$28</f>
        <v>98194</v>
      </c>
      <c r="W22" s="2951">
        <f>+'1970'!$C$29</f>
        <v>12005</v>
      </c>
      <c r="X22" s="2907">
        <f t="shared" ref="X22:X28" si="7">+Y22-SUM(T22:W22)</f>
        <v>246873</v>
      </c>
      <c r="Y22" s="2951">
        <f>+'1970'!$C$26</f>
        <v>779113</v>
      </c>
    </row>
    <row r="23" spans="1:25" ht="12.75" customHeight="1">
      <c r="A23" s="2922">
        <v>1966</v>
      </c>
      <c r="B23" s="2942">
        <f t="shared" si="0"/>
        <v>368.62900000000002</v>
      </c>
      <c r="C23" s="2942">
        <f t="shared" si="1"/>
        <v>22.167000000000002</v>
      </c>
      <c r="D23" s="2942">
        <f t="shared" si="2"/>
        <v>72.613</v>
      </c>
      <c r="E23" s="2942">
        <f t="shared" si="3"/>
        <v>29.109000000000002</v>
      </c>
      <c r="F23" s="2942">
        <f t="shared" si="4"/>
        <v>103.71899999999999</v>
      </c>
      <c r="G23" s="2942">
        <f t="shared" si="5"/>
        <v>596.23699999999997</v>
      </c>
      <c r="H23" s="2886"/>
      <c r="I23" s="2922">
        <v>1966</v>
      </c>
      <c r="J23" s="2907">
        <f>+'1966'!$E$29</f>
        <v>12</v>
      </c>
      <c r="K23" s="2907">
        <f>'1966'!$E$32</f>
        <v>1</v>
      </c>
      <c r="L23" s="2907">
        <f>+'1966'!$E$30</f>
        <v>4</v>
      </c>
      <c r="M23" s="2907">
        <f>+'1966'!$E$31</f>
        <v>3</v>
      </c>
      <c r="N23" s="2907">
        <f t="shared" si="6"/>
        <v>7</v>
      </c>
      <c r="O23" s="2907">
        <f>+'1966'!$E$28</f>
        <v>27</v>
      </c>
      <c r="R23" s="2922">
        <v>1966</v>
      </c>
      <c r="T23" s="2951">
        <f>+'1966'!$C$29</f>
        <v>368629</v>
      </c>
      <c r="U23" s="2951">
        <f>'1966'!$C$32</f>
        <v>22167</v>
      </c>
      <c r="V23" s="2951">
        <f>+'1966'!$C$30</f>
        <v>72613</v>
      </c>
      <c r="W23" s="2951">
        <f>+'1966'!$C$31</f>
        <v>29109</v>
      </c>
      <c r="X23" s="2907">
        <f t="shared" si="7"/>
        <v>103719</v>
      </c>
      <c r="Y23" s="2951">
        <f>+'1966'!$C$28</f>
        <v>596237</v>
      </c>
    </row>
    <row r="24" spans="1:25" ht="12.75" customHeight="1">
      <c r="A24" s="2922">
        <v>1964</v>
      </c>
      <c r="B24" s="2942">
        <f t="shared" si="0"/>
        <v>401.89699999999999</v>
      </c>
      <c r="C24" s="2942" t="str">
        <f t="shared" si="1"/>
        <v>..</v>
      </c>
      <c r="D24" s="2942">
        <f t="shared" si="2"/>
        <v>102.759</v>
      </c>
      <c r="E24" s="2942">
        <f t="shared" si="3"/>
        <v>17.353999999999999</v>
      </c>
      <c r="F24" s="2942">
        <f t="shared" si="4"/>
        <v>116.306</v>
      </c>
      <c r="G24" s="2942">
        <f t="shared" si="5"/>
        <v>638.31600000000003</v>
      </c>
      <c r="H24" s="2886"/>
      <c r="I24" s="2922">
        <v>1964</v>
      </c>
      <c r="J24" s="2907">
        <f>+'1964'!$E$33</f>
        <v>12</v>
      </c>
      <c r="K24" s="2907" t="s">
        <v>103</v>
      </c>
      <c r="L24" s="2907">
        <f>+'1964'!$E$34</f>
        <v>10</v>
      </c>
      <c r="M24" s="2907">
        <f>+'1964'!$E$35</f>
        <v>4</v>
      </c>
      <c r="N24" s="2907">
        <f t="shared" si="6"/>
        <v>13</v>
      </c>
      <c r="O24" s="2907">
        <f>+'1964'!$E$32</f>
        <v>39</v>
      </c>
      <c r="R24" s="2922">
        <v>1964</v>
      </c>
      <c r="T24" s="2951">
        <f>+'1964'!$C$33</f>
        <v>401897</v>
      </c>
      <c r="U24" s="2907" t="s">
        <v>103</v>
      </c>
      <c r="V24" s="2951">
        <f>+'1964'!$C$34</f>
        <v>102759</v>
      </c>
      <c r="W24" s="2951">
        <f>+'1964'!$C$35</f>
        <v>17354</v>
      </c>
      <c r="X24" s="2907">
        <f t="shared" si="7"/>
        <v>116306</v>
      </c>
      <c r="Y24" s="2951">
        <f>+'1964'!$C$32</f>
        <v>638316</v>
      </c>
    </row>
    <row r="25" spans="1:25" ht="12.75" customHeight="1">
      <c r="A25" s="2922">
        <v>1959</v>
      </c>
      <c r="B25" s="2942">
        <f t="shared" si="0"/>
        <v>445.01299999999998</v>
      </c>
      <c r="C25" s="2942" t="str">
        <f t="shared" si="1"/>
        <v>..</v>
      </c>
      <c r="D25" s="2942">
        <f t="shared" si="2"/>
        <v>44.37</v>
      </c>
      <c r="E25" s="2942">
        <f t="shared" si="3"/>
        <v>3.2530000000000001</v>
      </c>
      <c r="F25" s="2942">
        <f t="shared" si="4"/>
        <v>83.477000000000004</v>
      </c>
      <c r="G25" s="2942">
        <f t="shared" si="5"/>
        <v>576.11300000000006</v>
      </c>
      <c r="H25" s="2886"/>
      <c r="I25" s="2922">
        <v>1959</v>
      </c>
      <c r="J25" s="2907">
        <f>+'1959'!$E$33</f>
        <v>12</v>
      </c>
      <c r="K25" s="2907" t="s">
        <v>103</v>
      </c>
      <c r="L25" s="2907">
        <f>+'1959'!$E$34</f>
        <v>3</v>
      </c>
      <c r="M25" s="2907">
        <f>+'1959'!$E$35</f>
        <v>1</v>
      </c>
      <c r="N25" s="2907">
        <f t="shared" si="6"/>
        <v>13</v>
      </c>
      <c r="O25" s="2907">
        <f>+'1959'!$E$32</f>
        <v>29</v>
      </c>
      <c r="R25" s="2922">
        <v>1959</v>
      </c>
      <c r="T25" s="2951">
        <f>+'1959'!$C$33</f>
        <v>445013</v>
      </c>
      <c r="U25" s="2907" t="s">
        <v>103</v>
      </c>
      <c r="V25" s="2951">
        <f>+'1959'!$C$34</f>
        <v>44370</v>
      </c>
      <c r="W25" s="2951">
        <f>+'1959'!$C$35</f>
        <v>3253</v>
      </c>
      <c r="X25" s="2907">
        <f t="shared" si="7"/>
        <v>83477</v>
      </c>
      <c r="Y25" s="2951">
        <f>+'1959'!$C$32</f>
        <v>576113</v>
      </c>
    </row>
    <row r="26" spans="1:25" ht="12.75" customHeight="1">
      <c r="A26" s="2922">
        <v>1955</v>
      </c>
      <c r="B26" s="2942">
        <f t="shared" si="0"/>
        <v>442.64699999999999</v>
      </c>
      <c r="C26" s="2942" t="str">
        <f t="shared" si="1"/>
        <v>..</v>
      </c>
      <c r="D26" s="2942">
        <f t="shared" si="2"/>
        <v>35.613999999999997</v>
      </c>
      <c r="E26" s="2942" t="str">
        <f t="shared" si="3"/>
        <v>..</v>
      </c>
      <c r="F26" s="2942">
        <f t="shared" si="4"/>
        <v>168.36</v>
      </c>
      <c r="G26" s="2942">
        <f t="shared" si="5"/>
        <v>646.62099999999998</v>
      </c>
      <c r="H26" s="2886"/>
      <c r="I26" s="2922">
        <v>1955</v>
      </c>
      <c r="J26" s="2907">
        <f>+'1955'!$E$33</f>
        <v>12</v>
      </c>
      <c r="K26" s="2907" t="s">
        <v>103</v>
      </c>
      <c r="L26" s="2907">
        <f>+'1955'!$E$34</f>
        <v>3</v>
      </c>
      <c r="M26" s="2907" t="s">
        <v>103</v>
      </c>
      <c r="N26" s="2907">
        <f t="shared" si="6"/>
        <v>13</v>
      </c>
      <c r="O26" s="2907">
        <f>+'1955'!$E$32</f>
        <v>28</v>
      </c>
      <c r="R26" s="2922">
        <v>1955</v>
      </c>
      <c r="T26" s="2951">
        <f>+'1955'!$C$33</f>
        <v>442647</v>
      </c>
      <c r="U26" s="2907" t="s">
        <v>103</v>
      </c>
      <c r="V26" s="2951">
        <f>+'1955'!$C$34</f>
        <v>35614</v>
      </c>
      <c r="W26" s="2907" t="s">
        <v>103</v>
      </c>
      <c r="X26" s="2907">
        <f t="shared" si="7"/>
        <v>168360</v>
      </c>
      <c r="Y26" s="2951">
        <f>+'1955'!$C$32</f>
        <v>646621</v>
      </c>
    </row>
    <row r="27" spans="1:25" ht="12.75" customHeight="1">
      <c r="A27" s="2922">
        <v>1951</v>
      </c>
      <c r="B27" s="2942">
        <f t="shared" si="0"/>
        <v>274.928</v>
      </c>
      <c r="C27" s="2942">
        <f t="shared" si="1"/>
        <v>92.787000000000006</v>
      </c>
      <c r="D27" s="2942">
        <f t="shared" si="2"/>
        <v>62.323999999999998</v>
      </c>
      <c r="E27" s="2942" t="str">
        <f t="shared" si="3"/>
        <v>..</v>
      </c>
      <c r="F27" s="2942">
        <f t="shared" si="4"/>
        <v>33.173999999999999</v>
      </c>
      <c r="G27" s="2942">
        <f t="shared" si="5"/>
        <v>463.21300000000002</v>
      </c>
      <c r="H27" s="2886"/>
      <c r="I27" s="2922">
        <v>1951</v>
      </c>
      <c r="J27" s="2907">
        <f>+'1951'!$E$33</f>
        <v>12</v>
      </c>
      <c r="K27" s="2907">
        <f>'1951'!$E$36</f>
        <v>3</v>
      </c>
      <c r="L27" s="2907">
        <f>+'1951'!$E$34</f>
        <v>4</v>
      </c>
      <c r="M27" s="2907" t="s">
        <v>103</v>
      </c>
      <c r="N27" s="2907">
        <f t="shared" si="6"/>
        <v>1</v>
      </c>
      <c r="O27" s="2907">
        <f>+'1951'!$E$32</f>
        <v>20</v>
      </c>
      <c r="R27" s="2922">
        <v>1951</v>
      </c>
      <c r="T27" s="2951">
        <f>+'1951'!$C$33</f>
        <v>274928</v>
      </c>
      <c r="U27" s="2952">
        <f>'1951'!$C$36</f>
        <v>92787</v>
      </c>
      <c r="V27" s="2951">
        <f>+'1951'!$C$34</f>
        <v>62324</v>
      </c>
      <c r="W27" s="2907" t="s">
        <v>103</v>
      </c>
      <c r="X27" s="2907">
        <f t="shared" si="7"/>
        <v>33174</v>
      </c>
      <c r="Y27" s="2951">
        <f>+'1951'!$C$32</f>
        <v>463213</v>
      </c>
    </row>
    <row r="28" spans="1:25" ht="12.75" customHeight="1" thickBot="1">
      <c r="A28" s="2922">
        <v>1950</v>
      </c>
      <c r="B28" s="2942">
        <f t="shared" si="0"/>
        <v>352.334</v>
      </c>
      <c r="C28" s="2942">
        <f t="shared" si="1"/>
        <v>65.210999999999999</v>
      </c>
      <c r="D28" s="2942">
        <f t="shared" si="2"/>
        <v>67.816000000000003</v>
      </c>
      <c r="E28" s="2942" t="str">
        <f t="shared" si="3"/>
        <v>..</v>
      </c>
      <c r="F28" s="2942">
        <f t="shared" si="4"/>
        <v>76.076999999999998</v>
      </c>
      <c r="G28" s="2942">
        <f t="shared" si="5"/>
        <v>561.43799999999999</v>
      </c>
      <c r="H28" s="2886"/>
      <c r="I28" s="2922">
        <v>1950</v>
      </c>
      <c r="J28" s="2907">
        <f>+'1950'!$E$33</f>
        <v>12</v>
      </c>
      <c r="K28" s="2907">
        <f>'1950'!$E$36</f>
        <v>2</v>
      </c>
      <c r="L28" s="2907">
        <f>+'1950'!$E$34</f>
        <v>5</v>
      </c>
      <c r="M28" s="2907" t="s">
        <v>103</v>
      </c>
      <c r="N28" s="2907">
        <f t="shared" si="6"/>
        <v>4</v>
      </c>
      <c r="O28" s="2907">
        <f>+'1950'!$E$32</f>
        <v>23</v>
      </c>
      <c r="R28" s="2941">
        <v>1950</v>
      </c>
      <c r="S28" s="2940"/>
      <c r="T28" s="3027">
        <f>+'1950'!$C$33</f>
        <v>352334</v>
      </c>
      <c r="U28" s="3028">
        <f>'1950'!$C$36</f>
        <v>65211</v>
      </c>
      <c r="V28" s="3027">
        <f>+'1950'!$C$34</f>
        <v>67816</v>
      </c>
      <c r="W28" s="3029" t="s">
        <v>103</v>
      </c>
      <c r="X28" s="3029">
        <f t="shared" si="7"/>
        <v>76077</v>
      </c>
      <c r="Y28" s="3027">
        <f>+'1950'!$C$32</f>
        <v>561438</v>
      </c>
    </row>
    <row r="29" spans="1:25" ht="12.75" customHeight="1">
      <c r="A29" s="2922">
        <v>1945</v>
      </c>
      <c r="B29" s="2942">
        <f t="shared" si="0"/>
        <v>392.45</v>
      </c>
      <c r="C29" s="2942">
        <f t="shared" si="1"/>
        <v>148.078</v>
      </c>
      <c r="D29" s="2942">
        <f t="shared" si="2"/>
        <v>65.459000000000003</v>
      </c>
      <c r="E29" s="2942" t="str">
        <f t="shared" si="3"/>
        <v>..</v>
      </c>
      <c r="F29" s="2942">
        <f t="shared" si="4"/>
        <v>113.77800000000001</v>
      </c>
      <c r="G29" s="2942">
        <f t="shared" si="5"/>
        <v>719.76499999999999</v>
      </c>
      <c r="H29" s="2886"/>
      <c r="I29" s="2922">
        <v>1945</v>
      </c>
      <c r="J29" s="2907">
        <f>+'1945'!$E$35</f>
        <v>12</v>
      </c>
      <c r="K29" s="2907">
        <f>'1945'!$E$37</f>
        <v>3</v>
      </c>
      <c r="L29" s="2907">
        <f>+'1945'!$E$36</f>
        <v>5</v>
      </c>
      <c r="M29" s="2907" t="s">
        <v>103</v>
      </c>
      <c r="N29" s="2907">
        <f>O29-SUM(J29:M29)</f>
        <v>4</v>
      </c>
      <c r="O29" s="2883">
        <f>+'1945'!$E$34</f>
        <v>24</v>
      </c>
      <c r="R29" s="2922">
        <v>1945</v>
      </c>
      <c r="T29" s="2951">
        <f>+'1945'!$C$35</f>
        <v>392450</v>
      </c>
      <c r="U29" s="2951">
        <f>'1945'!$C$37</f>
        <v>148078</v>
      </c>
      <c r="V29" s="2951">
        <f>+'1945'!$C$36</f>
        <v>65459</v>
      </c>
      <c r="W29" s="2907" t="s">
        <v>103</v>
      </c>
      <c r="X29" s="2907">
        <f>Y29-SUM(T29:W29)</f>
        <v>113778</v>
      </c>
      <c r="Y29" s="2883">
        <f>+'1945'!$C$34</f>
        <v>719765</v>
      </c>
    </row>
    <row r="30" spans="1:25" ht="12.75" customHeight="1">
      <c r="A30" s="2922">
        <v>1935</v>
      </c>
      <c r="B30" s="2942">
        <f t="shared" si="0"/>
        <v>292.83999999999997</v>
      </c>
      <c r="C30" s="2942">
        <f t="shared" si="1"/>
        <v>101.494</v>
      </c>
      <c r="D30" s="2942" t="str">
        <f t="shared" si="2"/>
        <v>..</v>
      </c>
      <c r="E30" s="2942" t="str">
        <f t="shared" si="3"/>
        <v>..</v>
      </c>
      <c r="F30" s="2942">
        <f t="shared" si="4"/>
        <v>56.832999999999998</v>
      </c>
      <c r="G30" s="2942">
        <f t="shared" si="5"/>
        <v>451.16699999999997</v>
      </c>
      <c r="H30" s="2886"/>
      <c r="I30" s="2922">
        <v>1935</v>
      </c>
      <c r="J30" s="2883">
        <f>'1935'!$E$43</f>
        <v>12</v>
      </c>
      <c r="K30" s="2883">
        <f>'1935'!$E$45</f>
        <v>2</v>
      </c>
      <c r="L30" s="2883" t="s">
        <v>103</v>
      </c>
      <c r="M30" s="2883" t="s">
        <v>103</v>
      </c>
      <c r="N30" s="2883">
        <f>'1935'!$E$46</f>
        <v>3</v>
      </c>
      <c r="O30" s="2885">
        <f>'1935'!$E$47</f>
        <v>17</v>
      </c>
      <c r="R30" s="2922">
        <v>1935</v>
      </c>
      <c r="T30" s="2883">
        <f>'1935'!$B$43</f>
        <v>292840</v>
      </c>
      <c r="U30" s="2883">
        <f>'1935'!$B$45</f>
        <v>101494</v>
      </c>
      <c r="V30" s="2883" t="s">
        <v>103</v>
      </c>
      <c r="W30" s="2883" t="s">
        <v>103</v>
      </c>
      <c r="X30" s="2883">
        <f>'1935'!$B$46</f>
        <v>56833</v>
      </c>
      <c r="Y30" s="2885">
        <f>'1935'!$B$47</f>
        <v>451167</v>
      </c>
    </row>
    <row r="31" spans="1:25" ht="12.75" customHeight="1">
      <c r="A31" s="2922">
        <v>1931</v>
      </c>
      <c r="B31" s="2942">
        <f t="shared" si="0"/>
        <v>149.566</v>
      </c>
      <c r="C31" s="2942">
        <f t="shared" si="1"/>
        <v>123.053</v>
      </c>
      <c r="D31" s="2942">
        <f t="shared" si="2"/>
        <v>9.41</v>
      </c>
      <c r="E31" s="2942" t="str">
        <f t="shared" si="3"/>
        <v>..</v>
      </c>
      <c r="F31" s="2942" t="str">
        <f t="shared" si="4"/>
        <v>..</v>
      </c>
      <c r="G31" s="2942">
        <f t="shared" si="5"/>
        <v>282.029</v>
      </c>
      <c r="H31" s="2886"/>
      <c r="I31" s="2922">
        <v>1931</v>
      </c>
      <c r="J31" s="2883">
        <f>'1931'!$E$47</f>
        <v>12</v>
      </c>
      <c r="K31" s="2883">
        <f>'1931'!$E$49</f>
        <v>3</v>
      </c>
      <c r="L31" s="2883">
        <f>'1931'!$E$48</f>
        <v>1</v>
      </c>
      <c r="M31" s="2883" t="s">
        <v>103</v>
      </c>
      <c r="N31" s="2883" t="s">
        <v>103</v>
      </c>
      <c r="O31" s="2885">
        <f>'1931'!$E$50</f>
        <v>16</v>
      </c>
      <c r="R31" s="2922">
        <v>1931</v>
      </c>
      <c r="T31" s="2883">
        <f>'1931'!$B$47</f>
        <v>149566</v>
      </c>
      <c r="U31" s="2883">
        <f>'1931'!$B$49</f>
        <v>123053</v>
      </c>
      <c r="V31" s="2883">
        <f>'1931'!$B$48</f>
        <v>9410</v>
      </c>
      <c r="W31" s="2883" t="s">
        <v>103</v>
      </c>
      <c r="X31" s="2883" t="s">
        <v>103</v>
      </c>
      <c r="Y31" s="2885">
        <f>'1931'!$B$50</f>
        <v>282029</v>
      </c>
    </row>
    <row r="32" spans="1:25" ht="12.75" customHeight="1">
      <c r="A32" s="2922">
        <v>1929</v>
      </c>
      <c r="B32" s="2942">
        <f t="shared" si="0"/>
        <v>354.65699999999998</v>
      </c>
      <c r="C32" s="2942">
        <f t="shared" si="1"/>
        <v>24.177</v>
      </c>
      <c r="D32" s="2942" t="str">
        <f t="shared" si="2"/>
        <v>..</v>
      </c>
      <c r="E32" s="2942">
        <f t="shared" si="3"/>
        <v>100.10299999999999</v>
      </c>
      <c r="F32" s="2942">
        <f t="shared" si="4"/>
        <v>31.116</v>
      </c>
      <c r="G32" s="2942">
        <f t="shared" si="5"/>
        <v>510.053</v>
      </c>
      <c r="H32" s="2886"/>
      <c r="I32" s="2922">
        <v>1929</v>
      </c>
      <c r="J32" s="2883">
        <f>'1929'!$E$30</f>
        <v>10</v>
      </c>
      <c r="K32" s="2883">
        <f>'1929'!$E$32</f>
        <v>3</v>
      </c>
      <c r="L32" s="2883" t="s">
        <v>103</v>
      </c>
      <c r="M32" s="2883">
        <f>'1929'!$E$31</f>
        <v>6</v>
      </c>
      <c r="N32" s="2883">
        <f>'1929'!$E$33</f>
        <v>3</v>
      </c>
      <c r="O32" s="2885">
        <f>'1929'!$E$34</f>
        <v>22</v>
      </c>
      <c r="R32" s="2922">
        <v>1929</v>
      </c>
      <c r="T32" s="2883">
        <f>'1929'!$B$30</f>
        <v>354657</v>
      </c>
      <c r="U32" s="2883">
        <f>'1929'!$B$32</f>
        <v>24177</v>
      </c>
      <c r="V32" s="2883" t="s">
        <v>103</v>
      </c>
      <c r="W32" s="2883">
        <f>'1929'!$B$31</f>
        <v>100103</v>
      </c>
      <c r="X32" s="2883">
        <f>'1929'!$B$33</f>
        <v>31116</v>
      </c>
      <c r="Y32" s="2885">
        <f>'1929'!$B$34</f>
        <v>510053</v>
      </c>
    </row>
    <row r="33" spans="1:31" ht="12.75" customHeight="1">
      <c r="A33" s="2922">
        <v>1924</v>
      </c>
      <c r="B33" s="2942">
        <f t="shared" si="0"/>
        <v>451.27800000000002</v>
      </c>
      <c r="C33" s="2942" t="str">
        <f t="shared" si="1"/>
        <v>..</v>
      </c>
      <c r="D33" s="2942" t="str">
        <f t="shared" si="2"/>
        <v>..</v>
      </c>
      <c r="E33" s="2942" t="str">
        <f t="shared" si="3"/>
        <v>..</v>
      </c>
      <c r="F33" s="2942">
        <f t="shared" si="4"/>
        <v>68.096000000000004</v>
      </c>
      <c r="G33" s="2942">
        <f t="shared" si="5"/>
        <v>519.37400000000002</v>
      </c>
      <c r="H33" s="2886"/>
      <c r="I33" s="2922">
        <v>1924</v>
      </c>
      <c r="J33" s="2883">
        <f>'1924'!$E$28</f>
        <v>12</v>
      </c>
      <c r="K33" s="2883" t="s">
        <v>103</v>
      </c>
      <c r="L33" s="2883" t="s">
        <v>103</v>
      </c>
      <c r="M33" s="2904" t="s">
        <v>103</v>
      </c>
      <c r="N33" s="2883">
        <f>'1924'!$E$30+'1924'!$E$29</f>
        <v>10</v>
      </c>
      <c r="O33" s="2885">
        <f>'1924'!$E$31</f>
        <v>22</v>
      </c>
      <c r="R33" s="2922">
        <v>1924</v>
      </c>
      <c r="T33" s="2883">
        <f>'1924'!$B$28</f>
        <v>451278</v>
      </c>
      <c r="U33" s="2883" t="s">
        <v>103</v>
      </c>
      <c r="V33" s="2883" t="s">
        <v>103</v>
      </c>
      <c r="W33" s="2904" t="s">
        <v>103</v>
      </c>
      <c r="X33" s="2883">
        <f>'1924'!$B$30+'1924'!$B$29</f>
        <v>68096</v>
      </c>
      <c r="Y33" s="2885">
        <f>'1924'!$B$31</f>
        <v>519374</v>
      </c>
    </row>
    <row r="34" spans="1:31" ht="12.75" customHeight="1">
      <c r="A34" s="2922">
        <v>1923</v>
      </c>
      <c r="B34" s="2942">
        <f t="shared" si="0"/>
        <v>117.161</v>
      </c>
      <c r="C34" s="2942">
        <f t="shared" si="1"/>
        <v>87.671000000000006</v>
      </c>
      <c r="D34" s="2942" t="str">
        <f t="shared" si="2"/>
        <v>..</v>
      </c>
      <c r="E34" s="2942" t="str">
        <f t="shared" si="3"/>
        <v>..</v>
      </c>
      <c r="F34" s="2942">
        <f t="shared" si="4"/>
        <v>37.426000000000002</v>
      </c>
      <c r="G34" s="2942">
        <f t="shared" si="5"/>
        <v>242.25800000000001</v>
      </c>
      <c r="H34" s="2886"/>
      <c r="I34" s="2922">
        <v>1923</v>
      </c>
      <c r="J34" s="2883">
        <f>'1923'!$E$27</f>
        <v>12</v>
      </c>
      <c r="K34" s="2883">
        <f>'1923'!$E$28</f>
        <v>2</v>
      </c>
      <c r="L34" s="2883" t="s">
        <v>103</v>
      </c>
      <c r="M34" s="2904" t="s">
        <v>103</v>
      </c>
      <c r="N34" s="2883">
        <f>'1923'!$E$29</f>
        <v>2</v>
      </c>
      <c r="O34" s="2885">
        <f>'1923'!$E$30</f>
        <v>16</v>
      </c>
      <c r="R34" s="2922">
        <v>1923</v>
      </c>
      <c r="T34" s="2883">
        <f>'1923'!$B$27</f>
        <v>117161</v>
      </c>
      <c r="U34" s="2883">
        <f>'1923'!$B$28</f>
        <v>87671</v>
      </c>
      <c r="V34" s="2883" t="s">
        <v>103</v>
      </c>
      <c r="W34" s="2904" t="s">
        <v>103</v>
      </c>
      <c r="X34" s="2883">
        <f>'1923'!$B$29</f>
        <v>37426</v>
      </c>
      <c r="Y34" s="2885">
        <f>'1923'!$B$30</f>
        <v>242258</v>
      </c>
    </row>
    <row r="35" spans="1:31" ht="12.75" customHeight="1">
      <c r="A35" s="2922">
        <v>1922</v>
      </c>
      <c r="B35" s="2942">
        <f t="shared" si="0"/>
        <v>107.97199999999999</v>
      </c>
      <c r="C35" s="2942">
        <f t="shared" si="1"/>
        <v>90.052999999999997</v>
      </c>
      <c r="D35" s="2942" t="str">
        <f t="shared" si="2"/>
        <v>..</v>
      </c>
      <c r="E35" s="2942" t="str">
        <f t="shared" si="3"/>
        <v>..</v>
      </c>
      <c r="F35" s="2942">
        <f t="shared" si="4"/>
        <v>9.8610000000000007</v>
      </c>
      <c r="G35" s="2942">
        <f t="shared" si="5"/>
        <v>207.886</v>
      </c>
      <c r="H35" s="2886"/>
      <c r="I35" s="2922">
        <v>1922</v>
      </c>
      <c r="J35" s="2882">
        <f>'1922'!$E$31</f>
        <v>12</v>
      </c>
      <c r="K35" s="2882">
        <f>'1922'!$E$32</f>
        <v>2</v>
      </c>
      <c r="L35" s="2882" t="s">
        <v>103</v>
      </c>
      <c r="M35" s="2926" t="s">
        <v>103</v>
      </c>
      <c r="N35" s="2882">
        <f>'1922'!$E$33</f>
        <v>1</v>
      </c>
      <c r="O35" s="2923">
        <f>'1922'!$E$34</f>
        <v>15</v>
      </c>
      <c r="R35" s="2924">
        <v>1922</v>
      </c>
      <c r="T35" s="2882">
        <f>'1922'!$B$31</f>
        <v>107972</v>
      </c>
      <c r="U35" s="2882">
        <f>'1922'!$B$32</f>
        <v>90053</v>
      </c>
      <c r="V35" s="2882" t="s">
        <v>103</v>
      </c>
      <c r="W35" s="2926" t="s">
        <v>103</v>
      </c>
      <c r="X35" s="2882">
        <f>'1922'!$B$33</f>
        <v>9861</v>
      </c>
      <c r="Y35" s="2923">
        <f>'1922'!$B$34</f>
        <v>207886</v>
      </c>
    </row>
    <row r="36" spans="1:31" ht="12.75" customHeight="1">
      <c r="A36" s="2924">
        <v>1918</v>
      </c>
      <c r="B36" s="2942">
        <f t="shared" si="0"/>
        <v>289.21300000000002</v>
      </c>
      <c r="C36" s="2942">
        <f t="shared" si="1"/>
        <v>228.90199999999999</v>
      </c>
      <c r="D36" s="2942" t="str">
        <f t="shared" si="2"/>
        <v>..</v>
      </c>
      <c r="E36" s="2942" t="str">
        <f t="shared" si="3"/>
        <v>..</v>
      </c>
      <c r="F36" s="2942">
        <f t="shared" si="4"/>
        <v>521.11</v>
      </c>
      <c r="G36" s="2942">
        <f t="shared" si="5"/>
        <v>1039.2249999999999</v>
      </c>
      <c r="H36" s="2927"/>
      <c r="I36" s="2924">
        <v>1918</v>
      </c>
      <c r="J36" s="2929">
        <f>'1918 '!$E$50</f>
        <v>36</v>
      </c>
      <c r="K36" s="2883">
        <f>'1918 '!$E$52</f>
        <v>56</v>
      </c>
      <c r="L36" s="2883" t="s">
        <v>103</v>
      </c>
      <c r="M36" s="2883" t="s">
        <v>103</v>
      </c>
      <c r="N36" s="2929">
        <f>'1918 '!$E$55</f>
        <v>112</v>
      </c>
      <c r="O36" s="2885">
        <f>'1918 '!$E$54</f>
        <v>204</v>
      </c>
      <c r="P36" s="2923"/>
      <c r="Q36" s="2923"/>
      <c r="R36" s="2924">
        <v>1918</v>
      </c>
      <c r="S36" s="2923"/>
      <c r="T36" s="2929">
        <f>'1918 '!$B$50</f>
        <v>289213</v>
      </c>
      <c r="U36" s="2883">
        <f>'1918 '!$B$52</f>
        <v>228902</v>
      </c>
      <c r="V36" s="2883" t="s">
        <v>103</v>
      </c>
      <c r="W36" s="2883" t="s">
        <v>103</v>
      </c>
      <c r="X36" s="2929">
        <f>'1918 '!$B$55</f>
        <v>521110</v>
      </c>
      <c r="Y36" s="2885">
        <f>'1918 '!$B$54</f>
        <v>1039225</v>
      </c>
    </row>
    <row r="37" spans="1:31" ht="2.25" customHeight="1">
      <c r="B37" s="2914"/>
      <c r="C37" s="2914"/>
      <c r="D37" s="2914"/>
      <c r="E37" s="2914"/>
      <c r="F37" s="2914"/>
      <c r="G37" s="2914"/>
      <c r="H37" s="2886"/>
      <c r="I37" s="2910"/>
      <c r="J37" s="142"/>
      <c r="K37" s="142"/>
      <c r="L37" s="142"/>
      <c r="M37" s="142"/>
      <c r="N37" s="142"/>
      <c r="O37" s="142"/>
    </row>
    <row r="38" spans="1:31" ht="15" customHeight="1">
      <c r="B38" s="2914"/>
      <c r="C38" s="2914"/>
      <c r="D38" s="2914"/>
      <c r="E38" s="2914"/>
      <c r="F38" s="2914"/>
      <c r="G38" s="2914"/>
      <c r="H38" s="2886"/>
      <c r="I38" s="2910"/>
      <c r="J38" s="142"/>
      <c r="K38" s="142"/>
      <c r="L38" s="142"/>
      <c r="M38" s="142"/>
      <c r="N38" s="142"/>
      <c r="O38" s="142"/>
    </row>
    <row r="39" spans="1:31" ht="12.75" customHeight="1">
      <c r="B39" s="3276" t="s">
        <v>2732</v>
      </c>
      <c r="C39" s="3277"/>
      <c r="D39" s="3277"/>
      <c r="E39" s="3277"/>
      <c r="F39" s="3277"/>
      <c r="G39" s="2886"/>
      <c r="I39" s="2910"/>
      <c r="J39" s="3276" t="s">
        <v>56</v>
      </c>
      <c r="K39" s="2885"/>
    </row>
    <row r="40" spans="1:31" ht="13.5" customHeight="1">
      <c r="A40" s="2906"/>
      <c r="B40" s="3275" t="s">
        <v>1066</v>
      </c>
      <c r="C40" s="3275" t="s">
        <v>113</v>
      </c>
      <c r="D40" s="3275" t="s">
        <v>1092</v>
      </c>
      <c r="E40" s="3275" t="s">
        <v>1065</v>
      </c>
      <c r="F40" s="3275" t="s">
        <v>12</v>
      </c>
      <c r="G40" s="3275" t="s">
        <v>16</v>
      </c>
      <c r="H40" s="2886"/>
      <c r="I40" s="2906"/>
      <c r="J40" s="3275" t="s">
        <v>1066</v>
      </c>
      <c r="K40" s="3275" t="s">
        <v>113</v>
      </c>
      <c r="L40" s="3275" t="s">
        <v>1092</v>
      </c>
      <c r="M40" s="3275" t="s">
        <v>1065</v>
      </c>
      <c r="N40" s="3275" t="s">
        <v>12</v>
      </c>
      <c r="O40" s="3275" t="s">
        <v>16</v>
      </c>
    </row>
    <row r="41" spans="1:31" ht="13.5" customHeight="1">
      <c r="A41" s="2910">
        <v>2019</v>
      </c>
      <c r="B41" s="142">
        <f>'1 GE-NI'!C70</f>
        <v>0.1165443315999925</v>
      </c>
      <c r="C41" s="142">
        <f>'1 GE-NI'!D70</f>
        <v>0.14860049935234376</v>
      </c>
      <c r="D41" s="142">
        <f>'1 GE-NI'!E70</f>
        <v>0.30552854380596595</v>
      </c>
      <c r="E41" s="142">
        <f>'1 GE-NI'!F70</f>
        <v>0.22759078138003969</v>
      </c>
      <c r="F41" s="142">
        <f>'1 GE-NI'!G70</f>
        <v>0.20173584386165808</v>
      </c>
      <c r="G41" s="142">
        <f>'1 GE-NI'!H70</f>
        <v>1</v>
      </c>
      <c r="H41" s="2909"/>
      <c r="I41" s="2908">
        <v>2019</v>
      </c>
      <c r="J41" s="840">
        <v>0</v>
      </c>
      <c r="K41" s="2907">
        <v>2</v>
      </c>
      <c r="L41" s="2907">
        <v>8</v>
      </c>
      <c r="M41" s="2907">
        <v>7</v>
      </c>
      <c r="N41" s="2883">
        <v>1</v>
      </c>
      <c r="O41" s="2883">
        <f>SUM(J41:N41)</f>
        <v>18</v>
      </c>
    </row>
    <row r="42" spans="1:31" ht="13.5" customHeight="1">
      <c r="A42" s="2910">
        <v>2017</v>
      </c>
      <c r="B42" s="142">
        <f>'1 GE-NI'!C69</f>
        <v>0.10253846731586355</v>
      </c>
      <c r="C42" s="142">
        <f>'1 GE-NI'!D69</f>
        <v>0.11748460630178174</v>
      </c>
      <c r="D42" s="142">
        <f>'1 GE-NI'!E69</f>
        <v>0.35991396027742512</v>
      </c>
      <c r="E42" s="142">
        <f>'1 GE-NI'!F69</f>
        <v>0.29416399998522502</v>
      </c>
      <c r="F42" s="142">
        <f>'1 GE-NI'!G69</f>
        <v>0.12589896611970455</v>
      </c>
      <c r="G42" s="142">
        <f>'1 GE-NI'!H69</f>
        <v>1</v>
      </c>
      <c r="H42" s="2909"/>
      <c r="I42" s="2908">
        <v>2017</v>
      </c>
      <c r="J42" s="840">
        <v>0</v>
      </c>
      <c r="K42" s="2907">
        <v>0</v>
      </c>
      <c r="L42" s="2907">
        <v>10</v>
      </c>
      <c r="M42" s="2907">
        <v>7</v>
      </c>
      <c r="N42" s="2883">
        <v>1</v>
      </c>
      <c r="O42" s="2883">
        <f>SUM(J42:N42)</f>
        <v>18</v>
      </c>
    </row>
    <row r="43" spans="1:31" ht="12.75" customHeight="1">
      <c r="A43" s="2910">
        <v>2015</v>
      </c>
      <c r="B43" s="142">
        <f>'1 GE-NI'!C68</f>
        <v>0.16000557025483916</v>
      </c>
      <c r="C43" s="142">
        <f>'1 GE-NI'!D68</f>
        <v>0.13897785823701433</v>
      </c>
      <c r="D43" s="142">
        <f>'1 GE-NI'!E68</f>
        <v>0.25664949171424595</v>
      </c>
      <c r="E43" s="142">
        <f>'1 GE-NI'!F68</f>
        <v>0.24536972566494913</v>
      </c>
      <c r="F43" s="142">
        <f>'1 GE-NI'!G68</f>
        <v>0.19899735412895139</v>
      </c>
      <c r="G43" s="142">
        <f>'1 GE-NI'!H68</f>
        <v>1</v>
      </c>
      <c r="H43" s="2909"/>
      <c r="I43" s="2908">
        <v>2015</v>
      </c>
      <c r="J43" s="2904">
        <v>2</v>
      </c>
      <c r="K43" s="2904">
        <v>3</v>
      </c>
      <c r="L43" s="2904">
        <v>8</v>
      </c>
      <c r="M43" s="2904">
        <v>4</v>
      </c>
      <c r="N43" s="2905">
        <v>1</v>
      </c>
      <c r="O43" s="2909">
        <v>18</v>
      </c>
    </row>
    <row r="44" spans="1:31" ht="12.75" customHeight="1">
      <c r="A44" s="2906">
        <v>2010</v>
      </c>
      <c r="B44" s="142">
        <f>'1 GE-NI'!C67</f>
        <v>0.1519513280902211</v>
      </c>
      <c r="C44" s="142">
        <f>'1 GE-NI'!D67</f>
        <v>0.16471286541029828</v>
      </c>
      <c r="D44" s="142">
        <f>'1 GE-NI'!E67</f>
        <v>0.24959192758569521</v>
      </c>
      <c r="E44" s="142">
        <f>'1 GE-NI'!F67</f>
        <v>0.25508235643270516</v>
      </c>
      <c r="F44" s="142">
        <f>'1 GE-NI'!G67</f>
        <v>0.17866152248108025</v>
      </c>
      <c r="G44" s="142">
        <f>'1 GE-NI'!H67</f>
        <v>1</v>
      </c>
      <c r="H44" s="2909"/>
      <c r="I44" s="2912">
        <v>2010</v>
      </c>
      <c r="J44" s="2904">
        <v>0</v>
      </c>
      <c r="K44" s="2904">
        <v>3</v>
      </c>
      <c r="L44" s="2904">
        <v>8</v>
      </c>
      <c r="M44" s="2904">
        <v>5</v>
      </c>
      <c r="N44" s="2905">
        <f t="shared" ref="N44:N53" si="8">O44-SUM(J44:M44)</f>
        <v>2</v>
      </c>
      <c r="O44" s="2909">
        <v>18</v>
      </c>
      <c r="Z44" s="105"/>
      <c r="AA44" s="105"/>
      <c r="AB44" s="105"/>
      <c r="AC44" s="105"/>
      <c r="AD44" s="105"/>
      <c r="AE44" s="105"/>
    </row>
    <row r="45" spans="1:31" ht="12.75" customHeight="1">
      <c r="A45" s="2906">
        <v>2005</v>
      </c>
      <c r="B45" s="142">
        <f>'1 GE-NI'!C66</f>
        <v>0.17755524650154264</v>
      </c>
      <c r="C45" s="142">
        <f>'1 GE-NI'!D66</f>
        <v>0.17506361464990344</v>
      </c>
      <c r="D45" s="142">
        <f>'1 GE-NI'!E66</f>
        <v>0.33703362030763573</v>
      </c>
      <c r="E45" s="142">
        <f>'1 GE-NI'!F66</f>
        <v>0.24321281155849622</v>
      </c>
      <c r="F45" s="142">
        <f>'1 GE-NI'!G66</f>
        <v>6.7134706982421924E-2</v>
      </c>
      <c r="G45" s="142">
        <f>'1 GE-NI'!H66</f>
        <v>1</v>
      </c>
      <c r="H45" s="2909"/>
      <c r="I45" s="2912">
        <v>2005</v>
      </c>
      <c r="J45" s="2904">
        <v>1</v>
      </c>
      <c r="K45" s="2904">
        <v>3</v>
      </c>
      <c r="L45" s="2904">
        <v>9</v>
      </c>
      <c r="M45" s="2904">
        <v>5</v>
      </c>
      <c r="N45" s="2905">
        <f t="shared" si="8"/>
        <v>0</v>
      </c>
      <c r="O45" s="2909">
        <v>18</v>
      </c>
      <c r="Z45" s="105"/>
      <c r="AA45" s="105"/>
      <c r="AB45" s="105"/>
      <c r="AC45" s="105"/>
      <c r="AD45" s="105"/>
      <c r="AE45" s="105"/>
    </row>
    <row r="46" spans="1:31" ht="12.75" customHeight="1">
      <c r="A46" s="2906">
        <v>2001</v>
      </c>
      <c r="B46" s="2911">
        <v>0.26757892035035674</v>
      </c>
      <c r="C46" s="2911">
        <v>0.20961309222655219</v>
      </c>
      <c r="D46" s="2911">
        <v>0.22458642552697888</v>
      </c>
      <c r="E46" s="2911">
        <v>0.21710099287489479</v>
      </c>
      <c r="F46" s="2911">
        <v>8.1120569021217434E-2</v>
      </c>
      <c r="G46" s="2913">
        <v>1</v>
      </c>
      <c r="H46" s="2909"/>
      <c r="I46" s="2912">
        <v>2001</v>
      </c>
      <c r="J46" s="2904">
        <v>6</v>
      </c>
      <c r="K46" s="2904">
        <v>3</v>
      </c>
      <c r="L46" s="2904">
        <v>5</v>
      </c>
      <c r="M46" s="2904">
        <v>4</v>
      </c>
      <c r="N46" s="2905">
        <f t="shared" si="8"/>
        <v>0</v>
      </c>
      <c r="O46" s="2909">
        <v>18</v>
      </c>
      <c r="Z46" s="105"/>
      <c r="AA46" s="105"/>
      <c r="AB46" s="105"/>
      <c r="AC46" s="105"/>
      <c r="AD46" s="105"/>
      <c r="AE46" s="105"/>
    </row>
    <row r="47" spans="1:31" ht="12.75" customHeight="1">
      <c r="A47" s="2906">
        <v>1997</v>
      </c>
      <c r="B47" s="2911">
        <v>0.32670892126834622</v>
      </c>
      <c r="C47" s="2911">
        <v>0.24130395744863817</v>
      </c>
      <c r="D47" s="2911">
        <v>0.13575260318528204</v>
      </c>
      <c r="E47" s="2911">
        <v>0.16050467776650879</v>
      </c>
      <c r="F47" s="2911">
        <v>0.13572984033122473</v>
      </c>
      <c r="G47" s="2913">
        <v>1</v>
      </c>
      <c r="H47" s="2909"/>
      <c r="I47" s="2912">
        <v>1997</v>
      </c>
      <c r="J47" s="2904">
        <v>10</v>
      </c>
      <c r="K47" s="2904">
        <v>3</v>
      </c>
      <c r="L47" s="2904">
        <v>2</v>
      </c>
      <c r="M47" s="2904">
        <v>2</v>
      </c>
      <c r="N47" s="2905">
        <f t="shared" si="8"/>
        <v>1</v>
      </c>
      <c r="O47" s="2909">
        <v>18</v>
      </c>
      <c r="Z47" s="105"/>
      <c r="AA47" s="105"/>
      <c r="AB47" s="105"/>
      <c r="AC47" s="105"/>
      <c r="AD47" s="105"/>
      <c r="AE47" s="105"/>
    </row>
    <row r="48" spans="1:31" ht="12.75" customHeight="1">
      <c r="A48" s="2906">
        <v>1992</v>
      </c>
      <c r="B48" s="2911">
        <v>0.34524444874683635</v>
      </c>
      <c r="C48" s="2911">
        <v>0.19672191702129557</v>
      </c>
      <c r="D48" s="2911">
        <v>0.13124432392086033</v>
      </c>
      <c r="E48" s="2911">
        <v>9.9721943769719004E-2</v>
      </c>
      <c r="F48" s="2911">
        <v>0.22706736654128862</v>
      </c>
      <c r="G48" s="2913">
        <v>1</v>
      </c>
      <c r="H48" s="2909"/>
      <c r="I48" s="2912">
        <v>1992</v>
      </c>
      <c r="J48" s="2904">
        <v>9</v>
      </c>
      <c r="K48" s="2904">
        <v>4</v>
      </c>
      <c r="L48" s="2904">
        <v>3</v>
      </c>
      <c r="M48" s="2904">
        <v>0</v>
      </c>
      <c r="N48" s="2905">
        <f t="shared" si="8"/>
        <v>1</v>
      </c>
      <c r="O48" s="2909">
        <v>17</v>
      </c>
      <c r="Z48" s="105"/>
      <c r="AA48" s="105"/>
      <c r="AB48" s="105"/>
      <c r="AC48" s="105"/>
      <c r="AD48" s="105"/>
      <c r="AE48" s="105"/>
    </row>
    <row r="49" spans="1:31" ht="12.75" customHeight="1">
      <c r="A49" s="2906">
        <v>1987</v>
      </c>
      <c r="B49" s="2911">
        <v>0.37834543213258459</v>
      </c>
      <c r="C49" s="2911">
        <v>0.2110491713463909</v>
      </c>
      <c r="D49" s="2911">
        <v>0.11730173948774139</v>
      </c>
      <c r="E49" s="2911">
        <v>0.11421586084098068</v>
      </c>
      <c r="F49" s="2911">
        <v>0.17908779619230236</v>
      </c>
      <c r="G49" s="2913">
        <v>1</v>
      </c>
      <c r="H49" s="2909"/>
      <c r="I49" s="2912">
        <v>1987</v>
      </c>
      <c r="J49" s="2904">
        <v>9</v>
      </c>
      <c r="K49" s="2904">
        <v>3</v>
      </c>
      <c r="L49" s="2904">
        <v>3</v>
      </c>
      <c r="M49" s="2904">
        <v>1</v>
      </c>
      <c r="N49" s="2905">
        <f t="shared" si="8"/>
        <v>1</v>
      </c>
      <c r="O49" s="2909">
        <v>17</v>
      </c>
      <c r="Z49" s="105"/>
      <c r="AA49" s="105"/>
      <c r="AB49" s="105"/>
      <c r="AC49" s="105"/>
      <c r="AD49" s="105"/>
      <c r="AE49" s="105"/>
    </row>
    <row r="50" spans="1:31" ht="12.75" customHeight="1">
      <c r="A50" s="2906">
        <v>1983</v>
      </c>
      <c r="B50" s="2911">
        <v>0.33983985358041641</v>
      </c>
      <c r="C50" s="2911">
        <v>0.17911821420400695</v>
      </c>
      <c r="D50" s="2911">
        <v>0.19969147302023074</v>
      </c>
      <c r="E50" s="2911">
        <v>0.13426283622577376</v>
      </c>
      <c r="F50" s="2911">
        <v>0.14708762296957215</v>
      </c>
      <c r="G50" s="2913">
        <v>1</v>
      </c>
      <c r="H50" s="2909"/>
      <c r="I50" s="2912">
        <v>1983</v>
      </c>
      <c r="J50" s="2904">
        <v>11</v>
      </c>
      <c r="K50" s="2904">
        <v>1</v>
      </c>
      <c r="L50" s="2904">
        <v>3</v>
      </c>
      <c r="M50" s="2904">
        <v>1</v>
      </c>
      <c r="N50" s="2905">
        <f t="shared" si="8"/>
        <v>1</v>
      </c>
      <c r="O50" s="2909">
        <v>17</v>
      </c>
      <c r="Z50" s="105"/>
      <c r="AA50" s="105"/>
      <c r="AB50" s="105"/>
      <c r="AC50" s="105"/>
      <c r="AD50" s="105"/>
      <c r="AE50" s="105"/>
    </row>
    <row r="51" spans="1:31" ht="12.75" customHeight="1">
      <c r="A51" s="2906">
        <v>1979</v>
      </c>
      <c r="B51" s="2911">
        <v>0.36583238370597526</v>
      </c>
      <c r="C51" s="2911">
        <v>0.18153090947237124</v>
      </c>
      <c r="D51" s="2911">
        <v>0.10199213378034078</v>
      </c>
      <c r="E51" s="2911" t="s">
        <v>103</v>
      </c>
      <c r="F51" s="2911">
        <v>0.35064457304131263</v>
      </c>
      <c r="G51" s="2913">
        <v>1</v>
      </c>
      <c r="H51" s="2915"/>
      <c r="I51" s="2912">
        <v>1979</v>
      </c>
      <c r="J51" s="2904">
        <v>5</v>
      </c>
      <c r="K51" s="2904">
        <v>1</v>
      </c>
      <c r="L51" s="2904">
        <v>3</v>
      </c>
      <c r="M51" s="2914" t="s">
        <v>103</v>
      </c>
      <c r="N51" s="2905">
        <f t="shared" si="8"/>
        <v>3</v>
      </c>
      <c r="O51" s="2909">
        <v>12</v>
      </c>
      <c r="Z51" s="105"/>
      <c r="AA51" s="105"/>
      <c r="AB51" s="105"/>
      <c r="AC51" s="105"/>
      <c r="AD51" s="105"/>
      <c r="AE51" s="105"/>
    </row>
    <row r="52" spans="1:31" ht="12.75" customHeight="1">
      <c r="A52" s="2906">
        <v>1974</v>
      </c>
      <c r="B52" s="2911">
        <v>0.45483859280460853</v>
      </c>
      <c r="C52" s="2911">
        <v>0.22356631448693332</v>
      </c>
      <c r="D52" s="2911">
        <v>8.1736168979384807E-2</v>
      </c>
      <c r="E52" s="2911" t="s">
        <v>103</v>
      </c>
      <c r="F52" s="2911">
        <v>0.23985892372907339</v>
      </c>
      <c r="G52" s="2913">
        <v>1</v>
      </c>
      <c r="H52" s="161"/>
      <c r="I52" s="2912">
        <v>1974</v>
      </c>
      <c r="J52" s="2904">
        <v>7</v>
      </c>
      <c r="K52" s="2904">
        <v>1</v>
      </c>
      <c r="L52" s="2904">
        <v>1</v>
      </c>
      <c r="M52" s="2914" t="s">
        <v>103</v>
      </c>
      <c r="N52" s="2905">
        <f t="shared" si="8"/>
        <v>3</v>
      </c>
      <c r="O52" s="2909">
        <v>12</v>
      </c>
      <c r="Z52" s="105"/>
      <c r="AA52" s="105"/>
      <c r="AB52" s="105"/>
      <c r="AC52" s="105"/>
      <c r="AD52" s="105"/>
      <c r="AE52" s="105"/>
    </row>
    <row r="53" spans="1:31" ht="12" customHeight="1">
      <c r="A53" s="2906">
        <v>1974</v>
      </c>
      <c r="B53" s="2911">
        <v>0.36471612063341941</v>
      </c>
      <c r="C53" s="2911">
        <v>0.21961874051052993</v>
      </c>
      <c r="D53" s="2911">
        <v>8.4676695713109637E-2</v>
      </c>
      <c r="E53" s="2911" t="s">
        <v>103</v>
      </c>
      <c r="F53" s="2911">
        <v>0.33098844314294096</v>
      </c>
      <c r="G53" s="2913">
        <v>1</v>
      </c>
      <c r="H53" s="2915"/>
      <c r="I53" s="2912">
        <v>1974</v>
      </c>
      <c r="J53" s="2904">
        <v>6</v>
      </c>
      <c r="K53" s="2904">
        <v>1</v>
      </c>
      <c r="L53" s="2904">
        <v>1</v>
      </c>
      <c r="M53" s="2914" t="s">
        <v>103</v>
      </c>
      <c r="N53" s="2905">
        <f t="shared" si="8"/>
        <v>4</v>
      </c>
      <c r="O53" s="2909">
        <v>12</v>
      </c>
      <c r="Z53" s="105"/>
      <c r="AA53" s="105"/>
      <c r="AB53" s="105"/>
      <c r="AC53" s="105"/>
      <c r="AD53" s="105"/>
      <c r="AE53" s="105"/>
    </row>
    <row r="54" spans="1:31" ht="13.5" customHeight="1">
      <c r="B54" s="3274" t="s">
        <v>698</v>
      </c>
      <c r="C54" s="3274" t="s">
        <v>1430</v>
      </c>
      <c r="D54" s="3274" t="s">
        <v>699</v>
      </c>
      <c r="E54" s="3274" t="s">
        <v>827</v>
      </c>
      <c r="F54" s="3274" t="s">
        <v>12</v>
      </c>
      <c r="G54" s="3274" t="s">
        <v>16</v>
      </c>
      <c r="I54" s="2910"/>
      <c r="J54" s="3274" t="s">
        <v>698</v>
      </c>
      <c r="K54" s="3274" t="s">
        <v>1430</v>
      </c>
      <c r="L54" s="3274" t="s">
        <v>699</v>
      </c>
      <c r="M54" s="3274" t="s">
        <v>827</v>
      </c>
      <c r="N54" s="3274" t="s">
        <v>12</v>
      </c>
      <c r="O54" s="3274" t="s">
        <v>16</v>
      </c>
      <c r="Z54" s="105"/>
      <c r="AA54" s="105"/>
      <c r="AB54" s="105"/>
      <c r="AC54" s="105"/>
      <c r="AD54" s="105"/>
      <c r="AE54" s="105"/>
    </row>
    <row r="55" spans="1:31" ht="12.75" customHeight="1">
      <c r="A55" s="2922">
        <v>1970</v>
      </c>
      <c r="B55" s="142">
        <f>+'1970'!$D$27</f>
        <v>0.54169420867062934</v>
      </c>
      <c r="C55" s="142" t="s">
        <v>103</v>
      </c>
      <c r="D55" s="142">
        <f>+'1970'!$D$28</f>
        <v>0.12603306580688553</v>
      </c>
      <c r="E55" s="142">
        <f>+'1970'!$D$29</f>
        <v>1.5408547925653916E-2</v>
      </c>
      <c r="F55" s="142">
        <f t="shared" ref="F55:F61" si="9">+G55-SUM(B55:E55)</f>
        <v>0.31686417759683116</v>
      </c>
      <c r="G55" s="488">
        <f>+'1970'!$D$26</f>
        <v>1</v>
      </c>
      <c r="H55" s="2886"/>
      <c r="I55" s="2922">
        <v>1970</v>
      </c>
      <c r="J55" s="2907">
        <f>+'1970'!$F$27</f>
        <v>8</v>
      </c>
      <c r="K55" s="2907" t="s">
        <v>103</v>
      </c>
      <c r="L55" s="2907">
        <f>+'1970'!$F$28</f>
        <v>0</v>
      </c>
      <c r="M55" s="2907">
        <f>+'1970'!$F$29</f>
        <v>0</v>
      </c>
      <c r="N55" s="2907">
        <f t="shared" ref="N55:N61" si="10">+O55-SUM(J55:M55)</f>
        <v>4</v>
      </c>
      <c r="O55" s="2907">
        <f>+'1970'!$F$26</f>
        <v>12</v>
      </c>
      <c r="Z55" s="105"/>
      <c r="AA55" s="105"/>
      <c r="AB55" s="105"/>
      <c r="AC55" s="105"/>
      <c r="AD55" s="105"/>
      <c r="AE55" s="105"/>
    </row>
    <row r="56" spans="1:31" ht="12.75" customHeight="1">
      <c r="A56" s="2922">
        <v>1966</v>
      </c>
      <c r="B56" s="142">
        <f>+'1966'!$D$29</f>
        <v>0.61825918217084819</v>
      </c>
      <c r="C56" s="142">
        <f>'1966'!$D$32</f>
        <v>3.7178169083770377E-2</v>
      </c>
      <c r="D56" s="142">
        <f>+'1966'!$D$30</f>
        <v>0.12178546450488648</v>
      </c>
      <c r="E56" s="142">
        <f>+'1966'!$D$31</f>
        <v>4.8821190231401274E-2</v>
      </c>
      <c r="F56" s="142">
        <f t="shared" si="9"/>
        <v>0.17395599400909367</v>
      </c>
      <c r="G56" s="488">
        <f>+'1966'!$D$28</f>
        <v>1</v>
      </c>
      <c r="H56" s="2886"/>
      <c r="I56" s="2922">
        <v>1966</v>
      </c>
      <c r="J56" s="2907">
        <f>+'1966'!$F$29</f>
        <v>11</v>
      </c>
      <c r="K56" s="2907">
        <f>'1966'!$F$32</f>
        <v>0</v>
      </c>
      <c r="L56" s="2907">
        <f>+'1966'!$F$30</f>
        <v>0</v>
      </c>
      <c r="M56" s="2907">
        <f>+'1966'!$F$31</f>
        <v>0</v>
      </c>
      <c r="N56" s="2907">
        <f t="shared" si="10"/>
        <v>1</v>
      </c>
      <c r="O56" s="2907">
        <f>+'1966'!$F$28</f>
        <v>12</v>
      </c>
      <c r="Z56" s="105"/>
      <c r="AA56" s="105"/>
      <c r="AB56" s="105"/>
      <c r="AC56" s="105"/>
      <c r="AD56" s="105"/>
      <c r="AE56" s="105"/>
    </row>
    <row r="57" spans="1:31" ht="12.75" customHeight="1">
      <c r="A57" s="2922">
        <v>1964</v>
      </c>
      <c r="B57" s="142">
        <f>+'1964'!$D$33</f>
        <v>0.62962075210397361</v>
      </c>
      <c r="C57" s="142" t="s">
        <v>103</v>
      </c>
      <c r="D57" s="142">
        <f>+'1964'!$D$34</f>
        <v>0.16098452803940369</v>
      </c>
      <c r="E57" s="142">
        <f>+'1964'!$D$35</f>
        <v>2.7187161217954742E-2</v>
      </c>
      <c r="F57" s="142">
        <f t="shared" si="9"/>
        <v>0.182207558638668</v>
      </c>
      <c r="G57" s="488">
        <f>+'1964'!$D$32</f>
        <v>1</v>
      </c>
      <c r="H57" s="2886"/>
      <c r="I57" s="2922">
        <v>1964</v>
      </c>
      <c r="J57" s="2907">
        <f>+'1964'!$F$33</f>
        <v>12</v>
      </c>
      <c r="K57" s="2907" t="s">
        <v>103</v>
      </c>
      <c r="L57" s="2907">
        <f>+'1964'!$F$34</f>
        <v>0</v>
      </c>
      <c r="M57" s="2907">
        <f>+'1964'!$F$35</f>
        <v>0</v>
      </c>
      <c r="N57" s="2907">
        <f t="shared" si="10"/>
        <v>0</v>
      </c>
      <c r="O57" s="2907">
        <f>+'1964'!$F$32</f>
        <v>12</v>
      </c>
      <c r="Z57" s="105"/>
      <c r="AA57" s="105"/>
      <c r="AB57" s="105"/>
      <c r="AC57" s="105"/>
      <c r="AD57" s="105"/>
      <c r="AE57" s="105"/>
    </row>
    <row r="58" spans="1:31" ht="12.75" customHeight="1">
      <c r="A58" s="2922">
        <v>1959</v>
      </c>
      <c r="B58" s="142">
        <f>+'1959'!$D$33</f>
        <v>0.77244047608715649</v>
      </c>
      <c r="C58" s="142" t="s">
        <v>103</v>
      </c>
      <c r="D58" s="142">
        <f>+'1959'!$D$34</f>
        <v>7.701614093068547E-2</v>
      </c>
      <c r="E58" s="142">
        <f>+'1959'!$D$35</f>
        <v>5.6464617184475959E-3</v>
      </c>
      <c r="F58" s="142">
        <f t="shared" si="9"/>
        <v>0.14489692126371045</v>
      </c>
      <c r="G58" s="488">
        <f>+'1959'!$D$32</f>
        <v>1</v>
      </c>
      <c r="H58" s="2886"/>
      <c r="I58" s="2922">
        <v>1959</v>
      </c>
      <c r="J58" s="2907">
        <f>+'1959'!$F$33</f>
        <v>12</v>
      </c>
      <c r="K58" s="2907" t="s">
        <v>103</v>
      </c>
      <c r="L58" s="2907">
        <f>+'1959'!$F$34</f>
        <v>0</v>
      </c>
      <c r="M58" s="2907">
        <f>+'1959'!$F$35</f>
        <v>0</v>
      </c>
      <c r="N58" s="2907">
        <f t="shared" si="10"/>
        <v>0</v>
      </c>
      <c r="O58" s="2907">
        <f>+'1959'!$F$32</f>
        <v>12</v>
      </c>
      <c r="Z58" s="105"/>
      <c r="AA58" s="105"/>
      <c r="AB58" s="105"/>
      <c r="AC58" s="105"/>
      <c r="AD58" s="105"/>
      <c r="AE58" s="105"/>
    </row>
    <row r="59" spans="1:31" ht="12.75" customHeight="1">
      <c r="A59" s="2922">
        <v>1955</v>
      </c>
      <c r="B59" s="142">
        <f>+'1955'!$D$33</f>
        <v>0.6845540123194267</v>
      </c>
      <c r="C59" s="142" t="s">
        <v>103</v>
      </c>
      <c r="D59" s="142">
        <f>+'1955'!$D$34</f>
        <v>5.5077085340562708E-2</v>
      </c>
      <c r="E59" s="142" t="s">
        <v>103</v>
      </c>
      <c r="F59" s="142">
        <f t="shared" si="9"/>
        <v>0.26036890234001064</v>
      </c>
      <c r="G59" s="488">
        <f>+'1955'!$D$32</f>
        <v>1</v>
      </c>
      <c r="H59" s="2886"/>
      <c r="I59" s="2922">
        <v>1955</v>
      </c>
      <c r="J59" s="2907">
        <f>+'1955'!$F$33</f>
        <v>10</v>
      </c>
      <c r="K59" s="2907" t="s">
        <v>103</v>
      </c>
      <c r="L59" s="2907">
        <f>+'1955'!$F$34</f>
        <v>0</v>
      </c>
      <c r="M59" s="2907" t="s">
        <v>103</v>
      </c>
      <c r="N59" s="2907">
        <f t="shared" si="10"/>
        <v>2</v>
      </c>
      <c r="O59" s="2907">
        <f>+'1955'!$F$32</f>
        <v>12</v>
      </c>
      <c r="Z59" s="105"/>
      <c r="AA59" s="105"/>
      <c r="AB59" s="105"/>
      <c r="AC59" s="105"/>
      <c r="AD59" s="105"/>
      <c r="AE59" s="105"/>
    </row>
    <row r="60" spans="1:31" ht="12.75" customHeight="1">
      <c r="A60" s="2922">
        <v>1951</v>
      </c>
      <c r="B60" s="142">
        <f>+'1951'!$D$33</f>
        <v>0.59352392959610378</v>
      </c>
      <c r="C60" s="142">
        <f>'1951'!$D$36</f>
        <v>0.20031173563781673</v>
      </c>
      <c r="D60" s="142">
        <f>+'1951'!$D$34</f>
        <v>0.13454717376239442</v>
      </c>
      <c r="E60" s="142" t="s">
        <v>103</v>
      </c>
      <c r="F60" s="142">
        <f t="shared" si="9"/>
        <v>7.1617161003685093E-2</v>
      </c>
      <c r="G60" s="488">
        <f>+'1951'!$D$32</f>
        <v>1</v>
      </c>
      <c r="H60" s="2886"/>
      <c r="I60" s="2922">
        <v>1951</v>
      </c>
      <c r="J60" s="2907">
        <f>+'1951'!$F$33</f>
        <v>9</v>
      </c>
      <c r="K60" s="2907">
        <f>'1951'!$F$36</f>
        <v>2</v>
      </c>
      <c r="L60" s="2907">
        <f>+'1951'!$F$34</f>
        <v>0</v>
      </c>
      <c r="M60" s="2907" t="s">
        <v>103</v>
      </c>
      <c r="N60" s="2907">
        <f t="shared" si="10"/>
        <v>1</v>
      </c>
      <c r="O60" s="2907">
        <f>+'1951'!$F$32</f>
        <v>12</v>
      </c>
      <c r="Z60" s="105"/>
      <c r="AA60" s="105"/>
      <c r="AB60" s="105"/>
      <c r="AC60" s="105"/>
      <c r="AD60" s="105"/>
      <c r="AE60" s="105"/>
    </row>
    <row r="61" spans="1:31" ht="12.75" customHeight="1">
      <c r="A61" s="2922">
        <v>1950</v>
      </c>
      <c r="B61" s="142">
        <f>+'1950'!$D$33</f>
        <v>0.62755638200478059</v>
      </c>
      <c r="C61" s="142">
        <f>'1950'!$D$36</f>
        <v>0.11614995778696846</v>
      </c>
      <c r="D61" s="142">
        <f>+'1950'!$D$34</f>
        <v>0.12078982897488236</v>
      </c>
      <c r="E61" s="142" t="s">
        <v>103</v>
      </c>
      <c r="F61" s="142">
        <f t="shared" si="9"/>
        <v>0.13550383123336862</v>
      </c>
      <c r="G61" s="488">
        <f>+'1950'!$D$32</f>
        <v>1</v>
      </c>
      <c r="H61" s="2886"/>
      <c r="I61" s="2922">
        <v>1950</v>
      </c>
      <c r="J61" s="2907">
        <f>+'1950'!$F$33</f>
        <v>10</v>
      </c>
      <c r="K61" s="2907">
        <f>'1950'!$F$36</f>
        <v>2</v>
      </c>
      <c r="L61" s="2907">
        <f>+'1950'!$F$34</f>
        <v>0</v>
      </c>
      <c r="M61" s="2907" t="s">
        <v>103</v>
      </c>
      <c r="N61" s="2907">
        <f t="shared" si="10"/>
        <v>0</v>
      </c>
      <c r="O61" s="2907">
        <f>+'1950'!$F$32</f>
        <v>12</v>
      </c>
      <c r="Z61" s="105"/>
      <c r="AA61" s="105"/>
      <c r="AB61" s="105"/>
      <c r="AC61" s="105"/>
      <c r="AD61" s="105"/>
      <c r="AE61" s="105"/>
    </row>
    <row r="62" spans="1:31" ht="12.75" customHeight="1">
      <c r="A62" s="2922">
        <v>1945</v>
      </c>
      <c r="B62" s="142">
        <f>+'1945'!$D$35</f>
        <v>0.53700000000000003</v>
      </c>
      <c r="C62" s="142">
        <f>'1945'!$D$37</f>
        <v>0.188</v>
      </c>
      <c r="D62" s="142">
        <f>+'1945'!$D$36</f>
        <v>0.114</v>
      </c>
      <c r="E62" s="142" t="s">
        <v>103</v>
      </c>
      <c r="F62" s="142">
        <f>G62-SUM(B62:E62)</f>
        <v>0.16099999999999992</v>
      </c>
      <c r="G62" s="488">
        <f>+'1945'!$D$34</f>
        <v>1</v>
      </c>
      <c r="H62" s="2886"/>
      <c r="I62" s="2922">
        <v>1945</v>
      </c>
      <c r="J62" s="2907">
        <f>+'1945'!$F$35</f>
        <v>8</v>
      </c>
      <c r="K62" s="2907">
        <f>'1945'!$F$37</f>
        <v>2</v>
      </c>
      <c r="L62" s="2907">
        <f>+'1945'!$F$36</f>
        <v>0</v>
      </c>
      <c r="M62" s="2907" t="s">
        <v>103</v>
      </c>
      <c r="N62" s="2907">
        <f>O62-SUM(J62:M62)</f>
        <v>2</v>
      </c>
      <c r="O62" s="2907">
        <f>+'1945'!$F$34</f>
        <v>12</v>
      </c>
      <c r="Z62" s="105"/>
      <c r="AA62" s="105"/>
      <c r="AB62" s="105"/>
      <c r="AC62" s="105"/>
      <c r="AD62" s="105"/>
      <c r="AE62" s="105"/>
    </row>
    <row r="63" spans="1:31" ht="12.75" customHeight="1">
      <c r="A63" s="2922">
        <v>1935</v>
      </c>
      <c r="B63" s="142">
        <f>'1935'!$C$43</f>
        <v>0.64900000000000002</v>
      </c>
      <c r="C63" s="142">
        <f>'1935'!$C$45</f>
        <v>0.183</v>
      </c>
      <c r="D63" s="142" t="s">
        <v>103</v>
      </c>
      <c r="E63" s="142" t="s">
        <v>103</v>
      </c>
      <c r="F63" s="142">
        <f>'1935'!$C$46</f>
        <v>0.16800000000000001</v>
      </c>
      <c r="G63" s="488">
        <f>SUM(B63:F63)</f>
        <v>1</v>
      </c>
      <c r="H63" s="2886"/>
      <c r="I63" s="2924">
        <v>1935</v>
      </c>
      <c r="J63" s="2883">
        <f>'1935'!$G$43</f>
        <v>10</v>
      </c>
      <c r="K63" s="2883">
        <f>'1935'!$G$45</f>
        <v>2</v>
      </c>
      <c r="L63" s="2883" t="s">
        <v>103</v>
      </c>
      <c r="M63" s="2883" t="s">
        <v>103</v>
      </c>
      <c r="N63" s="2883">
        <f>'1935'!$G$46</f>
        <v>0</v>
      </c>
      <c r="O63" s="2885">
        <f>'1935'!$G$47</f>
        <v>12</v>
      </c>
      <c r="Z63" s="105"/>
      <c r="AA63" s="105"/>
      <c r="AB63" s="105"/>
      <c r="AC63" s="105"/>
      <c r="AD63" s="105"/>
      <c r="AE63" s="105"/>
    </row>
    <row r="64" spans="1:31" ht="12.75" customHeight="1">
      <c r="A64" s="2922">
        <v>1931</v>
      </c>
      <c r="B64" s="142">
        <f>'1931'!$C$47</f>
        <v>0.56100000000000005</v>
      </c>
      <c r="C64" s="142">
        <f>'1931'!$C$49</f>
        <v>0.38900000000000001</v>
      </c>
      <c r="D64" s="142">
        <f>'1931'!$C$48</f>
        <v>0.05</v>
      </c>
      <c r="E64" s="142" t="s">
        <v>103</v>
      </c>
      <c r="F64" s="142" t="s">
        <v>103</v>
      </c>
      <c r="G64" s="488">
        <f>SUM(B64:D64)</f>
        <v>1</v>
      </c>
      <c r="H64" s="2886"/>
      <c r="I64" s="2924">
        <v>1931</v>
      </c>
      <c r="J64" s="2883">
        <f>'1931'!$G$47</f>
        <v>10</v>
      </c>
      <c r="K64" s="2883">
        <f>'1931'!$G$49</f>
        <v>2</v>
      </c>
      <c r="L64" s="2883">
        <f>'1931'!$G$48</f>
        <v>0</v>
      </c>
      <c r="M64" s="2883" t="s">
        <v>103</v>
      </c>
      <c r="N64" s="2883" t="s">
        <v>103</v>
      </c>
      <c r="O64" s="2885">
        <f>'1931'!$G$50</f>
        <v>12</v>
      </c>
      <c r="Z64" s="105"/>
      <c r="AA64" s="105"/>
      <c r="AB64" s="105"/>
      <c r="AC64" s="105"/>
      <c r="AD64" s="105"/>
      <c r="AE64" s="105"/>
    </row>
    <row r="65" spans="1:31" ht="12.75" customHeight="1">
      <c r="A65" s="2922">
        <v>1929</v>
      </c>
      <c r="B65" s="142">
        <f>'1929'!$C$30</f>
        <v>0.68</v>
      </c>
      <c r="C65" s="142">
        <f>'1929'!$C$32</f>
        <v>6.6000000000000003E-2</v>
      </c>
      <c r="D65" s="142" t="s">
        <v>103</v>
      </c>
      <c r="E65" s="142">
        <f>'1929'!$C$31</f>
        <v>0.16800000000000001</v>
      </c>
      <c r="F65" s="142">
        <f>'1929'!$C$33</f>
        <v>8.5999999999999993E-2</v>
      </c>
      <c r="G65" s="488">
        <v>1</v>
      </c>
      <c r="H65" s="2886"/>
      <c r="I65" s="2924">
        <v>1929</v>
      </c>
      <c r="J65" s="2883">
        <f>'1929'!$G$30</f>
        <v>10</v>
      </c>
      <c r="K65" s="2883">
        <f>'1929'!$G$32</f>
        <v>2</v>
      </c>
      <c r="L65" s="2883" t="s">
        <v>103</v>
      </c>
      <c r="M65" s="2883">
        <f>'1929'!$G$31</f>
        <v>0</v>
      </c>
      <c r="N65" s="2883">
        <f>'1929'!$G$33</f>
        <v>0</v>
      </c>
      <c r="O65" s="2885">
        <f>'1929'!$G$34</f>
        <v>12</v>
      </c>
      <c r="Z65" s="105"/>
      <c r="AA65" s="105"/>
      <c r="AB65" s="105"/>
      <c r="AC65" s="105"/>
      <c r="AD65" s="105"/>
      <c r="AE65" s="105"/>
    </row>
    <row r="66" spans="1:31" ht="12.75" customHeight="1">
      <c r="A66" s="2922">
        <v>1924</v>
      </c>
      <c r="B66" s="142">
        <f>'1924'!$C$28</f>
        <v>0.83799999999999997</v>
      </c>
      <c r="C66" s="142" t="s">
        <v>103</v>
      </c>
      <c r="D66" s="142" t="s">
        <v>103</v>
      </c>
      <c r="E66" s="2914" t="s">
        <v>103</v>
      </c>
      <c r="F66" s="142">
        <f>'1924'!$C$30+'1924'!$C$29</f>
        <v>0.16200000000000001</v>
      </c>
      <c r="G66" s="488">
        <v>1</v>
      </c>
      <c r="H66" s="2886"/>
      <c r="I66" s="2924">
        <v>1924</v>
      </c>
      <c r="J66" s="2883">
        <f>'1924'!$G$28</f>
        <v>12</v>
      </c>
      <c r="K66" s="2883" t="s">
        <v>103</v>
      </c>
      <c r="L66" s="2883" t="s">
        <v>103</v>
      </c>
      <c r="M66" s="2904" t="s">
        <v>103</v>
      </c>
      <c r="N66" s="2883">
        <f>'1924'!$G$30+'1924'!$G$29</f>
        <v>0</v>
      </c>
      <c r="O66" s="2885">
        <f>'1924'!$G$31</f>
        <v>12</v>
      </c>
      <c r="Z66" s="105"/>
      <c r="AA66" s="105"/>
      <c r="AB66" s="105"/>
      <c r="AC66" s="105"/>
      <c r="AD66" s="105"/>
      <c r="AE66" s="105"/>
    </row>
    <row r="67" spans="1:31" ht="12.75" customHeight="1">
      <c r="A67" s="2922">
        <v>1923</v>
      </c>
      <c r="B67" s="142">
        <f>'1923'!$C$27</f>
        <v>0.49399999999999999</v>
      </c>
      <c r="C67" s="142">
        <f>'1923'!$C$28</f>
        <v>0.27300000000000002</v>
      </c>
      <c r="D67" s="142" t="s">
        <v>103</v>
      </c>
      <c r="E67" s="2914" t="s">
        <v>103</v>
      </c>
      <c r="F67" s="142">
        <f>'1923'!$C$29</f>
        <v>0.23300000000000001</v>
      </c>
      <c r="G67" s="488">
        <v>1</v>
      </c>
      <c r="H67" s="2886"/>
      <c r="I67" s="2924">
        <v>1923</v>
      </c>
      <c r="J67" s="2883">
        <f>'1923'!$G$27</f>
        <v>10</v>
      </c>
      <c r="K67" s="2883">
        <f>'1923'!$G$28</f>
        <v>2</v>
      </c>
      <c r="L67" s="2883" t="s">
        <v>103</v>
      </c>
      <c r="M67" s="2904" t="s">
        <v>103</v>
      </c>
      <c r="N67" s="2883">
        <f>'1923'!$G$29</f>
        <v>0</v>
      </c>
      <c r="O67" s="2885">
        <f>'1923'!$G$30</f>
        <v>12</v>
      </c>
      <c r="Z67" s="105"/>
      <c r="AA67" s="105"/>
      <c r="AB67" s="105"/>
      <c r="AC67" s="105"/>
      <c r="AD67" s="105"/>
      <c r="AE67" s="105"/>
    </row>
    <row r="68" spans="1:31" ht="12.75" customHeight="1">
      <c r="A68" s="2924">
        <v>1922</v>
      </c>
      <c r="B68" s="2637">
        <f>'1922'!$C$31</f>
        <v>0.55799999999999994</v>
      </c>
      <c r="C68" s="2637">
        <f>'1922'!$C$32</f>
        <v>0.36299999999999999</v>
      </c>
      <c r="D68" s="2637" t="s">
        <v>103</v>
      </c>
      <c r="E68" s="2925" t="s">
        <v>103</v>
      </c>
      <c r="F68" s="2637">
        <f>'1922'!$C$33</f>
        <v>7.9000000000000001E-2</v>
      </c>
      <c r="G68" s="2928">
        <v>1</v>
      </c>
      <c r="H68" s="2927"/>
      <c r="I68" s="2924">
        <v>1922</v>
      </c>
      <c r="J68" s="2882">
        <f>'1922'!$G$31</f>
        <v>10</v>
      </c>
      <c r="K68" s="2882">
        <f>'1922'!$G$32</f>
        <v>2</v>
      </c>
      <c r="L68" s="2882" t="s">
        <v>103</v>
      </c>
      <c r="M68" s="2926" t="s">
        <v>103</v>
      </c>
      <c r="N68" s="2882">
        <f>'1922'!$G$33</f>
        <v>0</v>
      </c>
      <c r="O68" s="2923">
        <f>'1922'!$G$34</f>
        <v>12</v>
      </c>
      <c r="Z68" s="105"/>
      <c r="AA68" s="105"/>
      <c r="AB68" s="105"/>
      <c r="AC68" s="105"/>
      <c r="AD68" s="105"/>
      <c r="AE68" s="105"/>
    </row>
    <row r="69" spans="1:31" ht="12.75" customHeight="1">
      <c r="A69" s="2924">
        <v>1918</v>
      </c>
      <c r="B69" s="105">
        <f>'1918 '!$C$50</f>
        <v>0.28399999999999997</v>
      </c>
      <c r="C69" s="142">
        <f>'1918 '!$C$52</f>
        <v>0.22</v>
      </c>
      <c r="D69" s="142" t="s">
        <v>103</v>
      </c>
      <c r="E69" s="142" t="s">
        <v>103</v>
      </c>
      <c r="F69" s="105">
        <f>'1918 '!$C$55</f>
        <v>0.496</v>
      </c>
      <c r="G69" s="154">
        <v>1</v>
      </c>
      <c r="I69" s="2924">
        <v>1918</v>
      </c>
      <c r="J69" s="2929">
        <f>'1918 '!$G$50</f>
        <v>23</v>
      </c>
      <c r="K69" s="2883">
        <f>'1918 '!$G$52</f>
        <v>6</v>
      </c>
      <c r="L69" s="2883" t="s">
        <v>103</v>
      </c>
      <c r="M69" s="2883" t="s">
        <v>103</v>
      </c>
      <c r="N69" s="2929">
        <f>'1918 '!$G$55</f>
        <v>72</v>
      </c>
      <c r="O69" s="2885">
        <f>'1918 '!$G$54</f>
        <v>101</v>
      </c>
      <c r="Z69" s="105"/>
      <c r="AA69" s="105"/>
      <c r="AB69" s="105"/>
      <c r="AC69" s="105"/>
      <c r="AD69" s="105"/>
      <c r="AE69" s="105"/>
    </row>
    <row r="70" spans="1:31" ht="3" customHeight="1">
      <c r="A70" s="3273"/>
      <c r="B70" s="3272"/>
      <c r="C70" s="3272"/>
      <c r="D70" s="3270"/>
      <c r="E70" s="3271"/>
      <c r="F70" s="3270"/>
      <c r="G70" s="3270"/>
      <c r="H70" s="3269"/>
      <c r="I70" s="3269"/>
      <c r="J70" s="2886">
        <v>23</v>
      </c>
      <c r="K70" s="2886">
        <v>6</v>
      </c>
      <c r="L70" s="2886" t="s">
        <v>103</v>
      </c>
      <c r="M70" s="2886" t="s">
        <v>103</v>
      </c>
      <c r="N70" s="2886">
        <v>72</v>
      </c>
      <c r="O70" s="3268">
        <f>SUM(J70:N70)</f>
        <v>101</v>
      </c>
    </row>
    <row r="71" spans="1:31" ht="4.5" customHeight="1">
      <c r="A71" s="2906"/>
      <c r="B71" s="2905"/>
      <c r="C71" s="2905"/>
      <c r="D71" s="2903"/>
      <c r="E71" s="2904"/>
      <c r="F71" s="2903"/>
      <c r="G71" s="2903"/>
      <c r="H71" s="2899"/>
      <c r="I71" s="2899"/>
      <c r="J71" s="2903"/>
      <c r="K71" s="2904"/>
      <c r="L71" s="2903"/>
      <c r="M71" s="2903"/>
      <c r="N71" s="2902"/>
      <c r="O71" s="2899"/>
    </row>
    <row r="72" spans="1:31" s="2888" customFormat="1">
      <c r="A72" s="3265" t="s">
        <v>1113</v>
      </c>
      <c r="C72" s="2889"/>
      <c r="E72" s="2889"/>
      <c r="I72" s="3264"/>
      <c r="K72" s="2889"/>
      <c r="Y72" s="175"/>
    </row>
    <row r="73" spans="1:31" s="2888" customFormat="1" ht="33.75" customHeight="1">
      <c r="A73" s="3404" t="s">
        <v>1517</v>
      </c>
      <c r="B73" s="3404"/>
      <c r="C73" s="3404"/>
      <c r="D73" s="3404"/>
      <c r="E73" s="3404"/>
      <c r="F73" s="3404"/>
      <c r="G73" s="3404"/>
      <c r="H73" s="3404"/>
      <c r="I73" s="3404"/>
      <c r="J73" s="3404"/>
      <c r="K73" s="3404"/>
      <c r="L73" s="3404"/>
      <c r="M73" s="3404"/>
      <c r="N73" s="3404"/>
      <c r="O73" s="3404"/>
      <c r="Y73" s="175"/>
    </row>
    <row r="74" spans="1:31" s="2888" customFormat="1" ht="11.25" customHeight="1">
      <c r="A74" s="3265" t="s">
        <v>1518</v>
      </c>
      <c r="B74" s="3147"/>
      <c r="C74" s="2894"/>
      <c r="D74" s="3147"/>
      <c r="E74" s="2894"/>
      <c r="F74" s="3147"/>
      <c r="G74" s="3147"/>
      <c r="H74" s="3147"/>
      <c r="I74" s="3267"/>
      <c r="J74" s="3147"/>
      <c r="K74" s="2894"/>
      <c r="L74" s="3147"/>
      <c r="M74" s="3147"/>
      <c r="N74" s="3147"/>
      <c r="O74" s="3147"/>
      <c r="Y74" s="175"/>
    </row>
    <row r="75" spans="1:31" s="2888" customFormat="1" ht="11.25" customHeight="1">
      <c r="A75" s="3404" t="s">
        <v>1519</v>
      </c>
      <c r="B75" s="3404"/>
      <c r="C75" s="3404"/>
      <c r="D75" s="3404"/>
      <c r="E75" s="3404"/>
      <c r="F75" s="3404"/>
      <c r="G75" s="3404"/>
      <c r="H75" s="3404"/>
      <c r="I75" s="3404"/>
      <c r="J75" s="3404"/>
      <c r="K75" s="3404"/>
      <c r="L75" s="3404"/>
      <c r="M75" s="3404"/>
      <c r="N75" s="3404"/>
      <c r="O75" s="3404"/>
      <c r="Y75" s="175"/>
    </row>
    <row r="76" spans="1:31" s="2888" customFormat="1" ht="4.5" customHeight="1">
      <c r="A76" s="3265"/>
      <c r="C76" s="2889"/>
      <c r="E76" s="2889"/>
      <c r="I76" s="3264"/>
      <c r="K76" s="2889"/>
      <c r="Y76" s="175"/>
    </row>
    <row r="77" spans="1:31" s="2888" customFormat="1">
      <c r="A77" s="3265" t="s">
        <v>1114</v>
      </c>
      <c r="C77" s="2889"/>
      <c r="E77" s="2889"/>
      <c r="I77" s="3264"/>
      <c r="K77" s="2889"/>
      <c r="Y77" s="175"/>
    </row>
    <row r="78" spans="1:31" s="2888" customFormat="1">
      <c r="A78" s="3404" t="s">
        <v>1512</v>
      </c>
      <c r="B78" s="3404"/>
      <c r="C78" s="3404"/>
      <c r="D78" s="3404"/>
      <c r="E78" s="3404"/>
      <c r="F78" s="3404"/>
      <c r="G78" s="3404"/>
      <c r="H78" s="3404"/>
      <c r="I78" s="3404"/>
      <c r="J78" s="3404"/>
      <c r="K78" s="3404"/>
      <c r="L78" s="3404"/>
      <c r="M78" s="3404"/>
      <c r="N78" s="3404"/>
      <c r="O78" s="3404"/>
      <c r="Y78" s="175"/>
    </row>
    <row r="79" spans="1:31" s="2888" customFormat="1">
      <c r="A79" s="3404" t="s">
        <v>1514</v>
      </c>
      <c r="B79" s="3404"/>
      <c r="C79" s="3404"/>
      <c r="D79" s="3404"/>
      <c r="E79" s="3404"/>
      <c r="F79" s="3404"/>
      <c r="G79" s="3404"/>
      <c r="H79" s="3404"/>
      <c r="I79" s="3404"/>
      <c r="J79" s="3404"/>
      <c r="K79" s="3404"/>
      <c r="L79" s="3404"/>
      <c r="M79" s="3404"/>
      <c r="N79" s="3404"/>
      <c r="O79" s="3404"/>
      <c r="Y79" s="175"/>
    </row>
    <row r="81" spans="1:17">
      <c r="A81" s="3265"/>
      <c r="B81" s="2888"/>
      <c r="C81" s="2889"/>
      <c r="D81" s="2888"/>
      <c r="E81" s="2889"/>
      <c r="F81" s="2888"/>
      <c r="G81" s="2888"/>
      <c r="H81" s="2888"/>
      <c r="I81" s="3264"/>
      <c r="J81" s="2888"/>
      <c r="K81" s="2889"/>
      <c r="L81" s="2888"/>
      <c r="M81" s="2888"/>
      <c r="N81" s="2888"/>
      <c r="O81" s="2888"/>
      <c r="P81" s="2888"/>
      <c r="Q81" s="2888"/>
    </row>
    <row r="82" spans="1:17">
      <c r="A82" s="3265"/>
      <c r="B82" s="2888"/>
      <c r="C82" s="2889"/>
      <c r="D82" s="2888"/>
      <c r="E82" s="2889"/>
      <c r="F82" s="2888"/>
      <c r="G82" s="2888"/>
      <c r="H82" s="2888"/>
      <c r="I82" s="3264"/>
      <c r="J82" s="2888"/>
      <c r="K82" s="2889"/>
      <c r="L82" s="2888"/>
      <c r="M82" s="2888"/>
      <c r="N82" s="2888"/>
      <c r="O82" s="2888"/>
      <c r="P82" s="2888"/>
      <c r="Q82" s="2888"/>
    </row>
    <row r="83" spans="1:17" ht="13.5" customHeight="1">
      <c r="A83" s="3265"/>
      <c r="B83" s="2888"/>
      <c r="C83" s="2889"/>
      <c r="D83" s="2888"/>
      <c r="E83" s="2889"/>
      <c r="F83" s="2888"/>
      <c r="G83" s="2888"/>
      <c r="H83" s="2888"/>
      <c r="I83" s="3264"/>
      <c r="J83" s="2888"/>
      <c r="K83" s="2889"/>
      <c r="L83" s="2888"/>
      <c r="M83" s="2888"/>
      <c r="N83" s="2888"/>
      <c r="O83" s="2888"/>
      <c r="P83" s="2888"/>
      <c r="Q83" s="2888"/>
    </row>
    <row r="84" spans="1:17" ht="13.5" customHeight="1">
      <c r="A84" s="3265"/>
      <c r="B84" s="2888"/>
      <c r="C84" s="2889"/>
      <c r="D84" s="2888"/>
      <c r="E84" s="2889"/>
      <c r="F84" s="2888"/>
      <c r="G84" s="2888"/>
      <c r="H84" s="2888"/>
      <c r="I84" s="3264"/>
      <c r="J84" s="2888"/>
      <c r="K84" s="2889"/>
      <c r="L84" s="2888"/>
      <c r="M84" s="2888"/>
      <c r="N84" s="2888"/>
      <c r="O84" s="2888"/>
      <c r="P84" s="2888"/>
      <c r="Q84" s="2888"/>
    </row>
    <row r="85" spans="1:17">
      <c r="A85" s="3266"/>
      <c r="B85" s="2888"/>
      <c r="C85" s="2889"/>
      <c r="D85" s="2888"/>
      <c r="E85" s="2889"/>
      <c r="F85" s="2888"/>
      <c r="G85" s="2888"/>
      <c r="H85" s="2888"/>
      <c r="I85" s="3264"/>
      <c r="J85" s="2888"/>
      <c r="K85" s="2889"/>
      <c r="L85" s="2888"/>
      <c r="M85" s="2888"/>
      <c r="N85" s="2888"/>
      <c r="O85" s="2888"/>
      <c r="P85" s="2888"/>
      <c r="Q85" s="2888"/>
    </row>
    <row r="86" spans="1:17">
      <c r="A86" s="3265"/>
      <c r="B86" s="2888"/>
      <c r="C86" s="2889"/>
      <c r="D86" s="2888"/>
      <c r="E86" s="2889"/>
      <c r="F86" s="2888"/>
      <c r="G86" s="2888"/>
      <c r="H86" s="2888"/>
      <c r="I86" s="3264"/>
      <c r="J86" s="2888"/>
      <c r="K86" s="2889"/>
      <c r="L86" s="2888"/>
      <c r="M86" s="2888"/>
      <c r="N86" s="2888"/>
      <c r="O86" s="2888"/>
      <c r="P86" s="2888"/>
      <c r="Q86" s="2888"/>
    </row>
  </sheetData>
  <mergeCells count="4">
    <mergeCell ref="A73:O73"/>
    <mergeCell ref="A75:O75"/>
    <mergeCell ref="A78:O78"/>
    <mergeCell ref="A79:O79"/>
  </mergeCells>
  <pageMargins left="0.74803149606299213" right="0.74803149606299213" top="0.98425196850393704" bottom="0.98425196850393704" header="0.51181102362204722" footer="0.51181102362204722"/>
  <pageSetup paperSize="9" scale="63" orientation="portrait" horizontalDpi="300" r:id="rId1"/>
  <headerFooter scaleWithDoc="0" alignWithMargins="0">
    <oddHeader>&amp;L&amp;"Arial,Regular"RESEARCH PAPER 12/43</oddHeader>
    <oddFooter>&amp;C&amp;"Arial,Regular"&amp;11 12</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A3:W32"/>
  <sheetViews>
    <sheetView showGridLines="0" zoomScale="85" zoomScaleNormal="85" workbookViewId="0">
      <selection activeCell="O68" sqref="O68"/>
    </sheetView>
  </sheetViews>
  <sheetFormatPr baseColWidth="10" defaultColWidth="9.3984375" defaultRowHeight="12"/>
  <cols>
    <col min="1" max="1" width="16" style="101" customWidth="1"/>
    <col min="2" max="2" width="10.3984375" style="101" customWidth="1"/>
    <col min="3" max="12" width="7.3984375" style="101" customWidth="1"/>
    <col min="13" max="13" width="0.796875" style="101" customWidth="1"/>
    <col min="14" max="23" width="7.796875" style="101" customWidth="1"/>
    <col min="24" max="24" width="9.3984375" style="101" customWidth="1"/>
    <col min="25" max="16384" width="9.3984375" style="101"/>
  </cols>
  <sheetData>
    <row r="3" spans="1:23">
      <c r="A3" s="164" t="s">
        <v>976</v>
      </c>
    </row>
    <row r="4" spans="1:23">
      <c r="B4" s="165"/>
    </row>
    <row r="5" spans="1:23">
      <c r="C5" s="166" t="s">
        <v>98</v>
      </c>
      <c r="D5" s="143"/>
      <c r="E5" s="143"/>
      <c r="F5" s="144"/>
      <c r="G5" s="167"/>
      <c r="H5" s="143"/>
      <c r="I5" s="143"/>
      <c r="J5" s="143"/>
      <c r="K5" s="143"/>
      <c r="L5" s="143"/>
      <c r="M5" s="143"/>
      <c r="N5" s="102" t="s">
        <v>127</v>
      </c>
      <c r="O5" s="102"/>
      <c r="P5" s="102"/>
      <c r="Q5" s="136"/>
      <c r="R5" s="136"/>
      <c r="S5" s="136"/>
      <c r="T5" s="136"/>
      <c r="V5" s="136"/>
      <c r="W5" s="143"/>
    </row>
    <row r="6" spans="1:23">
      <c r="C6" s="168" t="s">
        <v>50</v>
      </c>
      <c r="D6" s="168" t="s">
        <v>51</v>
      </c>
      <c r="E6" s="169"/>
      <c r="F6" s="170"/>
      <c r="G6" s="170"/>
      <c r="H6" s="169"/>
      <c r="I6" s="169"/>
      <c r="J6" s="169"/>
      <c r="K6" s="169"/>
      <c r="L6" s="169"/>
      <c r="M6" s="143"/>
      <c r="N6" s="110" t="s">
        <v>50</v>
      </c>
      <c r="O6" s="110" t="s">
        <v>51</v>
      </c>
      <c r="P6" s="143"/>
      <c r="Q6" s="144"/>
      <c r="R6" s="144"/>
      <c r="S6" s="143"/>
      <c r="T6" s="143"/>
      <c r="U6" s="169"/>
      <c r="W6" s="169"/>
    </row>
    <row r="7" spans="1:23">
      <c r="A7" s="164"/>
      <c r="C7" s="125">
        <v>1974</v>
      </c>
      <c r="D7" s="125">
        <v>1974</v>
      </c>
      <c r="E7" s="125">
        <v>1979</v>
      </c>
      <c r="F7" s="125">
        <v>1983</v>
      </c>
      <c r="G7" s="125">
        <v>1987</v>
      </c>
      <c r="H7" s="125">
        <v>1992</v>
      </c>
      <c r="I7" s="125">
        <v>1997</v>
      </c>
      <c r="J7" s="171">
        <v>2001</v>
      </c>
      <c r="K7" s="125">
        <v>2005</v>
      </c>
      <c r="L7" s="125">
        <v>2010</v>
      </c>
      <c r="M7" s="123"/>
      <c r="N7" s="125">
        <v>1974</v>
      </c>
      <c r="O7" s="125">
        <v>1974</v>
      </c>
      <c r="P7" s="125">
        <v>1979</v>
      </c>
      <c r="Q7" s="125">
        <v>1983</v>
      </c>
      <c r="R7" s="125">
        <v>1987</v>
      </c>
      <c r="S7" s="125">
        <v>1992</v>
      </c>
      <c r="T7" s="125">
        <v>1997</v>
      </c>
      <c r="U7" s="171">
        <v>2001</v>
      </c>
      <c r="V7" s="125">
        <v>2005</v>
      </c>
      <c r="W7" s="125">
        <v>2010</v>
      </c>
    </row>
    <row r="8" spans="1:23">
      <c r="A8" s="101" t="s">
        <v>31</v>
      </c>
      <c r="C8" s="151">
        <f>+('1974F'!C28+'1974F'!C36)/1000</f>
        <v>326.404</v>
      </c>
      <c r="D8" s="151">
        <v>256.065</v>
      </c>
      <c r="E8" s="151">
        <v>254.578</v>
      </c>
      <c r="F8" s="151">
        <v>259.952</v>
      </c>
      <c r="G8" s="151">
        <v>276.23</v>
      </c>
      <c r="H8" s="151">
        <v>271.04899999999998</v>
      </c>
      <c r="I8" s="151">
        <v>258.34899999999999</v>
      </c>
      <c r="J8" s="172">
        <f>216839/1000</f>
        <v>216.839</v>
      </c>
      <c r="K8" s="172">
        <f>127414/1000</f>
        <v>127.414</v>
      </c>
      <c r="L8" s="172">
        <v>102.4</v>
      </c>
      <c r="M8" s="151"/>
      <c r="N8" s="105">
        <f t="shared" ref="N8:W9" si="0">+C8/C$15</f>
        <v>0.45483859280460853</v>
      </c>
      <c r="O8" s="105">
        <f t="shared" si="0"/>
        <v>0.36471612063341941</v>
      </c>
      <c r="P8" s="105">
        <f t="shared" si="0"/>
        <v>0.36583238370597526</v>
      </c>
      <c r="Q8" s="105">
        <f t="shared" si="0"/>
        <v>0.33983985358041641</v>
      </c>
      <c r="R8" s="105">
        <f t="shared" si="0"/>
        <v>0.37834543213258459</v>
      </c>
      <c r="S8" s="105">
        <f t="shared" si="0"/>
        <v>0.34524444874683635</v>
      </c>
      <c r="T8" s="105">
        <f t="shared" si="0"/>
        <v>0.32670892126834622</v>
      </c>
      <c r="U8" s="105">
        <f t="shared" si="0"/>
        <v>0.26757892035035674</v>
      </c>
      <c r="V8" s="105">
        <f t="shared" si="0"/>
        <v>0.17755524650154264</v>
      </c>
      <c r="W8" s="105">
        <f t="shared" si="0"/>
        <v>0.1519513280902211</v>
      </c>
    </row>
    <row r="9" spans="1:23">
      <c r="A9" s="101" t="s">
        <v>68</v>
      </c>
      <c r="C9" s="151">
        <f>+'1974F'!C27/1000</f>
        <v>58.655999999999999</v>
      </c>
      <c r="D9" s="151">
        <v>59.451000000000001</v>
      </c>
      <c r="E9" s="151">
        <v>70.974999999999994</v>
      </c>
      <c r="F9" s="151">
        <v>152.749</v>
      </c>
      <c r="G9" s="151">
        <v>85.641999999999996</v>
      </c>
      <c r="H9" s="151">
        <v>103.039</v>
      </c>
      <c r="I9" s="151">
        <v>107.348</v>
      </c>
      <c r="J9" s="172">
        <f>181999/1000</f>
        <v>181.999</v>
      </c>
      <c r="K9" s="172">
        <f>241856/1000</f>
        <v>241.85599999999999</v>
      </c>
      <c r="L9" s="172">
        <v>168.2</v>
      </c>
      <c r="M9" s="151"/>
      <c r="N9" s="105">
        <f t="shared" si="0"/>
        <v>8.1736168979384807E-2</v>
      </c>
      <c r="O9" s="105">
        <f t="shared" si="0"/>
        <v>8.4676695713109637E-2</v>
      </c>
      <c r="P9" s="105">
        <f t="shared" si="0"/>
        <v>0.10199213378034078</v>
      </c>
      <c r="Q9" s="105">
        <f t="shared" si="0"/>
        <v>0.19969147302023074</v>
      </c>
      <c r="R9" s="105">
        <f t="shared" si="0"/>
        <v>0.11730173948774139</v>
      </c>
      <c r="S9" s="105">
        <f t="shared" si="0"/>
        <v>0.13124432392086033</v>
      </c>
      <c r="T9" s="105">
        <f t="shared" si="0"/>
        <v>0.13575260318528204</v>
      </c>
      <c r="U9" s="105">
        <f t="shared" si="0"/>
        <v>0.22458642552697888</v>
      </c>
      <c r="V9" s="105">
        <f t="shared" si="0"/>
        <v>0.33703362030763573</v>
      </c>
      <c r="W9" s="105">
        <f t="shared" si="0"/>
        <v>0.24959192758569521</v>
      </c>
    </row>
    <row r="10" spans="1:23">
      <c r="A10" s="101" t="s">
        <v>87</v>
      </c>
      <c r="C10" s="159" t="s">
        <v>103</v>
      </c>
      <c r="D10" s="159" t="s">
        <v>103</v>
      </c>
      <c r="E10" s="159" t="s">
        <v>103</v>
      </c>
      <c r="F10" s="151">
        <v>22.861000000000001</v>
      </c>
      <c r="G10" s="151">
        <v>18.420000000000002</v>
      </c>
      <c r="H10" s="151">
        <v>19.305</v>
      </c>
      <c r="I10" s="159" t="s">
        <v>103</v>
      </c>
      <c r="J10" s="159" t="s">
        <v>103</v>
      </c>
      <c r="K10" s="159" t="s">
        <v>103</v>
      </c>
      <c r="L10" s="159" t="s">
        <v>103</v>
      </c>
      <c r="M10" s="151"/>
      <c r="N10" s="159" t="s">
        <v>103</v>
      </c>
      <c r="O10" s="159" t="s">
        <v>103</v>
      </c>
      <c r="P10" s="159" t="s">
        <v>103</v>
      </c>
      <c r="Q10" s="105">
        <f t="shared" ref="Q10:S15" si="1">+F10/F$15</f>
        <v>2.9886590188580583E-2</v>
      </c>
      <c r="R10" s="105">
        <f t="shared" si="1"/>
        <v>2.522942062731133E-2</v>
      </c>
      <c r="S10" s="105">
        <f t="shared" si="1"/>
        <v>2.4589443543631139E-2</v>
      </c>
      <c r="T10" s="159" t="s">
        <v>103</v>
      </c>
      <c r="U10" s="159" t="s">
        <v>103</v>
      </c>
      <c r="V10" s="142" t="s">
        <v>103</v>
      </c>
      <c r="W10" s="142" t="s">
        <v>103</v>
      </c>
    </row>
    <row r="11" spans="1:23">
      <c r="A11" s="101" t="s">
        <v>113</v>
      </c>
      <c r="C11" s="151">
        <f>+'1974F'!C34/1000</f>
        <v>160.43700000000001</v>
      </c>
      <c r="D11" s="151">
        <v>154.19300000000001</v>
      </c>
      <c r="E11" s="151">
        <v>126.325</v>
      </c>
      <c r="F11" s="151">
        <v>137.012</v>
      </c>
      <c r="G11" s="151">
        <v>154.08699999999999</v>
      </c>
      <c r="H11" s="151">
        <v>154.44499999999999</v>
      </c>
      <c r="I11" s="151">
        <v>190.81399999999999</v>
      </c>
      <c r="J11" s="172">
        <f>169865/1000</f>
        <v>169.86500000000001</v>
      </c>
      <c r="K11" s="172">
        <f>125626/1000</f>
        <v>125.626</v>
      </c>
      <c r="L11" s="172">
        <v>111</v>
      </c>
      <c r="M11" s="151"/>
      <c r="N11" s="105">
        <f t="shared" ref="N11:P12" si="2">+C11/C$15</f>
        <v>0.22356631448693332</v>
      </c>
      <c r="O11" s="105">
        <f t="shared" si="2"/>
        <v>0.21961874051052993</v>
      </c>
      <c r="P11" s="105">
        <f t="shared" si="2"/>
        <v>0.18153090947237124</v>
      </c>
      <c r="Q11" s="105">
        <f t="shared" si="1"/>
        <v>0.17911821420400695</v>
      </c>
      <c r="R11" s="105">
        <f t="shared" si="1"/>
        <v>0.2110491713463909</v>
      </c>
      <c r="S11" s="105">
        <f t="shared" si="1"/>
        <v>0.19672191702129557</v>
      </c>
      <c r="T11" s="105">
        <f t="shared" ref="T11:W15" si="3">+I11/I$15</f>
        <v>0.24130395744863817</v>
      </c>
      <c r="U11" s="105">
        <f t="shared" si="3"/>
        <v>0.20961309222655219</v>
      </c>
      <c r="V11" s="105">
        <f t="shared" ref="V11:W14" si="4">+K11/K$15</f>
        <v>0.17506361464990344</v>
      </c>
      <c r="W11" s="105">
        <f t="shared" si="4"/>
        <v>0.16471286541029828</v>
      </c>
    </row>
    <row r="12" spans="1:23">
      <c r="A12" s="101" t="s">
        <v>71</v>
      </c>
      <c r="C12" s="151">
        <f>+'1974F'!C31/1000</f>
        <v>22.66</v>
      </c>
      <c r="D12" s="151">
        <v>44.643999999999998</v>
      </c>
      <c r="E12" s="151">
        <v>82.891999999999996</v>
      </c>
      <c r="F12" s="151">
        <v>61.274999999999999</v>
      </c>
      <c r="G12" s="151">
        <v>72.671000000000006</v>
      </c>
      <c r="H12" s="151">
        <v>68.665000000000006</v>
      </c>
      <c r="I12" s="151">
        <v>62.972000000000001</v>
      </c>
      <c r="J12" s="172">
        <f>28999/1000</f>
        <v>28.998999999999999</v>
      </c>
      <c r="K12" s="172">
        <f>28291/1000</f>
        <v>28.291</v>
      </c>
      <c r="L12" s="172">
        <v>42.8</v>
      </c>
      <c r="M12" s="151"/>
      <c r="N12" s="105">
        <f t="shared" si="2"/>
        <v>3.157633642036381E-2</v>
      </c>
      <c r="O12" s="105">
        <f t="shared" si="2"/>
        <v>6.3586927106626737E-2</v>
      </c>
      <c r="P12" s="105">
        <f t="shared" si="2"/>
        <v>0.11911704055399799</v>
      </c>
      <c r="Q12" s="105">
        <f t="shared" si="1"/>
        <v>8.0105892734581824E-2</v>
      </c>
      <c r="R12" s="105">
        <f t="shared" si="1"/>
        <v>9.9535680043829622E-2</v>
      </c>
      <c r="S12" s="105">
        <f t="shared" si="1"/>
        <v>8.7460975960809748E-2</v>
      </c>
      <c r="T12" s="105">
        <f t="shared" si="3"/>
        <v>7.9634580316201339E-2</v>
      </c>
      <c r="U12" s="105">
        <f t="shared" si="3"/>
        <v>3.5784711750376987E-2</v>
      </c>
      <c r="V12" s="105">
        <f t="shared" si="4"/>
        <v>3.9424360578705187E-2</v>
      </c>
      <c r="W12" s="105">
        <f t="shared" si="4"/>
        <v>6.3510906662709601E-2</v>
      </c>
    </row>
    <row r="13" spans="1:23">
      <c r="A13" s="101" t="s">
        <v>27</v>
      </c>
      <c r="C13" s="159" t="s">
        <v>103</v>
      </c>
      <c r="D13" s="159" t="s">
        <v>103</v>
      </c>
      <c r="E13" s="159" t="s">
        <v>103</v>
      </c>
      <c r="F13" s="151">
        <v>102.70099999999999</v>
      </c>
      <c r="G13" s="151">
        <v>83.388999999999996</v>
      </c>
      <c r="H13" s="151">
        <v>78.290999999999997</v>
      </c>
      <c r="I13" s="151">
        <v>126.92100000000001</v>
      </c>
      <c r="J13" s="172">
        <f>175933/1000</f>
        <v>175.93299999999999</v>
      </c>
      <c r="K13" s="172">
        <f>174530/1000</f>
        <v>174.53</v>
      </c>
      <c r="L13" s="172">
        <v>171.9</v>
      </c>
      <c r="M13" s="151"/>
      <c r="N13" s="159" t="s">
        <v>103</v>
      </c>
      <c r="O13" s="159" t="s">
        <v>103</v>
      </c>
      <c r="P13" s="159" t="s">
        <v>103</v>
      </c>
      <c r="Q13" s="105">
        <f t="shared" si="1"/>
        <v>0.13426283622577376</v>
      </c>
      <c r="R13" s="105">
        <f t="shared" si="1"/>
        <v>0.11421586084098068</v>
      </c>
      <c r="S13" s="105">
        <f t="shared" si="1"/>
        <v>9.9721943769719004E-2</v>
      </c>
      <c r="T13" s="105">
        <f t="shared" si="3"/>
        <v>0.16050467776650879</v>
      </c>
      <c r="U13" s="105">
        <f t="shared" si="3"/>
        <v>0.21710099287489479</v>
      </c>
      <c r="V13" s="105">
        <f t="shared" si="4"/>
        <v>0.24321281155849622</v>
      </c>
      <c r="W13" s="105">
        <f t="shared" si="4"/>
        <v>0.25508235643270516</v>
      </c>
    </row>
    <row r="14" spans="1:23">
      <c r="A14" s="101" t="s">
        <v>755</v>
      </c>
      <c r="C14" s="151">
        <f t="shared" ref="C14:I14" si="5">C15-SUM(C8:C13)</f>
        <v>149.46899999999994</v>
      </c>
      <c r="D14" s="151">
        <f t="shared" si="5"/>
        <v>187.74099999999999</v>
      </c>
      <c r="E14" s="151">
        <f t="shared" si="5"/>
        <v>161.11699999999996</v>
      </c>
      <c r="F14" s="151">
        <f t="shared" si="5"/>
        <v>28.374999999999886</v>
      </c>
      <c r="G14" s="151">
        <f t="shared" si="5"/>
        <v>39.660999999999945</v>
      </c>
      <c r="H14" s="151">
        <f t="shared" si="5"/>
        <v>90.299000000000092</v>
      </c>
      <c r="I14" s="151">
        <f t="shared" si="5"/>
        <v>44.357999999999947</v>
      </c>
      <c r="J14" s="151">
        <f>J15-(J8+J9+J11+J12+J13)</f>
        <v>36.739000000000033</v>
      </c>
      <c r="K14" s="151">
        <f>19885/1000</f>
        <v>19.885000000000002</v>
      </c>
      <c r="L14" s="151">
        <v>77.599999999999994</v>
      </c>
      <c r="M14" s="151"/>
      <c r="N14" s="105">
        <f t="shared" ref="N14:P15" si="6">+C14/C$15</f>
        <v>0.20828258730870947</v>
      </c>
      <c r="O14" s="105">
        <f t="shared" si="6"/>
        <v>0.26740151603631418</v>
      </c>
      <c r="P14" s="105">
        <f t="shared" si="6"/>
        <v>0.23152753248731472</v>
      </c>
      <c r="Q14" s="105">
        <f t="shared" si="1"/>
        <v>3.7095140046409632E-2</v>
      </c>
      <c r="R14" s="105">
        <f t="shared" si="1"/>
        <v>5.432269552116141E-2</v>
      </c>
      <c r="S14" s="105">
        <f t="shared" si="1"/>
        <v>0.11501694703684799</v>
      </c>
      <c r="T14" s="105">
        <f t="shared" si="3"/>
        <v>5.6095260015023421E-2</v>
      </c>
      <c r="U14" s="105">
        <f t="shared" si="3"/>
        <v>4.533585727084042E-2</v>
      </c>
      <c r="V14" s="105">
        <f t="shared" si="4"/>
        <v>2.7710346403716828E-2</v>
      </c>
      <c r="W14" s="105">
        <f t="shared" si="4"/>
        <v>0.11515061581837067</v>
      </c>
    </row>
    <row r="15" spans="1:23">
      <c r="A15" s="101" t="s">
        <v>16</v>
      </c>
      <c r="C15" s="151">
        <v>717.62599999999998</v>
      </c>
      <c r="D15" s="151">
        <v>702.09400000000005</v>
      </c>
      <c r="E15" s="151">
        <v>695.88699999999994</v>
      </c>
      <c r="F15" s="151">
        <v>764.92499999999995</v>
      </c>
      <c r="G15" s="151">
        <v>730.1</v>
      </c>
      <c r="H15" s="151">
        <v>785.09299999999996</v>
      </c>
      <c r="I15" s="151">
        <v>790.76199999999994</v>
      </c>
      <c r="J15" s="172">
        <f>810374/1000</f>
        <v>810.37400000000002</v>
      </c>
      <c r="K15" s="172">
        <f>717602/1000</f>
        <v>717.60199999999998</v>
      </c>
      <c r="L15" s="172">
        <v>673.9</v>
      </c>
      <c r="M15" s="151"/>
      <c r="N15" s="588">
        <f t="shared" si="6"/>
        <v>1</v>
      </c>
      <c r="O15" s="588">
        <f t="shared" si="6"/>
        <v>1</v>
      </c>
      <c r="P15" s="588">
        <f t="shared" si="6"/>
        <v>1</v>
      </c>
      <c r="Q15" s="588">
        <f t="shared" si="1"/>
        <v>1</v>
      </c>
      <c r="R15" s="588">
        <f t="shared" si="1"/>
        <v>1</v>
      </c>
      <c r="S15" s="588">
        <f t="shared" si="1"/>
        <v>1</v>
      </c>
      <c r="T15" s="588">
        <f t="shared" si="3"/>
        <v>1</v>
      </c>
      <c r="U15" s="588">
        <f t="shared" si="3"/>
        <v>1</v>
      </c>
      <c r="V15" s="588">
        <f t="shared" si="3"/>
        <v>1</v>
      </c>
      <c r="W15" s="588">
        <f t="shared" si="3"/>
        <v>1</v>
      </c>
    </row>
    <row r="17" spans="1:23">
      <c r="A17" s="164" t="s">
        <v>20</v>
      </c>
      <c r="B17" s="164"/>
      <c r="C17" s="102" t="s">
        <v>37</v>
      </c>
      <c r="D17" s="136"/>
      <c r="E17" s="102"/>
      <c r="F17" s="136"/>
      <c r="G17" s="136"/>
      <c r="H17" s="136"/>
      <c r="I17" s="136"/>
      <c r="J17" s="136"/>
      <c r="K17" s="136"/>
      <c r="L17" s="136"/>
      <c r="N17" s="102" t="s">
        <v>126</v>
      </c>
      <c r="O17" s="102"/>
      <c r="P17" s="136"/>
      <c r="Q17" s="136"/>
      <c r="R17" s="136"/>
      <c r="S17" s="136"/>
      <c r="T17" s="136"/>
      <c r="U17" s="136"/>
      <c r="V17" s="136"/>
      <c r="W17" s="136"/>
    </row>
    <row r="18" spans="1:23">
      <c r="A18" s="101" t="s">
        <v>31</v>
      </c>
      <c r="C18" s="106">
        <v>14</v>
      </c>
      <c r="D18" s="106">
        <v>7</v>
      </c>
      <c r="E18" s="106">
        <v>11</v>
      </c>
      <c r="F18" s="106">
        <v>16</v>
      </c>
      <c r="G18" s="106">
        <v>12</v>
      </c>
      <c r="H18" s="106">
        <v>13</v>
      </c>
      <c r="I18" s="106">
        <v>16</v>
      </c>
      <c r="J18" s="106">
        <v>17</v>
      </c>
      <c r="K18" s="106">
        <v>18</v>
      </c>
      <c r="L18" s="106">
        <v>17</v>
      </c>
      <c r="N18" s="106">
        <v>7</v>
      </c>
      <c r="O18" s="106">
        <v>6</v>
      </c>
      <c r="P18" s="106">
        <v>5</v>
      </c>
      <c r="Q18" s="106">
        <v>11</v>
      </c>
      <c r="R18" s="106">
        <v>9</v>
      </c>
      <c r="S18" s="106">
        <v>9</v>
      </c>
      <c r="T18" s="106">
        <v>10</v>
      </c>
      <c r="U18" s="106">
        <v>6</v>
      </c>
      <c r="V18" s="106">
        <v>1</v>
      </c>
      <c r="W18" s="106">
        <v>0</v>
      </c>
    </row>
    <row r="19" spans="1:23">
      <c r="A19" s="101" t="s">
        <v>68</v>
      </c>
      <c r="C19" s="106">
        <v>2</v>
      </c>
      <c r="D19" s="106">
        <v>2</v>
      </c>
      <c r="E19" s="106">
        <v>5</v>
      </c>
      <c r="F19" s="106">
        <v>14</v>
      </c>
      <c r="G19" s="106">
        <v>4</v>
      </c>
      <c r="H19" s="106">
        <v>7</v>
      </c>
      <c r="I19" s="106">
        <v>9</v>
      </c>
      <c r="J19" s="106">
        <v>14</v>
      </c>
      <c r="K19" s="106">
        <v>18</v>
      </c>
      <c r="L19" s="106">
        <v>16</v>
      </c>
      <c r="N19" s="106">
        <v>1</v>
      </c>
      <c r="O19" s="106">
        <v>1</v>
      </c>
      <c r="P19" s="106">
        <v>3</v>
      </c>
      <c r="Q19" s="106">
        <v>3</v>
      </c>
      <c r="R19" s="106">
        <v>3</v>
      </c>
      <c r="S19" s="106">
        <v>3</v>
      </c>
      <c r="T19" s="106">
        <v>2</v>
      </c>
      <c r="U19" s="106">
        <v>5</v>
      </c>
      <c r="V19" s="106">
        <v>9</v>
      </c>
      <c r="W19" s="106">
        <v>8</v>
      </c>
    </row>
    <row r="20" spans="1:23">
      <c r="A20" s="101" t="s">
        <v>87</v>
      </c>
      <c r="C20" s="159" t="s">
        <v>103</v>
      </c>
      <c r="D20" s="159" t="s">
        <v>103</v>
      </c>
      <c r="E20" s="159" t="s">
        <v>103</v>
      </c>
      <c r="F20" s="106">
        <v>1</v>
      </c>
      <c r="G20" s="106">
        <v>1</v>
      </c>
      <c r="H20" s="106">
        <v>1</v>
      </c>
      <c r="I20" s="159" t="s">
        <v>103</v>
      </c>
      <c r="J20" s="159" t="s">
        <v>103</v>
      </c>
      <c r="K20" s="159" t="s">
        <v>103</v>
      </c>
      <c r="L20" s="159" t="s">
        <v>103</v>
      </c>
      <c r="N20" s="159" t="s">
        <v>103</v>
      </c>
      <c r="O20" s="159" t="s">
        <v>103</v>
      </c>
      <c r="P20" s="159" t="s">
        <v>103</v>
      </c>
      <c r="Q20" s="106">
        <v>1</v>
      </c>
      <c r="R20" s="106">
        <v>1</v>
      </c>
      <c r="S20" s="106">
        <v>1</v>
      </c>
      <c r="T20" s="159" t="s">
        <v>103</v>
      </c>
      <c r="U20" s="159" t="s">
        <v>103</v>
      </c>
      <c r="V20" s="159" t="s">
        <v>103</v>
      </c>
      <c r="W20" s="111" t="s">
        <v>103</v>
      </c>
    </row>
    <row r="21" spans="1:23">
      <c r="A21" s="101" t="s">
        <v>113</v>
      </c>
      <c r="C21" s="106">
        <v>12</v>
      </c>
      <c r="D21" s="106">
        <v>9</v>
      </c>
      <c r="E21" s="106">
        <v>9</v>
      </c>
      <c r="F21" s="106">
        <v>17</v>
      </c>
      <c r="G21" s="106">
        <v>13</v>
      </c>
      <c r="H21" s="106">
        <v>13</v>
      </c>
      <c r="I21" s="106">
        <v>18</v>
      </c>
      <c r="J21" s="106">
        <v>18</v>
      </c>
      <c r="K21" s="106">
        <v>18</v>
      </c>
      <c r="L21" s="106">
        <v>18</v>
      </c>
      <c r="N21" s="106">
        <v>1</v>
      </c>
      <c r="O21" s="106">
        <v>1</v>
      </c>
      <c r="P21" s="106">
        <v>1</v>
      </c>
      <c r="Q21" s="106">
        <v>1</v>
      </c>
      <c r="R21" s="106">
        <v>3</v>
      </c>
      <c r="S21" s="106">
        <v>4</v>
      </c>
      <c r="T21" s="106">
        <v>3</v>
      </c>
      <c r="U21" s="106">
        <v>3</v>
      </c>
      <c r="V21" s="106">
        <v>3</v>
      </c>
      <c r="W21" s="106">
        <v>3</v>
      </c>
    </row>
    <row r="22" spans="1:23">
      <c r="A22" s="101" t="s">
        <v>71</v>
      </c>
      <c r="C22" s="106">
        <v>3</v>
      </c>
      <c r="D22" s="106">
        <v>5</v>
      </c>
      <c r="E22" s="106">
        <v>12</v>
      </c>
      <c r="F22" s="106">
        <v>12</v>
      </c>
      <c r="G22" s="106">
        <v>16</v>
      </c>
      <c r="H22" s="106">
        <v>16</v>
      </c>
      <c r="I22" s="106">
        <v>17</v>
      </c>
      <c r="J22" s="106">
        <v>10</v>
      </c>
      <c r="K22" s="106">
        <v>12</v>
      </c>
      <c r="L22" s="106">
        <v>18</v>
      </c>
      <c r="N22" s="106">
        <v>0</v>
      </c>
      <c r="O22" s="106">
        <v>0</v>
      </c>
      <c r="P22" s="106">
        <v>0</v>
      </c>
      <c r="Q22" s="106">
        <v>0</v>
      </c>
      <c r="R22" s="106">
        <v>0</v>
      </c>
      <c r="S22" s="106">
        <v>0</v>
      </c>
      <c r="T22" s="106">
        <v>0</v>
      </c>
      <c r="U22" s="106">
        <v>0</v>
      </c>
      <c r="V22" s="159" t="s">
        <v>103</v>
      </c>
      <c r="W22" s="111">
        <v>1</v>
      </c>
    </row>
    <row r="23" spans="1:23">
      <c r="A23" s="101" t="s">
        <v>27</v>
      </c>
      <c r="C23" s="159" t="s">
        <v>103</v>
      </c>
      <c r="D23" s="159" t="s">
        <v>103</v>
      </c>
      <c r="E23" s="159" t="s">
        <v>103</v>
      </c>
      <c r="F23" s="106">
        <v>14</v>
      </c>
      <c r="G23" s="106">
        <v>14</v>
      </c>
      <c r="H23" s="106">
        <v>14</v>
      </c>
      <c r="I23" s="106">
        <v>17</v>
      </c>
      <c r="J23" s="106">
        <v>18</v>
      </c>
      <c r="K23" s="106">
        <v>18</v>
      </c>
      <c r="L23" s="106">
        <v>17</v>
      </c>
      <c r="N23" s="159" t="s">
        <v>103</v>
      </c>
      <c r="O23" s="159" t="s">
        <v>103</v>
      </c>
      <c r="P23" s="159" t="s">
        <v>103</v>
      </c>
      <c r="Q23" s="106">
        <v>1</v>
      </c>
      <c r="R23" s="106">
        <v>1</v>
      </c>
      <c r="S23" s="106">
        <v>0</v>
      </c>
      <c r="T23" s="106">
        <v>2</v>
      </c>
      <c r="U23" s="106">
        <v>4</v>
      </c>
      <c r="V23" s="106">
        <v>5</v>
      </c>
      <c r="W23" s="106">
        <v>5</v>
      </c>
    </row>
    <row r="24" spans="1:23">
      <c r="A24" s="101" t="s">
        <v>755</v>
      </c>
      <c r="B24" s="106"/>
      <c r="C24" s="106">
        <f t="shared" ref="C24:I24" si="7">+C25-SUM(C18:C23)</f>
        <v>17</v>
      </c>
      <c r="D24" s="106">
        <f t="shared" si="7"/>
        <v>20</v>
      </c>
      <c r="E24" s="106">
        <f t="shared" si="7"/>
        <v>27</v>
      </c>
      <c r="F24" s="106">
        <f t="shared" si="7"/>
        <v>21</v>
      </c>
      <c r="G24" s="106">
        <f t="shared" si="7"/>
        <v>17</v>
      </c>
      <c r="H24" s="106">
        <f t="shared" si="7"/>
        <v>36</v>
      </c>
      <c r="I24" s="106">
        <f t="shared" si="7"/>
        <v>48</v>
      </c>
      <c r="J24" s="106">
        <f>J25-(J23+J22+J21+J19+J18)</f>
        <v>23</v>
      </c>
      <c r="K24" s="106">
        <v>21</v>
      </c>
      <c r="L24" s="106">
        <v>22</v>
      </c>
      <c r="N24" s="106">
        <f>+N25-SUM(N18:N23)</f>
        <v>3</v>
      </c>
      <c r="O24" s="106">
        <f>+O25-SUM(O18:O23)</f>
        <v>4</v>
      </c>
      <c r="P24" s="106">
        <f>+P25-SUM(P18:P23)</f>
        <v>3</v>
      </c>
      <c r="Q24" s="106">
        <v>0</v>
      </c>
      <c r="R24" s="106">
        <v>0</v>
      </c>
      <c r="S24" s="106">
        <v>0</v>
      </c>
      <c r="T24" s="106">
        <f>+T25-SUM(T18:T23)</f>
        <v>1</v>
      </c>
      <c r="U24" s="106">
        <v>0</v>
      </c>
      <c r="V24" s="159" t="s">
        <v>103</v>
      </c>
      <c r="W24" s="111">
        <v>1</v>
      </c>
    </row>
    <row r="25" spans="1:23">
      <c r="A25" s="101" t="s">
        <v>16</v>
      </c>
      <c r="C25" s="106">
        <v>48</v>
      </c>
      <c r="D25" s="106">
        <v>43</v>
      </c>
      <c r="E25" s="106">
        <v>64</v>
      </c>
      <c r="F25" s="106">
        <v>95</v>
      </c>
      <c r="G25" s="106">
        <v>77</v>
      </c>
      <c r="H25" s="106">
        <v>100</v>
      </c>
      <c r="I25" s="106">
        <v>125</v>
      </c>
      <c r="J25" s="106">
        <v>100</v>
      </c>
      <c r="K25" s="106">
        <v>105</v>
      </c>
      <c r="L25" s="106">
        <v>108</v>
      </c>
      <c r="N25" s="106">
        <v>12</v>
      </c>
      <c r="O25" s="106">
        <v>12</v>
      </c>
      <c r="P25" s="106">
        <v>12</v>
      </c>
      <c r="Q25" s="106">
        <v>17</v>
      </c>
      <c r="R25" s="106">
        <v>17</v>
      </c>
      <c r="S25" s="106">
        <v>17</v>
      </c>
      <c r="T25" s="106">
        <v>18</v>
      </c>
      <c r="U25" s="101">
        <f>U23+U21+U19+U18</f>
        <v>18</v>
      </c>
      <c r="V25" s="101">
        <f>V23+V21+V19+V18</f>
        <v>18</v>
      </c>
      <c r="W25" s="101">
        <v>18</v>
      </c>
    </row>
    <row r="27" spans="1:23">
      <c r="A27" s="163" t="s">
        <v>168</v>
      </c>
      <c r="B27" s="127" t="s">
        <v>169</v>
      </c>
      <c r="C27" s="127"/>
      <c r="D27" s="127"/>
      <c r="E27" s="127"/>
      <c r="F27" s="127"/>
      <c r="G27" s="127"/>
      <c r="H27" s="127"/>
      <c r="I27" s="127"/>
      <c r="J27" s="127"/>
      <c r="K27" s="127"/>
      <c r="L27" s="127"/>
      <c r="M27" s="127"/>
      <c r="N27" s="127"/>
      <c r="O27" s="127"/>
    </row>
    <row r="28" spans="1:23">
      <c r="A28" s="127"/>
      <c r="B28" s="127" t="s">
        <v>248</v>
      </c>
      <c r="C28" s="127"/>
      <c r="D28" s="127"/>
      <c r="E28" s="127"/>
      <c r="F28" s="127"/>
      <c r="G28" s="127"/>
      <c r="H28" s="127"/>
      <c r="I28" s="127"/>
      <c r="J28" s="127"/>
      <c r="K28" s="127"/>
      <c r="L28" s="127"/>
      <c r="M28" s="127"/>
      <c r="N28" s="127"/>
      <c r="O28" s="127"/>
    </row>
    <row r="29" spans="1:23">
      <c r="A29" s="127"/>
      <c r="B29" s="127" t="s">
        <v>247</v>
      </c>
      <c r="C29" s="127"/>
      <c r="D29" s="127"/>
      <c r="E29" s="127"/>
      <c r="F29" s="127"/>
      <c r="G29" s="127"/>
      <c r="H29" s="127"/>
      <c r="I29" s="127"/>
      <c r="J29" s="127"/>
      <c r="K29" s="127"/>
      <c r="L29" s="127"/>
      <c r="M29" s="127"/>
      <c r="N29" s="127"/>
      <c r="O29" s="127"/>
    </row>
    <row r="30" spans="1:23">
      <c r="A30" s="127"/>
      <c r="B30" s="127"/>
      <c r="C30" s="127"/>
      <c r="D30" s="127"/>
      <c r="E30" s="127"/>
      <c r="F30" s="127"/>
      <c r="G30" s="127"/>
      <c r="H30" s="127"/>
      <c r="I30" s="127"/>
      <c r="J30" s="127"/>
      <c r="K30" s="127"/>
      <c r="L30" s="127"/>
      <c r="M30" s="127"/>
      <c r="N30" s="127"/>
      <c r="O30" s="127"/>
    </row>
    <row r="31" spans="1:23">
      <c r="A31" s="148" t="s">
        <v>21</v>
      </c>
      <c r="B31" s="139" t="s">
        <v>1462</v>
      </c>
      <c r="C31" s="127"/>
      <c r="D31" s="127"/>
      <c r="E31" s="127"/>
      <c r="F31" s="127"/>
      <c r="G31" s="127"/>
      <c r="H31" s="127"/>
      <c r="I31" s="127"/>
      <c r="J31" s="127"/>
      <c r="K31" s="127"/>
      <c r="L31" s="127"/>
      <c r="M31" s="127"/>
      <c r="N31" s="127"/>
      <c r="O31" s="127"/>
    </row>
    <row r="32" spans="1:23">
      <c r="A32" s="127"/>
      <c r="B32" s="140" t="s">
        <v>266</v>
      </c>
      <c r="C32" s="127"/>
      <c r="D32" s="127"/>
      <c r="E32" s="127"/>
      <c r="F32" s="127"/>
      <c r="G32" s="127"/>
      <c r="H32" s="127"/>
      <c r="I32" s="127"/>
      <c r="J32" s="127"/>
      <c r="K32" s="127"/>
      <c r="L32" s="127"/>
      <c r="M32" s="127"/>
      <c r="N32" s="127"/>
      <c r="O32" s="127"/>
    </row>
  </sheetData>
  <phoneticPr fontId="10" type="noConversion"/>
  <pageMargins left="0.75" right="0.75" top="1" bottom="1" header="0.5" footer="0.5"/>
  <pageSetup paperSize="9" orientation="landscape" r:id="rId1"/>
  <headerFooter alignWithMargins="0"/>
  <webPublishItems count="1">
    <webPublishItem id="29219" divId="RP11-XXX_Election Statistics UK 1918-2011_29219" sourceType="range" sourceRef="A1:W32" destinationFile="U:\election stats rp\Table 1g.mht"/>
  </webPublishItem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4"/>
  </sheetPr>
  <dimension ref="A1:Y46"/>
  <sheetViews>
    <sheetView showGridLines="0" topLeftCell="Q1" zoomScale="70" zoomScaleNormal="70" workbookViewId="0">
      <selection activeCell="AH64" sqref="AH64"/>
    </sheetView>
  </sheetViews>
  <sheetFormatPr baseColWidth="10" defaultColWidth="9.3984375" defaultRowHeight="13"/>
  <cols>
    <col min="1" max="1" width="6.3984375" style="944" customWidth="1"/>
    <col min="2" max="2" width="6" style="944" customWidth="1"/>
    <col min="3" max="6" width="9.59765625" style="944" bestFit="1" customWidth="1"/>
    <col min="7" max="7" width="1.19921875" style="944" customWidth="1"/>
    <col min="8" max="8" width="11.19921875" style="944" customWidth="1"/>
    <col min="9" max="9" width="2.3984375" style="944" customWidth="1"/>
    <col min="10" max="11" width="5.3984375" style="944" customWidth="1"/>
    <col min="12" max="12" width="11.3984375" style="944" bestFit="1" customWidth="1"/>
    <col min="13" max="14" width="10.3984375" style="944" bestFit="1" customWidth="1"/>
    <col min="15" max="15" width="11.19921875" style="944" customWidth="1"/>
    <col min="16" max="16" width="12.59765625" style="944" bestFit="1" customWidth="1"/>
    <col min="17" max="17" width="9.3984375" style="944"/>
    <col min="18" max="18" width="5.3984375" style="1068" customWidth="1"/>
    <col min="19" max="19" width="4.796875" style="1068" customWidth="1"/>
    <col min="20" max="23" width="9.59765625" style="944" customWidth="1"/>
    <col min="24" max="24" width="1.19921875" style="944" customWidth="1"/>
    <col min="25" max="25" width="9.59765625" style="944" customWidth="1"/>
    <col min="26" max="16384" width="9.3984375" style="944"/>
  </cols>
  <sheetData>
    <row r="1" spans="1:25">
      <c r="A1" s="944" t="s">
        <v>123</v>
      </c>
    </row>
    <row r="2" spans="1:25">
      <c r="A2" s="947"/>
    </row>
    <row r="3" spans="1:25" ht="14">
      <c r="A3" s="880" t="s">
        <v>2734</v>
      </c>
      <c r="R3" s="880" t="s">
        <v>1393</v>
      </c>
    </row>
    <row r="4" spans="1:25">
      <c r="A4" s="944" t="s">
        <v>128</v>
      </c>
      <c r="L4" s="947" t="s">
        <v>106</v>
      </c>
      <c r="R4" s="944" t="s">
        <v>1391</v>
      </c>
    </row>
    <row r="5" spans="1:25" ht="4.5" customHeight="1">
      <c r="C5" s="947"/>
      <c r="D5" s="947"/>
      <c r="E5" s="947"/>
      <c r="F5" s="947"/>
      <c r="G5" s="947"/>
      <c r="H5" s="947"/>
      <c r="I5" s="947"/>
      <c r="J5" s="947"/>
      <c r="K5" s="947"/>
    </row>
    <row r="6" spans="1:25" ht="16">
      <c r="A6" s="1122" t="s">
        <v>2734</v>
      </c>
      <c r="B6" s="1123"/>
      <c r="C6" s="1123"/>
      <c r="D6" s="1123"/>
      <c r="E6" s="1123"/>
      <c r="F6" s="1124"/>
      <c r="G6" s="1124"/>
      <c r="H6" s="1125"/>
      <c r="I6" s="1093"/>
      <c r="J6" s="1093"/>
      <c r="K6" s="1093"/>
      <c r="M6" s="947"/>
    </row>
    <row r="7" spans="1:25" ht="28">
      <c r="A7" s="1038"/>
      <c r="B7" s="1023"/>
      <c r="C7" s="1120" t="s">
        <v>17</v>
      </c>
      <c r="D7" s="1120" t="s">
        <v>18</v>
      </c>
      <c r="E7" s="1120" t="s">
        <v>19</v>
      </c>
      <c r="F7" s="1120" t="s">
        <v>20</v>
      </c>
      <c r="G7" s="1120"/>
      <c r="H7" s="1121" t="s">
        <v>46</v>
      </c>
      <c r="I7" s="1096"/>
      <c r="J7" s="1093"/>
      <c r="K7" s="1093"/>
      <c r="L7" s="944" t="s">
        <v>17</v>
      </c>
      <c r="M7" s="944" t="s">
        <v>18</v>
      </c>
      <c r="N7" s="944" t="s">
        <v>19</v>
      </c>
      <c r="O7" s="944" t="s">
        <v>104</v>
      </c>
      <c r="P7" s="944" t="s">
        <v>105</v>
      </c>
      <c r="T7" s="1095" t="s">
        <v>17</v>
      </c>
      <c r="U7" s="1095" t="s">
        <v>18</v>
      </c>
      <c r="V7" s="1095" t="s">
        <v>19</v>
      </c>
      <c r="W7" s="1095" t="s">
        <v>20</v>
      </c>
      <c r="X7" s="1095"/>
      <c r="Y7" s="1096" t="s">
        <v>46</v>
      </c>
    </row>
    <row r="8" spans="1:25" ht="4.5" customHeight="1">
      <c r="A8" s="947"/>
      <c r="C8" s="1043"/>
      <c r="D8" s="1043"/>
      <c r="E8" s="1043"/>
      <c r="F8" s="1043"/>
      <c r="G8" s="1043"/>
      <c r="H8" s="1093"/>
      <c r="I8" s="1093"/>
      <c r="J8" s="1093"/>
      <c r="K8" s="1093"/>
      <c r="Y8" s="947"/>
    </row>
    <row r="9" spans="1:25" ht="12" customHeight="1">
      <c r="A9" s="2642">
        <v>1918</v>
      </c>
      <c r="B9" s="1107">
        <v>1</v>
      </c>
      <c r="C9" s="1108">
        <v>0.55700000000000005</v>
      </c>
      <c r="D9" s="1108">
        <v>0.65900000000000003</v>
      </c>
      <c r="E9" s="1108">
        <v>0.55100000000000005</v>
      </c>
      <c r="F9" s="1108">
        <v>0.69499999999999995</v>
      </c>
      <c r="G9" s="1108"/>
      <c r="H9" s="1109">
        <v>0.57199999999999995</v>
      </c>
      <c r="I9" s="1109"/>
      <c r="J9" s="1110">
        <v>0.57199999999999995</v>
      </c>
      <c r="K9" s="1093"/>
      <c r="L9" s="944">
        <v>16021600</v>
      </c>
      <c r="M9" s="944">
        <v>1170974</v>
      </c>
      <c r="N9" s="944">
        <v>2205383</v>
      </c>
      <c r="O9" s="944">
        <v>1926274</v>
      </c>
      <c r="P9" s="944">
        <v>21392322</v>
      </c>
      <c r="R9" s="1007">
        <v>1918</v>
      </c>
      <c r="S9" s="1107">
        <v>1</v>
      </c>
      <c r="T9" s="1062">
        <f>L9/1000000</f>
        <v>16.021599999999999</v>
      </c>
      <c r="U9" s="1062">
        <f>M9/1000000</f>
        <v>1.170974</v>
      </c>
      <c r="V9" s="1062">
        <f>N9/1000000</f>
        <v>2.2053829999999999</v>
      </c>
      <c r="W9" s="1062">
        <f>O9/1000000</f>
        <v>1.926274</v>
      </c>
      <c r="X9" s="1062"/>
      <c r="Y9" s="1111">
        <f>P9/1000000</f>
        <v>21.392322</v>
      </c>
    </row>
    <row r="10" spans="1:25" ht="12" customHeight="1">
      <c r="A10" s="2642">
        <v>1922</v>
      </c>
      <c r="B10" s="1068"/>
      <c r="C10" s="1108">
        <v>0.72799999999999998</v>
      </c>
      <c r="D10" s="1108">
        <v>0.79400000000000004</v>
      </c>
      <c r="E10" s="1108">
        <v>0.70399999999999996</v>
      </c>
      <c r="F10" s="1108">
        <v>0.77200000000000002</v>
      </c>
      <c r="G10" s="1108"/>
      <c r="H10" s="1109">
        <v>0.73</v>
      </c>
      <c r="I10" s="1109"/>
      <c r="J10" s="1110">
        <v>0.73</v>
      </c>
      <c r="K10" s="1093"/>
      <c r="L10" s="944">
        <v>16726739</v>
      </c>
      <c r="M10" s="944">
        <v>1235579</v>
      </c>
      <c r="N10" s="944">
        <v>2231532</v>
      </c>
      <c r="O10" s="944">
        <v>608877</v>
      </c>
      <c r="P10" s="944">
        <v>20874456</v>
      </c>
      <c r="R10" s="1007">
        <v>1922</v>
      </c>
      <c r="T10" s="1062">
        <f t="shared" ref="T10:T34" si="0">L10/1000000</f>
        <v>16.726738999999998</v>
      </c>
      <c r="U10" s="1062">
        <f t="shared" ref="U10:U34" si="1">M10/1000000</f>
        <v>1.235579</v>
      </c>
      <c r="V10" s="1062">
        <f t="shared" ref="V10:V34" si="2">N10/1000000</f>
        <v>2.2315320000000001</v>
      </c>
      <c r="W10" s="1062">
        <f t="shared" ref="W10:W34" si="3">O10/1000000</f>
        <v>0.608877</v>
      </c>
      <c r="X10" s="1062"/>
      <c r="Y10" s="1111">
        <f t="shared" ref="Y10:Y33" si="4">P10/1000000</f>
        <v>20.874455999999999</v>
      </c>
    </row>
    <row r="11" spans="1:25" ht="12" customHeight="1">
      <c r="A11" s="2642">
        <v>1923</v>
      </c>
      <c r="B11" s="1068"/>
      <c r="C11" s="1108">
        <v>0.71099999999999997</v>
      </c>
      <c r="D11" s="1108">
        <v>0.77300000000000002</v>
      </c>
      <c r="E11" s="1108">
        <v>0.67900000000000005</v>
      </c>
      <c r="F11" s="1108">
        <v>0.76500000000000001</v>
      </c>
      <c r="G11" s="1108"/>
      <c r="H11" s="1109">
        <v>0.71099999999999997</v>
      </c>
      <c r="I11" s="1109"/>
      <c r="J11" s="1110">
        <v>0.71099999999999997</v>
      </c>
      <c r="K11" s="1093"/>
      <c r="L11" s="944">
        <v>17079822</v>
      </c>
      <c r="M11" s="944">
        <v>1258973</v>
      </c>
      <c r="N11" s="944">
        <v>2250826</v>
      </c>
      <c r="O11" s="944">
        <v>615320</v>
      </c>
      <c r="P11" s="944">
        <v>21283061</v>
      </c>
      <c r="R11" s="1007">
        <v>1923</v>
      </c>
      <c r="T11" s="1062">
        <f t="shared" si="0"/>
        <v>17.079822</v>
      </c>
      <c r="U11" s="1062">
        <f t="shared" si="1"/>
        <v>1.2589729999999999</v>
      </c>
      <c r="V11" s="1062">
        <f t="shared" si="2"/>
        <v>2.250826</v>
      </c>
      <c r="W11" s="1062">
        <f t="shared" si="3"/>
        <v>0.61531999999999998</v>
      </c>
      <c r="X11" s="1062"/>
      <c r="Y11" s="1111">
        <f t="shared" si="4"/>
        <v>21.283061</v>
      </c>
    </row>
    <row r="12" spans="1:25" ht="12" customHeight="1">
      <c r="A12" s="2642">
        <v>1924</v>
      </c>
      <c r="B12" s="1068"/>
      <c r="C12" s="1108">
        <v>0.77400000000000002</v>
      </c>
      <c r="D12" s="1108">
        <v>0.8</v>
      </c>
      <c r="E12" s="1108">
        <v>0.751</v>
      </c>
      <c r="F12" s="1108">
        <v>0.66700000000000004</v>
      </c>
      <c r="G12" s="1108"/>
      <c r="H12" s="1109">
        <v>0.77</v>
      </c>
      <c r="I12" s="1109"/>
      <c r="J12" s="1110">
        <v>0.77</v>
      </c>
      <c r="K12" s="1093"/>
      <c r="L12" s="944">
        <v>17471109</v>
      </c>
      <c r="M12" s="944">
        <v>1287543</v>
      </c>
      <c r="N12" s="944">
        <v>2279893</v>
      </c>
      <c r="O12" s="944">
        <v>610064</v>
      </c>
      <c r="P12" s="944">
        <v>21730988</v>
      </c>
      <c r="R12" s="1007">
        <v>1924</v>
      </c>
      <c r="T12" s="1062">
        <f t="shared" si="0"/>
        <v>17.471108999999998</v>
      </c>
      <c r="U12" s="1062">
        <f t="shared" si="1"/>
        <v>1.2875430000000001</v>
      </c>
      <c r="V12" s="1062">
        <f t="shared" si="2"/>
        <v>2.2798929999999999</v>
      </c>
      <c r="W12" s="1062">
        <f t="shared" si="3"/>
        <v>0.61006400000000005</v>
      </c>
      <c r="X12" s="1062"/>
      <c r="Y12" s="1111">
        <f t="shared" si="4"/>
        <v>21.730988</v>
      </c>
    </row>
    <row r="13" spans="1:25" ht="12" customHeight="1">
      <c r="A13" s="2642">
        <v>1929</v>
      </c>
      <c r="B13" s="1068"/>
      <c r="C13" s="1108">
        <v>0.76600000000000001</v>
      </c>
      <c r="D13" s="1108">
        <v>0.82399999999999995</v>
      </c>
      <c r="E13" s="1108">
        <v>0.73499999999999999</v>
      </c>
      <c r="F13" s="1108">
        <v>0.63800000000000001</v>
      </c>
      <c r="G13" s="1108"/>
      <c r="H13" s="1109">
        <v>0.76300000000000001</v>
      </c>
      <c r="I13" s="1109"/>
      <c r="J13" s="1110">
        <v>0.76300000000000001</v>
      </c>
      <c r="K13" s="1093"/>
      <c r="L13" s="944">
        <v>23424580</v>
      </c>
      <c r="M13" s="944">
        <v>1598509</v>
      </c>
      <c r="N13" s="944">
        <v>2940456</v>
      </c>
      <c r="O13" s="944">
        <v>771946</v>
      </c>
      <c r="P13" s="944">
        <v>28854748</v>
      </c>
      <c r="R13" s="1007">
        <v>1929</v>
      </c>
      <c r="T13" s="1062">
        <f t="shared" si="0"/>
        <v>23.424579999999999</v>
      </c>
      <c r="U13" s="1062">
        <f t="shared" si="1"/>
        <v>1.598509</v>
      </c>
      <c r="V13" s="1062">
        <f t="shared" si="2"/>
        <v>2.9404560000000002</v>
      </c>
      <c r="W13" s="1062">
        <f t="shared" si="3"/>
        <v>0.77194600000000002</v>
      </c>
      <c r="X13" s="1062"/>
      <c r="Y13" s="1111">
        <f t="shared" si="4"/>
        <v>28.854748000000001</v>
      </c>
    </row>
    <row r="14" spans="1:25" ht="15" customHeight="1">
      <c r="A14" s="2642">
        <v>1931</v>
      </c>
      <c r="B14" s="1068"/>
      <c r="C14" s="1108">
        <v>0.76100000000000001</v>
      </c>
      <c r="D14" s="1108">
        <v>0.79300000000000004</v>
      </c>
      <c r="E14" s="1108">
        <v>0.77400000000000002</v>
      </c>
      <c r="F14" s="1108">
        <v>0.745</v>
      </c>
      <c r="G14" s="1108"/>
      <c r="H14" s="1109">
        <v>0.76400000000000001</v>
      </c>
      <c r="I14" s="1109"/>
      <c r="J14" s="1110">
        <v>0.76400000000000001</v>
      </c>
      <c r="K14" s="1093"/>
      <c r="L14" s="944">
        <v>24423766</v>
      </c>
      <c r="M14" s="944">
        <v>1625118</v>
      </c>
      <c r="N14" s="944">
        <v>2992433</v>
      </c>
      <c r="O14" s="944">
        <v>773302</v>
      </c>
      <c r="P14" s="944">
        <v>29952361</v>
      </c>
      <c r="R14" s="1007">
        <v>1931</v>
      </c>
      <c r="T14" s="1062">
        <f t="shared" si="0"/>
        <v>24.423766000000001</v>
      </c>
      <c r="U14" s="1062">
        <f t="shared" si="1"/>
        <v>1.6251180000000001</v>
      </c>
      <c r="V14" s="1062">
        <f t="shared" si="2"/>
        <v>2.9924330000000001</v>
      </c>
      <c r="W14" s="1062">
        <f t="shared" si="3"/>
        <v>0.77330200000000004</v>
      </c>
      <c r="X14" s="1062"/>
      <c r="Y14" s="1111">
        <f t="shared" si="4"/>
        <v>29.952361</v>
      </c>
    </row>
    <row r="15" spans="1:25" ht="12" customHeight="1">
      <c r="A15" s="2642">
        <v>1935</v>
      </c>
      <c r="B15" s="1068"/>
      <c r="C15" s="1108">
        <v>0.70699999999999996</v>
      </c>
      <c r="D15" s="1108">
        <v>0.76400000000000001</v>
      </c>
      <c r="E15" s="1108">
        <v>0.72599999999999998</v>
      </c>
      <c r="F15" s="1108">
        <v>0.72</v>
      </c>
      <c r="G15" s="1108"/>
      <c r="H15" s="1109">
        <v>0.71099999999999997</v>
      </c>
      <c r="I15" s="1109"/>
      <c r="J15" s="1110">
        <v>0.71099999999999997</v>
      </c>
      <c r="K15" s="1093"/>
      <c r="L15" s="944">
        <v>25618571</v>
      </c>
      <c r="M15" s="944">
        <v>1669793</v>
      </c>
      <c r="N15" s="944">
        <v>3115917</v>
      </c>
      <c r="O15" s="944">
        <v>805220</v>
      </c>
      <c r="P15" s="944">
        <v>31374449</v>
      </c>
      <c r="R15" s="1007">
        <v>1935</v>
      </c>
      <c r="T15" s="1062">
        <f t="shared" si="0"/>
        <v>25.618570999999999</v>
      </c>
      <c r="U15" s="1062">
        <f t="shared" si="1"/>
        <v>1.6697930000000001</v>
      </c>
      <c r="V15" s="1062">
        <f t="shared" si="2"/>
        <v>3.115917</v>
      </c>
      <c r="W15" s="1062">
        <f t="shared" si="3"/>
        <v>0.80522000000000005</v>
      </c>
      <c r="X15" s="1062"/>
      <c r="Y15" s="1111">
        <f t="shared" si="4"/>
        <v>31.374448999999998</v>
      </c>
    </row>
    <row r="16" spans="1:25" ht="12" customHeight="1">
      <c r="A16" s="134">
        <v>1945</v>
      </c>
      <c r="B16" s="1068"/>
      <c r="C16" s="1088">
        <v>0.73399999999999999</v>
      </c>
      <c r="D16" s="1088">
        <v>0.75700000000000001</v>
      </c>
      <c r="E16" s="1088">
        <v>0.69</v>
      </c>
      <c r="F16" s="1088">
        <v>0.67400000000000004</v>
      </c>
      <c r="G16" s="1088"/>
      <c r="H16" s="1112">
        <v>0.72799999999999998</v>
      </c>
      <c r="I16" s="1112"/>
      <c r="J16" s="1113">
        <v>0.72799999999999998</v>
      </c>
      <c r="K16" s="1112"/>
      <c r="L16" s="944">
        <v>27045729</v>
      </c>
      <c r="M16" s="944">
        <v>1798199</v>
      </c>
      <c r="N16" s="944">
        <v>3343120</v>
      </c>
      <c r="O16" s="944">
        <v>835980</v>
      </c>
      <c r="P16" s="944">
        <v>33240391</v>
      </c>
      <c r="R16" s="1099">
        <v>16623</v>
      </c>
      <c r="T16" s="1062">
        <f t="shared" si="0"/>
        <v>27.045729000000001</v>
      </c>
      <c r="U16" s="1062">
        <f t="shared" si="1"/>
        <v>1.7981990000000001</v>
      </c>
      <c r="V16" s="1062">
        <f t="shared" si="2"/>
        <v>3.3431199999999999</v>
      </c>
      <c r="W16" s="1062">
        <f t="shared" si="3"/>
        <v>0.83597999999999995</v>
      </c>
      <c r="X16" s="1062"/>
      <c r="Y16" s="1111">
        <f t="shared" si="4"/>
        <v>33.240391000000002</v>
      </c>
    </row>
    <row r="17" spans="1:25" ht="12" customHeight="1">
      <c r="A17" s="134">
        <v>1950</v>
      </c>
      <c r="B17" s="1068"/>
      <c r="C17" s="1088">
        <v>0.84399999999999997</v>
      </c>
      <c r="D17" s="1088">
        <v>0.84799999999999998</v>
      </c>
      <c r="E17" s="1088">
        <v>0.80900000000000005</v>
      </c>
      <c r="F17" s="1088">
        <v>0.77400000000000002</v>
      </c>
      <c r="G17" s="1088"/>
      <c r="H17" s="1112">
        <v>0.83899999999999997</v>
      </c>
      <c r="I17" s="1112"/>
      <c r="J17" s="1113">
        <v>0.83899999999999997</v>
      </c>
      <c r="K17" s="1112"/>
      <c r="L17" s="944">
        <v>28374288</v>
      </c>
      <c r="M17" s="944">
        <v>1802356</v>
      </c>
      <c r="N17" s="944">
        <v>3370190</v>
      </c>
      <c r="O17" s="944">
        <v>865421</v>
      </c>
      <c r="P17" s="944">
        <v>34412255</v>
      </c>
      <c r="R17" s="1114">
        <v>18317</v>
      </c>
      <c r="T17" s="1062">
        <f t="shared" si="0"/>
        <v>28.374288</v>
      </c>
      <c r="U17" s="1062">
        <f t="shared" si="1"/>
        <v>1.8023560000000001</v>
      </c>
      <c r="V17" s="1062">
        <f t="shared" si="2"/>
        <v>3.37019</v>
      </c>
      <c r="W17" s="1062">
        <f t="shared" si="3"/>
        <v>0.865421</v>
      </c>
      <c r="X17" s="1062"/>
      <c r="Y17" s="1111">
        <f t="shared" si="4"/>
        <v>34.412255000000002</v>
      </c>
    </row>
    <row r="18" spans="1:25" ht="12" customHeight="1">
      <c r="A18" s="134">
        <v>1951</v>
      </c>
      <c r="B18" s="1068"/>
      <c r="C18" s="1088">
        <v>0.82699999999999996</v>
      </c>
      <c r="D18" s="1088">
        <v>0.84399999999999997</v>
      </c>
      <c r="E18" s="1088">
        <v>0.81200000000000006</v>
      </c>
      <c r="F18" s="1088">
        <v>0.79900000000000004</v>
      </c>
      <c r="G18" s="1088"/>
      <c r="H18" s="1112">
        <v>0.82599999999999996</v>
      </c>
      <c r="I18" s="1112"/>
      <c r="J18" s="1113">
        <v>0.82599999999999996</v>
      </c>
      <c r="K18" s="1112"/>
      <c r="L18" s="944">
        <v>28813343</v>
      </c>
      <c r="M18" s="944">
        <v>1812664</v>
      </c>
      <c r="N18" s="944">
        <v>3421419</v>
      </c>
      <c r="O18" s="944">
        <v>871905</v>
      </c>
      <c r="P18" s="944">
        <v>34047426</v>
      </c>
      <c r="R18" s="1099">
        <v>18926</v>
      </c>
      <c r="T18" s="1062">
        <f t="shared" si="0"/>
        <v>28.813343</v>
      </c>
      <c r="U18" s="1062">
        <f t="shared" si="1"/>
        <v>1.8126640000000001</v>
      </c>
      <c r="V18" s="1062">
        <f t="shared" si="2"/>
        <v>3.4214190000000002</v>
      </c>
      <c r="W18" s="1062">
        <f t="shared" si="3"/>
        <v>0.87190500000000004</v>
      </c>
      <c r="X18" s="1062"/>
      <c r="Y18" s="1111">
        <f t="shared" si="4"/>
        <v>34.047426000000002</v>
      </c>
    </row>
    <row r="19" spans="1:25" ht="15" customHeight="1">
      <c r="A19" s="134">
        <v>1955</v>
      </c>
      <c r="B19" s="1068"/>
      <c r="C19" s="1088">
        <v>0.76900000000000002</v>
      </c>
      <c r="D19" s="1088">
        <v>0.79600000000000004</v>
      </c>
      <c r="E19" s="1088">
        <v>0.751</v>
      </c>
      <c r="F19" s="1088">
        <v>0.74099999999999999</v>
      </c>
      <c r="G19" s="1088"/>
      <c r="H19" s="1112">
        <v>0.76800000000000002</v>
      </c>
      <c r="I19" s="1112"/>
      <c r="J19" s="1113">
        <v>0.76800000000000002</v>
      </c>
      <c r="K19" s="1112"/>
      <c r="L19" s="944">
        <v>28790285</v>
      </c>
      <c r="M19" s="944">
        <v>1801217</v>
      </c>
      <c r="N19" s="944">
        <v>3387536</v>
      </c>
      <c r="O19" s="944">
        <v>873141</v>
      </c>
      <c r="P19" s="944">
        <v>34852179</v>
      </c>
      <c r="R19" s="1099">
        <v>20235</v>
      </c>
      <c r="T19" s="1062">
        <f t="shared" si="0"/>
        <v>28.790285000000001</v>
      </c>
      <c r="U19" s="1062">
        <f t="shared" si="1"/>
        <v>1.8012170000000001</v>
      </c>
      <c r="V19" s="1062">
        <f t="shared" si="2"/>
        <v>3.3875359999999999</v>
      </c>
      <c r="W19" s="1062">
        <f t="shared" si="3"/>
        <v>0.87314099999999994</v>
      </c>
      <c r="X19" s="1062"/>
      <c r="Y19" s="1111">
        <f t="shared" si="4"/>
        <v>34.852179</v>
      </c>
    </row>
    <row r="20" spans="1:25" ht="12" customHeight="1">
      <c r="A20" s="134">
        <v>1959</v>
      </c>
      <c r="B20" s="1068"/>
      <c r="C20" s="1088">
        <v>0.78900000000000003</v>
      </c>
      <c r="D20" s="1088">
        <v>0.82599999999999996</v>
      </c>
      <c r="E20" s="1088">
        <v>0.78100000000000003</v>
      </c>
      <c r="F20" s="1088">
        <v>0.65900000000000003</v>
      </c>
      <c r="G20" s="1088"/>
      <c r="H20" s="1112">
        <v>0.78700000000000003</v>
      </c>
      <c r="I20" s="1112"/>
      <c r="J20" s="1113">
        <v>0.78700000000000003</v>
      </c>
      <c r="K20" s="1112"/>
      <c r="L20" s="944">
        <v>29303126</v>
      </c>
      <c r="M20" s="944">
        <v>1805686</v>
      </c>
      <c r="N20" s="944">
        <v>3413732</v>
      </c>
      <c r="O20" s="944">
        <v>874760</v>
      </c>
      <c r="P20" s="944">
        <v>35397304</v>
      </c>
      <c r="R20" s="1099">
        <v>21831</v>
      </c>
      <c r="T20" s="1062">
        <f t="shared" si="0"/>
        <v>29.303125999999999</v>
      </c>
      <c r="U20" s="1062">
        <f t="shared" si="1"/>
        <v>1.8056859999999999</v>
      </c>
      <c r="V20" s="1062">
        <f t="shared" si="2"/>
        <v>3.413732</v>
      </c>
      <c r="W20" s="1062">
        <f t="shared" si="3"/>
        <v>0.87475999999999998</v>
      </c>
      <c r="X20" s="1062"/>
      <c r="Y20" s="1111">
        <f t="shared" si="4"/>
        <v>35.397303999999998</v>
      </c>
    </row>
    <row r="21" spans="1:25" ht="12" customHeight="1">
      <c r="A21" s="134">
        <v>1964</v>
      </c>
      <c r="B21" s="1068"/>
      <c r="C21" s="1088">
        <v>0.77</v>
      </c>
      <c r="D21" s="1088">
        <v>0.80100000000000005</v>
      </c>
      <c r="E21" s="1088">
        <v>0.77600000000000002</v>
      </c>
      <c r="F21" s="1088">
        <v>0.71699999999999997</v>
      </c>
      <c r="G21" s="1088"/>
      <c r="H21" s="1112">
        <v>0.77100000000000002</v>
      </c>
      <c r="I21" s="1112"/>
      <c r="J21" s="1113">
        <v>0.77100000000000002</v>
      </c>
      <c r="K21" s="1112"/>
      <c r="L21" s="944">
        <v>29804627</v>
      </c>
      <c r="M21" s="944">
        <v>1805454</v>
      </c>
      <c r="N21" s="944">
        <v>3393421</v>
      </c>
      <c r="O21" s="944">
        <v>890552</v>
      </c>
      <c r="P21" s="944">
        <v>35894054</v>
      </c>
      <c r="R21" s="1099">
        <v>23665</v>
      </c>
      <c r="T21" s="1062">
        <f t="shared" si="0"/>
        <v>29.804627</v>
      </c>
      <c r="U21" s="1062">
        <f t="shared" si="1"/>
        <v>1.8054539999999999</v>
      </c>
      <c r="V21" s="1062">
        <f t="shared" si="2"/>
        <v>3.393421</v>
      </c>
      <c r="W21" s="1062">
        <f t="shared" si="3"/>
        <v>0.89055200000000001</v>
      </c>
      <c r="X21" s="1062"/>
      <c r="Y21" s="1111">
        <f t="shared" si="4"/>
        <v>35.894053999999997</v>
      </c>
    </row>
    <row r="22" spans="1:25" ht="12" customHeight="1">
      <c r="A22" s="134">
        <v>1966</v>
      </c>
      <c r="B22" s="1068"/>
      <c r="C22" s="1088">
        <v>0.75900000000000001</v>
      </c>
      <c r="D22" s="1088">
        <v>0.79</v>
      </c>
      <c r="E22" s="1088">
        <v>0.76</v>
      </c>
      <c r="F22" s="1088">
        <v>0.66100000000000003</v>
      </c>
      <c r="G22" s="1088"/>
      <c r="H22" s="1112">
        <v>0.75800000000000001</v>
      </c>
      <c r="I22" s="1112"/>
      <c r="J22" s="1113">
        <v>0.75800000000000001</v>
      </c>
      <c r="K22" s="1112"/>
      <c r="L22" s="944">
        <v>29894141</v>
      </c>
      <c r="M22" s="944">
        <v>1800925</v>
      </c>
      <c r="N22" s="944">
        <v>3359891</v>
      </c>
      <c r="O22" s="944">
        <v>902288</v>
      </c>
      <c r="P22" s="944">
        <v>35957245</v>
      </c>
      <c r="R22" s="1099">
        <v>24197</v>
      </c>
      <c r="T22" s="1062">
        <f t="shared" si="0"/>
        <v>29.894141000000001</v>
      </c>
      <c r="U22" s="1062">
        <f t="shared" si="1"/>
        <v>1.8009250000000001</v>
      </c>
      <c r="V22" s="1062">
        <f t="shared" si="2"/>
        <v>3.3598910000000002</v>
      </c>
      <c r="W22" s="1062">
        <f t="shared" si="3"/>
        <v>0.90228799999999998</v>
      </c>
      <c r="X22" s="1062"/>
      <c r="Y22" s="1111">
        <f t="shared" si="4"/>
        <v>35.957245</v>
      </c>
    </row>
    <row r="23" spans="1:25" ht="12" customHeight="1">
      <c r="A23" s="134">
        <v>1970</v>
      </c>
      <c r="B23" s="1068"/>
      <c r="C23" s="1088">
        <v>0.71399999999999997</v>
      </c>
      <c r="D23" s="1088">
        <v>0.77400000000000002</v>
      </c>
      <c r="E23" s="1088">
        <v>0.74099999999999999</v>
      </c>
      <c r="F23" s="1088">
        <v>0.76600000000000001</v>
      </c>
      <c r="G23" s="1088"/>
      <c r="H23" s="1112">
        <v>0.72</v>
      </c>
      <c r="I23" s="1112"/>
      <c r="J23" s="1113">
        <v>0.72</v>
      </c>
      <c r="K23" s="1112"/>
      <c r="L23" s="944">
        <v>32737025</v>
      </c>
      <c r="M23" s="944">
        <v>1958778</v>
      </c>
      <c r="N23" s="944">
        <v>3629017</v>
      </c>
      <c r="O23" s="944">
        <v>1017193</v>
      </c>
      <c r="P23" s="944">
        <v>39342013</v>
      </c>
      <c r="R23" s="1099">
        <v>25737</v>
      </c>
      <c r="T23" s="1062">
        <f t="shared" si="0"/>
        <v>32.737025000000003</v>
      </c>
      <c r="U23" s="1062">
        <f t="shared" si="1"/>
        <v>1.9587779999999999</v>
      </c>
      <c r="V23" s="1062">
        <f t="shared" si="2"/>
        <v>3.6290170000000002</v>
      </c>
      <c r="W23" s="1062">
        <f t="shared" si="3"/>
        <v>1.017193</v>
      </c>
      <c r="X23" s="1062"/>
      <c r="Y23" s="1111">
        <f t="shared" si="4"/>
        <v>39.342013000000001</v>
      </c>
    </row>
    <row r="24" spans="1:25" ht="15" customHeight="1">
      <c r="A24" s="134">
        <v>1974</v>
      </c>
      <c r="B24" s="1068" t="s">
        <v>50</v>
      </c>
      <c r="C24" s="1088">
        <v>0.79</v>
      </c>
      <c r="D24" s="1088">
        <v>0.8</v>
      </c>
      <c r="E24" s="1088">
        <v>0.79</v>
      </c>
      <c r="F24" s="1088">
        <v>0.69899999999999995</v>
      </c>
      <c r="G24" s="1088"/>
      <c r="H24" s="1112">
        <v>0.78800000000000003</v>
      </c>
      <c r="I24" s="1112"/>
      <c r="J24" s="1113">
        <v>0.78800000000000003</v>
      </c>
      <c r="K24" s="1112"/>
      <c r="L24" s="944">
        <v>33077571</v>
      </c>
      <c r="M24" s="944">
        <v>1993516</v>
      </c>
      <c r="N24" s="944">
        <v>3655621</v>
      </c>
      <c r="O24" s="944">
        <v>1027155</v>
      </c>
      <c r="P24" s="944">
        <v>38726708</v>
      </c>
      <c r="R24" s="1099">
        <v>27088</v>
      </c>
      <c r="S24" s="1068" t="s">
        <v>50</v>
      </c>
      <c r="T24" s="1062">
        <f t="shared" si="0"/>
        <v>33.077570999999999</v>
      </c>
      <c r="U24" s="1062">
        <f t="shared" si="1"/>
        <v>1.9935160000000001</v>
      </c>
      <c r="V24" s="1062">
        <f t="shared" si="2"/>
        <v>3.655621</v>
      </c>
      <c r="W24" s="1062">
        <f t="shared" si="3"/>
        <v>1.027155</v>
      </c>
      <c r="X24" s="1062"/>
      <c r="Y24" s="1111">
        <f t="shared" si="4"/>
        <v>38.726708000000002</v>
      </c>
    </row>
    <row r="25" spans="1:25" ht="12" customHeight="1">
      <c r="A25" s="134">
        <v>1974</v>
      </c>
      <c r="B25" s="1068" t="s">
        <v>51</v>
      </c>
      <c r="C25" s="1088">
        <v>0.72599999999999998</v>
      </c>
      <c r="D25" s="1088">
        <v>0.76600000000000001</v>
      </c>
      <c r="E25" s="1088">
        <v>0.748</v>
      </c>
      <c r="F25" s="1088">
        <v>0.67700000000000005</v>
      </c>
      <c r="G25" s="1088"/>
      <c r="H25" s="1112">
        <v>0.72799999999999998</v>
      </c>
      <c r="I25" s="1112"/>
      <c r="J25" s="1113">
        <v>0.72799999999999998</v>
      </c>
      <c r="K25" s="1112"/>
      <c r="L25" s="944">
        <v>33341371</v>
      </c>
      <c r="M25" s="944">
        <v>2008284</v>
      </c>
      <c r="N25" s="944">
        <v>3686792</v>
      </c>
      <c r="O25" s="944">
        <v>1036523</v>
      </c>
      <c r="P25" s="944">
        <v>40072970</v>
      </c>
      <c r="R25" s="1099">
        <v>27312</v>
      </c>
      <c r="S25" s="1068" t="s">
        <v>51</v>
      </c>
      <c r="T25" s="1062">
        <f t="shared" si="0"/>
        <v>33.341371000000002</v>
      </c>
      <c r="U25" s="1062">
        <f t="shared" si="1"/>
        <v>2.0082840000000002</v>
      </c>
      <c r="V25" s="1062">
        <f t="shared" si="2"/>
        <v>3.6867920000000001</v>
      </c>
      <c r="W25" s="1062">
        <f t="shared" si="3"/>
        <v>1.0365230000000001</v>
      </c>
      <c r="X25" s="1062"/>
      <c r="Y25" s="1111">
        <f t="shared" si="4"/>
        <v>40.072969999999998</v>
      </c>
    </row>
    <row r="26" spans="1:25" ht="12" customHeight="1">
      <c r="A26" s="134">
        <v>1979</v>
      </c>
      <c r="B26" s="1068"/>
      <c r="C26" s="1088">
        <v>0.75900000000000001</v>
      </c>
      <c r="D26" s="1088">
        <v>0.79400000000000004</v>
      </c>
      <c r="E26" s="1088">
        <v>0.76800000000000002</v>
      </c>
      <c r="F26" s="1088">
        <v>0.67700000000000005</v>
      </c>
      <c r="G26" s="1088"/>
      <c r="H26" s="1112">
        <v>0.76</v>
      </c>
      <c r="I26" s="1112"/>
      <c r="J26" s="1113">
        <v>0.76</v>
      </c>
      <c r="K26" s="1112"/>
      <c r="L26" s="944">
        <v>34211471</v>
      </c>
      <c r="M26" s="944">
        <v>2061109</v>
      </c>
      <c r="N26" s="944">
        <v>3795865</v>
      </c>
      <c r="O26" s="944">
        <v>1027204</v>
      </c>
      <c r="P26" s="944">
        <v>40068445</v>
      </c>
      <c r="R26" s="1099">
        <v>28978</v>
      </c>
      <c r="T26" s="1062">
        <f t="shared" si="0"/>
        <v>34.211471000000003</v>
      </c>
      <c r="U26" s="1062">
        <f t="shared" si="1"/>
        <v>2.0611090000000001</v>
      </c>
      <c r="V26" s="1062">
        <f t="shared" si="2"/>
        <v>3.795865</v>
      </c>
      <c r="W26" s="1062">
        <f t="shared" si="3"/>
        <v>1.027204</v>
      </c>
      <c r="X26" s="1062"/>
      <c r="Y26" s="1111">
        <f t="shared" si="4"/>
        <v>40.068444999999997</v>
      </c>
    </row>
    <row r="27" spans="1:25" ht="12" customHeight="1">
      <c r="A27" s="134">
        <v>1983</v>
      </c>
      <c r="B27" s="1068"/>
      <c r="C27" s="1088">
        <v>0.72499999999999998</v>
      </c>
      <c r="D27" s="1088">
        <v>0.76100000000000001</v>
      </c>
      <c r="E27" s="1088">
        <v>0.72699999999999998</v>
      </c>
      <c r="F27" s="1088">
        <v>0.72899999999999998</v>
      </c>
      <c r="G27" s="1088"/>
      <c r="H27" s="1112">
        <v>0.72699999999999998</v>
      </c>
      <c r="I27" s="1112"/>
      <c r="J27" s="1113">
        <v>0.72699999999999998</v>
      </c>
      <c r="K27" s="1112"/>
      <c r="L27" s="944">
        <v>35143479</v>
      </c>
      <c r="M27" s="944">
        <v>2113855</v>
      </c>
      <c r="N27" s="944">
        <v>3886899</v>
      </c>
      <c r="O27" s="944">
        <v>1048766</v>
      </c>
      <c r="P27" s="944">
        <v>42192999</v>
      </c>
      <c r="R27" s="1099">
        <v>30476</v>
      </c>
      <c r="T27" s="1062">
        <f t="shared" si="0"/>
        <v>35.143478999999999</v>
      </c>
      <c r="U27" s="1062">
        <f t="shared" si="1"/>
        <v>2.113855</v>
      </c>
      <c r="V27" s="1062">
        <f t="shared" si="2"/>
        <v>3.8868990000000001</v>
      </c>
      <c r="W27" s="1062">
        <f t="shared" si="3"/>
        <v>1.0487660000000001</v>
      </c>
      <c r="X27" s="1062"/>
      <c r="Y27" s="1111">
        <f t="shared" si="4"/>
        <v>42.192999</v>
      </c>
    </row>
    <row r="28" spans="1:25" ht="12" customHeight="1">
      <c r="A28" s="134">
        <v>1987</v>
      </c>
      <c r="B28" s="1068"/>
      <c r="C28" s="1088">
        <v>0.754</v>
      </c>
      <c r="D28" s="1088">
        <v>0.78900000000000003</v>
      </c>
      <c r="E28" s="1088">
        <v>0.751</v>
      </c>
      <c r="F28" s="1088">
        <v>0.67</v>
      </c>
      <c r="G28" s="1088"/>
      <c r="H28" s="1112">
        <v>0.753</v>
      </c>
      <c r="I28" s="1112"/>
      <c r="J28" s="1113">
        <v>0.753</v>
      </c>
      <c r="K28" s="1112"/>
      <c r="L28" s="944">
        <v>35987776</v>
      </c>
      <c r="M28" s="944">
        <v>2151352</v>
      </c>
      <c r="N28" s="944">
        <v>3952465</v>
      </c>
      <c r="O28" s="944">
        <v>1089160</v>
      </c>
      <c r="P28" s="944">
        <v>43180753</v>
      </c>
      <c r="R28" s="1099">
        <v>31939</v>
      </c>
      <c r="T28" s="1062">
        <f t="shared" si="0"/>
        <v>35.987775999999997</v>
      </c>
      <c r="U28" s="1062">
        <f t="shared" si="1"/>
        <v>2.1513520000000002</v>
      </c>
      <c r="V28" s="1062">
        <f t="shared" si="2"/>
        <v>3.9524650000000001</v>
      </c>
      <c r="W28" s="1062">
        <f t="shared" si="3"/>
        <v>1.0891599999999999</v>
      </c>
      <c r="X28" s="1062"/>
      <c r="Y28" s="1111">
        <f t="shared" si="4"/>
        <v>43.180753000000003</v>
      </c>
    </row>
    <row r="29" spans="1:25" ht="15" customHeight="1">
      <c r="A29" s="134">
        <v>1992</v>
      </c>
      <c r="B29" s="1068"/>
      <c r="C29" s="1088">
        <v>0.78</v>
      </c>
      <c r="D29" s="1088">
        <v>0.79700000000000004</v>
      </c>
      <c r="E29" s="1088">
        <v>0.755</v>
      </c>
      <c r="F29" s="1088">
        <v>0.69799999999999995</v>
      </c>
      <c r="G29" s="1088"/>
      <c r="H29" s="1112">
        <v>0.77700000000000002</v>
      </c>
      <c r="I29" s="1112"/>
      <c r="J29" s="1113">
        <v>0.77700000000000002</v>
      </c>
      <c r="K29" s="1112"/>
      <c r="L29" s="944">
        <v>36071067</v>
      </c>
      <c r="M29" s="944">
        <v>2194218</v>
      </c>
      <c r="N29" s="944">
        <v>3885131</v>
      </c>
      <c r="O29" s="944">
        <v>1124900</v>
      </c>
      <c r="P29" s="944">
        <v>43275316</v>
      </c>
      <c r="R29" s="1099">
        <v>33703</v>
      </c>
      <c r="T29" s="1062">
        <f t="shared" si="0"/>
        <v>36.071066999999999</v>
      </c>
      <c r="U29" s="1062">
        <f t="shared" si="1"/>
        <v>2.1942179999999998</v>
      </c>
      <c r="V29" s="1062">
        <f t="shared" si="2"/>
        <v>3.8851309999999999</v>
      </c>
      <c r="W29" s="1062">
        <f t="shared" si="3"/>
        <v>1.1249</v>
      </c>
      <c r="X29" s="1062"/>
      <c r="Y29" s="1111">
        <f t="shared" si="4"/>
        <v>43.275315999999997</v>
      </c>
    </row>
    <row r="30" spans="1:25" ht="12" customHeight="1">
      <c r="A30" s="134">
        <v>1997</v>
      </c>
      <c r="B30" s="1068"/>
      <c r="C30" s="1088">
        <v>0.71399999999999997</v>
      </c>
      <c r="D30" s="1088">
        <v>0.73499999999999999</v>
      </c>
      <c r="E30" s="1088">
        <v>0.71299999999999997</v>
      </c>
      <c r="F30" s="1088">
        <v>0.67100000000000004</v>
      </c>
      <c r="G30" s="1088"/>
      <c r="H30" s="1112">
        <v>0.71399999999999997</v>
      </c>
      <c r="I30" s="1112"/>
      <c r="J30" s="1113">
        <v>0.71399999999999997</v>
      </c>
      <c r="K30" s="1112"/>
      <c r="L30" s="944">
        <v>36516012</v>
      </c>
      <c r="M30" s="944">
        <v>2203059</v>
      </c>
      <c r="N30" s="944">
        <v>3949112</v>
      </c>
      <c r="O30" s="944">
        <v>1177969</v>
      </c>
      <c r="P30" s="944">
        <v>43846152</v>
      </c>
      <c r="R30" s="1099">
        <v>35551</v>
      </c>
      <c r="T30" s="1062">
        <f t="shared" si="0"/>
        <v>36.516012000000003</v>
      </c>
      <c r="U30" s="1062">
        <f t="shared" si="1"/>
        <v>2.2030590000000001</v>
      </c>
      <c r="V30" s="1062">
        <f t="shared" si="2"/>
        <v>3.949112</v>
      </c>
      <c r="W30" s="1062">
        <f t="shared" si="3"/>
        <v>1.177969</v>
      </c>
      <c r="X30" s="1062"/>
      <c r="Y30" s="1111">
        <f t="shared" si="4"/>
        <v>43.846151999999996</v>
      </c>
    </row>
    <row r="31" spans="1:25" ht="12" customHeight="1">
      <c r="A31" s="134">
        <v>2001</v>
      </c>
      <c r="B31" s="1068"/>
      <c r="C31" s="1100">
        <v>0.59199999999999997</v>
      </c>
      <c r="D31" s="1100">
        <v>0.61599999999999999</v>
      </c>
      <c r="E31" s="1100">
        <v>0.58199999999999996</v>
      </c>
      <c r="F31" s="1100">
        <v>0.68</v>
      </c>
      <c r="G31" s="1100"/>
      <c r="H31" s="1101">
        <v>0.59399999999999997</v>
      </c>
      <c r="I31" s="1101"/>
      <c r="J31" s="1102">
        <v>0.59399999999999997</v>
      </c>
      <c r="K31" s="1101"/>
      <c r="L31" s="944">
        <v>36991780</v>
      </c>
      <c r="M31" s="944">
        <v>2236143</v>
      </c>
      <c r="N31" s="944">
        <v>3984306</v>
      </c>
      <c r="O31" s="944">
        <v>1191009</v>
      </c>
      <c r="P31" s="944">
        <v>44403238</v>
      </c>
      <c r="R31" s="1099">
        <v>37049</v>
      </c>
      <c r="T31" s="1062">
        <f t="shared" si="0"/>
        <v>36.991779999999999</v>
      </c>
      <c r="U31" s="1062">
        <f t="shared" si="1"/>
        <v>2.2361430000000002</v>
      </c>
      <c r="V31" s="1062">
        <f t="shared" si="2"/>
        <v>3.9843060000000001</v>
      </c>
      <c r="W31" s="1062">
        <f t="shared" si="3"/>
        <v>1.191009</v>
      </c>
      <c r="X31" s="1062"/>
      <c r="Y31" s="1111">
        <f t="shared" si="4"/>
        <v>44.403238000000002</v>
      </c>
    </row>
    <row r="32" spans="1:25" ht="12" customHeight="1">
      <c r="A32" s="134">
        <v>2005</v>
      </c>
      <c r="B32" s="1068"/>
      <c r="C32" s="1100">
        <v>0.61299999999999999</v>
      </c>
      <c r="D32" s="1100">
        <v>0.626</v>
      </c>
      <c r="E32" s="1100">
        <v>0.60799999999999998</v>
      </c>
      <c r="F32" s="1100">
        <v>0.629</v>
      </c>
      <c r="G32" s="1100"/>
      <c r="H32" s="1101">
        <v>0.61399999999999999</v>
      </c>
      <c r="I32" s="1101"/>
      <c r="J32" s="1102">
        <v>0.61399999999999999</v>
      </c>
      <c r="K32" s="1101"/>
      <c r="L32" s="944">
        <v>37041396</v>
      </c>
      <c r="M32" s="944">
        <v>2224650</v>
      </c>
      <c r="N32" s="944">
        <v>3839900</v>
      </c>
      <c r="O32" s="944">
        <v>1139993</v>
      </c>
      <c r="P32" s="944">
        <v>44245939</v>
      </c>
      <c r="R32" s="1099">
        <v>38547</v>
      </c>
      <c r="T32" s="1062">
        <f t="shared" si="0"/>
        <v>37.041395999999999</v>
      </c>
      <c r="U32" s="1062">
        <f t="shared" si="1"/>
        <v>2.22465</v>
      </c>
      <c r="V32" s="1062">
        <f t="shared" si="2"/>
        <v>3.8399000000000001</v>
      </c>
      <c r="W32" s="1062">
        <f t="shared" si="3"/>
        <v>1.139993</v>
      </c>
      <c r="X32" s="1062"/>
      <c r="Y32" s="1111">
        <f t="shared" si="4"/>
        <v>44.245939</v>
      </c>
    </row>
    <row r="33" spans="1:25" ht="12" customHeight="1">
      <c r="A33" s="134">
        <v>2010</v>
      </c>
      <c r="B33" s="1068"/>
      <c r="C33" s="1100">
        <v>0.65500000000000003</v>
      </c>
      <c r="D33" s="1100">
        <v>0.64800000000000002</v>
      </c>
      <c r="E33" s="1100">
        <v>0.63800000000000001</v>
      </c>
      <c r="F33" s="1100">
        <v>0.57599999999999996</v>
      </c>
      <c r="G33" s="1100"/>
      <c r="H33" s="1101">
        <v>0.65100000000000002</v>
      </c>
      <c r="I33" s="1101"/>
      <c r="J33" s="1102">
        <v>0.65100000000000002</v>
      </c>
      <c r="L33" s="944">
        <v>38300110</v>
      </c>
      <c r="M33" s="944">
        <v>2265125</v>
      </c>
      <c r="N33" s="944">
        <v>3863042</v>
      </c>
      <c r="O33" s="944">
        <v>1169184</v>
      </c>
      <c r="P33" s="944">
        <v>45597461</v>
      </c>
      <c r="R33" s="1099">
        <v>40374</v>
      </c>
      <c r="T33" s="1062">
        <f t="shared" si="0"/>
        <v>38.300109999999997</v>
      </c>
      <c r="U33" s="1062">
        <f t="shared" si="1"/>
        <v>2.2651249999999998</v>
      </c>
      <c r="V33" s="1062">
        <f t="shared" si="2"/>
        <v>3.8630420000000001</v>
      </c>
      <c r="W33" s="1062">
        <f t="shared" si="3"/>
        <v>1.169184</v>
      </c>
      <c r="X33" s="1062"/>
      <c r="Y33" s="1111">
        <f t="shared" si="4"/>
        <v>45.597461000000003</v>
      </c>
    </row>
    <row r="34" spans="1:25" ht="12" customHeight="1">
      <c r="A34" s="134">
        <v>2015</v>
      </c>
      <c r="B34" s="1068"/>
      <c r="C34" s="1100">
        <v>0.66</v>
      </c>
      <c r="D34" s="1100">
        <v>0.65700000000000003</v>
      </c>
      <c r="E34" s="1100">
        <v>0.71</v>
      </c>
      <c r="F34" s="1100">
        <v>0.58099999999999996</v>
      </c>
      <c r="G34" s="1100"/>
      <c r="H34" s="1101">
        <v>0.66200000000000003</v>
      </c>
      <c r="I34" s="1101"/>
      <c r="J34" s="1102"/>
      <c r="L34" s="944">
        <v>38736146</v>
      </c>
      <c r="M34" s="944">
        <v>2281754</v>
      </c>
      <c r="N34" s="944">
        <v>4099532</v>
      </c>
      <c r="O34" s="944">
        <v>1236765</v>
      </c>
      <c r="P34" s="944">
        <v>46354197</v>
      </c>
      <c r="R34" s="1099">
        <v>42130</v>
      </c>
      <c r="T34" s="1062">
        <f t="shared" si="0"/>
        <v>38.736145999999998</v>
      </c>
      <c r="U34" s="1062">
        <f t="shared" si="1"/>
        <v>2.2817539999999998</v>
      </c>
      <c r="V34" s="1062">
        <f t="shared" si="2"/>
        <v>4.099532</v>
      </c>
      <c r="W34" s="1062">
        <f t="shared" si="3"/>
        <v>1.2367649999999999</v>
      </c>
      <c r="X34" s="1062"/>
      <c r="Y34" s="1111">
        <f>P34/1000000</f>
        <v>46.354196999999999</v>
      </c>
    </row>
    <row r="35" spans="1:25" ht="12" customHeight="1">
      <c r="A35" s="134">
        <v>2017</v>
      </c>
      <c r="B35" s="1068"/>
      <c r="C35" s="1100">
        <v>0.69099999999999995</v>
      </c>
      <c r="D35" s="1100">
        <v>0.68600000000000005</v>
      </c>
      <c r="E35" s="1100">
        <v>0.66400000000000003</v>
      </c>
      <c r="F35" s="1100">
        <v>0.65400000000000003</v>
      </c>
      <c r="G35" s="1100"/>
      <c r="H35" s="1101">
        <v>0.68799999999999994</v>
      </c>
      <c r="I35" s="1101"/>
      <c r="J35" s="1102"/>
      <c r="R35" s="1099"/>
      <c r="T35" s="1062"/>
      <c r="U35" s="1062"/>
      <c r="V35" s="1062"/>
      <c r="W35" s="1062"/>
      <c r="X35" s="1062"/>
      <c r="Y35" s="1111"/>
    </row>
    <row r="36" spans="1:25" ht="12" customHeight="1">
      <c r="A36" s="134">
        <v>2019</v>
      </c>
      <c r="B36" s="1068"/>
      <c r="C36" s="1100">
        <v>0.67500000000000004</v>
      </c>
      <c r="D36" s="1100">
        <v>0.66600000000000004</v>
      </c>
      <c r="E36" s="1100">
        <v>0.68100000000000005</v>
      </c>
      <c r="F36" s="1100">
        <v>0.61799999999999999</v>
      </c>
      <c r="G36" s="1100"/>
      <c r="H36" s="1101">
        <v>0.67300000000000004</v>
      </c>
      <c r="I36" s="1101"/>
      <c r="J36" s="1102"/>
      <c r="R36" s="1099"/>
      <c r="T36" s="1062"/>
      <c r="U36" s="1062"/>
      <c r="V36" s="1062"/>
      <c r="W36" s="1062"/>
      <c r="X36" s="1062"/>
      <c r="Y36" s="1111"/>
    </row>
    <row r="37" spans="1:25" ht="4" customHeight="1">
      <c r="A37" s="1126"/>
      <c r="B37" s="1023"/>
      <c r="C37" s="1127"/>
      <c r="D37" s="1127"/>
      <c r="E37" s="1127"/>
      <c r="F37" s="1127"/>
      <c r="G37" s="1127"/>
      <c r="H37" s="1128"/>
      <c r="I37" s="1101"/>
      <c r="R37" s="1099"/>
    </row>
    <row r="38" spans="1:25" ht="3" customHeight="1">
      <c r="A38" s="1104"/>
      <c r="C38" s="1100"/>
      <c r="D38" s="1100"/>
      <c r="E38" s="1100"/>
      <c r="F38" s="1100"/>
      <c r="G38" s="1100"/>
      <c r="H38" s="1101"/>
      <c r="I38" s="1101"/>
      <c r="J38" s="1101"/>
      <c r="K38" s="1101"/>
      <c r="R38" s="1099"/>
    </row>
    <row r="39" spans="1:25" s="1009" customFormat="1" ht="11">
      <c r="A39" s="1009" t="s">
        <v>1400</v>
      </c>
      <c r="C39" s="1105"/>
      <c r="D39" s="1105"/>
      <c r="E39" s="1105"/>
      <c r="F39" s="1105"/>
      <c r="G39" s="1105"/>
      <c r="H39" s="1106">
        <f>AVERAGE(H9:H36)</f>
        <v>0.72667857142857151</v>
      </c>
      <c r="I39" s="1106"/>
      <c r="J39" s="1106"/>
      <c r="K39" s="1106"/>
      <c r="R39" s="1067" t="s">
        <v>1392</v>
      </c>
      <c r="S39" s="1067"/>
    </row>
    <row r="40" spans="1:25" ht="3" customHeight="1">
      <c r="C40" s="1100"/>
      <c r="D40" s="1100"/>
      <c r="E40" s="1100"/>
      <c r="F40" s="1100"/>
      <c r="G40" s="1100"/>
      <c r="H40" s="1101"/>
      <c r="I40" s="1101"/>
      <c r="J40" s="1101"/>
      <c r="K40" s="1101"/>
    </row>
    <row r="41" spans="1:25" s="1009" customFormat="1" ht="11">
      <c r="A41" s="1009" t="s">
        <v>1114</v>
      </c>
      <c r="C41" s="1105"/>
      <c r="D41" s="1105"/>
      <c r="E41" s="1105"/>
      <c r="F41" s="1105"/>
      <c r="G41" s="1105"/>
      <c r="H41" s="1106"/>
      <c r="I41" s="1106"/>
      <c r="J41" s="1106"/>
      <c r="K41" s="1106"/>
      <c r="R41" s="1067" t="s">
        <v>1114</v>
      </c>
      <c r="S41" s="1067"/>
    </row>
    <row r="42" spans="1:25" s="1009" customFormat="1" ht="11">
      <c r="A42" s="1067" t="s">
        <v>2294</v>
      </c>
      <c r="C42" s="1105"/>
      <c r="D42" s="1105"/>
      <c r="E42" s="1105"/>
      <c r="F42" s="1105"/>
      <c r="G42" s="1105"/>
      <c r="H42" s="1106"/>
      <c r="I42" s="1106"/>
      <c r="J42" s="1106"/>
      <c r="K42" s="1106"/>
      <c r="R42" s="1067" t="s">
        <v>2303</v>
      </c>
      <c r="S42" s="1067"/>
    </row>
    <row r="43" spans="1:25" s="1009" customFormat="1" ht="11">
      <c r="A43" s="1009" t="s">
        <v>1520</v>
      </c>
      <c r="C43" s="1105"/>
      <c r="D43" s="1105"/>
      <c r="E43" s="1105"/>
      <c r="F43" s="1105"/>
      <c r="G43" s="1105"/>
      <c r="H43" s="1106"/>
      <c r="I43" s="1106"/>
      <c r="J43" s="1106"/>
      <c r="K43" s="1106"/>
      <c r="R43" s="1067" t="s">
        <v>2304</v>
      </c>
      <c r="S43" s="1067"/>
    </row>
    <row r="44" spans="1:25">
      <c r="A44" s="1115" t="s">
        <v>21</v>
      </c>
      <c r="B44" s="1116" t="s">
        <v>810</v>
      </c>
    </row>
    <row r="45" spans="1:25">
      <c r="A45" s="1115"/>
      <c r="B45" s="944" t="s">
        <v>250</v>
      </c>
    </row>
    <row r="46" spans="1:25">
      <c r="B46" s="1117" t="s">
        <v>265</v>
      </c>
    </row>
  </sheetData>
  <phoneticPr fontId="10" type="noConversion"/>
  <pageMargins left="0.75" right="0.75" top="1" bottom="1" header="0.5" footer="0.5"/>
  <pageSetup paperSize="9" orientation="portrait" r:id="rId1"/>
  <headerFooter alignWithMargins="0"/>
  <drawing r:id="rId2"/>
  <webPublishItems count="2">
    <webPublishItem id="20250" divId="RP11-XXX_Election Statistics UK 1918-2011_20250" sourceType="printArea" destinationFile="U:\election stats rp\Table 2.mht"/>
    <webPublishItem id="18181" divId="RP11-XXX_Election Statistics UK 1918-2011_18181" sourceType="range" sourceRef="A1:P46" destinationFile="U:\election stats rp\Table 2.mht"/>
  </webPublishItem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4"/>
  </sheetPr>
  <dimension ref="A1:P34"/>
  <sheetViews>
    <sheetView showGridLines="0" zoomScale="115" zoomScaleNormal="115" workbookViewId="0">
      <selection activeCell="A3" sqref="A3:L23"/>
    </sheetView>
  </sheetViews>
  <sheetFormatPr baseColWidth="10" defaultColWidth="9.3984375" defaultRowHeight="13"/>
  <cols>
    <col min="1" max="1" width="6" style="1068" customWidth="1"/>
    <col min="2" max="2" width="4.3984375" style="944" customWidth="1"/>
    <col min="3" max="3" width="8.3984375" style="944" customWidth="1"/>
    <col min="4" max="4" width="15.3984375" style="944" customWidth="1"/>
    <col min="5" max="5" width="15.59765625" style="944" customWidth="1"/>
    <col min="6" max="6" width="12.19921875" style="944" customWidth="1"/>
    <col min="7" max="7" width="10.19921875" style="947" customWidth="1"/>
    <col min="8" max="8" width="1.796875" style="944" customWidth="1"/>
    <col min="9" max="9" width="13.3984375" style="944" customWidth="1"/>
    <col min="10" max="10" width="1.59765625" style="944" customWidth="1"/>
    <col min="11" max="11" width="7.3984375" style="1117" customWidth="1"/>
    <col min="12" max="12" width="11.19921875" style="1117" customWidth="1"/>
    <col min="13" max="13" width="9.3984375" style="944"/>
    <col min="14" max="14" width="21.3984375" style="944" customWidth="1"/>
    <col min="15" max="15" width="9.3984375" style="944"/>
    <col min="16" max="16" width="15" style="944" customWidth="1"/>
    <col min="17" max="16384" width="9.3984375" style="944"/>
  </cols>
  <sheetData>
    <row r="1" spans="1:16">
      <c r="A1" s="1068" t="s">
        <v>124</v>
      </c>
    </row>
    <row r="2" spans="1:16" ht="9" customHeight="1"/>
    <row r="3" spans="1:16" ht="16">
      <c r="A3" s="1150" t="s">
        <v>2735</v>
      </c>
      <c r="B3" s="1147"/>
      <c r="C3" s="1147"/>
      <c r="D3" s="1147"/>
      <c r="E3" s="1147"/>
      <c r="F3" s="1147"/>
      <c r="G3" s="1147"/>
      <c r="H3" s="1147"/>
      <c r="I3" s="1147"/>
      <c r="J3" s="1147"/>
      <c r="K3" s="1149"/>
      <c r="L3" s="1149"/>
    </row>
    <row r="4" spans="1:16" ht="14" thickBot="1">
      <c r="A4" s="1042"/>
      <c r="B4" s="1023"/>
      <c r="C4" s="3405" t="s">
        <v>1482</v>
      </c>
      <c r="D4" s="3405"/>
      <c r="E4" s="3405"/>
      <c r="F4" s="3405"/>
      <c r="G4" s="3405"/>
      <c r="H4" s="1023"/>
      <c r="I4" s="1023"/>
      <c r="J4" s="1023"/>
      <c r="K4" s="1145"/>
      <c r="L4" s="1145"/>
    </row>
    <row r="5" spans="1:16" ht="60" customHeight="1">
      <c r="A5" s="3408" t="s">
        <v>2305</v>
      </c>
      <c r="B5" s="3408"/>
      <c r="C5" s="1120" t="s">
        <v>122</v>
      </c>
      <c r="D5" s="3390" t="s">
        <v>1177</v>
      </c>
      <c r="E5" s="1120" t="s">
        <v>121</v>
      </c>
      <c r="F5" s="1120" t="s">
        <v>120</v>
      </c>
      <c r="G5" s="1121" t="s">
        <v>16</v>
      </c>
      <c r="H5" s="1120"/>
      <c r="I5" s="3390" t="s">
        <v>2905</v>
      </c>
      <c r="J5" s="1120"/>
      <c r="K5" s="3407" t="s">
        <v>1178</v>
      </c>
      <c r="L5" s="3407"/>
      <c r="P5" s="1095"/>
    </row>
    <row r="6" spans="1:16" ht="3" customHeight="1">
      <c r="A6" s="1133"/>
      <c r="B6" s="1134"/>
      <c r="C6" s="1095"/>
      <c r="D6" s="1095"/>
      <c r="E6" s="1095"/>
      <c r="F6" s="1095"/>
      <c r="G6" s="1096"/>
      <c r="H6" s="1095"/>
      <c r="I6" s="1095"/>
      <c r="J6" s="1095"/>
      <c r="K6" s="1129">
        <v>9.9000000000000008E-3</v>
      </c>
      <c r="L6" s="1129">
        <v>9.9000000000000008E-3</v>
      </c>
      <c r="N6" s="1136"/>
      <c r="P6" s="1137"/>
    </row>
    <row r="7" spans="1:16" ht="12" customHeight="1">
      <c r="A7" s="1103">
        <v>1964</v>
      </c>
      <c r="B7" s="997"/>
      <c r="C7" s="1131">
        <v>2826</v>
      </c>
      <c r="D7" s="1131">
        <v>15486</v>
      </c>
      <c r="E7" s="1131">
        <v>6787</v>
      </c>
      <c r="F7" s="1131">
        <v>15974</v>
      </c>
      <c r="G7" s="1138">
        <v>41073</v>
      </c>
      <c r="H7" s="1131"/>
      <c r="I7" s="1131">
        <v>65.195238095238096</v>
      </c>
      <c r="J7" s="1131"/>
      <c r="K7" s="1139">
        <f t="shared" ref="K7:K20" si="0">L7</f>
        <v>1.4828750193017811E-3</v>
      </c>
      <c r="L7" s="1139">
        <f>+G7/('1 GE-UK'!H19*1000000+'3 Spoilt ballots '!G7)</f>
        <v>1.4828750193017811E-3</v>
      </c>
      <c r="N7" s="1140"/>
      <c r="P7" s="1050"/>
    </row>
    <row r="8" spans="1:16" ht="12" customHeight="1">
      <c r="A8" s="1103">
        <v>1966</v>
      </c>
      <c r="B8" s="997"/>
      <c r="C8" s="1131">
        <v>2061</v>
      </c>
      <c r="D8" s="1131">
        <v>11519</v>
      </c>
      <c r="E8" s="1131">
        <v>8525</v>
      </c>
      <c r="F8" s="1131">
        <v>27794</v>
      </c>
      <c r="G8" s="1138">
        <v>49899</v>
      </c>
      <c r="H8" s="1131"/>
      <c r="I8" s="1131">
        <v>79.204761904761909</v>
      </c>
      <c r="J8" s="1131"/>
      <c r="K8" s="1139">
        <f t="shared" si="0"/>
        <v>1.8268221378377008E-3</v>
      </c>
      <c r="L8" s="1139">
        <f>+G8/('1 GE-UK'!H20*1000000+'3 Spoilt ballots '!G8)</f>
        <v>1.8268221378377008E-3</v>
      </c>
      <c r="N8" s="1140"/>
      <c r="P8" s="1050"/>
    </row>
    <row r="9" spans="1:16" ht="12" customHeight="1">
      <c r="A9" s="1103">
        <v>1970</v>
      </c>
      <c r="B9" s="997"/>
      <c r="C9" s="1131">
        <v>2118</v>
      </c>
      <c r="D9" s="1131">
        <v>14144</v>
      </c>
      <c r="E9" s="1131">
        <v>7541</v>
      </c>
      <c r="F9" s="1131">
        <v>17544</v>
      </c>
      <c r="G9" s="1138">
        <v>41347</v>
      </c>
      <c r="H9" s="1131"/>
      <c r="I9" s="1131">
        <v>65.630158730158726</v>
      </c>
      <c r="J9" s="1131"/>
      <c r="K9" s="1139">
        <f t="shared" si="0"/>
        <v>1.4565908826295363E-3</v>
      </c>
      <c r="L9" s="1139">
        <f>+G9/('1 GE-UK'!H21*1000000+'3 Spoilt ballots '!G9)</f>
        <v>1.4565908826295363E-3</v>
      </c>
      <c r="N9" s="1140"/>
      <c r="P9" s="1050"/>
    </row>
    <row r="10" spans="1:16" ht="12" customHeight="1">
      <c r="A10" s="1103">
        <v>1974</v>
      </c>
      <c r="B10" s="997" t="s">
        <v>50</v>
      </c>
      <c r="C10" s="1131">
        <v>3176</v>
      </c>
      <c r="D10" s="1131">
        <v>12214</v>
      </c>
      <c r="E10" s="1131">
        <v>7320</v>
      </c>
      <c r="F10" s="1131">
        <v>19542</v>
      </c>
      <c r="G10" s="1138">
        <v>42252</v>
      </c>
      <c r="H10" s="1131"/>
      <c r="I10" s="1131">
        <v>66.538582677165351</v>
      </c>
      <c r="J10" s="1131"/>
      <c r="K10" s="1139">
        <f t="shared" si="0"/>
        <v>1.346359142416514E-3</v>
      </c>
      <c r="L10" s="1139">
        <f>+G10/('1 GE-UK'!H22*1000000+'3 Spoilt ballots '!G10)</f>
        <v>1.346359142416514E-3</v>
      </c>
      <c r="N10" s="1140"/>
      <c r="P10" s="1050"/>
    </row>
    <row r="11" spans="1:16" ht="12" customHeight="1">
      <c r="A11" s="1103">
        <v>1974</v>
      </c>
      <c r="B11" s="997" t="s">
        <v>51</v>
      </c>
      <c r="C11" s="1131">
        <v>2938</v>
      </c>
      <c r="D11" s="1131">
        <v>13492</v>
      </c>
      <c r="E11" s="1131">
        <v>6009</v>
      </c>
      <c r="F11" s="1131">
        <v>15267</v>
      </c>
      <c r="G11" s="1138">
        <v>37706</v>
      </c>
      <c r="H11" s="1131"/>
      <c r="I11" s="1131">
        <v>59.37952755905512</v>
      </c>
      <c r="J11" s="1131"/>
      <c r="K11" s="1139">
        <f t="shared" si="0"/>
        <v>1.2901168481952016E-3</v>
      </c>
      <c r="L11" s="1139">
        <f>+G11/('1 GE-UK'!H23*1000000+'3 Spoilt ballots '!G11)</f>
        <v>1.2901168481952016E-3</v>
      </c>
      <c r="N11" s="1140"/>
      <c r="P11" s="1050"/>
    </row>
    <row r="12" spans="1:16" ht="12" customHeight="1">
      <c r="A12" s="1103">
        <v>1979</v>
      </c>
      <c r="B12" s="997"/>
      <c r="C12" s="1131">
        <v>3282</v>
      </c>
      <c r="D12" s="1131">
        <v>72515</v>
      </c>
      <c r="E12" s="1131">
        <v>5801</v>
      </c>
      <c r="F12" s="1131">
        <v>36250</v>
      </c>
      <c r="G12" s="1138">
        <v>117848</v>
      </c>
      <c r="H12" s="1131"/>
      <c r="I12" s="1131">
        <v>185.58740157480315</v>
      </c>
      <c r="J12" s="1131"/>
      <c r="K12" s="1139">
        <f t="shared" si="0"/>
        <v>3.7604011077496846E-3</v>
      </c>
      <c r="L12" s="1139">
        <f>+G12/('1 GE-UK'!H24*1000000+'3 Spoilt ballots '!G12)</f>
        <v>3.7604011077496846E-3</v>
      </c>
      <c r="N12" s="1140"/>
      <c r="P12" s="1050"/>
    </row>
    <row r="13" spans="1:16" ht="12" customHeight="1">
      <c r="A13" s="1103">
        <v>1983</v>
      </c>
      <c r="B13" s="997"/>
      <c r="C13" s="1131">
        <v>2819</v>
      </c>
      <c r="D13" s="1131">
        <v>27938</v>
      </c>
      <c r="E13" s="1131">
        <v>4693</v>
      </c>
      <c r="F13" s="1131">
        <v>15654</v>
      </c>
      <c r="G13" s="1138">
        <v>51104</v>
      </c>
      <c r="H13" s="1131"/>
      <c r="I13" s="1131">
        <v>78.621538461538464</v>
      </c>
      <c r="J13" s="1131"/>
      <c r="K13" s="1139">
        <f t="shared" si="0"/>
        <v>1.6634203214537637E-3</v>
      </c>
      <c r="L13" s="1139">
        <f>+G13/('1 GE-UK'!H25*1000000+'3 Spoilt ballots '!G13)</f>
        <v>1.6634203214537637E-3</v>
      </c>
      <c r="N13" s="1140"/>
      <c r="P13" s="1050"/>
    </row>
    <row r="14" spans="1:16" ht="12" customHeight="1">
      <c r="A14" s="1103">
        <v>1987</v>
      </c>
      <c r="B14" s="997"/>
      <c r="C14" s="1131">
        <v>2408</v>
      </c>
      <c r="D14" s="1131">
        <v>14216</v>
      </c>
      <c r="E14" s="1131">
        <v>4976</v>
      </c>
      <c r="F14" s="1131">
        <v>15345</v>
      </c>
      <c r="G14" s="1138">
        <v>36945</v>
      </c>
      <c r="H14" s="1131"/>
      <c r="I14" s="1131">
        <v>56.838461538461537</v>
      </c>
      <c r="J14" s="1131"/>
      <c r="K14" s="1139">
        <f t="shared" si="0"/>
        <v>1.1344471744803705E-3</v>
      </c>
      <c r="L14" s="1139">
        <f>+G14/('1 GE-UK'!H26*1000000+'3 Spoilt ballots '!G14)</f>
        <v>1.1344471744803705E-3</v>
      </c>
      <c r="N14" s="1140"/>
      <c r="P14" s="1050"/>
    </row>
    <row r="15" spans="1:16" ht="12" customHeight="1">
      <c r="A15" s="1103">
        <v>1992</v>
      </c>
      <c r="B15" s="997"/>
      <c r="C15" s="1131">
        <v>2593</v>
      </c>
      <c r="D15" s="1131">
        <v>14538</v>
      </c>
      <c r="E15" s="1131">
        <v>5008</v>
      </c>
      <c r="F15" s="1131">
        <v>17587</v>
      </c>
      <c r="G15" s="1138">
        <v>39726</v>
      </c>
      <c r="H15" s="1131"/>
      <c r="I15" s="1131">
        <v>61.023041474654377</v>
      </c>
      <c r="J15" s="1131"/>
      <c r="K15" s="1139">
        <f t="shared" si="0"/>
        <v>1.1804313331629712E-3</v>
      </c>
      <c r="L15" s="1139">
        <f>+G15/('1 GE-UK'!H27*1000000+'3 Spoilt ballots '!G15)</f>
        <v>1.1804313331629712E-3</v>
      </c>
      <c r="N15" s="1140"/>
      <c r="P15" s="1050"/>
    </row>
    <row r="16" spans="1:16" ht="12" customHeight="1">
      <c r="A16" s="1103">
        <v>1997</v>
      </c>
      <c r="B16" s="997"/>
      <c r="C16" s="1131">
        <v>2169</v>
      </c>
      <c r="D16" s="1131">
        <v>25234</v>
      </c>
      <c r="E16" s="1131">
        <v>4421</v>
      </c>
      <c r="F16" s="1131">
        <v>61415</v>
      </c>
      <c r="G16" s="1138">
        <v>93408</v>
      </c>
      <c r="H16" s="1131"/>
      <c r="I16" s="1131">
        <v>141.74203338391501</v>
      </c>
      <c r="J16" s="1131"/>
      <c r="K16" s="1139">
        <f t="shared" si="0"/>
        <v>2.9767022569883732E-3</v>
      </c>
      <c r="L16" s="1139">
        <f>+G16/('1 GE-UK'!H28*1000000+'3 Spoilt ballots '!G16)</f>
        <v>2.9767022569883732E-3</v>
      </c>
      <c r="N16" s="1140"/>
      <c r="P16" s="1050"/>
    </row>
    <row r="17" spans="1:16" ht="12" customHeight="1">
      <c r="A17" s="1103">
        <v>2001</v>
      </c>
      <c r="B17" s="997"/>
      <c r="C17" s="1131">
        <v>2548</v>
      </c>
      <c r="D17" s="1131">
        <v>22590</v>
      </c>
      <c r="E17" s="1131">
        <v>3760</v>
      </c>
      <c r="F17" s="1131">
        <v>69910</v>
      </c>
      <c r="G17" s="1138">
        <v>100005</v>
      </c>
      <c r="H17" s="1131"/>
      <c r="I17" s="1131">
        <v>151.752655538695</v>
      </c>
      <c r="J17" s="1131"/>
      <c r="K17" s="1139">
        <f t="shared" si="0"/>
        <v>3.7784234696676528E-3</v>
      </c>
      <c r="L17" s="1139">
        <f>+G17/('1 GE-UK'!H29*1000000+'3 Spoilt ballots '!G17)</f>
        <v>3.7784234696676528E-3</v>
      </c>
      <c r="N17" s="1140"/>
      <c r="P17" s="1050"/>
    </row>
    <row r="18" spans="1:16" ht="12" customHeight="1">
      <c r="A18" s="1103">
        <v>2005</v>
      </c>
      <c r="B18" s="997"/>
      <c r="C18" s="1131">
        <v>2971</v>
      </c>
      <c r="D18" s="1131">
        <v>20595</v>
      </c>
      <c r="E18" s="1131">
        <v>4439</v>
      </c>
      <c r="F18" s="1131">
        <v>54377</v>
      </c>
      <c r="G18" s="1138">
        <v>85038</v>
      </c>
      <c r="H18" s="1131"/>
      <c r="I18" s="1131">
        <v>131.63777089783281</v>
      </c>
      <c r="J18" s="1131"/>
      <c r="K18" s="1139">
        <f t="shared" si="0"/>
        <v>3.122545765979519E-3</v>
      </c>
      <c r="L18" s="1139">
        <f>+G18/('1 GE-UK'!H30*1000000+'3 Spoilt ballots '!G18)</f>
        <v>3.122545765979519E-3</v>
      </c>
      <c r="N18" s="1140"/>
      <c r="P18" s="1050"/>
    </row>
    <row r="19" spans="1:16" ht="12" customHeight="1">
      <c r="A19" s="1103">
        <v>2010</v>
      </c>
      <c r="B19" s="997"/>
      <c r="C19" s="1131">
        <v>640</v>
      </c>
      <c r="D19" s="1131">
        <v>21996</v>
      </c>
      <c r="E19" s="1131">
        <v>2522</v>
      </c>
      <c r="F19" s="1131">
        <v>50964</v>
      </c>
      <c r="G19" s="1138">
        <v>81879</v>
      </c>
      <c r="H19" s="1131"/>
      <c r="I19" s="1131">
        <v>117.11076923076924</v>
      </c>
      <c r="J19" s="1131"/>
      <c r="K19" s="1139">
        <f t="shared" si="0"/>
        <v>2.7504340602757527E-3</v>
      </c>
      <c r="L19" s="1139">
        <f>+G19/('1 GE-UK'!H31*1000000+'3 Spoilt ballots '!G19)</f>
        <v>2.7504340602757527E-3</v>
      </c>
      <c r="N19" s="1140"/>
      <c r="P19" s="1050"/>
    </row>
    <row r="20" spans="1:16" ht="12" customHeight="1">
      <c r="A20" s="1103">
        <v>2015</v>
      </c>
      <c r="B20" s="997"/>
      <c r="C20" s="1131">
        <v>1355</v>
      </c>
      <c r="D20" s="1131">
        <v>26406</v>
      </c>
      <c r="E20" s="1131">
        <v>2453</v>
      </c>
      <c r="F20" s="1131">
        <v>69462</v>
      </c>
      <c r="G20" s="1138">
        <v>102639</v>
      </c>
      <c r="H20" s="1131"/>
      <c r="I20" s="1131">
        <v>157.90615384615401</v>
      </c>
      <c r="J20" s="1131"/>
      <c r="K20" s="1139">
        <f t="shared" si="0"/>
        <v>3.3324200257667668E-3</v>
      </c>
      <c r="L20" s="1139">
        <v>3.3324200257667668E-3</v>
      </c>
      <c r="N20" s="1141" t="s">
        <v>1865</v>
      </c>
      <c r="O20" s="1043"/>
      <c r="P20" s="1142" t="s">
        <v>267</v>
      </c>
    </row>
    <row r="21" spans="1:16" ht="12" customHeight="1">
      <c r="A21" s="1103">
        <v>2017</v>
      </c>
      <c r="B21" s="997"/>
      <c r="C21" s="1131">
        <v>594</v>
      </c>
      <c r="D21" s="1131">
        <v>18533</v>
      </c>
      <c r="E21" s="1131">
        <v>1401</v>
      </c>
      <c r="F21" s="1131">
        <v>53431</v>
      </c>
      <c r="G21" s="1138">
        <v>74289</v>
      </c>
      <c r="H21" s="1131"/>
      <c r="I21" s="1131">
        <f>G21/650</f>
        <v>114.29076923076923</v>
      </c>
      <c r="J21" s="1131"/>
      <c r="K21" s="1139">
        <f>L21</f>
        <v>2.3E-3</v>
      </c>
      <c r="L21" s="1139">
        <v>2.3E-3</v>
      </c>
      <c r="M21" s="1143">
        <f>N21/P21</f>
        <v>2.2782093475983943E-3</v>
      </c>
      <c r="N21" s="1144">
        <f>SUM(C21:F21)</f>
        <v>73959</v>
      </c>
      <c r="O21" s="1043"/>
      <c r="P21" s="1142">
        <v>32463654</v>
      </c>
    </row>
    <row r="22" spans="1:16" ht="12" customHeight="1">
      <c r="A22" s="1103">
        <v>2019</v>
      </c>
      <c r="B22" s="997"/>
      <c r="C22" s="1131">
        <v>574</v>
      </c>
      <c r="D22" s="1131">
        <v>20983</v>
      </c>
      <c r="E22" s="1131">
        <v>1585</v>
      </c>
      <c r="F22" s="1131">
        <v>93959</v>
      </c>
      <c r="G22" s="1138">
        <v>117101</v>
      </c>
      <c r="H22" s="1131"/>
      <c r="I22" s="1532">
        <v>180</v>
      </c>
      <c r="J22" s="1131"/>
      <c r="K22" s="1139">
        <v>3.6099999999999999E-3</v>
      </c>
      <c r="L22" s="1139">
        <v>3.6833446252293131E-3</v>
      </c>
      <c r="M22" s="1143"/>
      <c r="N22" s="1144"/>
      <c r="O22" s="1043"/>
      <c r="P22" s="1142"/>
    </row>
    <row r="23" spans="1:16" ht="3" customHeight="1">
      <c r="A23" s="1042"/>
      <c r="B23" s="1023"/>
      <c r="C23" s="1023"/>
      <c r="D23" s="1023"/>
      <c r="E23" s="1023"/>
      <c r="F23" s="1023"/>
      <c r="G23" s="1038"/>
      <c r="H23" s="1023"/>
      <c r="I23" s="1023"/>
      <c r="J23" s="1023"/>
      <c r="K23" s="1145"/>
      <c r="L23" s="1145"/>
    </row>
    <row r="24" spans="1:16" ht="2.25" customHeight="1"/>
    <row r="25" spans="1:16" ht="27" customHeight="1">
      <c r="A25" s="3406" t="s">
        <v>1281</v>
      </c>
      <c r="B25" s="3403"/>
      <c r="C25" s="3403"/>
      <c r="D25" s="3403"/>
      <c r="E25" s="3403"/>
      <c r="F25" s="3403"/>
      <c r="G25" s="3403"/>
      <c r="H25" s="3403"/>
      <c r="I25" s="3403"/>
      <c r="J25" s="3403"/>
      <c r="K25" s="3403"/>
      <c r="L25" s="3403"/>
      <c r="M25" s="1143"/>
    </row>
    <row r="26" spans="1:16" ht="2.25" customHeight="1"/>
    <row r="27" spans="1:16">
      <c r="A27" s="1068" t="s">
        <v>1114</v>
      </c>
      <c r="B27" s="1116"/>
      <c r="I27" s="944">
        <f>G22-G12</f>
        <v>-747</v>
      </c>
    </row>
    <row r="28" spans="1:16">
      <c r="A28" s="1068" t="s">
        <v>2298</v>
      </c>
    </row>
    <row r="29" spans="1:16">
      <c r="A29" s="1068" t="s">
        <v>1174</v>
      </c>
    </row>
    <row r="30" spans="1:16">
      <c r="A30" s="3030" t="s">
        <v>2697</v>
      </c>
    </row>
    <row r="31" spans="1:16" ht="14">
      <c r="B31" s="2584" t="s">
        <v>2699</v>
      </c>
      <c r="C31" s="650" t="s">
        <v>2698</v>
      </c>
    </row>
    <row r="32" spans="1:16">
      <c r="A32" s="3030" t="s">
        <v>2883</v>
      </c>
    </row>
    <row r="34" spans="1:2">
      <c r="A34" s="1068" t="s">
        <v>854</v>
      </c>
      <c r="B34" s="944" t="s">
        <v>855</v>
      </c>
    </row>
  </sheetData>
  <mergeCells count="4">
    <mergeCell ref="C4:G4"/>
    <mergeCell ref="A25:L25"/>
    <mergeCell ref="K5:L5"/>
    <mergeCell ref="A5:B5"/>
  </mergeCells>
  <conditionalFormatting sqref="L6:L22">
    <cfRule type="dataBar" priority="3">
      <dataBar showValue="0">
        <cfvo type="min"/>
        <cfvo type="max"/>
        <color theme="4"/>
      </dataBar>
      <extLst>
        <ext xmlns:x14="http://schemas.microsoft.com/office/spreadsheetml/2009/9/main" uri="{B025F937-C7B1-47D3-B67F-A62EFF666E3E}">
          <x14:id>{32A68FBD-8942-4B9A-A3EE-B21303E9CAA9}</x14:id>
        </ext>
      </extLst>
    </cfRule>
  </conditionalFormatting>
  <conditionalFormatting sqref="N6:N22">
    <cfRule type="dataBar" priority="2">
      <dataBar>
        <cfvo type="min"/>
        <cfvo type="max"/>
        <color rgb="FF638EC6"/>
      </dataBar>
      <extLst>
        <ext xmlns:x14="http://schemas.microsoft.com/office/spreadsheetml/2009/9/main" uri="{B025F937-C7B1-47D3-B67F-A62EFF666E3E}">
          <x14:id>{DD4D593A-0E24-41C7-AA51-FF67F95EEDA0}</x14:id>
        </ext>
      </extLst>
    </cfRule>
  </conditionalFormatting>
  <conditionalFormatting sqref="K6">
    <cfRule type="dataBar" priority="1">
      <dataBar>
        <cfvo type="min"/>
        <cfvo type="max"/>
        <color theme="4"/>
      </dataBar>
      <extLst>
        <ext xmlns:x14="http://schemas.microsoft.com/office/spreadsheetml/2009/9/main" uri="{B025F937-C7B1-47D3-B67F-A62EFF666E3E}">
          <x14:id>{4BD623C2-487B-41A4-9D7C-C36BC2C85749}</x14:id>
        </ext>
      </extLst>
    </cfRule>
  </conditionalFormatting>
  <hyperlinks>
    <hyperlink ref="C31" r:id="rId1" xr:uid="{1EA14A8B-1A6D-4E16-B86C-0B19B8F59CF1}"/>
  </hyperlinks>
  <pageMargins left="0.75" right="0.75" top="1" bottom="1" header="0.5" footer="0.5"/>
  <pageSetup paperSize="9" orientation="portrait"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32A68FBD-8942-4B9A-A3EE-B21303E9CAA9}">
            <x14:dataBar minLength="0" maxLength="100" gradient="0" negativeBarColorSameAsPositive="1" axisPosition="none">
              <x14:cfvo type="min"/>
              <x14:cfvo type="max"/>
            </x14:dataBar>
          </x14:cfRule>
          <xm:sqref>L6:L22</xm:sqref>
        </x14:conditionalFormatting>
        <x14:conditionalFormatting xmlns:xm="http://schemas.microsoft.com/office/excel/2006/main">
          <x14:cfRule type="dataBar" id="{DD4D593A-0E24-41C7-AA51-FF67F95EEDA0}">
            <x14:dataBar minLength="0" maxLength="100" negativeBarColorSameAsPositive="1" axisPosition="none">
              <x14:cfvo type="min"/>
              <x14:cfvo type="max"/>
            </x14:dataBar>
          </x14:cfRule>
          <xm:sqref>N6:N22</xm:sqref>
        </x14:conditionalFormatting>
        <x14:conditionalFormatting xmlns:xm="http://schemas.microsoft.com/office/excel/2006/main">
          <x14:cfRule type="dataBar" id="{4BD623C2-487B-41A4-9D7C-C36BC2C85749}">
            <x14:dataBar minLength="0" maxLength="100" gradient="0" negativeBarColorSameAsPositive="1" axisPosition="none">
              <x14:cfvo type="min"/>
              <x14:cfvo type="max"/>
            </x14:dataBar>
          </x14:cfRule>
          <xm:sqref>K6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3"/>
  <dimension ref="A1:C3"/>
  <sheetViews>
    <sheetView workbookViewId="0"/>
  </sheetViews>
  <sheetFormatPr baseColWidth="10" defaultColWidth="9" defaultRowHeight="13"/>
  <sheetData>
    <row r="1" spans="1:3">
      <c r="A1" t="s">
        <v>2134</v>
      </c>
    </row>
    <row r="2" spans="1:3" ht="409.6">
      <c r="B2" t="s">
        <v>2135</v>
      </c>
      <c r="C2" s="843" t="s">
        <v>2136</v>
      </c>
    </row>
    <row r="3" spans="1:3">
      <c r="B3" t="s">
        <v>2137</v>
      </c>
      <c r="C3" t="s">
        <v>2140</v>
      </c>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4"/>
  </sheetPr>
  <dimension ref="A1:O34"/>
  <sheetViews>
    <sheetView showGridLines="0" zoomScaleNormal="100" workbookViewId="0">
      <selection activeCell="L34" sqref="L34"/>
    </sheetView>
  </sheetViews>
  <sheetFormatPr baseColWidth="10" defaultColWidth="9.3984375" defaultRowHeight="13"/>
  <cols>
    <col min="1" max="1" width="5.3984375" style="944" customWidth="1"/>
    <col min="2" max="2" width="4.3984375" style="944" customWidth="1"/>
    <col min="3" max="3" width="15.19921875" style="944" customWidth="1"/>
    <col min="4" max="4" width="16.796875" style="944" customWidth="1"/>
    <col min="5" max="5" width="11.59765625" style="944" customWidth="1"/>
    <col min="6" max="6" width="16.59765625" style="1117" customWidth="1"/>
    <col min="7" max="7" width="1.796875" style="944" customWidth="1"/>
    <col min="8" max="8" width="13.3984375" style="1117" customWidth="1"/>
    <col min="9" max="9" width="15.3984375" style="944" customWidth="1"/>
    <col min="10" max="10" width="14.796875" style="944" customWidth="1"/>
    <col min="11" max="16384" width="9.3984375" style="944"/>
  </cols>
  <sheetData>
    <row r="1" spans="1:15">
      <c r="A1" s="944" t="s">
        <v>125</v>
      </c>
      <c r="B1" s="947"/>
      <c r="C1" s="947"/>
      <c r="D1" s="947"/>
      <c r="E1" s="947"/>
      <c r="F1" s="1151"/>
      <c r="G1" s="947"/>
      <c r="J1" s="947"/>
    </row>
    <row r="2" spans="1:15">
      <c r="A2" s="947"/>
      <c r="B2" s="947"/>
      <c r="C2" s="947"/>
      <c r="E2" s="947"/>
      <c r="F2" s="1151"/>
      <c r="G2" s="947"/>
      <c r="J2" s="947"/>
    </row>
    <row r="3" spans="1:15" ht="14">
      <c r="A3" s="880" t="s">
        <v>2881</v>
      </c>
      <c r="B3" s="947"/>
      <c r="C3" s="947"/>
      <c r="D3" s="947"/>
      <c r="E3" s="947"/>
      <c r="F3" s="1151"/>
      <c r="G3" s="947"/>
      <c r="J3" s="947"/>
    </row>
    <row r="4" spans="1:15" ht="16.5" customHeight="1">
      <c r="A4" s="1159" t="s">
        <v>2881</v>
      </c>
      <c r="B4" s="1147"/>
      <c r="C4" s="1147"/>
      <c r="D4" s="1147"/>
      <c r="E4" s="1147"/>
      <c r="F4" s="1149"/>
      <c r="G4" s="1147"/>
      <c r="H4" s="1148"/>
      <c r="J4" s="947"/>
    </row>
    <row r="5" spans="1:15" ht="12.75" customHeight="1" thickBot="1">
      <c r="A5" s="1038"/>
      <c r="B5" s="1038"/>
      <c r="C5" s="3411" t="s">
        <v>129</v>
      </c>
      <c r="D5" s="3411" t="s">
        <v>1280</v>
      </c>
      <c r="E5" s="3409" t="s">
        <v>2142</v>
      </c>
      <c r="F5" s="3409"/>
      <c r="G5" s="1038"/>
      <c r="H5" s="3410" t="s">
        <v>1278</v>
      </c>
      <c r="J5" s="947"/>
    </row>
    <row r="6" spans="1:15" ht="42">
      <c r="A6" s="1038" t="s">
        <v>221</v>
      </c>
      <c r="B6" s="1023"/>
      <c r="C6" s="3411"/>
      <c r="D6" s="3411"/>
      <c r="E6" s="1120" t="s">
        <v>2141</v>
      </c>
      <c r="F6" s="1146" t="s">
        <v>1279</v>
      </c>
      <c r="G6" s="1120"/>
      <c r="H6" s="3410"/>
      <c r="I6" s="1095"/>
      <c r="J6" s="1095"/>
    </row>
    <row r="7" spans="1:15" ht="3" customHeight="1">
      <c r="A7" s="947"/>
      <c r="C7" s="1095"/>
      <c r="D7" s="1095"/>
      <c r="E7" s="1095"/>
      <c r="F7" s="1135"/>
      <c r="G7" s="1095"/>
      <c r="H7" s="1135"/>
      <c r="I7" s="1095"/>
      <c r="J7" s="1095"/>
    </row>
    <row r="8" spans="1:15" ht="12" customHeight="1">
      <c r="A8" s="134">
        <v>1945</v>
      </c>
      <c r="C8" s="1131">
        <v>1219519</v>
      </c>
      <c r="D8" s="1131">
        <v>1032688</v>
      </c>
      <c r="E8" s="1131">
        <v>1018329</v>
      </c>
      <c r="F8" s="1152">
        <f>E8/C8</f>
        <v>0.83502512055982725</v>
      </c>
      <c r="G8" s="1153"/>
      <c r="H8" s="1154">
        <f>+E8/('1 GE-UK'!H14*1000000+'4 Postal ballots'!E8)</f>
        <v>3.8996230458975968E-2</v>
      </c>
      <c r="I8" s="1063"/>
      <c r="J8" s="1131"/>
      <c r="L8" s="1062"/>
      <c r="M8" s="1153"/>
      <c r="N8" s="1136"/>
      <c r="O8" s="1153"/>
    </row>
    <row r="9" spans="1:15" ht="12" customHeight="1">
      <c r="A9" s="134">
        <v>1950</v>
      </c>
      <c r="C9" s="1131">
        <v>507717</v>
      </c>
      <c r="D9" s="1131">
        <v>478038</v>
      </c>
      <c r="E9" s="1131">
        <v>466347</v>
      </c>
      <c r="F9" s="1152">
        <f t="shared" ref="F9:F25" si="0">E9/C9</f>
        <v>0.91851759937130328</v>
      </c>
      <c r="G9" s="1153"/>
      <c r="H9" s="1154">
        <f>+E9/('1 GE-UK'!H15*1000000+'4 Postal ballots'!E9)</f>
        <v>1.595031936927787E-2</v>
      </c>
      <c r="I9" s="1063"/>
      <c r="J9" s="1131"/>
      <c r="L9" s="1062"/>
      <c r="M9" s="1153"/>
      <c r="N9" s="1136"/>
      <c r="O9" s="1153"/>
    </row>
    <row r="10" spans="1:15" ht="12" customHeight="1">
      <c r="A10" s="134">
        <v>1951</v>
      </c>
      <c r="C10" s="1131">
        <v>831877</v>
      </c>
      <c r="D10" s="1131">
        <v>756967</v>
      </c>
      <c r="E10" s="1131">
        <v>742574</v>
      </c>
      <c r="F10" s="1152">
        <f t="shared" si="0"/>
        <v>0.89264879303070044</v>
      </c>
      <c r="G10" s="1153"/>
      <c r="H10" s="1154">
        <f>+E10/('1 GE-UK'!H16*1000000+'4 Postal ballots'!E10)</f>
        <v>2.5309988340500997E-2</v>
      </c>
      <c r="I10" s="1063"/>
      <c r="J10" s="1131"/>
      <c r="L10" s="1062"/>
      <c r="M10" s="1153"/>
      <c r="N10" s="1136"/>
      <c r="O10" s="1153"/>
    </row>
    <row r="11" spans="1:15" ht="12" customHeight="1">
      <c r="A11" s="134">
        <v>1955</v>
      </c>
      <c r="C11" s="1131">
        <v>595000</v>
      </c>
      <c r="D11" s="1131">
        <v>526904</v>
      </c>
      <c r="E11" s="1131">
        <v>515593</v>
      </c>
      <c r="F11" s="1152">
        <f t="shared" si="0"/>
        <v>0.86654285714285717</v>
      </c>
      <c r="G11" s="1153"/>
      <c r="H11" s="1154">
        <f>+E11/('1 GE-UK'!H17*1000000+'4 Postal ballots'!E11)</f>
        <v>1.8903278208777883E-2</v>
      </c>
      <c r="I11" s="1063"/>
      <c r="J11" s="1131"/>
      <c r="L11" s="1062"/>
      <c r="M11" s="1153"/>
      <c r="N11" s="1136"/>
      <c r="O11" s="1153"/>
    </row>
    <row r="12" spans="1:15" ht="12" customHeight="1">
      <c r="A12" s="134">
        <v>1959</v>
      </c>
      <c r="C12" s="1131">
        <v>692827</v>
      </c>
      <c r="D12" s="1131">
        <v>612231</v>
      </c>
      <c r="E12" s="1131">
        <v>598559</v>
      </c>
      <c r="F12" s="1152">
        <f t="shared" si="0"/>
        <v>0.86393717334919107</v>
      </c>
      <c r="G12" s="1153"/>
      <c r="H12" s="1154">
        <f>+E12/('1 GE-UK'!H18*1000000+'4 Postal ballots'!E12)</f>
        <v>2.1030693318003932E-2</v>
      </c>
      <c r="I12" s="1063"/>
      <c r="J12" s="1131"/>
      <c r="L12" s="1062"/>
      <c r="M12" s="1153"/>
      <c r="N12" s="1136"/>
      <c r="O12" s="1153"/>
    </row>
    <row r="13" spans="1:15" ht="12" customHeight="1">
      <c r="A13" s="134">
        <v>1964</v>
      </c>
      <c r="C13" s="1131">
        <v>818901</v>
      </c>
      <c r="D13" s="1131">
        <v>723927</v>
      </c>
      <c r="E13" s="1131">
        <v>707636</v>
      </c>
      <c r="F13" s="1152">
        <f t="shared" si="0"/>
        <v>0.86412887516317605</v>
      </c>
      <c r="G13" s="1153"/>
      <c r="H13" s="1154">
        <f>+E13/('1 GE-UK'!H19*1000000+'4 Postal ballots'!E13)</f>
        <v>2.4947695706055793E-2</v>
      </c>
      <c r="I13" s="1063"/>
      <c r="J13" s="1131"/>
      <c r="L13" s="1062"/>
      <c r="M13" s="1153"/>
      <c r="N13" s="1136"/>
      <c r="O13" s="1153"/>
    </row>
    <row r="14" spans="1:15" ht="12" customHeight="1">
      <c r="A14" s="134">
        <v>1966</v>
      </c>
      <c r="C14" s="1131">
        <v>617481</v>
      </c>
      <c r="D14" s="1131">
        <v>528006</v>
      </c>
      <c r="E14" s="1131">
        <v>513041</v>
      </c>
      <c r="F14" s="1152">
        <f t="shared" si="0"/>
        <v>0.83086119249013335</v>
      </c>
      <c r="G14" s="1153"/>
      <c r="H14" s="1154">
        <f>+E14/('1 GE-UK'!H20*1000000+'4 Postal ballots'!E14)</f>
        <v>1.8469469203235334E-2</v>
      </c>
      <c r="I14" s="1063"/>
      <c r="J14" s="1131"/>
      <c r="L14" s="1062"/>
      <c r="M14" s="1153"/>
      <c r="N14" s="1136"/>
      <c r="O14" s="1153"/>
    </row>
    <row r="15" spans="1:15" ht="12" customHeight="1">
      <c r="A15" s="134">
        <v>1970</v>
      </c>
      <c r="C15" s="1131">
        <v>731249</v>
      </c>
      <c r="D15" s="1131">
        <v>639674</v>
      </c>
      <c r="E15" s="1131">
        <v>625355</v>
      </c>
      <c r="F15" s="1152">
        <f t="shared" si="0"/>
        <v>0.8551874942734965</v>
      </c>
      <c r="G15" s="1153"/>
      <c r="H15" s="1154">
        <f>+E15/('1 GE-UK'!H21*1000000+'4 Postal ballots'!E15)</f>
        <v>2.158618216479561E-2</v>
      </c>
      <c r="I15" s="1063"/>
      <c r="J15" s="1131"/>
      <c r="L15" s="1062"/>
      <c r="M15" s="1153"/>
      <c r="N15" s="1136"/>
      <c r="O15" s="1153"/>
    </row>
    <row r="16" spans="1:15" ht="12" customHeight="1">
      <c r="A16" s="134">
        <v>1974</v>
      </c>
      <c r="B16" s="944" t="s">
        <v>50</v>
      </c>
      <c r="C16" s="1131">
        <v>743441</v>
      </c>
      <c r="D16" s="1131">
        <v>645080</v>
      </c>
      <c r="E16" s="1131">
        <v>628907</v>
      </c>
      <c r="F16" s="1152">
        <f t="shared" si="0"/>
        <v>0.84594070006900346</v>
      </c>
      <c r="G16" s="1153"/>
      <c r="H16" s="1154">
        <f>+E16/('1 GE-UK'!H22*1000000+'4 Postal ballots'!E16)</f>
        <v>1.967235892918871E-2</v>
      </c>
      <c r="I16" s="1063"/>
      <c r="J16" s="1131"/>
      <c r="L16" s="1062"/>
      <c r="M16" s="1153"/>
      <c r="N16" s="1136"/>
      <c r="O16" s="1153"/>
    </row>
    <row r="17" spans="1:15" ht="12" customHeight="1">
      <c r="A17" s="134">
        <v>1974</v>
      </c>
      <c r="B17" s="944" t="s">
        <v>51</v>
      </c>
      <c r="C17" s="1131">
        <v>1075131</v>
      </c>
      <c r="D17" s="1131">
        <v>875324</v>
      </c>
      <c r="E17" s="1131">
        <v>850105</v>
      </c>
      <c r="F17" s="1152">
        <f t="shared" si="0"/>
        <v>0.79069899389004694</v>
      </c>
      <c r="G17" s="1153"/>
      <c r="H17" s="1154">
        <f>+E17/('1 GE-UK'!H23*1000000+'4 Postal ballots'!E17)</f>
        <v>2.8299846377446224E-2</v>
      </c>
      <c r="I17" s="1063"/>
      <c r="J17" s="1131"/>
      <c r="L17" s="1062"/>
      <c r="M17" s="1153"/>
      <c r="N17" s="1136"/>
      <c r="O17" s="1153"/>
    </row>
    <row r="18" spans="1:15" ht="12" customHeight="1">
      <c r="A18" s="134">
        <v>1979</v>
      </c>
      <c r="C18" s="1131">
        <v>847335</v>
      </c>
      <c r="D18" s="1131">
        <v>714892</v>
      </c>
      <c r="E18" s="1131">
        <v>691969</v>
      </c>
      <c r="F18" s="1152">
        <f t="shared" si="0"/>
        <v>0.81664158803778908</v>
      </c>
      <c r="G18" s="1153"/>
      <c r="H18" s="1154">
        <f>+E18/('1 GE-UK'!H24*1000000+'4 Postal ballots'!E18)</f>
        <v>2.1682756964479827E-2</v>
      </c>
      <c r="I18" s="1063"/>
      <c r="J18" s="1131"/>
      <c r="L18" s="1062"/>
      <c r="M18" s="1153"/>
      <c r="N18" s="1136"/>
      <c r="O18" s="1153"/>
    </row>
    <row r="19" spans="1:15" ht="12" customHeight="1">
      <c r="A19" s="134">
        <v>1983</v>
      </c>
      <c r="C19" s="1131">
        <v>757604</v>
      </c>
      <c r="D19" s="1131">
        <v>643634</v>
      </c>
      <c r="E19" s="1131">
        <v>623554</v>
      </c>
      <c r="F19" s="1152">
        <f t="shared" si="0"/>
        <v>0.82306059630096995</v>
      </c>
      <c r="G19" s="1153"/>
      <c r="H19" s="1154">
        <f>+E19/('1 GE-UK'!H25*1000000+'4 Postal ballots'!E19)</f>
        <v>1.9925232685633482E-2</v>
      </c>
      <c r="I19" s="1063"/>
      <c r="J19" s="1131"/>
      <c r="L19" s="1062"/>
      <c r="M19" s="1153"/>
      <c r="N19" s="1136"/>
      <c r="O19" s="1153"/>
    </row>
    <row r="20" spans="1:15" ht="12" customHeight="1">
      <c r="A20" s="134">
        <v>1987</v>
      </c>
      <c r="C20" s="1131">
        <v>947948</v>
      </c>
      <c r="D20" s="1131">
        <v>818349</v>
      </c>
      <c r="E20" s="1131">
        <v>793062</v>
      </c>
      <c r="F20" s="1152">
        <f t="shared" si="0"/>
        <v>0.83660918109432159</v>
      </c>
      <c r="G20" s="1153"/>
      <c r="H20" s="1154">
        <f>+E20/('1 GE-UK'!H26*1000000+'4 Postal ballots'!E20)</f>
        <v>2.3799494877956847E-2</v>
      </c>
      <c r="I20" s="1063"/>
      <c r="J20" s="1131"/>
      <c r="L20" s="1062"/>
      <c r="M20" s="1153"/>
      <c r="N20" s="1136"/>
      <c r="O20" s="1153"/>
    </row>
    <row r="21" spans="1:15" ht="12" customHeight="1">
      <c r="A21" s="134">
        <v>1992</v>
      </c>
      <c r="C21" s="1131">
        <v>835074</v>
      </c>
      <c r="D21" s="1131">
        <v>714895</v>
      </c>
      <c r="E21" s="1131">
        <v>692139</v>
      </c>
      <c r="F21" s="1152">
        <f t="shared" si="0"/>
        <v>0.82883552834838592</v>
      </c>
      <c r="G21" s="1153"/>
      <c r="H21" s="1154">
        <f>+E21/('1 GE-UK'!H27*1000000+'4 Postal ballots'!E21)</f>
        <v>2.0175325093445901E-2</v>
      </c>
      <c r="I21" s="1063"/>
      <c r="J21" s="1131"/>
      <c r="L21" s="1062"/>
      <c r="M21" s="1153"/>
      <c r="N21" s="1136"/>
      <c r="O21" s="1153"/>
    </row>
    <row r="22" spans="1:15" ht="12" customHeight="1">
      <c r="A22" s="134">
        <v>1997</v>
      </c>
      <c r="C22" s="1131">
        <v>937205</v>
      </c>
      <c r="D22" s="1131">
        <v>764366</v>
      </c>
      <c r="E22" s="1131">
        <v>738614</v>
      </c>
      <c r="F22" s="1152">
        <f t="shared" si="0"/>
        <v>0.78810292305312069</v>
      </c>
      <c r="G22" s="1153"/>
      <c r="H22" s="1154">
        <f>+E22/('1 GE-UK'!H28*1000000+'4 Postal ballots'!E22)</f>
        <v>2.3063742466876865E-2</v>
      </c>
      <c r="I22" s="1063"/>
      <c r="J22" s="1131"/>
      <c r="L22" s="1062"/>
      <c r="M22" s="1153"/>
      <c r="N22" s="1136"/>
      <c r="O22" s="1153"/>
    </row>
    <row r="23" spans="1:15" ht="12" customHeight="1">
      <c r="A23" s="134">
        <v>2001</v>
      </c>
      <c r="C23" s="1043">
        <v>1758055</v>
      </c>
      <c r="D23" s="1043">
        <v>1402073</v>
      </c>
      <c r="E23" s="1131">
        <f>D23-J23</f>
        <v>1402073</v>
      </c>
      <c r="F23" s="1152">
        <f t="shared" si="0"/>
        <v>0.79751372966147249</v>
      </c>
      <c r="G23" s="1153"/>
      <c r="H23" s="1154">
        <f>+E23/('1 GE-UK'!H29*1000000+'4 Postal ballots'!E23)</f>
        <v>5.0489753922439103E-2</v>
      </c>
      <c r="I23" s="1063"/>
      <c r="J23" s="1043"/>
      <c r="L23" s="1155"/>
      <c r="M23" s="1153"/>
      <c r="N23" s="1136"/>
      <c r="O23" s="1153"/>
    </row>
    <row r="24" spans="1:15" ht="12" customHeight="1">
      <c r="A24" s="134">
        <v>2005</v>
      </c>
      <c r="C24" s="1043">
        <v>5362501</v>
      </c>
      <c r="D24" s="1043">
        <v>4110039</v>
      </c>
      <c r="E24" s="1131">
        <v>3963792</v>
      </c>
      <c r="F24" s="1152">
        <f t="shared" si="0"/>
        <v>0.7391685334883854</v>
      </c>
      <c r="G24" s="1153"/>
      <c r="H24" s="1154">
        <f>+E24/('1 GE-UK'!H30*1000000+'4 Postal ballots'!E24)</f>
        <v>0.12740272320575957</v>
      </c>
      <c r="I24" s="1063"/>
      <c r="J24" s="1043"/>
      <c r="L24" s="1155"/>
      <c r="M24" s="1153"/>
      <c r="N24" s="1136"/>
      <c r="O24" s="1153"/>
    </row>
    <row r="25" spans="1:15" ht="12" customHeight="1">
      <c r="A25" s="134">
        <v>2010</v>
      </c>
      <c r="C25" s="1156">
        <v>6996006</v>
      </c>
      <c r="D25" s="1156">
        <v>5818853</v>
      </c>
      <c r="E25" s="1131">
        <v>5596865</v>
      </c>
      <c r="F25" s="1152">
        <f t="shared" si="0"/>
        <v>0.80000860490971559</v>
      </c>
      <c r="G25" s="1153"/>
      <c r="H25" s="1154">
        <v>0.188</v>
      </c>
      <c r="I25" s="1063"/>
      <c r="J25" s="1043"/>
      <c r="L25" s="1155"/>
      <c r="M25" s="1153"/>
      <c r="N25" s="1136"/>
      <c r="O25" s="1153"/>
    </row>
    <row r="26" spans="1:15" ht="12" customHeight="1">
      <c r="A26" s="134">
        <v>2015</v>
      </c>
      <c r="C26" s="1156">
        <v>7592735</v>
      </c>
      <c r="D26" s="1156">
        <v>6516228</v>
      </c>
      <c r="E26" s="1131">
        <v>6302073</v>
      </c>
      <c r="F26" s="1152">
        <v>0.830013559013978</v>
      </c>
      <c r="G26" s="1153"/>
      <c r="H26" s="1154">
        <v>0.20529596872709505</v>
      </c>
      <c r="I26" s="1063"/>
      <c r="L26" s="1155"/>
      <c r="M26" s="1153"/>
      <c r="N26" s="1136"/>
      <c r="O26" s="1153"/>
    </row>
    <row r="27" spans="1:15" ht="12.75" customHeight="1">
      <c r="A27" s="134">
        <v>2017</v>
      </c>
      <c r="C27" s="1156">
        <v>8412060</v>
      </c>
      <c r="D27" s="1156">
        <v>7155315</v>
      </c>
      <c r="E27" s="1131">
        <v>6986581</v>
      </c>
      <c r="F27" s="1154">
        <f>E27/C27</f>
        <v>0.83054341029426804</v>
      </c>
      <c r="G27" s="1131"/>
      <c r="H27" s="1154">
        <v>0.21694677985962293</v>
      </c>
      <c r="I27" s="1063"/>
      <c r="J27" s="1043" t="s">
        <v>2143</v>
      </c>
      <c r="L27" s="1155"/>
      <c r="M27" s="1153"/>
      <c r="N27" s="1136"/>
    </row>
    <row r="28" spans="1:15" ht="12.75" customHeight="1">
      <c r="A28" s="134">
        <v>2019</v>
      </c>
      <c r="C28" s="1156">
        <v>8034718</v>
      </c>
      <c r="D28" s="1156">
        <v>6866494</v>
      </c>
      <c r="E28" s="1131">
        <v>6717670</v>
      </c>
      <c r="F28" s="1154">
        <f>E28/C28</f>
        <v>0.83608037021336656</v>
      </c>
      <c r="G28" s="1131"/>
      <c r="H28" s="1154">
        <f>E28/J28</f>
        <v>0.20983466352805061</v>
      </c>
      <c r="I28" s="1063"/>
      <c r="J28" s="850">
        <v>32014110</v>
      </c>
      <c r="L28" s="1155"/>
      <c r="M28" s="1153"/>
      <c r="N28" s="1136"/>
    </row>
    <row r="29" spans="1:15" ht="2.25" customHeight="1">
      <c r="A29" s="1023"/>
      <c r="B29" s="1023"/>
      <c r="C29" s="1023"/>
      <c r="D29" s="1023"/>
      <c r="E29" s="1023"/>
      <c r="F29" s="1145"/>
      <c r="G29" s="1023"/>
      <c r="H29" s="1158"/>
      <c r="I29" s="1043"/>
    </row>
    <row r="30" spans="1:15" s="1009" customFormat="1" ht="11">
      <c r="A30" s="1067" t="s">
        <v>1114</v>
      </c>
      <c r="F30" s="1069"/>
      <c r="H30" s="1069"/>
    </row>
    <row r="31" spans="1:15" s="1009" customFormat="1" ht="11">
      <c r="A31" s="1067" t="s">
        <v>2294</v>
      </c>
      <c r="F31" s="1069"/>
      <c r="H31" s="1069"/>
    </row>
    <row r="32" spans="1:15" s="1009" customFormat="1" ht="11">
      <c r="A32" s="1009" t="s">
        <v>1174</v>
      </c>
      <c r="F32" s="1069"/>
      <c r="H32" s="1069"/>
    </row>
    <row r="34" spans="1:10" ht="48" customHeight="1">
      <c r="A34" s="3403" t="s">
        <v>1277</v>
      </c>
      <c r="B34" s="3403"/>
      <c r="C34" s="3403"/>
      <c r="D34" s="3403"/>
      <c r="E34" s="3403"/>
      <c r="F34" s="3403"/>
      <c r="G34" s="3403"/>
      <c r="H34" s="3403"/>
      <c r="I34" s="3403"/>
      <c r="J34" s="3403"/>
    </row>
  </sheetData>
  <mergeCells count="5">
    <mergeCell ref="A34:J34"/>
    <mergeCell ref="E5:F5"/>
    <mergeCell ref="H5:H6"/>
    <mergeCell ref="D5:D6"/>
    <mergeCell ref="C5:C6"/>
  </mergeCells>
  <phoneticPr fontId="10" type="noConversion"/>
  <pageMargins left="0.75" right="0.75" top="1" bottom="1" header="0.5" footer="0.5"/>
  <pageSetup paperSize="9" orientation="portrait" r:id="rId1"/>
  <headerFooter alignWithMargins="0"/>
  <drawing r:id="rId2"/>
  <webPublishItems count="1">
    <webPublishItem id="32252" divId="RP11-XXX_Election Statistics UK 1918-2011_32252" sourceType="range" sourceRef="A1:H29" destinationFile="U:\election stats rp\Table 4.mht"/>
  </webPublishItem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4"/>
  </sheetPr>
  <dimension ref="B1:Q50"/>
  <sheetViews>
    <sheetView showGridLines="0" workbookViewId="0">
      <selection activeCell="M26" sqref="M26"/>
    </sheetView>
  </sheetViews>
  <sheetFormatPr baseColWidth="10" defaultColWidth="9.3984375" defaultRowHeight="13"/>
  <cols>
    <col min="1" max="1" width="12.19921875" style="997" customWidth="1"/>
    <col min="2" max="2" width="5.3984375" style="997" customWidth="1"/>
    <col min="3" max="3" width="4.3984375" style="997" customWidth="1"/>
    <col min="4" max="4" width="1.796875" style="997" customWidth="1"/>
    <col min="5" max="8" width="7.19921875" style="997" customWidth="1"/>
    <col min="9" max="9" width="1.796875" style="997" customWidth="1"/>
    <col min="10" max="10" width="6.59765625" style="997" customWidth="1"/>
    <col min="11" max="11" width="14.59765625" style="997" customWidth="1"/>
    <col min="12" max="12" width="11.796875" style="997" customWidth="1"/>
    <col min="13" max="13" width="9.3984375" style="997"/>
    <col min="14" max="14" width="15" style="997" customWidth="1"/>
    <col min="15" max="23" width="12.3984375" style="997" customWidth="1"/>
    <col min="24" max="16384" width="9.3984375" style="997"/>
  </cols>
  <sheetData>
    <row r="1" spans="2:17" ht="14">
      <c r="B1" s="1165" t="s">
        <v>2078</v>
      </c>
      <c r="C1" s="1165"/>
      <c r="D1" s="1166"/>
    </row>
    <row r="2" spans="2:17" ht="6" customHeight="1"/>
    <row r="3" spans="2:17" s="2542" customFormat="1" ht="18.5" customHeight="1">
      <c r="B3" s="3044" t="s">
        <v>2708</v>
      </c>
      <c r="C3" s="3045"/>
      <c r="D3" s="3045"/>
      <c r="E3" s="3045"/>
      <c r="F3" s="3045"/>
      <c r="G3" s="3045"/>
      <c r="H3" s="3045"/>
      <c r="I3" s="3045"/>
      <c r="J3" s="3045"/>
      <c r="K3" s="3045"/>
    </row>
    <row r="4" spans="2:17" ht="3" customHeight="1">
      <c r="B4" s="2224"/>
      <c r="C4" s="2225"/>
      <c r="D4" s="2225"/>
      <c r="E4" s="2225"/>
      <c r="F4" s="2225"/>
      <c r="G4" s="2225"/>
      <c r="H4" s="2225"/>
      <c r="I4" s="2225"/>
      <c r="J4" s="2225"/>
      <c r="K4" s="2225"/>
    </row>
    <row r="5" spans="2:17" s="2542" customFormat="1" ht="15.75" customHeight="1">
      <c r="B5" s="2540"/>
      <c r="C5" s="2540"/>
      <c r="D5" s="2540"/>
      <c r="E5" s="2534" t="s">
        <v>2406</v>
      </c>
      <c r="F5" s="2535" t="s">
        <v>807</v>
      </c>
      <c r="G5" s="2536" t="s">
        <v>2407</v>
      </c>
      <c r="H5" s="2537" t="s">
        <v>1972</v>
      </c>
      <c r="I5" s="2541"/>
      <c r="J5" s="2541" t="s">
        <v>16</v>
      </c>
      <c r="K5" s="2541" t="s">
        <v>1282</v>
      </c>
    </row>
    <row r="6" spans="2:17" ht="3" customHeight="1" thickBot="1">
      <c r="B6" s="1022"/>
      <c r="C6" s="1022"/>
      <c r="D6" s="1022"/>
      <c r="E6" s="2538"/>
      <c r="F6" s="2538"/>
      <c r="G6" s="2538"/>
      <c r="H6" s="2538"/>
      <c r="I6" s="1025"/>
      <c r="J6" s="2538"/>
      <c r="K6" s="2539"/>
    </row>
    <row r="7" spans="2:17" ht="17" thickBot="1">
      <c r="B7" s="1103">
        <v>1918</v>
      </c>
      <c r="C7" s="1168">
        <v>3</v>
      </c>
      <c r="E7" s="997">
        <v>0</v>
      </c>
      <c r="F7" s="997">
        <v>0</v>
      </c>
      <c r="G7" s="997">
        <v>0</v>
      </c>
      <c r="H7" s="997">
        <v>1</v>
      </c>
      <c r="J7" s="997">
        <f>SUM(E7:I7)</f>
        <v>1</v>
      </c>
      <c r="K7" s="1152">
        <v>1E-3</v>
      </c>
      <c r="N7" s="1070" t="s">
        <v>2406</v>
      </c>
      <c r="O7" s="1071" t="s">
        <v>807</v>
      </c>
      <c r="P7" s="1072" t="s">
        <v>2407</v>
      </c>
      <c r="Q7" s="1087" t="s">
        <v>12</v>
      </c>
    </row>
    <row r="8" spans="2:17">
      <c r="B8" s="1103">
        <v>1922</v>
      </c>
      <c r="C8" s="1103"/>
      <c r="E8" s="997">
        <v>1</v>
      </c>
      <c r="F8" s="997">
        <v>0</v>
      </c>
      <c r="G8" s="997">
        <v>1</v>
      </c>
      <c r="H8" s="997">
        <v>0</v>
      </c>
      <c r="J8" s="997">
        <f>SUM(E8:I8)</f>
        <v>2</v>
      </c>
      <c r="K8" s="1152">
        <v>3.0000000000000001E-3</v>
      </c>
    </row>
    <row r="9" spans="2:17">
      <c r="B9" s="1103">
        <v>1923</v>
      </c>
      <c r="C9" s="1103"/>
      <c r="E9" s="997">
        <v>3</v>
      </c>
      <c r="F9" s="997">
        <v>3</v>
      </c>
      <c r="G9" s="997">
        <v>2</v>
      </c>
      <c r="H9" s="997">
        <v>0</v>
      </c>
      <c r="J9" s="997">
        <f t="shared" ref="J9:J31" si="0">SUM(E9:I9)</f>
        <v>8</v>
      </c>
      <c r="K9" s="1152">
        <v>1.2999999999999999E-2</v>
      </c>
    </row>
    <row r="10" spans="2:17">
      <c r="B10" s="1103">
        <v>1924</v>
      </c>
      <c r="C10" s="1103"/>
      <c r="E10" s="997">
        <v>3</v>
      </c>
      <c r="F10" s="997">
        <v>1</v>
      </c>
      <c r="G10" s="997">
        <v>0</v>
      </c>
      <c r="H10" s="997">
        <v>0</v>
      </c>
      <c r="J10" s="997">
        <f t="shared" si="0"/>
        <v>4</v>
      </c>
      <c r="K10" s="1152">
        <v>7.0000000000000001E-3</v>
      </c>
    </row>
    <row r="11" spans="2:17">
      <c r="B11" s="1103">
        <v>1929</v>
      </c>
      <c r="C11" s="1103"/>
      <c r="E11" s="997">
        <v>3</v>
      </c>
      <c r="F11" s="997">
        <v>9</v>
      </c>
      <c r="G11" s="997">
        <v>1</v>
      </c>
      <c r="H11" s="997">
        <v>1</v>
      </c>
      <c r="J11" s="997">
        <f t="shared" si="0"/>
        <v>14</v>
      </c>
      <c r="K11" s="1152">
        <v>2.3E-2</v>
      </c>
    </row>
    <row r="12" spans="2:17">
      <c r="B12" s="1103">
        <v>1931</v>
      </c>
      <c r="C12" s="1103"/>
      <c r="E12" s="997">
        <v>13</v>
      </c>
      <c r="F12" s="997">
        <v>0</v>
      </c>
      <c r="G12" s="997">
        <v>1</v>
      </c>
      <c r="H12" s="997">
        <v>1</v>
      </c>
      <c r="J12" s="997">
        <f t="shared" si="0"/>
        <v>15</v>
      </c>
      <c r="K12" s="1152">
        <v>2.4E-2</v>
      </c>
    </row>
    <row r="13" spans="2:17">
      <c r="B13" s="1103">
        <v>1935</v>
      </c>
      <c r="C13" s="1103"/>
      <c r="E13" s="997">
        <v>6</v>
      </c>
      <c r="F13" s="997">
        <v>1</v>
      </c>
      <c r="G13" s="997">
        <v>1</v>
      </c>
      <c r="H13" s="997">
        <v>1</v>
      </c>
      <c r="J13" s="997">
        <f t="shared" si="0"/>
        <v>9</v>
      </c>
      <c r="K13" s="1152">
        <v>1.4999999999999999E-2</v>
      </c>
    </row>
    <row r="14" spans="2:17">
      <c r="B14" s="1103">
        <v>1945</v>
      </c>
      <c r="C14" s="1103"/>
      <c r="E14" s="997">
        <v>1</v>
      </c>
      <c r="F14" s="997">
        <v>21</v>
      </c>
      <c r="G14" s="997">
        <v>1</v>
      </c>
      <c r="H14" s="997">
        <v>1</v>
      </c>
      <c r="J14" s="997">
        <f t="shared" si="0"/>
        <v>24</v>
      </c>
      <c r="K14" s="1152">
        <v>3.7999999999999999E-2</v>
      </c>
    </row>
    <row r="15" spans="2:17">
      <c r="B15" s="1103">
        <v>1950</v>
      </c>
      <c r="C15" s="1103"/>
      <c r="E15" s="997">
        <v>6</v>
      </c>
      <c r="F15" s="997">
        <v>14</v>
      </c>
      <c r="G15" s="997">
        <v>0</v>
      </c>
      <c r="H15" s="997">
        <v>1</v>
      </c>
      <c r="J15" s="997">
        <f t="shared" si="0"/>
        <v>21</v>
      </c>
      <c r="K15" s="1152">
        <v>3.4000000000000002E-2</v>
      </c>
    </row>
    <row r="16" spans="2:17">
      <c r="B16" s="1103">
        <v>1951</v>
      </c>
      <c r="C16" s="1103"/>
      <c r="E16" s="997">
        <v>6</v>
      </c>
      <c r="F16" s="997">
        <v>11</v>
      </c>
      <c r="G16" s="997">
        <v>0</v>
      </c>
      <c r="H16" s="997">
        <v>0</v>
      </c>
      <c r="J16" s="997">
        <f t="shared" si="0"/>
        <v>17</v>
      </c>
      <c r="K16" s="1152">
        <v>2.7E-2</v>
      </c>
    </row>
    <row r="17" spans="2:11">
      <c r="B17" s="1103">
        <v>1955</v>
      </c>
      <c r="C17" s="1103"/>
      <c r="E17" s="997">
        <v>10</v>
      </c>
      <c r="F17" s="997">
        <v>14</v>
      </c>
      <c r="G17" s="997">
        <v>0</v>
      </c>
      <c r="H17" s="997">
        <v>0</v>
      </c>
      <c r="J17" s="997">
        <f t="shared" si="0"/>
        <v>24</v>
      </c>
      <c r="K17" s="1152">
        <v>3.7999999999999999E-2</v>
      </c>
    </row>
    <row r="18" spans="2:11">
      <c r="B18" s="1103">
        <v>1959</v>
      </c>
      <c r="C18" s="1103"/>
      <c r="E18" s="997">
        <v>12</v>
      </c>
      <c r="F18" s="997">
        <v>13</v>
      </c>
      <c r="G18" s="997">
        <v>0</v>
      </c>
      <c r="H18" s="997">
        <v>0</v>
      </c>
      <c r="J18" s="997">
        <f t="shared" si="0"/>
        <v>25</v>
      </c>
      <c r="K18" s="1152">
        <v>0.04</v>
      </c>
    </row>
    <row r="19" spans="2:11">
      <c r="B19" s="1103">
        <v>1964</v>
      </c>
      <c r="C19" s="1103"/>
      <c r="E19" s="997">
        <v>11</v>
      </c>
      <c r="F19" s="997">
        <v>18</v>
      </c>
      <c r="G19" s="997">
        <v>0</v>
      </c>
      <c r="H19" s="997">
        <v>0</v>
      </c>
      <c r="J19" s="997">
        <f t="shared" si="0"/>
        <v>29</v>
      </c>
      <c r="K19" s="1152">
        <v>4.5999999999999999E-2</v>
      </c>
    </row>
    <row r="20" spans="2:11">
      <c r="B20" s="1103">
        <v>1966</v>
      </c>
      <c r="C20" s="1103"/>
      <c r="E20" s="997">
        <v>7</v>
      </c>
      <c r="F20" s="997">
        <v>19</v>
      </c>
      <c r="G20" s="997">
        <v>0</v>
      </c>
      <c r="H20" s="997">
        <v>0</v>
      </c>
      <c r="J20" s="997">
        <f t="shared" si="0"/>
        <v>26</v>
      </c>
      <c r="K20" s="1152">
        <v>4.1000000000000002E-2</v>
      </c>
    </row>
    <row r="21" spans="2:11">
      <c r="B21" s="1103">
        <v>1970</v>
      </c>
      <c r="C21" s="1103"/>
      <c r="E21" s="997">
        <v>15</v>
      </c>
      <c r="F21" s="997">
        <v>10</v>
      </c>
      <c r="G21" s="997">
        <v>0</v>
      </c>
      <c r="H21" s="997">
        <v>1</v>
      </c>
      <c r="J21" s="997">
        <f t="shared" si="0"/>
        <v>26</v>
      </c>
      <c r="K21" s="1152">
        <v>4.1000000000000002E-2</v>
      </c>
    </row>
    <row r="22" spans="2:11">
      <c r="B22" s="1103">
        <v>1974</v>
      </c>
      <c r="C22" s="1103" t="s">
        <v>50</v>
      </c>
      <c r="D22" s="1144"/>
      <c r="E22" s="997">
        <v>9</v>
      </c>
      <c r="F22" s="997">
        <v>13</v>
      </c>
      <c r="G22" s="997">
        <v>0</v>
      </c>
      <c r="H22" s="997">
        <v>1</v>
      </c>
      <c r="J22" s="997">
        <f t="shared" si="0"/>
        <v>23</v>
      </c>
      <c r="K22" s="1152">
        <v>3.5999999999999997E-2</v>
      </c>
    </row>
    <row r="23" spans="2:11">
      <c r="B23" s="1103">
        <v>1974</v>
      </c>
      <c r="C23" s="1103" t="s">
        <v>51</v>
      </c>
      <c r="D23" s="1144"/>
      <c r="E23" s="997">
        <v>7</v>
      </c>
      <c r="F23" s="997">
        <v>18</v>
      </c>
      <c r="G23" s="997">
        <v>0</v>
      </c>
      <c r="H23" s="997">
        <v>2</v>
      </c>
      <c r="J23" s="997">
        <f t="shared" si="0"/>
        <v>27</v>
      </c>
      <c r="K23" s="1152">
        <v>4.2999999999999997E-2</v>
      </c>
    </row>
    <row r="24" spans="2:11">
      <c r="B24" s="1103">
        <v>1979</v>
      </c>
      <c r="C24" s="1103"/>
      <c r="E24" s="997">
        <v>8</v>
      </c>
      <c r="F24" s="997">
        <v>11</v>
      </c>
      <c r="G24" s="997">
        <v>0</v>
      </c>
      <c r="H24" s="997">
        <v>0</v>
      </c>
      <c r="J24" s="997">
        <f t="shared" si="0"/>
        <v>19</v>
      </c>
      <c r="K24" s="1152">
        <v>0.03</v>
      </c>
    </row>
    <row r="25" spans="2:11">
      <c r="B25" s="1103">
        <v>1983</v>
      </c>
      <c r="C25" s="1103"/>
      <c r="E25" s="997">
        <v>13</v>
      </c>
      <c r="F25" s="997">
        <v>10</v>
      </c>
      <c r="G25" s="997">
        <v>0</v>
      </c>
      <c r="H25" s="997">
        <v>0</v>
      </c>
      <c r="J25" s="997">
        <f t="shared" si="0"/>
        <v>23</v>
      </c>
      <c r="K25" s="1152">
        <v>3.5000000000000003E-2</v>
      </c>
    </row>
    <row r="26" spans="2:11">
      <c r="B26" s="1103">
        <v>1987</v>
      </c>
      <c r="C26" s="1103"/>
      <c r="E26" s="997">
        <v>17</v>
      </c>
      <c r="F26" s="997">
        <v>21</v>
      </c>
      <c r="G26" s="997">
        <v>2</v>
      </c>
      <c r="H26" s="997">
        <v>1</v>
      </c>
      <c r="J26" s="997">
        <f t="shared" si="0"/>
        <v>41</v>
      </c>
      <c r="K26" s="1152">
        <v>6.3E-2</v>
      </c>
    </row>
    <row r="27" spans="2:11">
      <c r="B27" s="1103">
        <v>1992</v>
      </c>
      <c r="C27" s="1103"/>
      <c r="E27" s="997">
        <v>20</v>
      </c>
      <c r="F27" s="997">
        <v>37</v>
      </c>
      <c r="G27" s="997">
        <v>2</v>
      </c>
      <c r="H27" s="997">
        <v>1</v>
      </c>
      <c r="J27" s="997">
        <f t="shared" si="0"/>
        <v>60</v>
      </c>
      <c r="K27" s="1152">
        <v>9.1999999999999998E-2</v>
      </c>
    </row>
    <row r="28" spans="2:11">
      <c r="B28" s="1103">
        <v>1997</v>
      </c>
      <c r="C28" s="1103"/>
      <c r="E28" s="997">
        <v>13</v>
      </c>
      <c r="F28" s="997">
        <v>101</v>
      </c>
      <c r="G28" s="997">
        <v>3</v>
      </c>
      <c r="H28" s="997">
        <v>3</v>
      </c>
      <c r="J28" s="997">
        <f t="shared" si="0"/>
        <v>120</v>
      </c>
      <c r="K28" s="1152">
        <v>0.182</v>
      </c>
    </row>
    <row r="29" spans="2:11">
      <c r="B29" s="1103">
        <v>2001</v>
      </c>
      <c r="C29" s="1103"/>
      <c r="E29" s="997">
        <v>14</v>
      </c>
      <c r="F29" s="997">
        <v>95</v>
      </c>
      <c r="G29" s="997">
        <v>5</v>
      </c>
      <c r="H29" s="997">
        <v>4</v>
      </c>
      <c r="J29" s="997">
        <f t="shared" si="0"/>
        <v>118</v>
      </c>
      <c r="K29" s="1152">
        <v>0.17899999999999999</v>
      </c>
    </row>
    <row r="30" spans="2:11">
      <c r="B30" s="1161">
        <v>2005</v>
      </c>
      <c r="C30" s="1161"/>
      <c r="D30" s="1162"/>
      <c r="E30" s="997">
        <v>17</v>
      </c>
      <c r="F30" s="997">
        <v>98</v>
      </c>
      <c r="G30" s="997">
        <v>10</v>
      </c>
      <c r="H30" s="997">
        <v>3</v>
      </c>
      <c r="J30" s="997">
        <f t="shared" si="0"/>
        <v>128</v>
      </c>
      <c r="K30" s="1152">
        <v>0.19800000000000001</v>
      </c>
    </row>
    <row r="31" spans="2:11">
      <c r="B31" s="1103">
        <v>2010</v>
      </c>
      <c r="C31" s="1103"/>
      <c r="E31" s="997">
        <v>49</v>
      </c>
      <c r="F31" s="997">
        <v>81</v>
      </c>
      <c r="G31" s="997">
        <v>7</v>
      </c>
      <c r="H31" s="997">
        <v>6</v>
      </c>
      <c r="J31" s="997">
        <f t="shared" si="0"/>
        <v>143</v>
      </c>
      <c r="K31" s="1152">
        <v>0.22</v>
      </c>
    </row>
    <row r="32" spans="2:11" ht="14">
      <c r="B32" s="1103">
        <v>2015</v>
      </c>
      <c r="C32" s="1103"/>
      <c r="E32" s="1163">
        <v>68</v>
      </c>
      <c r="F32" s="1163">
        <v>99</v>
      </c>
      <c r="G32" s="1163">
        <v>0</v>
      </c>
      <c r="H32" s="1163">
        <f>J32-SUM(E32:G32)</f>
        <v>24</v>
      </c>
      <c r="I32" s="1163"/>
      <c r="J32" s="1163">
        <v>191</v>
      </c>
      <c r="K32" s="1164">
        <f>J32/650</f>
        <v>0.29384615384615387</v>
      </c>
    </row>
    <row r="33" spans="2:12" ht="14">
      <c r="B33" s="1103">
        <v>2017</v>
      </c>
      <c r="C33" s="1103"/>
      <c r="E33" s="1163">
        <v>67</v>
      </c>
      <c r="F33" s="1163">
        <v>119</v>
      </c>
      <c r="G33" s="1163">
        <v>4</v>
      </c>
      <c r="H33" s="1163">
        <v>18</v>
      </c>
      <c r="I33" s="1163"/>
      <c r="J33" s="1163">
        <f>SUM(E33:H33)</f>
        <v>208</v>
      </c>
      <c r="K33" s="1164">
        <f>J33/650</f>
        <v>0.32</v>
      </c>
    </row>
    <row r="34" spans="2:12" ht="14">
      <c r="B34" s="1103">
        <v>2019</v>
      </c>
      <c r="C34" s="1103"/>
      <c r="E34" s="1163">
        <v>87</v>
      </c>
      <c r="F34" s="1163">
        <v>104</v>
      </c>
      <c r="G34" s="1163">
        <v>7</v>
      </c>
      <c r="H34" s="1163">
        <v>22</v>
      </c>
      <c r="I34" s="1163"/>
      <c r="J34" s="1163">
        <v>220</v>
      </c>
      <c r="K34" s="1164">
        <f>J34/650</f>
        <v>0.33846153846153848</v>
      </c>
    </row>
    <row r="35" spans="2:12" ht="3" customHeight="1">
      <c r="B35" s="1022"/>
      <c r="C35" s="1022"/>
      <c r="D35" s="1022"/>
      <c r="E35" s="1022"/>
      <c r="F35" s="1022"/>
      <c r="G35" s="1022"/>
      <c r="H35" s="1022"/>
      <c r="I35" s="1022"/>
      <c r="J35" s="1022"/>
      <c r="K35" s="1127"/>
    </row>
    <row r="36" spans="2:12" ht="3" customHeight="1">
      <c r="J36" s="1162"/>
    </row>
    <row r="37" spans="2:12" s="1010" customFormat="1" ht="11.25" customHeight="1">
      <c r="B37" s="1169" t="s">
        <v>1113</v>
      </c>
      <c r="C37" s="1169"/>
      <c r="D37" s="1169"/>
      <c r="E37" s="1169"/>
      <c r="F37" s="1169"/>
      <c r="G37" s="1169"/>
      <c r="H37" s="1169"/>
      <c r="I37" s="1169"/>
      <c r="J37" s="1169"/>
      <c r="K37" s="1169"/>
    </row>
    <row r="38" spans="2:12" s="1010" customFormat="1" ht="22.5" customHeight="1">
      <c r="B38" s="3412" t="s">
        <v>1283</v>
      </c>
      <c r="C38" s="3412"/>
      <c r="D38" s="3412"/>
      <c r="E38" s="3412"/>
      <c r="F38" s="3412"/>
      <c r="G38" s="3412"/>
      <c r="H38" s="3412"/>
      <c r="I38" s="3412"/>
      <c r="J38" s="3412"/>
      <c r="K38" s="3412"/>
      <c r="L38" s="3412"/>
    </row>
    <row r="39" spans="2:12" s="1010" customFormat="1" ht="22.5" customHeight="1">
      <c r="B39" s="3412" t="s">
        <v>1284</v>
      </c>
      <c r="C39" s="3412"/>
      <c r="D39" s="3412"/>
      <c r="E39" s="3412"/>
      <c r="F39" s="3412"/>
      <c r="G39" s="3412"/>
      <c r="H39" s="3412"/>
      <c r="I39" s="3412"/>
      <c r="J39" s="3412"/>
      <c r="K39" s="3412"/>
      <c r="L39" s="3412"/>
    </row>
    <row r="40" spans="2:12" s="1010" customFormat="1" ht="11.25" customHeight="1">
      <c r="B40" s="1170" t="s">
        <v>1285</v>
      </c>
      <c r="C40" s="1171"/>
      <c r="D40" s="1171"/>
      <c r="E40" s="1171"/>
      <c r="F40" s="1171"/>
      <c r="G40" s="1171"/>
      <c r="H40" s="1171"/>
      <c r="I40" s="1171"/>
      <c r="J40" s="1171"/>
      <c r="K40" s="1171"/>
      <c r="L40" s="1171"/>
    </row>
    <row r="41" spans="2:12" s="1010" customFormat="1" ht="3" customHeight="1">
      <c r="B41" s="1169"/>
      <c r="C41" s="1169"/>
      <c r="D41" s="1169"/>
      <c r="E41" s="1169"/>
      <c r="F41" s="1169"/>
      <c r="G41" s="1169"/>
      <c r="H41" s="1169"/>
      <c r="I41" s="1169"/>
      <c r="J41" s="1169"/>
      <c r="K41" s="1169"/>
    </row>
    <row r="42" spans="2:12" s="1010" customFormat="1" ht="11.25" customHeight="1">
      <c r="B42" s="1169" t="s">
        <v>1114</v>
      </c>
      <c r="C42" s="1169"/>
      <c r="D42" s="1169"/>
      <c r="E42" s="1169"/>
      <c r="F42" s="1169"/>
      <c r="G42" s="1169"/>
      <c r="H42" s="1169"/>
      <c r="I42" s="1169"/>
      <c r="J42" s="1169"/>
      <c r="K42" s="1169"/>
    </row>
    <row r="43" spans="2:12" s="1010" customFormat="1" ht="11">
      <c r="B43" s="1010" t="s">
        <v>2294</v>
      </c>
    </row>
    <row r="44" spans="2:12" s="1010" customFormat="1" ht="11">
      <c r="B44" s="1010" t="s">
        <v>1520</v>
      </c>
    </row>
    <row r="45" spans="2:12">
      <c r="B45" s="1010" t="s">
        <v>2079</v>
      </c>
      <c r="C45" s="1009"/>
      <c r="D45" s="1009"/>
    </row>
    <row r="46" spans="2:12">
      <c r="B46" s="1009"/>
      <c r="C46" s="1009"/>
      <c r="D46" s="1009"/>
    </row>
    <row r="47" spans="2:12">
      <c r="B47" s="1009"/>
      <c r="C47" s="1009"/>
      <c r="D47" s="1009"/>
    </row>
    <row r="48" spans="2:12">
      <c r="B48" s="1009"/>
      <c r="C48" s="1009"/>
      <c r="D48" s="1009"/>
    </row>
    <row r="49" spans="2:4">
      <c r="B49" s="1009"/>
      <c r="C49" s="1009"/>
      <c r="D49" s="1009"/>
    </row>
    <row r="50" spans="2:4">
      <c r="B50" s="1009"/>
      <c r="C50" s="1009"/>
      <c r="D50" s="1009"/>
    </row>
  </sheetData>
  <mergeCells count="2">
    <mergeCell ref="B38:L38"/>
    <mergeCell ref="B39:L39"/>
  </mergeCells>
  <phoneticPr fontId="10" type="noConversion"/>
  <conditionalFormatting sqref="K6:K33">
    <cfRule type="dataBar" priority="2">
      <dataBar>
        <cfvo type="num" val="0"/>
        <cfvo type="num" val="0.55000000000000004"/>
        <color rgb="FF36845B"/>
      </dataBar>
      <extLst>
        <ext xmlns:x14="http://schemas.microsoft.com/office/spreadsheetml/2009/9/main" uri="{B025F937-C7B1-47D3-B67F-A62EFF666E3E}">
          <x14:id>{D09D957C-3423-4799-B1F2-127BA741B5C8}</x14:id>
        </ext>
      </extLst>
    </cfRule>
  </conditionalFormatting>
  <conditionalFormatting sqref="K34">
    <cfRule type="dataBar" priority="1">
      <dataBar>
        <cfvo type="num" val="0"/>
        <cfvo type="num" val="0.55000000000000004"/>
        <color rgb="FF36845B"/>
      </dataBar>
      <extLst>
        <ext xmlns:x14="http://schemas.microsoft.com/office/spreadsheetml/2009/9/main" uri="{B025F937-C7B1-47D3-B67F-A62EFF666E3E}">
          <x14:id>{29599682-7977-4F28-93E3-4ECB31CEA5A0}</x14:id>
        </ext>
      </extLst>
    </cfRule>
  </conditionalFormatting>
  <pageMargins left="0.75" right="0.75" top="1" bottom="1" header="0.5" footer="0.5"/>
  <pageSetup orientation="portrait" r:id="rId1"/>
  <headerFooter alignWithMargins="0"/>
  <webPublishItems count="1">
    <webPublishItem id="10456" divId="RP11-XXX_Election Statistics UK 1918-2011_10456" sourceType="range" sourceRef="A1:L43" destinationFile="U:\election stats rp\Table 5.mht"/>
  </webPublishItems>
  <extLst>
    <ext xmlns:x14="http://schemas.microsoft.com/office/spreadsheetml/2009/9/main" uri="{78C0D931-6437-407d-A8EE-F0AAD7539E65}">
      <x14:conditionalFormattings>
        <x14:conditionalFormatting xmlns:xm="http://schemas.microsoft.com/office/excel/2006/main">
          <x14:cfRule type="dataBar" id="{D09D957C-3423-4799-B1F2-127BA741B5C8}">
            <x14:dataBar minLength="0" maxLength="100" gradient="0" negativeBarColorSameAsPositive="1" axisPosition="none">
              <x14:cfvo type="num">
                <xm:f>0</xm:f>
              </x14:cfvo>
              <x14:cfvo type="num">
                <xm:f>0.55000000000000004</xm:f>
              </x14:cfvo>
            </x14:dataBar>
          </x14:cfRule>
          <xm:sqref>K6:K33</xm:sqref>
        </x14:conditionalFormatting>
        <x14:conditionalFormatting xmlns:xm="http://schemas.microsoft.com/office/excel/2006/main">
          <x14:cfRule type="dataBar" id="{29599682-7977-4F28-93E3-4ECB31CEA5A0}">
            <x14:dataBar minLength="0" maxLength="100" gradient="0" negativeBarColorSameAsPositive="1" axisPosition="none">
              <x14:cfvo type="num">
                <xm:f>0</xm:f>
              </x14:cfvo>
              <x14:cfvo type="num">
                <xm:f>0.55000000000000004</xm:f>
              </x14:cfvo>
            </x14:dataBar>
          </x14:cfRule>
          <xm:sqref>K34</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7"/>
  <dimension ref="A1:AK48"/>
  <sheetViews>
    <sheetView showGridLines="0" topLeftCell="R1" zoomScale="85" zoomScaleNormal="85" workbookViewId="0">
      <selection activeCell="AN37" sqref="AN37"/>
    </sheetView>
  </sheetViews>
  <sheetFormatPr baseColWidth="10" defaultColWidth="6.59765625" defaultRowHeight="14"/>
  <cols>
    <col min="1" max="1" width="6.59765625" style="550" customWidth="1"/>
    <col min="2" max="2" width="1.796875" style="550" customWidth="1"/>
    <col min="3" max="6" width="8.796875" style="550" customWidth="1"/>
    <col min="7" max="7" width="1.796875" style="550" customWidth="1"/>
    <col min="8" max="9" width="8.796875" style="550" customWidth="1"/>
    <col min="10" max="12" width="6.59765625" style="550"/>
    <col min="13" max="13" width="9.3984375" style="550" bestFit="1" customWidth="1"/>
    <col min="14" max="16" width="6.59765625" style="551"/>
    <col min="17" max="17" width="8.59765625" style="551" bestFit="1" customWidth="1"/>
    <col min="18" max="18" width="1.796875" style="550" customWidth="1"/>
    <col min="19" max="20" width="6.59765625" style="550"/>
    <col min="21" max="21" width="8.3984375" style="550" bestFit="1" customWidth="1"/>
    <col min="22" max="23" width="6.59765625" style="550"/>
    <col min="24" max="24" width="8.19921875" style="550" bestFit="1" customWidth="1"/>
    <col min="25" max="28" width="6.59765625" style="550"/>
    <col min="29" max="29" width="6.59765625" style="3046"/>
    <col min="30" max="36" width="6.59765625" style="550"/>
    <col min="37" max="37" width="6.59765625" style="2226"/>
    <col min="38" max="16384" width="6.59765625" style="550"/>
  </cols>
  <sheetData>
    <row r="1" spans="1:37">
      <c r="V1" s="549"/>
    </row>
    <row r="2" spans="1:37">
      <c r="A2" s="549" t="s">
        <v>2080</v>
      </c>
      <c r="B2" s="549"/>
      <c r="M2" s="549" t="s">
        <v>2081</v>
      </c>
    </row>
    <row r="4" spans="1:37" s="193" customFormat="1" ht="13">
      <c r="C4" s="552"/>
      <c r="D4" s="552"/>
      <c r="E4" s="552"/>
      <c r="F4" s="552"/>
      <c r="G4" s="552"/>
      <c r="H4" s="552"/>
      <c r="I4" s="552"/>
      <c r="N4" s="553"/>
      <c r="O4" s="553"/>
      <c r="P4" s="553"/>
      <c r="Q4" s="553"/>
      <c r="R4" s="552"/>
      <c r="T4" s="193" t="s">
        <v>1621</v>
      </c>
      <c r="AC4" s="3047"/>
      <c r="AK4" s="2227"/>
    </row>
    <row r="5" spans="1:37" s="193" customFormat="1" ht="15">
      <c r="C5" s="192" t="s">
        <v>698</v>
      </c>
      <c r="D5" s="192" t="s">
        <v>699</v>
      </c>
      <c r="E5" s="192" t="s">
        <v>827</v>
      </c>
      <c r="F5" s="192" t="s">
        <v>12</v>
      </c>
      <c r="G5" s="554"/>
      <c r="H5" s="192" t="s">
        <v>16</v>
      </c>
      <c r="I5" s="192" t="s">
        <v>1282</v>
      </c>
      <c r="N5" s="192" t="s">
        <v>698</v>
      </c>
      <c r="O5" s="192" t="s">
        <v>699</v>
      </c>
      <c r="P5" s="192" t="s">
        <v>827</v>
      </c>
      <c r="Q5" s="192" t="s">
        <v>12</v>
      </c>
      <c r="R5" s="554"/>
      <c r="T5" s="191" t="s">
        <v>1622</v>
      </c>
      <c r="U5" s="191" t="s">
        <v>699</v>
      </c>
      <c r="V5" s="191" t="s">
        <v>1623</v>
      </c>
      <c r="W5" s="191" t="s">
        <v>12</v>
      </c>
      <c r="X5" s="191" t="s">
        <v>95</v>
      </c>
      <c r="Y5" s="191" t="s">
        <v>12</v>
      </c>
      <c r="Z5" s="191" t="s">
        <v>16</v>
      </c>
      <c r="AC5" s="3047"/>
      <c r="AK5" s="2227"/>
    </row>
    <row r="6" spans="1:37" s="193" customFormat="1" ht="13">
      <c r="A6" s="555">
        <v>1918</v>
      </c>
      <c r="C6" s="193">
        <v>0</v>
      </c>
      <c r="D6" s="193">
        <v>0</v>
      </c>
      <c r="E6" s="193">
        <v>0</v>
      </c>
      <c r="F6" s="193">
        <v>1</v>
      </c>
      <c r="H6" s="193">
        <f>SUM(C6:G6)</f>
        <v>1</v>
      </c>
      <c r="I6" s="556">
        <v>1E-3</v>
      </c>
      <c r="M6" s="555">
        <v>1918</v>
      </c>
      <c r="N6" s="557">
        <v>0</v>
      </c>
      <c r="O6" s="557">
        <v>0</v>
      </c>
      <c r="P6" s="557">
        <v>0</v>
      </c>
      <c r="Q6" s="557">
        <v>9.5238095238095247E-3</v>
      </c>
      <c r="T6" s="188">
        <v>382</v>
      </c>
      <c r="U6" s="188">
        <v>57</v>
      </c>
      <c r="V6" s="188">
        <v>163</v>
      </c>
      <c r="W6" s="188">
        <f>SUM(X6:Y6)</f>
        <v>105</v>
      </c>
      <c r="X6" s="189" t="s">
        <v>103</v>
      </c>
      <c r="Y6" s="558">
        <v>105</v>
      </c>
      <c r="Z6" s="188">
        <v>707</v>
      </c>
      <c r="AC6" s="3047"/>
      <c r="AK6" s="2227"/>
    </row>
    <row r="7" spans="1:37" s="193" customFormat="1" ht="13">
      <c r="A7" s="555">
        <v>1922</v>
      </c>
      <c r="C7" s="193">
        <v>1</v>
      </c>
      <c r="D7" s="193">
        <v>0</v>
      </c>
      <c r="E7" s="193">
        <v>1</v>
      </c>
      <c r="F7" s="193">
        <v>0</v>
      </c>
      <c r="H7" s="193">
        <f>SUM(C7:G7)</f>
        <v>2</v>
      </c>
      <c r="I7" s="556">
        <v>3.0000000000000001E-3</v>
      </c>
      <c r="M7" s="555">
        <v>1922</v>
      </c>
      <c r="N7" s="557">
        <v>2.9069767441860465E-3</v>
      </c>
      <c r="O7" s="557">
        <v>0</v>
      </c>
      <c r="P7" s="557">
        <v>8.6956521739130436E-3</v>
      </c>
      <c r="Q7" s="557">
        <v>0</v>
      </c>
      <c r="T7" s="188">
        <v>344</v>
      </c>
      <c r="U7" s="188">
        <v>142</v>
      </c>
      <c r="V7" s="188">
        <v>115</v>
      </c>
      <c r="W7" s="188">
        <f t="shared" ref="W7:W30" si="0">SUM(X7:Y7)</f>
        <v>14</v>
      </c>
      <c r="X7" s="189" t="s">
        <v>103</v>
      </c>
      <c r="Y7" s="558">
        <v>14</v>
      </c>
      <c r="Z7" s="188">
        <v>615</v>
      </c>
      <c r="AC7" s="3047"/>
      <c r="AK7" s="2227"/>
    </row>
    <row r="8" spans="1:37" s="193" customFormat="1" ht="13">
      <c r="A8" s="555">
        <v>1923</v>
      </c>
      <c r="C8" s="193">
        <v>3</v>
      </c>
      <c r="D8" s="193">
        <v>3</v>
      </c>
      <c r="E8" s="193">
        <v>2</v>
      </c>
      <c r="F8" s="193">
        <v>0</v>
      </c>
      <c r="H8" s="193">
        <f t="shared" ref="H8:H30" si="1">SUM(C8:G8)</f>
        <v>8</v>
      </c>
      <c r="I8" s="556">
        <v>1.2999999999999999E-2</v>
      </c>
      <c r="M8" s="555">
        <v>1923</v>
      </c>
      <c r="N8" s="557">
        <v>1.1627906976744186E-2</v>
      </c>
      <c r="O8" s="557">
        <v>1.5706806282722512E-2</v>
      </c>
      <c r="P8" s="557">
        <v>1.2658227848101266E-2</v>
      </c>
      <c r="Q8" s="557">
        <v>0</v>
      </c>
      <c r="T8" s="188">
        <v>258</v>
      </c>
      <c r="U8" s="188">
        <v>191</v>
      </c>
      <c r="V8" s="188">
        <v>158</v>
      </c>
      <c r="W8" s="188">
        <f t="shared" si="0"/>
        <v>8</v>
      </c>
      <c r="X8" s="189" t="s">
        <v>103</v>
      </c>
      <c r="Y8" s="558">
        <v>8</v>
      </c>
      <c r="Z8" s="188">
        <v>615</v>
      </c>
      <c r="AC8" s="3047"/>
      <c r="AK8" s="2227"/>
    </row>
    <row r="9" spans="1:37" s="193" customFormat="1" ht="13">
      <c r="A9" s="555">
        <v>1924</v>
      </c>
      <c r="C9" s="193">
        <v>3</v>
      </c>
      <c r="D9" s="193">
        <v>1</v>
      </c>
      <c r="E9" s="193">
        <v>0</v>
      </c>
      <c r="F9" s="193">
        <v>0</v>
      </c>
      <c r="H9" s="193">
        <f t="shared" si="1"/>
        <v>4</v>
      </c>
      <c r="I9" s="556">
        <v>7.0000000000000001E-3</v>
      </c>
      <c r="M9" s="555">
        <v>1924</v>
      </c>
      <c r="N9" s="557">
        <v>7.2815533980582527E-3</v>
      </c>
      <c r="O9" s="557">
        <v>6.6225165562913907E-3</v>
      </c>
      <c r="P9" s="557">
        <v>0</v>
      </c>
      <c r="Q9" s="557">
        <v>0</v>
      </c>
      <c r="T9" s="188">
        <v>412</v>
      </c>
      <c r="U9" s="188">
        <v>151</v>
      </c>
      <c r="V9" s="188">
        <v>40</v>
      </c>
      <c r="W9" s="188">
        <f t="shared" si="0"/>
        <v>12</v>
      </c>
      <c r="X9" s="189" t="s">
        <v>103</v>
      </c>
      <c r="Y9" s="558">
        <v>12</v>
      </c>
      <c r="Z9" s="188">
        <v>615</v>
      </c>
      <c r="AC9" s="3047"/>
      <c r="AK9" s="2227"/>
    </row>
    <row r="10" spans="1:37" s="193" customFormat="1" ht="13">
      <c r="A10" s="555">
        <v>1929</v>
      </c>
      <c r="C10" s="193">
        <v>3</v>
      </c>
      <c r="D10" s="193">
        <v>9</v>
      </c>
      <c r="E10" s="193">
        <v>1</v>
      </c>
      <c r="F10" s="193">
        <v>1</v>
      </c>
      <c r="H10" s="193">
        <f t="shared" si="1"/>
        <v>14</v>
      </c>
      <c r="I10" s="556">
        <v>2.3E-2</v>
      </c>
      <c r="M10" s="555">
        <v>1929</v>
      </c>
      <c r="N10" s="557">
        <v>1.1538461538461539E-2</v>
      </c>
      <c r="O10" s="557">
        <v>3.1358885017421602E-2</v>
      </c>
      <c r="P10" s="557">
        <v>1.6949152542372881E-2</v>
      </c>
      <c r="Q10" s="557">
        <v>0.1111111111111111</v>
      </c>
      <c r="T10" s="188">
        <v>260</v>
      </c>
      <c r="U10" s="188">
        <v>287</v>
      </c>
      <c r="V10" s="188">
        <v>59</v>
      </c>
      <c r="W10" s="188">
        <f t="shared" si="0"/>
        <v>9</v>
      </c>
      <c r="X10" s="188">
        <v>0</v>
      </c>
      <c r="Y10" s="558">
        <v>9</v>
      </c>
      <c r="Z10" s="188">
        <v>615</v>
      </c>
      <c r="AC10" s="3047"/>
      <c r="AK10" s="2227"/>
    </row>
    <row r="11" spans="1:37" s="193" customFormat="1" ht="13">
      <c r="A11" s="555">
        <v>1931</v>
      </c>
      <c r="C11" s="193">
        <v>13</v>
      </c>
      <c r="D11" s="193">
        <v>0</v>
      </c>
      <c r="E11" s="193">
        <v>1</v>
      </c>
      <c r="F11" s="193">
        <v>1</v>
      </c>
      <c r="H11" s="193">
        <f t="shared" si="1"/>
        <v>15</v>
      </c>
      <c r="I11" s="556">
        <v>2.4E-2</v>
      </c>
      <c r="M11" s="555">
        <v>1931</v>
      </c>
      <c r="N11" s="557">
        <v>2.4904214559386972E-2</v>
      </c>
      <c r="O11" s="557">
        <v>0</v>
      </c>
      <c r="P11" s="557">
        <v>2.7777777777777776E-2</v>
      </c>
      <c r="Q11" s="557">
        <v>0.2</v>
      </c>
      <c r="T11" s="194">
        <v>522</v>
      </c>
      <c r="U11" s="188">
        <v>52</v>
      </c>
      <c r="V11" s="188">
        <v>36</v>
      </c>
      <c r="W11" s="188">
        <f t="shared" si="0"/>
        <v>5</v>
      </c>
      <c r="X11" s="188">
        <v>0</v>
      </c>
      <c r="Y11" s="558">
        <v>5</v>
      </c>
      <c r="Z11" s="188">
        <v>615</v>
      </c>
      <c r="AC11" s="3047"/>
      <c r="AK11" s="2227"/>
    </row>
    <row r="12" spans="1:37" s="193" customFormat="1" ht="13">
      <c r="A12" s="555">
        <v>1935</v>
      </c>
      <c r="C12" s="193">
        <v>6</v>
      </c>
      <c r="D12" s="193">
        <v>1</v>
      </c>
      <c r="E12" s="193">
        <v>1</v>
      </c>
      <c r="F12" s="193">
        <v>1</v>
      </c>
      <c r="H12" s="193">
        <f t="shared" si="1"/>
        <v>9</v>
      </c>
      <c r="I12" s="556">
        <v>1.4999999999999999E-2</v>
      </c>
      <c r="M12" s="555">
        <v>1935</v>
      </c>
      <c r="N12" s="557">
        <v>1.3986013986013986E-2</v>
      </c>
      <c r="O12" s="557">
        <v>6.4935064935064939E-3</v>
      </c>
      <c r="P12" s="557">
        <v>4.7619047619047616E-2</v>
      </c>
      <c r="Q12" s="557">
        <v>9.0909090909090912E-2</v>
      </c>
      <c r="T12" s="188">
        <v>429</v>
      </c>
      <c r="U12" s="188">
        <v>154</v>
      </c>
      <c r="V12" s="188">
        <v>21</v>
      </c>
      <c r="W12" s="188">
        <f t="shared" si="0"/>
        <v>11</v>
      </c>
      <c r="X12" s="188">
        <v>0</v>
      </c>
      <c r="Y12" s="558">
        <v>11</v>
      </c>
      <c r="Z12" s="188">
        <v>615</v>
      </c>
      <c r="AC12" s="3047"/>
      <c r="AK12" s="2227"/>
    </row>
    <row r="13" spans="1:37" s="193" customFormat="1" ht="13">
      <c r="A13" s="555">
        <v>1945</v>
      </c>
      <c r="C13" s="193">
        <v>1</v>
      </c>
      <c r="D13" s="193">
        <v>21</v>
      </c>
      <c r="E13" s="193">
        <v>1</v>
      </c>
      <c r="F13" s="193">
        <v>1</v>
      </c>
      <c r="H13" s="193">
        <f t="shared" si="1"/>
        <v>24</v>
      </c>
      <c r="I13" s="556">
        <v>3.7999999999999999E-2</v>
      </c>
      <c r="M13" s="555">
        <v>1945</v>
      </c>
      <c r="N13" s="557">
        <v>4.7619047619047623E-3</v>
      </c>
      <c r="O13" s="557">
        <v>5.3435114503816793E-2</v>
      </c>
      <c r="P13" s="557">
        <v>8.3333333333333329E-2</v>
      </c>
      <c r="Q13" s="557">
        <v>0.04</v>
      </c>
      <c r="T13" s="558">
        <v>210</v>
      </c>
      <c r="U13" s="558">
        <v>393</v>
      </c>
      <c r="V13" s="558">
        <v>12</v>
      </c>
      <c r="W13" s="188">
        <f t="shared" si="0"/>
        <v>25</v>
      </c>
      <c r="X13" s="558">
        <v>0</v>
      </c>
      <c r="Y13" s="558">
        <v>25</v>
      </c>
      <c r="Z13" s="558">
        <v>640</v>
      </c>
      <c r="AC13" s="3047"/>
      <c r="AK13" s="2227"/>
    </row>
    <row r="14" spans="1:37" s="193" customFormat="1" ht="13">
      <c r="A14" s="555">
        <v>1950</v>
      </c>
      <c r="C14" s="193">
        <v>6</v>
      </c>
      <c r="D14" s="193">
        <v>14</v>
      </c>
      <c r="E14" s="193">
        <v>0</v>
      </c>
      <c r="F14" s="193">
        <v>1</v>
      </c>
      <c r="H14" s="193">
        <f t="shared" si="1"/>
        <v>21</v>
      </c>
      <c r="I14" s="556">
        <v>3.4000000000000002E-2</v>
      </c>
      <c r="M14" s="555">
        <v>1950</v>
      </c>
      <c r="N14" s="557">
        <v>2.0134228187919462E-2</v>
      </c>
      <c r="O14" s="557">
        <v>4.4444444444444446E-2</v>
      </c>
      <c r="P14" s="557">
        <v>0</v>
      </c>
      <c r="Q14" s="557">
        <v>0.33333333333333331</v>
      </c>
      <c r="T14" s="558">
        <v>298</v>
      </c>
      <c r="U14" s="558">
        <v>315</v>
      </c>
      <c r="V14" s="558">
        <v>9</v>
      </c>
      <c r="W14" s="188">
        <f t="shared" si="0"/>
        <v>3</v>
      </c>
      <c r="X14" s="558">
        <v>0</v>
      </c>
      <c r="Y14" s="558">
        <v>3</v>
      </c>
      <c r="Z14" s="558">
        <v>625</v>
      </c>
      <c r="AC14" s="3047"/>
      <c r="AK14" s="2227"/>
    </row>
    <row r="15" spans="1:37" s="193" customFormat="1" ht="13">
      <c r="A15" s="555">
        <v>1951</v>
      </c>
      <c r="C15" s="193">
        <v>6</v>
      </c>
      <c r="D15" s="193">
        <v>11</v>
      </c>
      <c r="E15" s="193">
        <v>0</v>
      </c>
      <c r="F15" s="193">
        <v>0</v>
      </c>
      <c r="H15" s="193">
        <f t="shared" si="1"/>
        <v>17</v>
      </c>
      <c r="I15" s="556">
        <v>2.7E-2</v>
      </c>
      <c r="M15" s="555">
        <v>1951</v>
      </c>
      <c r="N15" s="557">
        <v>1.8691588785046728E-2</v>
      </c>
      <c r="O15" s="557">
        <v>3.7288135593220341E-2</v>
      </c>
      <c r="P15" s="557">
        <v>0</v>
      </c>
      <c r="Q15" s="557">
        <v>0</v>
      </c>
      <c r="T15" s="558">
        <v>321</v>
      </c>
      <c r="U15" s="558">
        <v>295</v>
      </c>
      <c r="V15" s="558">
        <v>6</v>
      </c>
      <c r="W15" s="188">
        <f t="shared" si="0"/>
        <v>3</v>
      </c>
      <c r="X15" s="558">
        <v>0</v>
      </c>
      <c r="Y15" s="558">
        <v>3</v>
      </c>
      <c r="Z15" s="558">
        <v>625</v>
      </c>
      <c r="AC15" s="3047"/>
      <c r="AK15" s="2227"/>
    </row>
    <row r="16" spans="1:37" s="193" customFormat="1" ht="13">
      <c r="A16" s="555">
        <v>1955</v>
      </c>
      <c r="C16" s="193">
        <v>10</v>
      </c>
      <c r="D16" s="193">
        <v>14</v>
      </c>
      <c r="E16" s="193">
        <v>0</v>
      </c>
      <c r="F16" s="193">
        <v>0</v>
      </c>
      <c r="H16" s="193">
        <f t="shared" si="1"/>
        <v>24</v>
      </c>
      <c r="I16" s="556">
        <v>3.7999999999999999E-2</v>
      </c>
      <c r="M16" s="555">
        <v>1955</v>
      </c>
      <c r="N16" s="557">
        <v>2.8985507246376812E-2</v>
      </c>
      <c r="O16" s="557">
        <v>5.0541516245487361E-2</v>
      </c>
      <c r="P16" s="557">
        <v>0</v>
      </c>
      <c r="Q16" s="557">
        <v>0</v>
      </c>
      <c r="T16" s="558">
        <v>345</v>
      </c>
      <c r="U16" s="558">
        <v>277</v>
      </c>
      <c r="V16" s="558">
        <v>6</v>
      </c>
      <c r="W16" s="188">
        <f t="shared" si="0"/>
        <v>2</v>
      </c>
      <c r="X16" s="558">
        <v>0</v>
      </c>
      <c r="Y16" s="558">
        <v>2</v>
      </c>
      <c r="Z16" s="558">
        <v>630</v>
      </c>
      <c r="AC16" s="3047"/>
      <c r="AK16" s="2227"/>
    </row>
    <row r="17" spans="1:37" s="193" customFormat="1" ht="13">
      <c r="A17" s="555">
        <v>1959</v>
      </c>
      <c r="C17" s="193">
        <v>12</v>
      </c>
      <c r="D17" s="193">
        <v>13</v>
      </c>
      <c r="E17" s="193">
        <v>0</v>
      </c>
      <c r="F17" s="193">
        <v>0</v>
      </c>
      <c r="H17" s="193">
        <f t="shared" si="1"/>
        <v>25</v>
      </c>
      <c r="I17" s="556">
        <v>0.04</v>
      </c>
      <c r="M17" s="555">
        <v>1959</v>
      </c>
      <c r="N17" s="557">
        <v>3.287671232876712E-2</v>
      </c>
      <c r="O17" s="557">
        <v>5.0387596899224806E-2</v>
      </c>
      <c r="P17" s="557">
        <v>0</v>
      </c>
      <c r="Q17" s="557">
        <v>0</v>
      </c>
      <c r="T17" s="558">
        <v>365</v>
      </c>
      <c r="U17" s="558">
        <v>258</v>
      </c>
      <c r="V17" s="558">
        <v>6</v>
      </c>
      <c r="W17" s="188">
        <f t="shared" si="0"/>
        <v>1</v>
      </c>
      <c r="X17" s="558">
        <v>0</v>
      </c>
      <c r="Y17" s="558">
        <v>1</v>
      </c>
      <c r="Z17" s="558">
        <v>630</v>
      </c>
      <c r="AC17" s="3047"/>
      <c r="AK17" s="2227"/>
    </row>
    <row r="18" spans="1:37" s="193" customFormat="1" ht="13">
      <c r="A18" s="555">
        <v>1964</v>
      </c>
      <c r="C18" s="193">
        <v>11</v>
      </c>
      <c r="D18" s="193">
        <v>18</v>
      </c>
      <c r="E18" s="193">
        <v>0</v>
      </c>
      <c r="F18" s="193">
        <v>0</v>
      </c>
      <c r="H18" s="193">
        <f t="shared" si="1"/>
        <v>29</v>
      </c>
      <c r="I18" s="556">
        <v>4.5999999999999999E-2</v>
      </c>
      <c r="M18" s="555">
        <v>1964</v>
      </c>
      <c r="N18" s="557">
        <v>3.6184210526315791E-2</v>
      </c>
      <c r="O18" s="557">
        <v>5.6782334384858045E-2</v>
      </c>
      <c r="P18" s="557">
        <v>0</v>
      </c>
      <c r="Q18" s="557" t="s">
        <v>246</v>
      </c>
      <c r="T18" s="559">
        <v>304</v>
      </c>
      <c r="U18" s="559">
        <v>317</v>
      </c>
      <c r="V18" s="559">
        <v>9</v>
      </c>
      <c r="W18" s="188">
        <f t="shared" si="0"/>
        <v>0</v>
      </c>
      <c r="X18" s="559">
        <v>0</v>
      </c>
      <c r="Y18" s="559">
        <v>0</v>
      </c>
      <c r="Z18" s="559">
        <v>630</v>
      </c>
      <c r="AC18" s="3047"/>
      <c r="AK18" s="2227"/>
    </row>
    <row r="19" spans="1:37" s="193" customFormat="1" ht="13">
      <c r="A19" s="555">
        <v>1966</v>
      </c>
      <c r="C19" s="193">
        <v>7</v>
      </c>
      <c r="D19" s="193">
        <v>19</v>
      </c>
      <c r="E19" s="193">
        <v>0</v>
      </c>
      <c r="F19" s="193">
        <v>0</v>
      </c>
      <c r="H19" s="193">
        <f t="shared" si="1"/>
        <v>26</v>
      </c>
      <c r="I19" s="556">
        <v>4.1000000000000002E-2</v>
      </c>
      <c r="M19" s="555">
        <v>1966</v>
      </c>
      <c r="N19" s="557">
        <v>2.766798418972332E-2</v>
      </c>
      <c r="O19" s="557">
        <v>5.21978021978022E-2</v>
      </c>
      <c r="P19" s="557">
        <v>0</v>
      </c>
      <c r="Q19" s="557">
        <v>0</v>
      </c>
      <c r="T19" s="558">
        <v>253</v>
      </c>
      <c r="U19" s="558">
        <v>364</v>
      </c>
      <c r="V19" s="558">
        <v>12</v>
      </c>
      <c r="W19" s="188">
        <f t="shared" si="0"/>
        <v>1</v>
      </c>
      <c r="X19" s="558">
        <v>0</v>
      </c>
      <c r="Y19" s="558">
        <v>1</v>
      </c>
      <c r="Z19" s="558">
        <v>630</v>
      </c>
      <c r="AC19" s="3047"/>
      <c r="AK19" s="2227"/>
    </row>
    <row r="20" spans="1:37" s="193" customFormat="1" ht="13">
      <c r="A20" s="555">
        <v>1970</v>
      </c>
      <c r="C20" s="193">
        <v>15</v>
      </c>
      <c r="D20" s="193">
        <v>10</v>
      </c>
      <c r="E20" s="193">
        <v>0</v>
      </c>
      <c r="F20" s="193">
        <v>1</v>
      </c>
      <c r="H20" s="193">
        <f t="shared" si="1"/>
        <v>26</v>
      </c>
      <c r="I20" s="556">
        <v>4.1000000000000002E-2</v>
      </c>
      <c r="M20" s="555">
        <v>1970</v>
      </c>
      <c r="N20" s="557">
        <v>4.5454545454545456E-2</v>
      </c>
      <c r="O20" s="557">
        <v>3.4722222222222224E-2</v>
      </c>
      <c r="P20" s="557">
        <v>0</v>
      </c>
      <c r="Q20" s="557">
        <v>0.16666666666666666</v>
      </c>
      <c r="T20" s="558">
        <v>330</v>
      </c>
      <c r="U20" s="558">
        <v>288</v>
      </c>
      <c r="V20" s="558">
        <v>6</v>
      </c>
      <c r="W20" s="188">
        <f t="shared" si="0"/>
        <v>6</v>
      </c>
      <c r="X20" s="558">
        <v>1</v>
      </c>
      <c r="Y20" s="558">
        <v>5</v>
      </c>
      <c r="Z20" s="558">
        <v>630</v>
      </c>
      <c r="AC20" s="3047"/>
      <c r="AK20" s="2227"/>
    </row>
    <row r="21" spans="1:37" s="193" customFormat="1" ht="13">
      <c r="A21" s="555" t="s">
        <v>2450</v>
      </c>
      <c r="B21" s="560"/>
      <c r="C21" s="193">
        <v>9</v>
      </c>
      <c r="D21" s="193">
        <v>13</v>
      </c>
      <c r="E21" s="193">
        <v>0</v>
      </c>
      <c r="F21" s="193">
        <v>1</v>
      </c>
      <c r="H21" s="193">
        <f t="shared" si="1"/>
        <v>23</v>
      </c>
      <c r="I21" s="556">
        <v>3.5999999999999997E-2</v>
      </c>
      <c r="M21" s="555">
        <v>1974</v>
      </c>
      <c r="N21" s="557">
        <v>3.0303030303030304E-2</v>
      </c>
      <c r="O21" s="557">
        <v>4.3189368770764118E-2</v>
      </c>
      <c r="P21" s="557">
        <v>0</v>
      </c>
      <c r="Q21" s="557">
        <v>4.3478260869565216E-2</v>
      </c>
      <c r="T21" s="558">
        <v>297</v>
      </c>
      <c r="U21" s="558">
        <v>301</v>
      </c>
      <c r="V21" s="558">
        <v>14</v>
      </c>
      <c r="W21" s="188">
        <f t="shared" si="0"/>
        <v>23</v>
      </c>
      <c r="X21" s="558">
        <v>9</v>
      </c>
      <c r="Y21" s="558">
        <v>14</v>
      </c>
      <c r="Z21" s="558">
        <v>635</v>
      </c>
      <c r="AC21" s="3047"/>
      <c r="AK21" s="2227"/>
    </row>
    <row r="22" spans="1:37" s="193" customFormat="1" ht="13">
      <c r="A22" s="555" t="s">
        <v>2451</v>
      </c>
      <c r="B22" s="560"/>
      <c r="C22" s="193">
        <v>7</v>
      </c>
      <c r="D22" s="193">
        <v>18</v>
      </c>
      <c r="E22" s="193">
        <v>0</v>
      </c>
      <c r="F22" s="193">
        <v>2</v>
      </c>
      <c r="H22" s="193">
        <f t="shared" si="1"/>
        <v>27</v>
      </c>
      <c r="I22" s="556">
        <v>4.2999999999999997E-2</v>
      </c>
      <c r="M22" s="574">
        <v>27303</v>
      </c>
      <c r="N22" s="557">
        <v>2.5270758122743681E-2</v>
      </c>
      <c r="O22" s="557">
        <v>5.6426332288401257E-2</v>
      </c>
      <c r="P22" s="557">
        <v>0</v>
      </c>
      <c r="Q22" s="557">
        <v>7.6923076923076927E-2</v>
      </c>
      <c r="T22" s="558">
        <v>277</v>
      </c>
      <c r="U22" s="558">
        <v>319</v>
      </c>
      <c r="V22" s="558">
        <v>13</v>
      </c>
      <c r="W22" s="188">
        <f t="shared" si="0"/>
        <v>26</v>
      </c>
      <c r="X22" s="558">
        <v>14</v>
      </c>
      <c r="Y22" s="558">
        <v>12</v>
      </c>
      <c r="Z22" s="558">
        <v>635</v>
      </c>
      <c r="AC22" s="3047"/>
      <c r="AK22" s="2227"/>
    </row>
    <row r="23" spans="1:37" s="193" customFormat="1" ht="13">
      <c r="A23" s="555">
        <v>1979</v>
      </c>
      <c r="C23" s="193">
        <v>8</v>
      </c>
      <c r="D23" s="193">
        <v>11</v>
      </c>
      <c r="E23" s="193">
        <v>0</v>
      </c>
      <c r="F23" s="193">
        <v>0</v>
      </c>
      <c r="H23" s="193">
        <f t="shared" si="1"/>
        <v>19</v>
      </c>
      <c r="I23" s="556">
        <v>0.03</v>
      </c>
      <c r="M23" s="555">
        <v>1979</v>
      </c>
      <c r="N23" s="557">
        <v>2.359882005899705E-2</v>
      </c>
      <c r="O23" s="557">
        <v>4.0892193308550186E-2</v>
      </c>
      <c r="P23" s="557">
        <v>0</v>
      </c>
      <c r="Q23" s="557">
        <v>0</v>
      </c>
      <c r="T23" s="558">
        <v>339</v>
      </c>
      <c r="U23" s="558">
        <v>269</v>
      </c>
      <c r="V23" s="558">
        <v>11</v>
      </c>
      <c r="W23" s="188">
        <f t="shared" si="0"/>
        <v>16</v>
      </c>
      <c r="X23" s="558">
        <v>4</v>
      </c>
      <c r="Y23" s="558">
        <v>12</v>
      </c>
      <c r="Z23" s="558">
        <v>635</v>
      </c>
      <c r="AC23" s="3047"/>
      <c r="AK23" s="2227"/>
    </row>
    <row r="24" spans="1:37" s="193" customFormat="1" ht="13">
      <c r="A24" s="555">
        <v>1983</v>
      </c>
      <c r="C24" s="193">
        <v>13</v>
      </c>
      <c r="D24" s="193">
        <v>10</v>
      </c>
      <c r="E24" s="193">
        <v>0</v>
      </c>
      <c r="F24" s="193">
        <v>0</v>
      </c>
      <c r="H24" s="193">
        <f t="shared" si="1"/>
        <v>23</v>
      </c>
      <c r="I24" s="556">
        <v>3.5000000000000003E-2</v>
      </c>
      <c r="M24" s="555">
        <v>1983</v>
      </c>
      <c r="N24" s="557">
        <v>3.2745591939546598E-2</v>
      </c>
      <c r="O24" s="557">
        <v>4.784688995215311E-2</v>
      </c>
      <c r="P24" s="557">
        <v>0</v>
      </c>
      <c r="Q24" s="557">
        <v>0</v>
      </c>
      <c r="T24" s="558">
        <v>397</v>
      </c>
      <c r="U24" s="558">
        <v>209</v>
      </c>
      <c r="V24" s="558">
        <v>23</v>
      </c>
      <c r="W24" s="188">
        <f t="shared" si="0"/>
        <v>21</v>
      </c>
      <c r="X24" s="558">
        <v>4</v>
      </c>
      <c r="Y24" s="558">
        <v>17</v>
      </c>
      <c r="Z24" s="558">
        <v>650</v>
      </c>
      <c r="AC24" s="3047"/>
      <c r="AK24" s="2227"/>
    </row>
    <row r="25" spans="1:37" s="193" customFormat="1" ht="13">
      <c r="A25" s="555">
        <v>1987</v>
      </c>
      <c r="C25" s="193">
        <v>17</v>
      </c>
      <c r="D25" s="193">
        <v>21</v>
      </c>
      <c r="E25" s="193">
        <v>2</v>
      </c>
      <c r="F25" s="193">
        <v>1</v>
      </c>
      <c r="H25" s="193">
        <f t="shared" si="1"/>
        <v>41</v>
      </c>
      <c r="I25" s="556">
        <v>6.3E-2</v>
      </c>
      <c r="M25" s="555">
        <v>1987</v>
      </c>
      <c r="N25" s="557">
        <v>4.5212765957446811E-2</v>
      </c>
      <c r="O25" s="557">
        <v>9.1703056768558958E-2</v>
      </c>
      <c r="P25" s="557">
        <v>9.0909090909090912E-2</v>
      </c>
      <c r="Q25" s="557">
        <v>4.3478260869565216E-2</v>
      </c>
      <c r="T25" s="558">
        <v>376</v>
      </c>
      <c r="U25" s="558">
        <v>229</v>
      </c>
      <c r="V25" s="558">
        <v>22</v>
      </c>
      <c r="W25" s="188">
        <f t="shared" si="0"/>
        <v>23</v>
      </c>
      <c r="X25" s="558">
        <v>6</v>
      </c>
      <c r="Y25" s="558">
        <v>17</v>
      </c>
      <c r="Z25" s="558">
        <v>650</v>
      </c>
      <c r="AC25" s="3047"/>
      <c r="AK25" s="2227"/>
    </row>
    <row r="26" spans="1:37" s="193" customFormat="1" ht="13">
      <c r="A26" s="555">
        <v>1992</v>
      </c>
      <c r="C26" s="193">
        <v>20</v>
      </c>
      <c r="D26" s="193">
        <v>37</v>
      </c>
      <c r="E26" s="193">
        <v>2</v>
      </c>
      <c r="F26" s="193">
        <v>1</v>
      </c>
      <c r="H26" s="193">
        <f t="shared" si="1"/>
        <v>60</v>
      </c>
      <c r="I26" s="556">
        <v>9.1999999999999998E-2</v>
      </c>
      <c r="M26" s="555">
        <v>1992</v>
      </c>
      <c r="N26" s="557">
        <v>5.9523809523809521E-2</v>
      </c>
      <c r="O26" s="557">
        <v>0.13653136531365315</v>
      </c>
      <c r="P26" s="557">
        <v>0.1</v>
      </c>
      <c r="Q26" s="557">
        <v>4.1666666666666664E-2</v>
      </c>
      <c r="T26" s="558">
        <v>336</v>
      </c>
      <c r="U26" s="558">
        <v>271</v>
      </c>
      <c r="V26" s="558">
        <v>20</v>
      </c>
      <c r="W26" s="188">
        <f t="shared" si="0"/>
        <v>24</v>
      </c>
      <c r="X26" s="558">
        <v>7</v>
      </c>
      <c r="Y26" s="558">
        <v>17</v>
      </c>
      <c r="Z26" s="558">
        <v>651</v>
      </c>
      <c r="AC26" s="3047"/>
      <c r="AK26" s="2227"/>
    </row>
    <row r="27" spans="1:37" s="193" customFormat="1" ht="13">
      <c r="A27" s="555">
        <v>1997</v>
      </c>
      <c r="C27" s="193">
        <v>13</v>
      </c>
      <c r="D27" s="193">
        <v>101</v>
      </c>
      <c r="E27" s="193">
        <v>3</v>
      </c>
      <c r="F27" s="193">
        <v>3</v>
      </c>
      <c r="H27" s="193">
        <f t="shared" si="1"/>
        <v>120</v>
      </c>
      <c r="I27" s="556">
        <v>0.182</v>
      </c>
      <c r="M27" s="555">
        <v>1997</v>
      </c>
      <c r="N27" s="557">
        <v>7.8787878787878782E-2</v>
      </c>
      <c r="O27" s="557">
        <v>0.24162679425837322</v>
      </c>
      <c r="P27" s="557">
        <v>6.5217391304347824E-2</v>
      </c>
      <c r="Q27" s="557">
        <v>0.1</v>
      </c>
      <c r="T27" s="558">
        <v>165</v>
      </c>
      <c r="U27" s="558">
        <v>418</v>
      </c>
      <c r="V27" s="558">
        <v>46</v>
      </c>
      <c r="W27" s="188">
        <f t="shared" si="0"/>
        <v>30</v>
      </c>
      <c r="X27" s="558">
        <v>10</v>
      </c>
      <c r="Y27" s="558">
        <v>20</v>
      </c>
      <c r="Z27" s="558">
        <v>659</v>
      </c>
      <c r="AC27" s="3047"/>
      <c r="AK27" s="2227"/>
    </row>
    <row r="28" spans="1:37" s="193" customFormat="1" ht="13">
      <c r="A28" s="561">
        <v>2001</v>
      </c>
      <c r="B28" s="562"/>
      <c r="C28" s="193">
        <v>14</v>
      </c>
      <c r="D28" s="193">
        <v>95</v>
      </c>
      <c r="E28" s="193">
        <v>5</v>
      </c>
      <c r="F28" s="193">
        <v>4</v>
      </c>
      <c r="H28" s="193">
        <f t="shared" si="1"/>
        <v>118</v>
      </c>
      <c r="I28" s="556">
        <v>0.17899999999999999</v>
      </c>
      <c r="M28" s="561">
        <v>2001</v>
      </c>
      <c r="N28" s="557">
        <v>8.4337349397590355E-2</v>
      </c>
      <c r="O28" s="557">
        <v>0.23058252427184467</v>
      </c>
      <c r="P28" s="557">
        <v>9.6153846153846159E-2</v>
      </c>
      <c r="Q28" s="557">
        <v>0.13793103448275862</v>
      </c>
      <c r="T28" s="558">
        <v>166</v>
      </c>
      <c r="U28" s="558">
        <v>412</v>
      </c>
      <c r="V28" s="558">
        <v>52</v>
      </c>
      <c r="W28" s="188">
        <f t="shared" si="0"/>
        <v>29</v>
      </c>
      <c r="X28" s="558">
        <v>9</v>
      </c>
      <c r="Y28" s="558">
        <v>20</v>
      </c>
      <c r="Z28" s="558">
        <v>659</v>
      </c>
      <c r="AC28" s="3047"/>
      <c r="AK28" s="2227"/>
    </row>
    <row r="29" spans="1:37" s="193" customFormat="1" ht="13">
      <c r="A29" s="563">
        <v>2005</v>
      </c>
      <c r="B29" s="564"/>
      <c r="C29" s="193">
        <v>17</v>
      </c>
      <c r="D29" s="193">
        <v>98</v>
      </c>
      <c r="E29" s="193">
        <v>10</v>
      </c>
      <c r="F29" s="193">
        <v>3</v>
      </c>
      <c r="H29" s="193">
        <f t="shared" si="1"/>
        <v>128</v>
      </c>
      <c r="I29" s="556">
        <v>0.19800000000000001</v>
      </c>
      <c r="M29" s="563">
        <v>2005</v>
      </c>
      <c r="N29" s="557">
        <v>8.5858585858585856E-2</v>
      </c>
      <c r="O29" s="557">
        <v>0.27605633802816903</v>
      </c>
      <c r="P29" s="557">
        <v>0.16129032258064516</v>
      </c>
      <c r="Q29" s="557">
        <v>9.6774193548387094E-2</v>
      </c>
      <c r="T29" s="558">
        <v>198</v>
      </c>
      <c r="U29" s="558">
        <v>355</v>
      </c>
      <c r="V29" s="558">
        <v>62</v>
      </c>
      <c r="W29" s="188">
        <f t="shared" si="0"/>
        <v>31</v>
      </c>
      <c r="X29" s="558">
        <v>9</v>
      </c>
      <c r="Y29" s="558">
        <v>22</v>
      </c>
      <c r="Z29" s="558">
        <v>646</v>
      </c>
      <c r="AC29" s="3047"/>
      <c r="AK29" s="2227"/>
    </row>
    <row r="30" spans="1:37" s="193" customFormat="1" ht="13">
      <c r="A30" s="561">
        <v>2010</v>
      </c>
      <c r="B30" s="562"/>
      <c r="C30" s="562">
        <v>49</v>
      </c>
      <c r="D30" s="562">
        <v>81</v>
      </c>
      <c r="E30" s="562">
        <v>7</v>
      </c>
      <c r="F30" s="562">
        <v>6</v>
      </c>
      <c r="G30" s="562"/>
      <c r="H30" s="562">
        <f t="shared" si="1"/>
        <v>143</v>
      </c>
      <c r="I30" s="565">
        <v>0.22</v>
      </c>
      <c r="M30" s="561">
        <v>2010</v>
      </c>
      <c r="N30" s="792">
        <f t="shared" ref="N30:Q32" si="2">C30/T30</f>
        <v>0.16013071895424835</v>
      </c>
      <c r="O30" s="792">
        <f t="shared" si="2"/>
        <v>0.31395348837209303</v>
      </c>
      <c r="P30" s="792">
        <f t="shared" si="2"/>
        <v>0.12280701754385964</v>
      </c>
      <c r="Q30" s="792">
        <f t="shared" si="2"/>
        <v>0.20689655172413793</v>
      </c>
      <c r="R30" s="562"/>
      <c r="T30" s="558">
        <v>306</v>
      </c>
      <c r="U30" s="558">
        <v>258</v>
      </c>
      <c r="V30" s="558">
        <v>57</v>
      </c>
      <c r="W30" s="188">
        <f t="shared" si="0"/>
        <v>29</v>
      </c>
      <c r="X30" s="558">
        <v>9</v>
      </c>
      <c r="Y30" s="558">
        <v>20</v>
      </c>
      <c r="Z30" s="558">
        <v>650</v>
      </c>
      <c r="AC30" s="3047"/>
      <c r="AK30" s="2227"/>
    </row>
    <row r="31" spans="1:37" s="193" customFormat="1" ht="13">
      <c r="A31" s="561">
        <v>2015</v>
      </c>
      <c r="B31" s="562"/>
      <c r="C31" s="562">
        <v>68</v>
      </c>
      <c r="D31" s="562">
        <v>99</v>
      </c>
      <c r="E31" s="562">
        <v>0</v>
      </c>
      <c r="F31" s="562">
        <f>H31-SUM(C31:E31)</f>
        <v>24</v>
      </c>
      <c r="G31" s="562"/>
      <c r="H31" s="562">
        <v>191</v>
      </c>
      <c r="I31" s="565">
        <f>H31/650</f>
        <v>0.29384615384615387</v>
      </c>
      <c r="M31" s="561">
        <v>2015</v>
      </c>
      <c r="N31" s="792">
        <f t="shared" si="2"/>
        <v>0.20606060606060606</v>
      </c>
      <c r="O31" s="792">
        <f t="shared" si="2"/>
        <v>0.42672413793103448</v>
      </c>
      <c r="P31" s="792">
        <f t="shared" si="2"/>
        <v>0</v>
      </c>
      <c r="Q31" s="792">
        <f t="shared" si="2"/>
        <v>0.3</v>
      </c>
      <c r="R31" s="562"/>
      <c r="T31" s="437">
        <v>330</v>
      </c>
      <c r="U31" s="437">
        <v>232</v>
      </c>
      <c r="V31" s="437">
        <v>8</v>
      </c>
      <c r="W31" s="437">
        <v>80</v>
      </c>
      <c r="X31" s="437">
        <v>59</v>
      </c>
      <c r="Y31" s="437">
        <v>21</v>
      </c>
      <c r="Z31" s="558">
        <v>650</v>
      </c>
      <c r="AC31" s="3047"/>
      <c r="AK31" s="2227"/>
    </row>
    <row r="32" spans="1:37" s="193" customFormat="1" thickBot="1">
      <c r="A32" s="176">
        <v>2017</v>
      </c>
      <c r="B32" s="123"/>
      <c r="C32" s="184">
        <v>67</v>
      </c>
      <c r="D32" s="184">
        <v>119</v>
      </c>
      <c r="E32" s="184">
        <v>4</v>
      </c>
      <c r="F32" s="184">
        <v>18</v>
      </c>
      <c r="G32" s="184"/>
      <c r="H32" s="184">
        <f>SUM(C32:F32)</f>
        <v>208</v>
      </c>
      <c r="I32" s="185">
        <f>H32/650</f>
        <v>0.32</v>
      </c>
      <c r="M32" s="841">
        <v>2017</v>
      </c>
      <c r="N32" s="792">
        <f t="shared" si="2"/>
        <v>0.2113564668769716</v>
      </c>
      <c r="O32" s="792">
        <f t="shared" si="2"/>
        <v>0.45419847328244273</v>
      </c>
      <c r="P32" s="792">
        <f t="shared" si="2"/>
        <v>0.33333333333333331</v>
      </c>
      <c r="Q32" s="792">
        <f>F32/W32</f>
        <v>0.30508474576271188</v>
      </c>
      <c r="R32" s="566"/>
      <c r="T32" s="193">
        <v>317</v>
      </c>
      <c r="U32" s="193">
        <v>262</v>
      </c>
      <c r="V32" s="193">
        <v>12</v>
      </c>
      <c r="W32" s="193">
        <v>59</v>
      </c>
      <c r="X32" s="193">
        <v>39</v>
      </c>
      <c r="Y32" s="437">
        <v>20</v>
      </c>
      <c r="Z32" s="193">
        <f>SUM(T32:W32)</f>
        <v>650</v>
      </c>
      <c r="AC32" s="3047"/>
      <c r="AK32" s="2227"/>
    </row>
    <row r="33" spans="1:37" s="193" customFormat="1" ht="13">
      <c r="A33" s="176">
        <f>'5 Women MPs'!B34</f>
        <v>2019</v>
      </c>
      <c r="B33" s="176"/>
      <c r="C33" s="2583">
        <v>87</v>
      </c>
      <c r="D33" s="2583">
        <v>104</v>
      </c>
      <c r="E33" s="2583">
        <v>7</v>
      </c>
      <c r="F33" s="2583">
        <v>22</v>
      </c>
      <c r="G33" s="2583"/>
      <c r="H33" s="2583">
        <f>'5 Women MPs'!J34</f>
        <v>220</v>
      </c>
      <c r="I33" s="185">
        <f>H33/650</f>
        <v>0.33846153846153848</v>
      </c>
      <c r="M33" s="561">
        <v>2019</v>
      </c>
      <c r="N33" s="792">
        <f>C33/T33</f>
        <v>0.23835616438356164</v>
      </c>
      <c r="O33" s="792">
        <f>D33/U33</f>
        <v>0.51485148514851486</v>
      </c>
      <c r="P33" s="792">
        <f>E33/V33</f>
        <v>0.63636363636363635</v>
      </c>
      <c r="Q33" s="792">
        <f>F33/W33</f>
        <v>0.30555555555555558</v>
      </c>
      <c r="R33" s="562"/>
      <c r="T33" s="193">
        <v>365</v>
      </c>
      <c r="U33" s="193">
        <v>202</v>
      </c>
      <c r="V33" s="193">
        <v>11</v>
      </c>
      <c r="W33" s="193">
        <v>72</v>
      </c>
      <c r="X33" s="193">
        <v>52</v>
      </c>
      <c r="Y33" s="437">
        <v>20</v>
      </c>
      <c r="Z33" s="193">
        <v>650</v>
      </c>
      <c r="AC33" s="3047"/>
      <c r="AK33" s="2227"/>
    </row>
    <row r="34" spans="1:37">
      <c r="H34" s="567"/>
      <c r="N34" s="572">
        <f>C31/T31</f>
        <v>0.20606060606060606</v>
      </c>
      <c r="O34" s="572">
        <f>D31/U31</f>
        <v>0.42672413793103448</v>
      </c>
      <c r="P34" s="572">
        <f>E31/V31</f>
        <v>0</v>
      </c>
      <c r="Q34" s="572">
        <f>F31/W31</f>
        <v>0.3</v>
      </c>
    </row>
    <row r="35" spans="1:37">
      <c r="A35" s="568" t="s">
        <v>1113</v>
      </c>
      <c r="B35" s="569"/>
      <c r="C35" s="569"/>
      <c r="D35" s="569"/>
      <c r="E35" s="569"/>
      <c r="F35" s="569"/>
      <c r="G35" s="569"/>
      <c r="H35" s="569"/>
      <c r="I35" s="569"/>
      <c r="J35" s="444"/>
      <c r="N35" s="572"/>
      <c r="O35" s="572">
        <f>D30/U30</f>
        <v>0.31395348837209303</v>
      </c>
      <c r="P35" s="572">
        <f>E30/V30</f>
        <v>0.12280701754385964</v>
      </c>
      <c r="Q35" s="572">
        <f>F30/W30</f>
        <v>0.20689655172413793</v>
      </c>
    </row>
    <row r="36" spans="1:37" ht="36.75" customHeight="1">
      <c r="A36" s="3413" t="s">
        <v>1283</v>
      </c>
      <c r="B36" s="3413"/>
      <c r="C36" s="3413"/>
      <c r="D36" s="3413"/>
      <c r="E36" s="3413"/>
      <c r="F36" s="3413"/>
      <c r="G36" s="3413"/>
      <c r="H36" s="3413"/>
      <c r="I36" s="3413"/>
      <c r="J36" s="571"/>
    </row>
    <row r="37" spans="1:37" ht="35.25" customHeight="1">
      <c r="A37" s="3413" t="s">
        <v>1284</v>
      </c>
      <c r="B37" s="3413"/>
      <c r="C37" s="3413"/>
      <c r="D37" s="3413"/>
      <c r="E37" s="3413"/>
      <c r="F37" s="3413"/>
      <c r="G37" s="3413"/>
      <c r="H37" s="3413"/>
      <c r="I37" s="3413"/>
      <c r="J37" s="571"/>
      <c r="W37" s="572"/>
    </row>
    <row r="38" spans="1:37">
      <c r="A38" s="3413" t="s">
        <v>1285</v>
      </c>
      <c r="B38" s="3413"/>
      <c r="C38" s="3413"/>
      <c r="D38" s="3413"/>
      <c r="E38" s="3413"/>
      <c r="F38" s="3413"/>
      <c r="G38" s="3413"/>
      <c r="H38" s="3413"/>
      <c r="I38" s="3413"/>
      <c r="J38" s="570"/>
    </row>
    <row r="39" spans="1:37">
      <c r="A39" s="569"/>
      <c r="B39" s="569"/>
      <c r="C39" s="569"/>
      <c r="D39" s="569"/>
      <c r="E39" s="569"/>
      <c r="F39" s="569"/>
      <c r="G39" s="569"/>
      <c r="H39" s="569"/>
      <c r="I39" s="569"/>
      <c r="J39" s="444"/>
    </row>
    <row r="40" spans="1:37">
      <c r="A40" s="568" t="s">
        <v>1114</v>
      </c>
      <c r="B40" s="569"/>
      <c r="C40" s="569"/>
      <c r="D40" s="569"/>
      <c r="E40" s="569"/>
      <c r="F40" s="569"/>
      <c r="G40" s="569"/>
      <c r="H40" s="569"/>
      <c r="I40" s="569"/>
      <c r="J40" s="444"/>
    </row>
    <row r="41" spans="1:37">
      <c r="A41" s="3413" t="s">
        <v>1624</v>
      </c>
      <c r="B41" s="3413"/>
      <c r="C41" s="3413"/>
      <c r="D41" s="3413"/>
      <c r="E41" s="3413"/>
      <c r="F41" s="3413"/>
      <c r="G41" s="3413"/>
      <c r="H41" s="3413"/>
      <c r="I41" s="3413"/>
      <c r="J41" s="444"/>
    </row>
    <row r="42" spans="1:37">
      <c r="A42" s="3413" t="s">
        <v>1625</v>
      </c>
      <c r="B42" s="3413"/>
      <c r="C42" s="3413"/>
      <c r="D42" s="3413"/>
      <c r="E42" s="3413"/>
      <c r="F42" s="3413"/>
      <c r="G42" s="3413"/>
      <c r="H42" s="3413"/>
      <c r="I42" s="3413"/>
      <c r="J42" s="444"/>
    </row>
    <row r="43" spans="1:37">
      <c r="A43" s="573"/>
      <c r="B43" s="573"/>
    </row>
    <row r="44" spans="1:37">
      <c r="A44" s="573"/>
      <c r="B44" s="573"/>
    </row>
    <row r="45" spans="1:37">
      <c r="A45" s="573"/>
      <c r="B45" s="573"/>
    </row>
    <row r="46" spans="1:37">
      <c r="A46" s="573"/>
      <c r="B46" s="573"/>
    </row>
    <row r="47" spans="1:37">
      <c r="A47" s="573"/>
      <c r="B47" s="573"/>
    </row>
    <row r="48" spans="1:37">
      <c r="A48" s="573"/>
      <c r="B48" s="573"/>
    </row>
  </sheetData>
  <mergeCells count="5">
    <mergeCell ref="A36:I36"/>
    <mergeCell ref="A37:I37"/>
    <mergeCell ref="A38:I38"/>
    <mergeCell ref="A41:I41"/>
    <mergeCell ref="A42:I42"/>
  </mergeCells>
  <conditionalFormatting sqref="I32:I33">
    <cfRule type="dataBar" priority="1">
      <dataBar>
        <cfvo type="num" val="0"/>
        <cfvo type="num" val="0.55000000000000004"/>
        <color rgb="FF36845B"/>
      </dataBar>
      <extLst>
        <ext xmlns:x14="http://schemas.microsoft.com/office/spreadsheetml/2009/9/main" uri="{B025F937-C7B1-47D3-B67F-A62EFF666E3E}">
          <x14:id>{16AF3641-13C4-49AE-9202-998FBF1358CC}</x14:id>
        </ext>
      </extLst>
    </cfRule>
  </conditionalFormatting>
  <pageMargins left="0.75" right="0.75" top="1" bottom="1" header="0.5" footer="0.5"/>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16AF3641-13C4-49AE-9202-998FBF1358CC}">
            <x14:dataBar minLength="0" maxLength="100" negativeBarColorSameAsPositive="1" axisPosition="none">
              <x14:cfvo type="num">
                <xm:f>0</xm:f>
              </x14:cfvo>
              <x14:cfvo type="num">
                <xm:f>0.55000000000000004</xm:f>
              </x14:cfvo>
            </x14:dataBar>
          </x14:cfRule>
          <xm:sqref>I32:I33</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dimension ref="A1:U47"/>
  <sheetViews>
    <sheetView showGridLines="0" workbookViewId="0">
      <selection activeCell="U28" sqref="U28"/>
    </sheetView>
  </sheetViews>
  <sheetFormatPr baseColWidth="10" defaultColWidth="9.3984375" defaultRowHeight="12"/>
  <cols>
    <col min="1" max="1" width="7.796875" style="23" customWidth="1"/>
    <col min="2" max="2" width="1.19921875" style="23" customWidth="1"/>
    <col min="3" max="6" width="7.796875" style="23" customWidth="1"/>
    <col min="7" max="7" width="1.19921875" style="23" customWidth="1"/>
    <col min="8" max="8" width="7.796875" style="23" customWidth="1"/>
    <col min="9" max="9" width="9.796875" style="23" customWidth="1"/>
    <col min="10" max="10" width="11.19921875" style="23" customWidth="1"/>
    <col min="11" max="12" width="9.3984375" style="23"/>
    <col min="13" max="13" width="3.59765625" style="23" customWidth="1"/>
    <col min="14" max="14" width="9.3984375" style="23" customWidth="1"/>
    <col min="15" max="16" width="9.3984375" style="23"/>
    <col min="17" max="17" width="9.3984375" style="23" customWidth="1"/>
    <col min="18" max="18" width="9.3984375" style="23"/>
    <col min="19" max="19" width="0.796875" style="23" customWidth="1"/>
    <col min="20" max="16384" width="9.3984375" style="23"/>
  </cols>
  <sheetData>
    <row r="1" spans="1:21">
      <c r="A1" s="23" t="s">
        <v>294</v>
      </c>
    </row>
    <row r="3" spans="1:21">
      <c r="A3" s="24" t="s">
        <v>1060</v>
      </c>
      <c r="B3" s="24"/>
      <c r="M3" s="24" t="s">
        <v>1617</v>
      </c>
    </row>
    <row r="4" spans="1:21">
      <c r="A4" s="25"/>
      <c r="B4" s="25"/>
      <c r="C4" s="25"/>
      <c r="D4" s="25"/>
      <c r="E4" s="25"/>
      <c r="F4" s="25"/>
      <c r="G4" s="25"/>
      <c r="H4" s="25"/>
      <c r="I4" s="25"/>
      <c r="J4" s="25"/>
      <c r="M4" s="25"/>
      <c r="N4" s="25"/>
      <c r="O4" s="25"/>
      <c r="P4" s="25"/>
      <c r="Q4" s="25"/>
      <c r="R4" s="25"/>
      <c r="S4" s="25"/>
      <c r="T4" s="25"/>
      <c r="U4" s="25"/>
    </row>
    <row r="5" spans="1:21" ht="3" customHeight="1"/>
    <row r="6" spans="1:21">
      <c r="A6" s="24" t="s">
        <v>756</v>
      </c>
      <c r="B6" s="24"/>
      <c r="C6" s="27" t="s">
        <v>13</v>
      </c>
      <c r="D6" s="27" t="s">
        <v>14</v>
      </c>
      <c r="E6" s="27" t="s">
        <v>234</v>
      </c>
      <c r="F6" s="27" t="s">
        <v>218</v>
      </c>
      <c r="G6" s="27"/>
      <c r="H6" s="27" t="s">
        <v>12</v>
      </c>
      <c r="I6" s="27" t="s">
        <v>16</v>
      </c>
      <c r="J6" s="27" t="s">
        <v>235</v>
      </c>
      <c r="L6" s="24" t="s">
        <v>756</v>
      </c>
      <c r="M6" s="24"/>
      <c r="N6" s="27" t="s">
        <v>13</v>
      </c>
      <c r="O6" s="27" t="s">
        <v>14</v>
      </c>
      <c r="P6" s="27" t="s">
        <v>234</v>
      </c>
      <c r="Q6" s="27" t="s">
        <v>218</v>
      </c>
      <c r="R6" s="27" t="s">
        <v>12</v>
      </c>
      <c r="S6" s="27"/>
      <c r="T6" s="27" t="s">
        <v>16</v>
      </c>
      <c r="U6" s="27" t="s">
        <v>235</v>
      </c>
    </row>
    <row r="7" spans="1:21" ht="3" customHeight="1">
      <c r="A7" s="30"/>
      <c r="B7" s="25"/>
      <c r="C7" s="25"/>
      <c r="D7" s="25"/>
      <c r="E7" s="25"/>
      <c r="F7" s="25"/>
      <c r="G7" s="25"/>
      <c r="H7" s="25"/>
      <c r="I7" s="25"/>
      <c r="J7" s="25"/>
      <c r="L7" s="30"/>
      <c r="M7" s="25"/>
      <c r="N7" s="25"/>
      <c r="O7" s="25"/>
      <c r="P7" s="25"/>
      <c r="Q7" s="25"/>
      <c r="R7" s="25"/>
      <c r="S7" s="25"/>
      <c r="T7" s="25"/>
      <c r="U7" s="25"/>
    </row>
    <row r="8" spans="1:21" ht="15">
      <c r="A8" s="30"/>
      <c r="B8" s="30"/>
      <c r="C8" s="30"/>
      <c r="D8" s="30"/>
      <c r="E8" s="30"/>
      <c r="F8" s="30"/>
      <c r="G8" s="30"/>
      <c r="H8" s="30"/>
      <c r="I8" s="30"/>
      <c r="J8" s="30"/>
      <c r="L8" s="30" t="s">
        <v>1615</v>
      </c>
      <c r="M8" s="30"/>
      <c r="N8" s="537">
        <v>0</v>
      </c>
      <c r="O8" s="537">
        <v>0</v>
      </c>
      <c r="P8" s="537">
        <v>0</v>
      </c>
      <c r="Q8" s="537">
        <v>1</v>
      </c>
      <c r="R8" s="537">
        <v>0</v>
      </c>
      <c r="S8" s="30"/>
      <c r="T8" s="30">
        <f t="shared" ref="T8:T21" si="0">SUM(N8:R8)</f>
        <v>1</v>
      </c>
      <c r="U8" s="36">
        <f t="shared" ref="U8:U22" si="1">T8/$I$22</f>
        <v>1.5384615384615385E-3</v>
      </c>
    </row>
    <row r="9" spans="1:21" ht="15">
      <c r="A9" s="40" t="s">
        <v>708</v>
      </c>
      <c r="C9" s="37">
        <v>2</v>
      </c>
      <c r="D9" s="37">
        <v>5</v>
      </c>
      <c r="E9" s="37">
        <v>0</v>
      </c>
      <c r="F9" s="34">
        <v>0</v>
      </c>
      <c r="G9" s="34"/>
      <c r="H9" s="34">
        <v>0</v>
      </c>
      <c r="I9" s="34">
        <f t="shared" ref="I9:I20" si="2">SUM(C9:H9)</f>
        <v>7</v>
      </c>
      <c r="J9" s="36">
        <f t="shared" ref="J9:J20" si="3">I9/$I$22</f>
        <v>1.0769230769230769E-2</v>
      </c>
      <c r="L9" s="40" t="s">
        <v>708</v>
      </c>
      <c r="N9" s="537">
        <v>5</v>
      </c>
      <c r="O9" s="537">
        <v>2</v>
      </c>
      <c r="P9" s="537">
        <v>0</v>
      </c>
      <c r="Q9" s="537">
        <v>5</v>
      </c>
      <c r="R9" s="537">
        <v>0</v>
      </c>
      <c r="S9" s="34"/>
      <c r="T9" s="30">
        <f t="shared" si="0"/>
        <v>12</v>
      </c>
      <c r="U9" s="36">
        <f t="shared" si="1"/>
        <v>1.8461538461538463E-2</v>
      </c>
    </row>
    <row r="10" spans="1:21" ht="13">
      <c r="A10" s="40" t="s">
        <v>245</v>
      </c>
      <c r="C10" s="37">
        <v>16</v>
      </c>
      <c r="D10" s="37">
        <v>13</v>
      </c>
      <c r="E10" s="37">
        <v>5</v>
      </c>
      <c r="F10" s="34">
        <v>0</v>
      </c>
      <c r="G10" s="34"/>
      <c r="H10" s="34">
        <v>0</v>
      </c>
      <c r="I10" s="34">
        <f t="shared" si="2"/>
        <v>34</v>
      </c>
      <c r="J10" s="36">
        <f t="shared" si="3"/>
        <v>5.2307692307692305E-2</v>
      </c>
      <c r="L10" s="40" t="s">
        <v>245</v>
      </c>
      <c r="N10" s="538">
        <v>12</v>
      </c>
      <c r="O10" s="538">
        <v>10</v>
      </c>
      <c r="P10" s="538">
        <v>0</v>
      </c>
      <c r="Q10" s="538">
        <v>3</v>
      </c>
      <c r="R10" s="538">
        <v>2</v>
      </c>
      <c r="S10" s="536"/>
      <c r="T10" s="30">
        <f t="shared" si="0"/>
        <v>27</v>
      </c>
      <c r="U10" s="36">
        <f t="shared" si="1"/>
        <v>4.1538461538461538E-2</v>
      </c>
    </row>
    <row r="11" spans="1:21" ht="13">
      <c r="A11" s="40" t="s">
        <v>244</v>
      </c>
      <c r="C11" s="37">
        <v>38</v>
      </c>
      <c r="D11" s="37">
        <v>18</v>
      </c>
      <c r="E11" s="37">
        <v>4</v>
      </c>
      <c r="F11" s="34">
        <v>1</v>
      </c>
      <c r="G11" s="34"/>
      <c r="H11" s="34">
        <v>1</v>
      </c>
      <c r="I11" s="34">
        <f t="shared" si="2"/>
        <v>62</v>
      </c>
      <c r="J11" s="36">
        <f t="shared" si="3"/>
        <v>9.5384615384615387E-2</v>
      </c>
      <c r="L11" s="40" t="s">
        <v>244</v>
      </c>
      <c r="N11" s="538">
        <v>30</v>
      </c>
      <c r="O11" s="538">
        <f>25+1</f>
        <v>26</v>
      </c>
      <c r="P11" s="538">
        <v>0</v>
      </c>
      <c r="Q11" s="538">
        <v>6</v>
      </c>
      <c r="R11" s="538">
        <v>0</v>
      </c>
      <c r="S11" s="34"/>
      <c r="T11" s="30">
        <f t="shared" si="0"/>
        <v>62</v>
      </c>
      <c r="U11" s="36">
        <f t="shared" si="1"/>
        <v>9.5384615384615387E-2</v>
      </c>
    </row>
    <row r="12" spans="1:21" ht="13">
      <c r="A12" s="40" t="s">
        <v>243</v>
      </c>
      <c r="C12" s="37">
        <v>59</v>
      </c>
      <c r="D12" s="37">
        <v>25</v>
      </c>
      <c r="E12" s="37">
        <v>6</v>
      </c>
      <c r="F12" s="34">
        <v>3</v>
      </c>
      <c r="G12" s="34"/>
      <c r="H12" s="34">
        <v>3</v>
      </c>
      <c r="I12" s="34">
        <f t="shared" si="2"/>
        <v>96</v>
      </c>
      <c r="J12" s="36">
        <f t="shared" si="3"/>
        <v>0.14769230769230771</v>
      </c>
      <c r="L12" s="40" t="s">
        <v>243</v>
      </c>
      <c r="N12" s="538">
        <v>57</v>
      </c>
      <c r="O12" s="538">
        <v>23</v>
      </c>
      <c r="P12" s="538">
        <v>0</v>
      </c>
      <c r="Q12" s="538">
        <v>9</v>
      </c>
      <c r="R12" s="538">
        <v>1</v>
      </c>
      <c r="S12" s="34"/>
      <c r="T12" s="30">
        <f t="shared" si="0"/>
        <v>90</v>
      </c>
      <c r="U12" s="36">
        <f t="shared" si="1"/>
        <v>0.13846153846153847</v>
      </c>
    </row>
    <row r="13" spans="1:21" ht="13">
      <c r="A13" s="40" t="s">
        <v>242</v>
      </c>
      <c r="C13" s="37">
        <v>59</v>
      </c>
      <c r="D13" s="37">
        <v>26</v>
      </c>
      <c r="E13" s="37">
        <v>11</v>
      </c>
      <c r="F13" s="34">
        <v>2</v>
      </c>
      <c r="G13" s="34"/>
      <c r="H13" s="34">
        <v>3</v>
      </c>
      <c r="I13" s="34">
        <f t="shared" si="2"/>
        <v>101</v>
      </c>
      <c r="J13" s="36">
        <f t="shared" si="3"/>
        <v>0.15538461538461537</v>
      </c>
      <c r="L13" s="40" t="s">
        <v>242</v>
      </c>
      <c r="N13" s="538">
        <v>64</v>
      </c>
      <c r="O13" s="538">
        <v>36</v>
      </c>
      <c r="P13" s="538">
        <v>4</v>
      </c>
      <c r="Q13" s="538">
        <v>9</v>
      </c>
      <c r="R13" s="538">
        <v>2</v>
      </c>
      <c r="S13" s="34"/>
      <c r="T13" s="30">
        <f t="shared" si="0"/>
        <v>115</v>
      </c>
      <c r="U13" s="36">
        <f t="shared" si="1"/>
        <v>0.17692307692307693</v>
      </c>
    </row>
    <row r="14" spans="1:21" ht="13">
      <c r="A14" s="40" t="s">
        <v>241</v>
      </c>
      <c r="C14" s="37">
        <v>52</v>
      </c>
      <c r="D14" s="37">
        <v>50</v>
      </c>
      <c r="E14" s="37">
        <v>10</v>
      </c>
      <c r="F14" s="34">
        <v>1</v>
      </c>
      <c r="G14" s="34"/>
      <c r="H14" s="34">
        <v>7</v>
      </c>
      <c r="I14" s="34">
        <f t="shared" si="2"/>
        <v>120</v>
      </c>
      <c r="J14" s="36">
        <f t="shared" si="3"/>
        <v>0.18461538461538463</v>
      </c>
      <c r="L14" s="40" t="s">
        <v>241</v>
      </c>
      <c r="N14" s="538">
        <v>62</v>
      </c>
      <c r="O14" s="538">
        <v>26</v>
      </c>
      <c r="P14" s="538">
        <v>2</v>
      </c>
      <c r="Q14" s="538">
        <v>11</v>
      </c>
      <c r="R14" s="538">
        <v>4</v>
      </c>
      <c r="S14" s="34"/>
      <c r="T14" s="30">
        <f t="shared" si="0"/>
        <v>105</v>
      </c>
      <c r="U14" s="36">
        <f t="shared" si="1"/>
        <v>0.16153846153846155</v>
      </c>
    </row>
    <row r="15" spans="1:21" ht="13">
      <c r="A15" s="40" t="s">
        <v>240</v>
      </c>
      <c r="C15" s="37">
        <v>41</v>
      </c>
      <c r="D15" s="37">
        <v>42</v>
      </c>
      <c r="E15" s="37">
        <v>8</v>
      </c>
      <c r="F15" s="34">
        <v>2</v>
      </c>
      <c r="G15" s="34"/>
      <c r="H15" s="34">
        <v>6</v>
      </c>
      <c r="I15" s="34">
        <f t="shared" si="2"/>
        <v>99</v>
      </c>
      <c r="J15" s="36">
        <f t="shared" si="3"/>
        <v>0.15230769230769231</v>
      </c>
      <c r="L15" s="40" t="s">
        <v>240</v>
      </c>
      <c r="N15" s="538">
        <v>52</v>
      </c>
      <c r="O15" s="538">
        <v>42</v>
      </c>
      <c r="P15" s="538">
        <v>1</v>
      </c>
      <c r="Q15" s="538">
        <v>6</v>
      </c>
      <c r="R15" s="538">
        <v>6</v>
      </c>
      <c r="S15" s="34"/>
      <c r="T15" s="30">
        <f t="shared" si="0"/>
        <v>107</v>
      </c>
      <c r="U15" s="36">
        <f t="shared" si="1"/>
        <v>0.16461538461538461</v>
      </c>
    </row>
    <row r="16" spans="1:21" ht="13">
      <c r="A16" s="40" t="s">
        <v>239</v>
      </c>
      <c r="C16" s="37">
        <v>21</v>
      </c>
      <c r="D16" s="37">
        <v>42</v>
      </c>
      <c r="E16" s="37">
        <v>5</v>
      </c>
      <c r="F16" s="34">
        <v>0</v>
      </c>
      <c r="G16" s="34"/>
      <c r="H16" s="34">
        <v>3</v>
      </c>
      <c r="I16" s="34">
        <f t="shared" si="2"/>
        <v>71</v>
      </c>
      <c r="J16" s="36">
        <f t="shared" si="3"/>
        <v>0.10923076923076923</v>
      </c>
      <c r="L16" s="40" t="s">
        <v>239</v>
      </c>
      <c r="N16" s="538">
        <v>25</v>
      </c>
      <c r="O16" s="538">
        <v>30</v>
      </c>
      <c r="P16" s="538">
        <v>0</v>
      </c>
      <c r="Q16" s="538">
        <v>4</v>
      </c>
      <c r="R16" s="538">
        <v>4</v>
      </c>
      <c r="S16" s="34"/>
      <c r="T16" s="30">
        <f t="shared" si="0"/>
        <v>63</v>
      </c>
      <c r="U16" s="36">
        <f t="shared" si="1"/>
        <v>9.6923076923076917E-2</v>
      </c>
    </row>
    <row r="17" spans="1:21" ht="13">
      <c r="A17" s="40" t="s">
        <v>238</v>
      </c>
      <c r="C17" s="37">
        <v>12</v>
      </c>
      <c r="D17" s="37">
        <v>17</v>
      </c>
      <c r="E17" s="37">
        <v>7</v>
      </c>
      <c r="F17" s="34">
        <v>0</v>
      </c>
      <c r="G17" s="34"/>
      <c r="H17" s="34">
        <v>1</v>
      </c>
      <c r="I17" s="34">
        <f t="shared" si="2"/>
        <v>37</v>
      </c>
      <c r="J17" s="36">
        <f t="shared" si="3"/>
        <v>5.6923076923076923E-2</v>
      </c>
      <c r="L17" s="40" t="s">
        <v>238</v>
      </c>
      <c r="N17" s="538">
        <v>15</v>
      </c>
      <c r="O17" s="538">
        <v>22</v>
      </c>
      <c r="P17" s="538">
        <v>1</v>
      </c>
      <c r="Q17" s="538">
        <v>3</v>
      </c>
      <c r="R17" s="538">
        <v>3</v>
      </c>
      <c r="S17" s="34"/>
      <c r="T17" s="30">
        <f t="shared" si="0"/>
        <v>44</v>
      </c>
      <c r="U17" s="36">
        <f t="shared" si="1"/>
        <v>6.7692307692307691E-2</v>
      </c>
    </row>
    <row r="18" spans="1:21" ht="13">
      <c r="A18" s="40" t="s">
        <v>237</v>
      </c>
      <c r="C18" s="37">
        <v>4</v>
      </c>
      <c r="D18" s="37">
        <v>10</v>
      </c>
      <c r="E18" s="37">
        <v>1</v>
      </c>
      <c r="F18" s="34">
        <v>0</v>
      </c>
      <c r="G18" s="34"/>
      <c r="H18" s="34">
        <v>0</v>
      </c>
      <c r="I18" s="34">
        <f t="shared" si="2"/>
        <v>15</v>
      </c>
      <c r="J18" s="36">
        <f t="shared" si="3"/>
        <v>2.3076923076923078E-2</v>
      </c>
      <c r="L18" s="40" t="s">
        <v>237</v>
      </c>
      <c r="N18" s="538">
        <v>5</v>
      </c>
      <c r="O18" s="538">
        <v>8</v>
      </c>
      <c r="P18" s="538">
        <v>0</v>
      </c>
      <c r="Q18" s="538">
        <v>0</v>
      </c>
      <c r="R18" s="538">
        <v>1</v>
      </c>
      <c r="S18" s="34"/>
      <c r="T18" s="30">
        <f t="shared" si="0"/>
        <v>14</v>
      </c>
      <c r="U18" s="36">
        <f t="shared" si="1"/>
        <v>2.1538461538461538E-2</v>
      </c>
    </row>
    <row r="19" spans="1:21" ht="13">
      <c r="A19" s="40" t="s">
        <v>236</v>
      </c>
      <c r="C19" s="37">
        <v>0</v>
      </c>
      <c r="D19" s="37">
        <v>6</v>
      </c>
      <c r="E19" s="37">
        <v>0</v>
      </c>
      <c r="F19" s="34">
        <v>0</v>
      </c>
      <c r="G19" s="34"/>
      <c r="H19" s="34">
        <v>0</v>
      </c>
      <c r="I19" s="34">
        <f t="shared" si="2"/>
        <v>6</v>
      </c>
      <c r="J19" s="36">
        <f t="shared" si="3"/>
        <v>9.2307692307692316E-3</v>
      </c>
      <c r="L19" s="40" t="s">
        <v>236</v>
      </c>
      <c r="N19" s="538">
        <v>3</v>
      </c>
      <c r="O19" s="538">
        <v>3</v>
      </c>
      <c r="P19" s="538">
        <v>0</v>
      </c>
      <c r="Q19" s="538">
        <v>0</v>
      </c>
      <c r="R19" s="538">
        <v>0</v>
      </c>
      <c r="S19" s="34"/>
      <c r="T19" s="30">
        <f t="shared" si="0"/>
        <v>6</v>
      </c>
      <c r="U19" s="36">
        <f t="shared" si="1"/>
        <v>9.2307692307692316E-3</v>
      </c>
    </row>
    <row r="20" spans="1:21" ht="13">
      <c r="A20" s="40" t="s">
        <v>709</v>
      </c>
      <c r="C20" s="37">
        <v>1</v>
      </c>
      <c r="D20" s="37">
        <v>1</v>
      </c>
      <c r="E20" s="37">
        <v>0</v>
      </c>
      <c r="F20" s="34">
        <v>0</v>
      </c>
      <c r="G20" s="34"/>
      <c r="H20" s="34">
        <v>0</v>
      </c>
      <c r="I20" s="34">
        <f t="shared" si="2"/>
        <v>2</v>
      </c>
      <c r="J20" s="36">
        <f t="shared" si="3"/>
        <v>3.0769230769230769E-3</v>
      </c>
      <c r="L20" s="40" t="s">
        <v>709</v>
      </c>
      <c r="N20" s="538">
        <v>0</v>
      </c>
      <c r="O20" s="538">
        <v>3</v>
      </c>
      <c r="P20" s="538">
        <v>0</v>
      </c>
      <c r="Q20" s="538">
        <v>0</v>
      </c>
      <c r="R20" s="538">
        <v>0</v>
      </c>
      <c r="S20" s="34"/>
      <c r="T20" s="30">
        <f t="shared" si="0"/>
        <v>3</v>
      </c>
      <c r="U20" s="36">
        <f t="shared" si="1"/>
        <v>4.6153846153846158E-3</v>
      </c>
    </row>
    <row r="21" spans="1:21" ht="15">
      <c r="C21" s="34"/>
      <c r="D21" s="30"/>
      <c r="E21" s="34"/>
      <c r="F21" s="34"/>
      <c r="G21" s="34"/>
      <c r="H21" s="30"/>
      <c r="I21" s="30"/>
      <c r="J21" s="36"/>
      <c r="L21" s="23" t="s">
        <v>1616</v>
      </c>
      <c r="N21" s="537">
        <v>0</v>
      </c>
      <c r="O21" s="537">
        <v>1</v>
      </c>
      <c r="P21" s="537">
        <v>0</v>
      </c>
      <c r="Q21" s="537">
        <v>0</v>
      </c>
      <c r="R21" s="537">
        <v>0</v>
      </c>
      <c r="S21" s="30"/>
      <c r="T21" s="30">
        <f t="shared" si="0"/>
        <v>1</v>
      </c>
      <c r="U21" s="36">
        <f t="shared" si="1"/>
        <v>1.5384615384615385E-3</v>
      </c>
    </row>
    <row r="22" spans="1:21">
      <c r="A22" s="38" t="s">
        <v>16</v>
      </c>
      <c r="B22" s="38"/>
      <c r="C22" s="38">
        <f t="shared" ref="C22:I22" si="4">SUM(C9:C20)</f>
        <v>305</v>
      </c>
      <c r="D22" s="38">
        <f t="shared" si="4"/>
        <v>255</v>
      </c>
      <c r="E22" s="38">
        <f t="shared" si="4"/>
        <v>57</v>
      </c>
      <c r="F22" s="38">
        <f t="shared" si="4"/>
        <v>9</v>
      </c>
      <c r="G22" s="38"/>
      <c r="H22" s="38">
        <f t="shared" si="4"/>
        <v>24</v>
      </c>
      <c r="I22" s="38">
        <f t="shared" si="4"/>
        <v>650</v>
      </c>
      <c r="J22" s="39">
        <f>I22/$I$22</f>
        <v>1</v>
      </c>
      <c r="L22" s="38" t="s">
        <v>16</v>
      </c>
      <c r="M22" s="38"/>
      <c r="N22" s="38">
        <f t="shared" ref="N22:T22" si="5">SUM(N8:N21)</f>
        <v>330</v>
      </c>
      <c r="O22" s="38">
        <f t="shared" si="5"/>
        <v>232</v>
      </c>
      <c r="P22" s="38">
        <f t="shared" si="5"/>
        <v>8</v>
      </c>
      <c r="Q22" s="38">
        <f t="shared" si="5"/>
        <v>57</v>
      </c>
      <c r="R22" s="38">
        <f t="shared" si="5"/>
        <v>23</v>
      </c>
      <c r="S22" s="38">
        <f t="shared" si="5"/>
        <v>0</v>
      </c>
      <c r="T22" s="38">
        <f t="shared" si="5"/>
        <v>650</v>
      </c>
      <c r="U22" s="39">
        <f t="shared" si="1"/>
        <v>1</v>
      </c>
    </row>
    <row r="23" spans="1:21" ht="13">
      <c r="B23" s="30"/>
      <c r="C23" s="30"/>
      <c r="D23" s="30"/>
      <c r="E23" s="30"/>
      <c r="F23" s="30"/>
      <c r="G23" s="30"/>
      <c r="H23" s="30"/>
      <c r="I23" s="30"/>
      <c r="J23" s="30"/>
      <c r="L23" s="539" t="s">
        <v>1313</v>
      </c>
      <c r="M23" s="41"/>
      <c r="N23" s="41"/>
      <c r="O23" s="41"/>
      <c r="P23" s="41"/>
      <c r="Q23" s="41"/>
      <c r="R23" s="41"/>
    </row>
    <row r="24" spans="1:21" ht="13">
      <c r="A24" s="23" t="s">
        <v>701</v>
      </c>
      <c r="B24" s="30"/>
      <c r="C24" s="30"/>
      <c r="D24" s="30"/>
      <c r="E24" s="30"/>
      <c r="F24" s="30"/>
      <c r="G24" s="30"/>
      <c r="H24" s="30"/>
      <c r="I24" s="30"/>
      <c r="J24" s="30"/>
      <c r="L24" s="367" t="s">
        <v>1312</v>
      </c>
      <c r="M24" s="41"/>
      <c r="N24" s="41"/>
      <c r="O24" s="41"/>
      <c r="P24" s="41"/>
      <c r="Q24" s="41"/>
      <c r="R24" s="41"/>
    </row>
    <row r="25" spans="1:21">
      <c r="A25" s="23" t="s">
        <v>1061</v>
      </c>
    </row>
    <row r="28" spans="1:21" ht="13.5" customHeight="1"/>
    <row r="29" spans="1:21" ht="13">
      <c r="A29" s="43" t="s">
        <v>1401</v>
      </c>
    </row>
    <row r="30" spans="1:21" ht="6" customHeight="1"/>
    <row r="31" spans="1:21" ht="4.5" customHeight="1">
      <c r="A31" s="35"/>
      <c r="B31" s="35"/>
      <c r="C31" s="35"/>
      <c r="D31" s="35"/>
      <c r="E31" s="35"/>
      <c r="F31" s="35"/>
      <c r="G31" s="35"/>
      <c r="H31" s="35"/>
    </row>
    <row r="32" spans="1:21">
      <c r="A32" s="26" t="s">
        <v>756</v>
      </c>
      <c r="B32" s="24"/>
      <c r="C32" s="49" t="s">
        <v>698</v>
      </c>
      <c r="D32" s="49" t="s">
        <v>699</v>
      </c>
      <c r="E32" s="49" t="s">
        <v>827</v>
      </c>
      <c r="F32" s="49" t="s">
        <v>12</v>
      </c>
      <c r="G32" s="27"/>
      <c r="H32" s="49" t="s">
        <v>16</v>
      </c>
    </row>
    <row r="33" spans="1:8" ht="4.5" customHeight="1">
      <c r="H33" s="24"/>
    </row>
    <row r="34" spans="1:8">
      <c r="A34" s="23" t="s">
        <v>1311</v>
      </c>
      <c r="C34" s="23">
        <v>4</v>
      </c>
      <c r="D34" s="23">
        <v>11</v>
      </c>
      <c r="H34" s="24">
        <v>15</v>
      </c>
    </row>
    <row r="35" spans="1:8">
      <c r="A35" s="23" t="s">
        <v>1305</v>
      </c>
      <c r="C35" s="23">
        <v>67</v>
      </c>
      <c r="D35" s="23">
        <v>28</v>
      </c>
      <c r="E35" s="23">
        <v>13</v>
      </c>
      <c r="F35" s="23">
        <v>3</v>
      </c>
      <c r="H35" s="24">
        <v>111</v>
      </c>
    </row>
    <row r="36" spans="1:8">
      <c r="A36" s="23" t="s">
        <v>1306</v>
      </c>
      <c r="C36" s="23">
        <v>113</v>
      </c>
      <c r="D36" s="23">
        <v>57</v>
      </c>
      <c r="E36" s="23">
        <v>13</v>
      </c>
      <c r="F36" s="23">
        <v>11</v>
      </c>
      <c r="H36" s="24">
        <v>194</v>
      </c>
    </row>
    <row r="37" spans="1:8">
      <c r="A37" s="23" t="s">
        <v>1307</v>
      </c>
      <c r="C37" s="23">
        <v>91</v>
      </c>
      <c r="D37" s="23">
        <v>96</v>
      </c>
      <c r="E37" s="23">
        <v>19</v>
      </c>
      <c r="F37" s="23">
        <v>11</v>
      </c>
      <c r="H37" s="24">
        <v>217</v>
      </c>
    </row>
    <row r="38" spans="1:8">
      <c r="A38" s="23" t="s">
        <v>1308</v>
      </c>
      <c r="C38" s="23">
        <v>29</v>
      </c>
      <c r="D38" s="23">
        <v>53</v>
      </c>
      <c r="E38" s="23">
        <v>12</v>
      </c>
      <c r="F38" s="23">
        <v>4</v>
      </c>
      <c r="H38" s="24">
        <v>98</v>
      </c>
    </row>
    <row r="39" spans="1:8">
      <c r="A39" s="23" t="s">
        <v>1309</v>
      </c>
      <c r="C39" s="23">
        <v>1</v>
      </c>
      <c r="D39" s="23">
        <v>13</v>
      </c>
      <c r="H39" s="24">
        <v>14</v>
      </c>
    </row>
    <row r="40" spans="1:8">
      <c r="A40" s="23" t="s">
        <v>1310</v>
      </c>
      <c r="C40" s="23">
        <v>1</v>
      </c>
      <c r="H40" s="24">
        <v>1</v>
      </c>
    </row>
    <row r="41" spans="1:8" ht="4.5" customHeight="1">
      <c r="H41" s="24"/>
    </row>
    <row r="42" spans="1:8">
      <c r="A42" s="32" t="s">
        <v>16</v>
      </c>
      <c r="B42" s="32"/>
      <c r="C42" s="32">
        <v>306</v>
      </c>
      <c r="D42" s="32">
        <v>258</v>
      </c>
      <c r="E42" s="32">
        <v>57</v>
      </c>
      <c r="F42" s="32">
        <v>29</v>
      </c>
      <c r="G42" s="32"/>
      <c r="H42" s="32">
        <v>650</v>
      </c>
    </row>
    <row r="43" spans="1:8" ht="4.5" customHeight="1">
      <c r="A43" s="25"/>
      <c r="B43" s="25"/>
      <c r="C43" s="25"/>
      <c r="D43" s="25"/>
      <c r="E43" s="25"/>
      <c r="F43" s="25"/>
      <c r="G43" s="25"/>
      <c r="H43" s="25"/>
    </row>
    <row r="44" spans="1:8" ht="3" customHeight="1"/>
    <row r="45" spans="1:8" s="29" customFormat="1" ht="11.25" customHeight="1">
      <c r="A45" s="29" t="s">
        <v>1313</v>
      </c>
    </row>
    <row r="46" spans="1:8" ht="3" customHeight="1"/>
    <row r="47" spans="1:8" s="29" customFormat="1" ht="11">
      <c r="A47" s="29" t="s">
        <v>1312</v>
      </c>
    </row>
  </sheetData>
  <phoneticPr fontId="10" type="noConversion"/>
  <pageMargins left="0.75" right="0.75" top="1" bottom="1" header="0.5" footer="0.5"/>
  <pageSetup paperSize="9" orientation="portrait" r:id="rId1"/>
  <headerFooter alignWithMargins="0"/>
  <webPublishItems count="1">
    <webPublishItem id="25532" divId="RP11-XXX_Election Statistics UK 1918-2011_25532" sourceType="range" sourceRef="A1:J25" destinationFile="U:\election stats rp\Table 8a.mht"/>
  </webPublishItem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U42"/>
  <sheetViews>
    <sheetView showGridLines="0" workbookViewId="0">
      <selection activeCell="P38" sqref="P38"/>
    </sheetView>
  </sheetViews>
  <sheetFormatPr baseColWidth="10" defaultColWidth="10.59765625" defaultRowHeight="14"/>
  <cols>
    <col min="1" max="1" width="2.19921875" style="848" customWidth="1"/>
    <col min="2" max="2" width="7.796875" style="848" customWidth="1"/>
    <col min="3" max="3" width="9" style="859" customWidth="1"/>
    <col min="4" max="4" width="10.796875" style="850" customWidth="1"/>
    <col min="5" max="5" width="7.19921875" style="850" customWidth="1"/>
    <col min="6" max="6" width="0.796875" style="850" customWidth="1"/>
    <col min="7" max="11" width="7.19921875" style="850" customWidth="1"/>
    <col min="12" max="12" width="8.59765625" style="850" customWidth="1"/>
    <col min="13" max="13" width="6.796875" style="850" customWidth="1"/>
    <col min="14" max="16384" width="10.59765625" style="850"/>
  </cols>
  <sheetData>
    <row r="1" spans="3:21">
      <c r="C1" s="849"/>
    </row>
    <row r="2" spans="3:21" ht="4.5" customHeight="1">
      <c r="C2" s="851"/>
    </row>
    <row r="3" spans="3:21">
      <c r="C3" s="851"/>
      <c r="Q3" s="852" t="s">
        <v>2144</v>
      </c>
    </row>
    <row r="4" spans="3:21" ht="4.5" customHeight="1">
      <c r="C4" s="851"/>
    </row>
    <row r="5" spans="3:21" ht="16">
      <c r="C5" s="1150" t="s">
        <v>2709</v>
      </c>
      <c r="D5" s="853"/>
      <c r="E5" s="853"/>
      <c r="F5" s="853"/>
      <c r="G5" s="853"/>
      <c r="H5" s="853"/>
      <c r="I5" s="853"/>
      <c r="J5" s="853"/>
      <c r="K5" s="853"/>
      <c r="L5" s="853"/>
      <c r="M5" s="853"/>
    </row>
    <row r="6" spans="3:21" ht="44.5" customHeight="1">
      <c r="C6" s="854" t="s">
        <v>858</v>
      </c>
      <c r="D6" s="855" t="s">
        <v>2710</v>
      </c>
      <c r="E6" s="855" t="s">
        <v>2146</v>
      </c>
      <c r="F6" s="855"/>
      <c r="G6" s="855" t="s">
        <v>2147</v>
      </c>
      <c r="H6" s="855" t="s">
        <v>2148</v>
      </c>
      <c r="I6" s="855" t="s">
        <v>2149</v>
      </c>
      <c r="J6" s="855" t="s">
        <v>2150</v>
      </c>
      <c r="K6" s="855" t="s">
        <v>2151</v>
      </c>
      <c r="L6" s="855" t="s">
        <v>2152</v>
      </c>
      <c r="M6" s="855" t="s">
        <v>16</v>
      </c>
      <c r="N6" s="883"/>
      <c r="P6" s="856" t="s">
        <v>2153</v>
      </c>
      <c r="R6" s="850" t="s">
        <v>2154</v>
      </c>
      <c r="T6" s="850" t="s">
        <v>2155</v>
      </c>
    </row>
    <row r="7" spans="3:21" ht="4.5" customHeight="1">
      <c r="C7" s="857"/>
      <c r="D7" s="858"/>
      <c r="E7" s="858"/>
      <c r="F7" s="858"/>
      <c r="G7" s="858"/>
      <c r="H7" s="858"/>
      <c r="I7" s="858"/>
      <c r="J7" s="858"/>
      <c r="K7" s="858"/>
      <c r="L7" s="858"/>
    </row>
    <row r="8" spans="3:21" ht="27" hidden="1" customHeight="1">
      <c r="C8" s="859">
        <v>1979</v>
      </c>
      <c r="D8" s="858"/>
      <c r="E8" s="858"/>
      <c r="F8" s="858"/>
      <c r="G8" s="858"/>
      <c r="H8" s="858"/>
      <c r="I8" s="858"/>
      <c r="J8" s="858"/>
      <c r="K8" s="858"/>
      <c r="L8" s="858"/>
    </row>
    <row r="9" spans="3:21" ht="12.75" customHeight="1">
      <c r="C9" s="884">
        <v>1979</v>
      </c>
      <c r="D9" s="860">
        <v>49.6</v>
      </c>
      <c r="E9" s="861">
        <v>6</v>
      </c>
      <c r="F9" s="861"/>
      <c r="G9" s="861">
        <v>120</v>
      </c>
      <c r="H9" s="861">
        <v>205</v>
      </c>
      <c r="I9" s="861">
        <v>203</v>
      </c>
      <c r="J9" s="861">
        <v>87</v>
      </c>
      <c r="K9" s="861">
        <v>14</v>
      </c>
      <c r="L9" s="861"/>
      <c r="M9" s="862">
        <v>635</v>
      </c>
      <c r="N9" s="862"/>
      <c r="P9" s="850">
        <f t="shared" ref="P9:P17" si="0">+K9+J9+I9</f>
        <v>304</v>
      </c>
      <c r="Q9" s="863">
        <f t="shared" ref="Q9:Q18" si="1">+P9/M9</f>
        <v>0.47874015748031495</v>
      </c>
      <c r="R9" s="850">
        <f t="shared" ref="R9:R18" si="2">E9</f>
        <v>6</v>
      </c>
      <c r="S9" s="863">
        <f>R9/M9</f>
        <v>9.4488188976377951E-3</v>
      </c>
      <c r="T9" s="850">
        <f t="shared" ref="T9:T18" si="3">K9</f>
        <v>14</v>
      </c>
      <c r="U9" s="863">
        <f>T9/M9</f>
        <v>2.2047244094488189E-2</v>
      </c>
    </row>
    <row r="10" spans="3:21" ht="12.75" customHeight="1">
      <c r="C10" s="884">
        <v>1983</v>
      </c>
      <c r="D10" s="864">
        <v>48.8</v>
      </c>
      <c r="E10" s="861">
        <v>10</v>
      </c>
      <c r="F10" s="861"/>
      <c r="G10" s="861">
        <v>120</v>
      </c>
      <c r="H10" s="861">
        <v>223</v>
      </c>
      <c r="I10" s="861">
        <v>201</v>
      </c>
      <c r="J10" s="861">
        <v>86</v>
      </c>
      <c r="K10" s="861">
        <v>9</v>
      </c>
      <c r="L10" s="861"/>
      <c r="M10" s="850">
        <f t="shared" ref="M10:M16" si="4">SUM(E10:K10)</f>
        <v>649</v>
      </c>
      <c r="P10" s="850">
        <f t="shared" si="0"/>
        <v>296</v>
      </c>
      <c r="Q10" s="863">
        <f t="shared" si="1"/>
        <v>0.45608628659476119</v>
      </c>
      <c r="R10" s="850">
        <f t="shared" si="2"/>
        <v>10</v>
      </c>
      <c r="S10" s="863">
        <f t="shared" ref="S10:S18" si="5">R10/M10</f>
        <v>1.5408320493066256E-2</v>
      </c>
      <c r="T10" s="850">
        <f t="shared" si="3"/>
        <v>9</v>
      </c>
      <c r="U10" s="863">
        <f t="shared" ref="U10:U17" si="6">T10/M10</f>
        <v>1.386748844375963E-2</v>
      </c>
    </row>
    <row r="11" spans="3:21" ht="12.75" customHeight="1">
      <c r="C11" s="884">
        <v>1987</v>
      </c>
      <c r="D11" s="864">
        <v>49</v>
      </c>
      <c r="E11" s="861">
        <v>4</v>
      </c>
      <c r="F11" s="861"/>
      <c r="G11" s="861">
        <v>112</v>
      </c>
      <c r="H11" s="861">
        <v>252</v>
      </c>
      <c r="I11" s="861">
        <v>197</v>
      </c>
      <c r="J11" s="861">
        <v>79</v>
      </c>
      <c r="K11" s="861">
        <v>6</v>
      </c>
      <c r="L11" s="861"/>
      <c r="M11" s="850">
        <f t="shared" si="4"/>
        <v>650</v>
      </c>
      <c r="P11" s="850">
        <f t="shared" si="0"/>
        <v>282</v>
      </c>
      <c r="Q11" s="863">
        <f t="shared" si="1"/>
        <v>0.43384615384615383</v>
      </c>
      <c r="R11" s="850">
        <f t="shared" si="2"/>
        <v>4</v>
      </c>
      <c r="S11" s="863">
        <f t="shared" si="5"/>
        <v>6.1538461538461538E-3</v>
      </c>
      <c r="T11" s="850">
        <f t="shared" si="3"/>
        <v>6</v>
      </c>
      <c r="U11" s="863">
        <f t="shared" si="6"/>
        <v>9.2307692307692316E-3</v>
      </c>
    </row>
    <row r="12" spans="3:21" ht="12.75" customHeight="1">
      <c r="C12" s="884">
        <v>1992</v>
      </c>
      <c r="D12" s="866">
        <v>50</v>
      </c>
      <c r="E12" s="867">
        <v>1</v>
      </c>
      <c r="F12" s="867"/>
      <c r="G12" s="867">
        <v>82</v>
      </c>
      <c r="H12" s="867">
        <v>259</v>
      </c>
      <c r="I12" s="867">
        <v>211</v>
      </c>
      <c r="J12" s="867">
        <v>95</v>
      </c>
      <c r="K12" s="867">
        <v>3</v>
      </c>
      <c r="L12" s="867"/>
      <c r="M12" s="850">
        <f t="shared" si="4"/>
        <v>651</v>
      </c>
      <c r="P12" s="850">
        <f t="shared" si="0"/>
        <v>309</v>
      </c>
      <c r="Q12" s="868">
        <f t="shared" si="1"/>
        <v>0.47465437788018433</v>
      </c>
      <c r="R12" s="850">
        <f t="shared" si="2"/>
        <v>1</v>
      </c>
      <c r="S12" s="863">
        <f t="shared" si="5"/>
        <v>1.5360983102918587E-3</v>
      </c>
      <c r="T12" s="850">
        <f t="shared" si="3"/>
        <v>3</v>
      </c>
      <c r="U12" s="863">
        <f t="shared" si="6"/>
        <v>4.608294930875576E-3</v>
      </c>
    </row>
    <row r="13" spans="3:21" ht="12.75" customHeight="1">
      <c r="C13" s="884">
        <v>1997</v>
      </c>
      <c r="D13" s="869">
        <v>49.3</v>
      </c>
      <c r="E13" s="850">
        <v>10</v>
      </c>
      <c r="G13" s="850">
        <v>92</v>
      </c>
      <c r="H13" s="850">
        <v>255</v>
      </c>
      <c r="I13" s="850">
        <v>225</v>
      </c>
      <c r="J13" s="850">
        <v>69</v>
      </c>
      <c r="K13" s="850">
        <v>8</v>
      </c>
      <c r="M13" s="850">
        <f>SUM(E13:K13)</f>
        <v>659</v>
      </c>
      <c r="P13" s="850">
        <f t="shared" si="0"/>
        <v>302</v>
      </c>
      <c r="Q13" s="863">
        <f t="shared" si="1"/>
        <v>0.45827010622154779</v>
      </c>
      <c r="R13" s="850">
        <f t="shared" si="2"/>
        <v>10</v>
      </c>
      <c r="S13" s="863">
        <f t="shared" si="5"/>
        <v>1.5174506828528073E-2</v>
      </c>
      <c r="T13" s="850">
        <f t="shared" si="3"/>
        <v>8</v>
      </c>
      <c r="U13" s="863">
        <f t="shared" si="6"/>
        <v>1.2139605462822459E-2</v>
      </c>
    </row>
    <row r="14" spans="3:21" ht="12.75" customHeight="1">
      <c r="C14" s="884">
        <v>2001</v>
      </c>
      <c r="D14" s="869">
        <v>50.3</v>
      </c>
      <c r="E14" s="850">
        <v>4</v>
      </c>
      <c r="G14" s="850">
        <v>79</v>
      </c>
      <c r="H14" s="850">
        <v>236</v>
      </c>
      <c r="I14" s="850">
        <v>247</v>
      </c>
      <c r="J14" s="850">
        <v>83</v>
      </c>
      <c r="K14" s="850">
        <v>10</v>
      </c>
      <c r="M14" s="850">
        <f t="shared" si="4"/>
        <v>659</v>
      </c>
      <c r="P14" s="850">
        <f t="shared" si="0"/>
        <v>340</v>
      </c>
      <c r="Q14" s="863">
        <f t="shared" si="1"/>
        <v>0.51593323216995446</v>
      </c>
      <c r="R14" s="850">
        <f t="shared" si="2"/>
        <v>4</v>
      </c>
      <c r="S14" s="863">
        <f t="shared" si="5"/>
        <v>6.0698027314112293E-3</v>
      </c>
      <c r="T14" s="850">
        <f t="shared" si="3"/>
        <v>10</v>
      </c>
      <c r="U14" s="863">
        <f t="shared" si="6"/>
        <v>1.5174506828528073E-2</v>
      </c>
    </row>
    <row r="15" spans="3:21" ht="12.75" customHeight="1">
      <c r="C15" s="884">
        <v>2005</v>
      </c>
      <c r="D15" s="869">
        <v>51.2</v>
      </c>
      <c r="E15" s="850">
        <v>3</v>
      </c>
      <c r="G15" s="850">
        <v>89</v>
      </c>
      <c r="H15" s="850">
        <v>191</v>
      </c>
      <c r="I15" s="850">
        <v>249</v>
      </c>
      <c r="J15" s="850">
        <v>100</v>
      </c>
      <c r="K15" s="850">
        <v>14</v>
      </c>
      <c r="M15" s="850">
        <f t="shared" si="4"/>
        <v>646</v>
      </c>
      <c r="P15" s="850">
        <f t="shared" si="0"/>
        <v>363</v>
      </c>
      <c r="Q15" s="863">
        <f t="shared" si="1"/>
        <v>0.5619195046439629</v>
      </c>
      <c r="R15" s="850">
        <f t="shared" si="2"/>
        <v>3</v>
      </c>
      <c r="S15" s="863">
        <f t="shared" si="5"/>
        <v>4.6439628482972135E-3</v>
      </c>
      <c r="T15" s="850">
        <f t="shared" si="3"/>
        <v>14</v>
      </c>
      <c r="U15" s="863">
        <f t="shared" si="6"/>
        <v>2.1671826625386997E-2</v>
      </c>
    </row>
    <row r="16" spans="3:21" ht="12.75" customHeight="1">
      <c r="C16" s="884">
        <v>2010</v>
      </c>
      <c r="D16" s="869">
        <v>49.9</v>
      </c>
      <c r="E16" s="850">
        <v>15</v>
      </c>
      <c r="G16" s="850">
        <v>108</v>
      </c>
      <c r="H16" s="850">
        <v>196</v>
      </c>
      <c r="I16" s="850">
        <v>216</v>
      </c>
      <c r="J16" s="850">
        <v>99</v>
      </c>
      <c r="K16" s="850">
        <v>16</v>
      </c>
      <c r="M16" s="850">
        <f t="shared" si="4"/>
        <v>650</v>
      </c>
      <c r="P16" s="850">
        <f t="shared" si="0"/>
        <v>331</v>
      </c>
      <c r="Q16" s="863">
        <f t="shared" si="1"/>
        <v>0.50923076923076926</v>
      </c>
      <c r="R16" s="850">
        <f t="shared" si="2"/>
        <v>15</v>
      </c>
      <c r="S16" s="863">
        <f t="shared" si="5"/>
        <v>2.3076923076923078E-2</v>
      </c>
      <c r="T16" s="850">
        <f t="shared" si="3"/>
        <v>16</v>
      </c>
      <c r="U16" s="863">
        <f t="shared" si="6"/>
        <v>2.4615384615384615E-2</v>
      </c>
    </row>
    <row r="17" spans="2:21" ht="12.75" customHeight="1">
      <c r="C17" s="884">
        <v>2015</v>
      </c>
      <c r="D17" s="869">
        <v>50.6</v>
      </c>
      <c r="E17" s="850">
        <v>13</v>
      </c>
      <c r="G17" s="850">
        <v>89</v>
      </c>
      <c r="H17" s="850">
        <v>205</v>
      </c>
      <c r="I17" s="850">
        <v>212</v>
      </c>
      <c r="J17" s="850">
        <v>107</v>
      </c>
      <c r="K17" s="850">
        <v>24</v>
      </c>
      <c r="M17" s="850">
        <v>650</v>
      </c>
      <c r="P17" s="850">
        <f t="shared" si="0"/>
        <v>343</v>
      </c>
      <c r="Q17" s="863">
        <f t="shared" si="1"/>
        <v>0.52769230769230768</v>
      </c>
      <c r="R17" s="850">
        <f t="shared" si="2"/>
        <v>13</v>
      </c>
      <c r="S17" s="863">
        <f t="shared" si="5"/>
        <v>0.02</v>
      </c>
      <c r="T17" s="850">
        <f t="shared" si="3"/>
        <v>24</v>
      </c>
      <c r="U17" s="863">
        <f t="shared" si="6"/>
        <v>3.6923076923076927E-2</v>
      </c>
    </row>
    <row r="18" spans="2:21" ht="12.75" customHeight="1">
      <c r="C18" s="884">
        <v>2017</v>
      </c>
      <c r="D18" s="869">
        <v>50.514728682170542</v>
      </c>
      <c r="E18" s="850">
        <v>14</v>
      </c>
      <c r="G18" s="850">
        <v>102</v>
      </c>
      <c r="H18" s="850">
        <v>190</v>
      </c>
      <c r="I18" s="850">
        <v>197</v>
      </c>
      <c r="J18" s="850">
        <v>114</v>
      </c>
      <c r="K18" s="850">
        <v>28</v>
      </c>
      <c r="L18" s="850">
        <v>5</v>
      </c>
      <c r="M18" s="850">
        <v>650</v>
      </c>
      <c r="P18" s="850">
        <f>SUM(I18:K18)</f>
        <v>339</v>
      </c>
      <c r="Q18" s="863">
        <f t="shared" si="1"/>
        <v>0.52153846153846151</v>
      </c>
      <c r="R18" s="850">
        <f t="shared" si="2"/>
        <v>14</v>
      </c>
      <c r="S18" s="863">
        <f t="shared" si="5"/>
        <v>2.1538461538461538E-2</v>
      </c>
      <c r="T18" s="850">
        <f t="shared" si="3"/>
        <v>28</v>
      </c>
      <c r="U18" s="863">
        <f>T18/M18</f>
        <v>4.3076923076923075E-2</v>
      </c>
    </row>
    <row r="19" spans="2:21" ht="12.75" customHeight="1">
      <c r="C19" s="884">
        <v>2019</v>
      </c>
      <c r="D19" s="869">
        <v>50</v>
      </c>
      <c r="E19" s="850">
        <v>21</v>
      </c>
      <c r="G19" s="850">
        <v>109</v>
      </c>
      <c r="H19" s="850">
        <v>183</v>
      </c>
      <c r="I19" s="850">
        <v>195</v>
      </c>
      <c r="J19" s="850">
        <v>106</v>
      </c>
      <c r="K19" s="850">
        <v>21</v>
      </c>
      <c r="L19" s="850">
        <v>16</v>
      </c>
      <c r="M19" s="850">
        <v>650</v>
      </c>
      <c r="Q19" s="863"/>
      <c r="S19" s="863"/>
      <c r="U19" s="863"/>
    </row>
    <row r="20" spans="2:21" ht="4" customHeight="1">
      <c r="C20" s="870"/>
      <c r="D20" s="871"/>
      <c r="E20" s="871"/>
      <c r="F20" s="871"/>
      <c r="G20" s="871"/>
      <c r="H20" s="871"/>
      <c r="I20" s="871"/>
      <c r="J20" s="871"/>
      <c r="K20" s="871"/>
      <c r="L20" s="871"/>
      <c r="M20" s="871"/>
      <c r="Q20" s="863"/>
    </row>
    <row r="21" spans="2:21" ht="4.5" customHeight="1">
      <c r="P21" s="863"/>
    </row>
    <row r="22" spans="2:21" ht="29.25" customHeight="1">
      <c r="C22" s="3414" t="s">
        <v>2854</v>
      </c>
      <c r="D22" s="3414"/>
      <c r="E22" s="3414"/>
      <c r="F22" s="3414"/>
      <c r="G22" s="3414"/>
      <c r="H22" s="3414"/>
      <c r="I22" s="3414"/>
      <c r="J22" s="3414"/>
      <c r="K22" s="3414"/>
      <c r="L22" s="3414"/>
      <c r="P22" s="863"/>
    </row>
    <row r="23" spans="2:21" ht="27.75" customHeight="1">
      <c r="C23" s="872" t="s">
        <v>2156</v>
      </c>
      <c r="D23" s="873"/>
      <c r="E23" s="873"/>
      <c r="F23" s="873"/>
      <c r="G23" s="873"/>
      <c r="H23" s="873"/>
      <c r="I23" s="873"/>
      <c r="J23" s="873"/>
      <c r="K23" s="873"/>
      <c r="L23" s="873"/>
      <c r="P23" s="863"/>
    </row>
    <row r="24" spans="2:21">
      <c r="B24" s="874"/>
      <c r="C24" s="875"/>
      <c r="D24" s="876"/>
      <c r="E24" s="876"/>
      <c r="F24" s="876"/>
      <c r="G24" s="876"/>
      <c r="H24" s="876"/>
      <c r="I24" s="876"/>
      <c r="J24" s="876"/>
      <c r="K24" s="876"/>
      <c r="L24" s="876"/>
      <c r="M24" s="876"/>
      <c r="N24" s="876"/>
      <c r="O24" s="876"/>
      <c r="P24" s="877"/>
      <c r="Q24" s="876"/>
    </row>
    <row r="25" spans="2:21" ht="16">
      <c r="C25" s="888" t="s">
        <v>2157</v>
      </c>
      <c r="D25" s="889"/>
      <c r="E25" s="889"/>
      <c r="F25" s="889"/>
      <c r="G25" s="889"/>
      <c r="H25" s="889"/>
      <c r="I25" s="889"/>
      <c r="J25" s="889"/>
      <c r="K25" s="889"/>
      <c r="L25" s="889"/>
      <c r="M25" s="889"/>
      <c r="N25" s="867"/>
    </row>
    <row r="26" spans="2:21" ht="45.75" customHeight="1">
      <c r="C26" s="890" t="s">
        <v>858</v>
      </c>
      <c r="D26" s="891" t="s">
        <v>2145</v>
      </c>
      <c r="E26" s="891" t="s">
        <v>2146</v>
      </c>
      <c r="F26" s="891"/>
      <c r="G26" s="891" t="s">
        <v>2147</v>
      </c>
      <c r="H26" s="891" t="s">
        <v>2148</v>
      </c>
      <c r="I26" s="891" t="s">
        <v>2149</v>
      </c>
      <c r="J26" s="891" t="s">
        <v>2150</v>
      </c>
      <c r="K26" s="891" t="s">
        <v>2151</v>
      </c>
      <c r="L26" s="891" t="s">
        <v>2152</v>
      </c>
      <c r="M26" s="891" t="s">
        <v>16</v>
      </c>
      <c r="N26" s="885"/>
      <c r="P26" s="856"/>
    </row>
    <row r="27" spans="2:21" ht="4.5" customHeight="1">
      <c r="C27" s="878"/>
      <c r="D27" s="886"/>
      <c r="E27" s="886"/>
      <c r="F27" s="886"/>
      <c r="G27" s="886"/>
      <c r="H27" s="886"/>
      <c r="I27" s="886"/>
      <c r="J27" s="886"/>
      <c r="K27" s="886"/>
      <c r="L27" s="886"/>
      <c r="M27" s="867"/>
      <c r="N27" s="867"/>
    </row>
    <row r="28" spans="2:21" ht="27" hidden="1" customHeight="1">
      <c r="C28" s="865">
        <v>1979</v>
      </c>
      <c r="D28" s="886"/>
      <c r="E28" s="886"/>
      <c r="F28" s="886"/>
      <c r="G28" s="886"/>
      <c r="H28" s="886"/>
      <c r="I28" s="886"/>
      <c r="J28" s="886"/>
      <c r="K28" s="886"/>
      <c r="L28" s="886"/>
      <c r="M28" s="867"/>
      <c r="N28" s="867"/>
    </row>
    <row r="29" spans="2:21" ht="12.75" customHeight="1">
      <c r="C29" s="887">
        <v>1979</v>
      </c>
      <c r="D29" s="881">
        <v>49.6</v>
      </c>
      <c r="E29" s="862">
        <v>6</v>
      </c>
      <c r="F29" s="862"/>
      <c r="G29" s="862">
        <v>120</v>
      </c>
      <c r="H29" s="862">
        <v>205</v>
      </c>
      <c r="I29" s="862">
        <v>203</v>
      </c>
      <c r="J29" s="862">
        <v>87</v>
      </c>
      <c r="K29" s="862">
        <v>14</v>
      </c>
      <c r="L29" s="862"/>
      <c r="M29" s="862">
        <v>635</v>
      </c>
      <c r="N29" s="862"/>
      <c r="Q29" s="863"/>
      <c r="S29" s="863"/>
      <c r="U29" s="863"/>
    </row>
    <row r="30" spans="2:21" ht="12.75" customHeight="1">
      <c r="C30" s="887">
        <v>1983</v>
      </c>
      <c r="D30" s="882">
        <v>48.8</v>
      </c>
      <c r="E30" s="862">
        <v>10</v>
      </c>
      <c r="F30" s="862"/>
      <c r="G30" s="862">
        <v>120</v>
      </c>
      <c r="H30" s="862">
        <v>223</v>
      </c>
      <c r="I30" s="862">
        <v>201</v>
      </c>
      <c r="J30" s="862">
        <v>86</v>
      </c>
      <c r="K30" s="862">
        <v>9</v>
      </c>
      <c r="L30" s="862"/>
      <c r="M30" s="867">
        <f t="shared" ref="M30:M36" si="7">SUM(E30:K30)</f>
        <v>649</v>
      </c>
      <c r="N30" s="867"/>
      <c r="Q30" s="863"/>
      <c r="S30" s="863"/>
      <c r="U30" s="863"/>
    </row>
    <row r="31" spans="2:21" ht="12.75" customHeight="1">
      <c r="C31" s="887">
        <v>1987</v>
      </c>
      <c r="D31" s="882">
        <v>49</v>
      </c>
      <c r="E31" s="862">
        <v>4</v>
      </c>
      <c r="F31" s="862"/>
      <c r="G31" s="862">
        <v>112</v>
      </c>
      <c r="H31" s="862">
        <v>252</v>
      </c>
      <c r="I31" s="862">
        <v>197</v>
      </c>
      <c r="J31" s="862">
        <v>79</v>
      </c>
      <c r="K31" s="862">
        <v>6</v>
      </c>
      <c r="L31" s="862"/>
      <c r="M31" s="867">
        <f t="shared" si="7"/>
        <v>650</v>
      </c>
      <c r="N31" s="867"/>
      <c r="Q31" s="863"/>
      <c r="S31" s="863"/>
      <c r="U31" s="863"/>
    </row>
    <row r="32" spans="2:21" ht="12.75" customHeight="1">
      <c r="C32" s="887">
        <v>1992</v>
      </c>
      <c r="D32" s="866">
        <v>50</v>
      </c>
      <c r="E32" s="867">
        <v>1</v>
      </c>
      <c r="F32" s="867"/>
      <c r="G32" s="867">
        <v>82</v>
      </c>
      <c r="H32" s="867">
        <v>259</v>
      </c>
      <c r="I32" s="867">
        <v>211</v>
      </c>
      <c r="J32" s="867">
        <v>95</v>
      </c>
      <c r="K32" s="867">
        <v>3</v>
      </c>
      <c r="L32" s="867"/>
      <c r="M32" s="867">
        <f t="shared" si="7"/>
        <v>651</v>
      </c>
      <c r="N32" s="867"/>
      <c r="Q32" s="868"/>
      <c r="S32" s="863"/>
      <c r="U32" s="863"/>
    </row>
    <row r="33" spans="3:21" ht="12.75" customHeight="1">
      <c r="C33" s="887">
        <v>1997</v>
      </c>
      <c r="D33" s="866">
        <v>49.3</v>
      </c>
      <c r="E33" s="867">
        <v>10</v>
      </c>
      <c r="F33" s="867"/>
      <c r="G33" s="867">
        <v>92</v>
      </c>
      <c r="H33" s="867">
        <v>255</v>
      </c>
      <c r="I33" s="867">
        <v>225</v>
      </c>
      <c r="J33" s="867">
        <v>69</v>
      </c>
      <c r="K33" s="867">
        <v>8</v>
      </c>
      <c r="L33" s="867"/>
      <c r="M33" s="867">
        <f t="shared" si="7"/>
        <v>659</v>
      </c>
      <c r="N33" s="867"/>
      <c r="Q33" s="863"/>
      <c r="S33" s="863"/>
      <c r="U33" s="863"/>
    </row>
    <row r="34" spans="3:21" ht="12.75" customHeight="1">
      <c r="C34" s="887">
        <v>2001</v>
      </c>
      <c r="D34" s="866">
        <v>50.3</v>
      </c>
      <c r="E34" s="867">
        <v>4</v>
      </c>
      <c r="F34" s="867"/>
      <c r="G34" s="867">
        <v>79</v>
      </c>
      <c r="H34" s="867">
        <v>236</v>
      </c>
      <c r="I34" s="867">
        <v>247</v>
      </c>
      <c r="J34" s="867">
        <v>83</v>
      </c>
      <c r="K34" s="867">
        <v>10</v>
      </c>
      <c r="L34" s="867"/>
      <c r="M34" s="867">
        <f t="shared" si="7"/>
        <v>659</v>
      </c>
      <c r="N34" s="867"/>
      <c r="Q34" s="863"/>
      <c r="S34" s="863"/>
      <c r="U34" s="863"/>
    </row>
    <row r="35" spans="3:21" ht="12.75" customHeight="1">
      <c r="C35" s="887">
        <v>2005</v>
      </c>
      <c r="D35" s="866">
        <v>51.2</v>
      </c>
      <c r="E35" s="867">
        <v>3</v>
      </c>
      <c r="F35" s="867"/>
      <c r="G35" s="867">
        <v>89</v>
      </c>
      <c r="H35" s="867">
        <v>191</v>
      </c>
      <c r="I35" s="867">
        <v>249</v>
      </c>
      <c r="J35" s="867">
        <v>100</v>
      </c>
      <c r="K35" s="867">
        <v>14</v>
      </c>
      <c r="L35" s="867"/>
      <c r="M35" s="867">
        <f t="shared" si="7"/>
        <v>646</v>
      </c>
      <c r="N35" s="867"/>
      <c r="Q35" s="863"/>
      <c r="S35" s="863"/>
      <c r="U35" s="863"/>
    </row>
    <row r="36" spans="3:21" ht="12.75" customHeight="1">
      <c r="C36" s="887">
        <v>2010</v>
      </c>
      <c r="D36" s="866">
        <v>49.9</v>
      </c>
      <c r="E36" s="867">
        <v>15</v>
      </c>
      <c r="F36" s="867"/>
      <c r="G36" s="867">
        <v>108</v>
      </c>
      <c r="H36" s="867">
        <v>196</v>
      </c>
      <c r="I36" s="867">
        <v>216</v>
      </c>
      <c r="J36" s="867">
        <v>99</v>
      </c>
      <c r="K36" s="867">
        <v>16</v>
      </c>
      <c r="L36" s="867"/>
      <c r="M36" s="867">
        <f t="shared" si="7"/>
        <v>650</v>
      </c>
      <c r="N36" s="867"/>
      <c r="Q36" s="863"/>
      <c r="S36" s="863"/>
      <c r="U36" s="863"/>
    </row>
    <row r="37" spans="3:21" ht="12.75" customHeight="1">
      <c r="C37" s="887">
        <v>2015</v>
      </c>
      <c r="D37" s="866">
        <v>50.6</v>
      </c>
      <c r="E37" s="867">
        <v>13</v>
      </c>
      <c r="F37" s="867"/>
      <c r="G37" s="867">
        <v>89</v>
      </c>
      <c r="H37" s="867">
        <v>205</v>
      </c>
      <c r="I37" s="867">
        <v>212</v>
      </c>
      <c r="J37" s="867">
        <v>107</v>
      </c>
      <c r="K37" s="867">
        <v>24</v>
      </c>
      <c r="L37" s="867"/>
      <c r="M37" s="867">
        <v>650</v>
      </c>
      <c r="N37" s="867"/>
      <c r="Q37" s="863"/>
      <c r="S37" s="863"/>
      <c r="U37" s="863"/>
    </row>
    <row r="38" spans="3:21" ht="12.75" customHeight="1">
      <c r="C38" s="892">
        <v>2017</v>
      </c>
      <c r="D38" s="893">
        <v>50.514728682170542</v>
      </c>
      <c r="E38" s="894">
        <v>14</v>
      </c>
      <c r="F38" s="894"/>
      <c r="G38" s="894">
        <v>102</v>
      </c>
      <c r="H38" s="894">
        <v>190</v>
      </c>
      <c r="I38" s="894">
        <v>197</v>
      </c>
      <c r="J38" s="894">
        <v>114</v>
      </c>
      <c r="K38" s="894">
        <v>28</v>
      </c>
      <c r="L38" s="894">
        <v>5</v>
      </c>
      <c r="M38" s="894">
        <v>650</v>
      </c>
      <c r="N38" s="867"/>
      <c r="Q38" s="863"/>
      <c r="S38" s="863"/>
      <c r="U38" s="863"/>
    </row>
    <row r="39" spans="3:21" ht="12.75" customHeight="1">
      <c r="C39" s="884">
        <v>2019</v>
      </c>
      <c r="D39" s="869">
        <v>50</v>
      </c>
      <c r="E39" s="850">
        <v>21</v>
      </c>
      <c r="G39" s="850">
        <v>109</v>
      </c>
      <c r="H39" s="850">
        <v>183</v>
      </c>
      <c r="I39" s="850">
        <v>195</v>
      </c>
      <c r="J39" s="850">
        <v>106</v>
      </c>
      <c r="K39" s="850">
        <v>21</v>
      </c>
      <c r="L39" s="850">
        <v>16</v>
      </c>
      <c r="M39" s="850">
        <v>650</v>
      </c>
      <c r="N39" s="867"/>
      <c r="Q39" s="863"/>
      <c r="S39" s="863"/>
      <c r="U39" s="863"/>
    </row>
    <row r="40" spans="3:21" ht="12.75" customHeight="1">
      <c r="C40" s="3329"/>
      <c r="D40" s="866"/>
      <c r="E40" s="867"/>
      <c r="F40" s="867"/>
      <c r="G40" s="867"/>
      <c r="H40" s="867"/>
      <c r="I40" s="867"/>
      <c r="J40" s="867"/>
      <c r="K40" s="867"/>
      <c r="L40" s="867"/>
      <c r="M40" s="867"/>
      <c r="N40" s="867"/>
      <c r="Q40" s="863"/>
      <c r="S40" s="863"/>
      <c r="U40" s="863"/>
    </row>
    <row r="41" spans="3:21" ht="4.5" customHeight="1">
      <c r="C41" s="865"/>
      <c r="D41" s="867"/>
      <c r="E41" s="867"/>
      <c r="F41" s="867"/>
      <c r="G41" s="867"/>
      <c r="H41" s="867"/>
      <c r="I41" s="867"/>
      <c r="J41" s="867"/>
      <c r="K41" s="867"/>
      <c r="L41" s="867"/>
      <c r="M41" s="867"/>
      <c r="N41" s="867"/>
      <c r="Q41" s="863"/>
    </row>
    <row r="42" spans="3:21">
      <c r="C42" s="850"/>
      <c r="N42" s="867"/>
    </row>
  </sheetData>
  <mergeCells count="1">
    <mergeCell ref="C22:L22"/>
  </mergeCells>
  <pageMargins left="0.7" right="0.7" top="0.75" bottom="0.75" header="0.3" footer="0.3"/>
  <pageSetup paperSize="9" orientation="portrait" horizontalDpi="1200" verticalDpi="1200" r:id="rId1"/>
  <ignoredErrors>
    <ignoredError sqref="M10:M13 M14:M17" formulaRange="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4"/>
  </sheetPr>
  <dimension ref="A1:V28"/>
  <sheetViews>
    <sheetView showGridLines="0" zoomScale="70" zoomScaleNormal="70" workbookViewId="0">
      <selection activeCell="W17" sqref="W17"/>
    </sheetView>
  </sheetViews>
  <sheetFormatPr baseColWidth="10" defaultColWidth="9.3984375" defaultRowHeight="15"/>
  <cols>
    <col min="1" max="1" width="16" style="2229" customWidth="1"/>
    <col min="2" max="2" width="1" style="2229" customWidth="1"/>
    <col min="3" max="21" width="6.19921875" style="2230" customWidth="1"/>
    <col min="22" max="16384" width="9.3984375" style="2229"/>
  </cols>
  <sheetData>
    <row r="1" spans="1:22" ht="16">
      <c r="A1" s="2228" t="s">
        <v>1522</v>
      </c>
    </row>
    <row r="2" spans="1:22" ht="20">
      <c r="A2" s="2239" t="s">
        <v>2855</v>
      </c>
      <c r="B2" s="2231"/>
      <c r="C2" s="2232"/>
      <c r="D2" s="2232"/>
      <c r="E2" s="2232"/>
      <c r="F2" s="2232"/>
      <c r="G2" s="2232"/>
      <c r="H2" s="2232"/>
      <c r="I2" s="2232"/>
      <c r="J2" s="2232"/>
      <c r="K2" s="2232"/>
      <c r="L2" s="2232"/>
      <c r="M2" s="2232"/>
      <c r="N2" s="2232"/>
      <c r="O2" s="2232"/>
      <c r="P2" s="2232"/>
      <c r="Q2" s="2232"/>
      <c r="R2" s="2232"/>
      <c r="S2" s="2232"/>
      <c r="T2" s="2232"/>
      <c r="U2" s="2232"/>
    </row>
    <row r="5" spans="1:22" ht="27.75" customHeight="1"/>
    <row r="10" spans="1:22" ht="14.25" customHeight="1"/>
    <row r="11" spans="1:22" ht="3.75" hidden="1" customHeight="1">
      <c r="A11" s="1176"/>
      <c r="B11" s="1176"/>
      <c r="C11" s="1177"/>
      <c r="D11" s="1177"/>
      <c r="E11" s="1177"/>
      <c r="F11" s="1177"/>
      <c r="G11" s="1177"/>
      <c r="H11" s="1177"/>
      <c r="I11" s="1177"/>
      <c r="J11" s="1177"/>
      <c r="K11" s="1177"/>
      <c r="L11" s="1177"/>
      <c r="M11" s="1177"/>
      <c r="N11" s="1177"/>
      <c r="O11" s="1177"/>
      <c r="P11" s="1177"/>
      <c r="Q11" s="1177"/>
      <c r="R11" s="1177"/>
      <c r="S11" s="1177"/>
      <c r="T11" s="1177"/>
      <c r="U11" s="1177"/>
    </row>
    <row r="12" spans="1:22" s="1176" customFormat="1">
      <c r="A12" s="1184"/>
      <c r="B12" s="1184"/>
      <c r="C12" s="2233"/>
      <c r="D12" s="2233"/>
      <c r="E12" s="2233"/>
      <c r="F12" s="2233"/>
      <c r="G12" s="2233"/>
      <c r="H12" s="2233"/>
      <c r="I12" s="2233" t="s">
        <v>50</v>
      </c>
      <c r="J12" s="2233" t="s">
        <v>51</v>
      </c>
      <c r="K12" s="2233"/>
      <c r="L12" s="2233"/>
      <c r="M12" s="2233"/>
      <c r="N12" s="2233"/>
      <c r="O12" s="2233"/>
      <c r="P12" s="2233"/>
      <c r="Q12" s="2233"/>
      <c r="R12" s="2233"/>
      <c r="S12" s="2233"/>
      <c r="T12" s="2233"/>
      <c r="U12" s="2233"/>
    </row>
    <row r="13" spans="1:22" ht="16" thickBot="1">
      <c r="A13" s="1184"/>
      <c r="B13" s="1184"/>
      <c r="C13" s="2234">
        <v>1951</v>
      </c>
      <c r="D13" s="2234">
        <v>1955</v>
      </c>
      <c r="E13" s="2234">
        <v>1959</v>
      </c>
      <c r="F13" s="2234">
        <v>1964</v>
      </c>
      <c r="G13" s="2234">
        <v>1966</v>
      </c>
      <c r="H13" s="2234">
        <v>1970</v>
      </c>
      <c r="I13" s="2234">
        <v>1974</v>
      </c>
      <c r="J13" s="2234">
        <v>1974</v>
      </c>
      <c r="K13" s="2234">
        <v>1979</v>
      </c>
      <c r="L13" s="2234">
        <v>1983</v>
      </c>
      <c r="M13" s="2234">
        <v>1987</v>
      </c>
      <c r="N13" s="2234">
        <v>1992</v>
      </c>
      <c r="O13" s="2234">
        <v>1997</v>
      </c>
      <c r="P13" s="2234">
        <v>1901</v>
      </c>
      <c r="Q13" s="2234">
        <v>2005</v>
      </c>
      <c r="R13" s="2234">
        <v>2010</v>
      </c>
      <c r="S13" s="2234">
        <v>2015</v>
      </c>
      <c r="T13" s="2234">
        <v>2017</v>
      </c>
      <c r="U13" s="2234">
        <v>2019</v>
      </c>
      <c r="V13" s="1176"/>
    </row>
    <row r="14" spans="1:22" s="1176" customFormat="1" ht="16" customHeight="1" thickBot="1">
      <c r="A14" s="1181" t="s">
        <v>13</v>
      </c>
      <c r="C14" s="1177">
        <v>47</v>
      </c>
      <c r="D14" s="1177">
        <v>49</v>
      </c>
      <c r="E14" s="1177">
        <v>48</v>
      </c>
      <c r="F14" s="1177">
        <v>45</v>
      </c>
      <c r="G14" s="1177">
        <v>48</v>
      </c>
      <c r="H14" s="1177">
        <v>49</v>
      </c>
      <c r="I14" s="1177">
        <v>48</v>
      </c>
      <c r="J14" s="1177">
        <v>47</v>
      </c>
      <c r="K14" s="1177">
        <v>47</v>
      </c>
      <c r="L14" s="1177">
        <v>47</v>
      </c>
      <c r="M14" s="1177">
        <v>48</v>
      </c>
      <c r="N14" s="1177">
        <v>48</v>
      </c>
      <c r="O14" s="1177">
        <v>50</v>
      </c>
      <c r="P14" s="1177">
        <v>48</v>
      </c>
      <c r="Q14" s="1177">
        <v>48</v>
      </c>
      <c r="R14" s="1177">
        <v>47</v>
      </c>
      <c r="S14" s="1177">
        <v>49</v>
      </c>
      <c r="T14" s="1177">
        <v>49.9</v>
      </c>
      <c r="U14" s="1177">
        <v>50.351999999999997</v>
      </c>
    </row>
    <row r="15" spans="1:22" ht="16" customHeight="1" thickBot="1">
      <c r="A15" s="1182" t="s">
        <v>14</v>
      </c>
      <c r="B15" s="1176"/>
      <c r="C15" s="1177">
        <v>52</v>
      </c>
      <c r="D15" s="1177">
        <v>54</v>
      </c>
      <c r="E15" s="1177">
        <v>55</v>
      </c>
      <c r="F15" s="1177">
        <v>52</v>
      </c>
      <c r="G15" s="1177">
        <v>50</v>
      </c>
      <c r="H15" s="1177">
        <v>50</v>
      </c>
      <c r="I15" s="2235">
        <v>50</v>
      </c>
      <c r="J15" s="2235">
        <v>49</v>
      </c>
      <c r="K15" s="2235">
        <v>51</v>
      </c>
      <c r="L15" s="1177">
        <v>51</v>
      </c>
      <c r="M15" s="2235">
        <v>47</v>
      </c>
      <c r="N15" s="1177">
        <v>51</v>
      </c>
      <c r="O15" s="1177">
        <v>48</v>
      </c>
      <c r="P15" s="2235">
        <v>50</v>
      </c>
      <c r="Q15" s="1177">
        <v>53</v>
      </c>
      <c r="R15" s="1177">
        <v>52</v>
      </c>
      <c r="S15" s="1177">
        <v>54</v>
      </c>
      <c r="T15" s="1177">
        <v>51.6</v>
      </c>
      <c r="U15" s="1177">
        <v>52.683999999999997</v>
      </c>
      <c r="V15" s="1176"/>
    </row>
    <row r="16" spans="1:22" s="1176" customFormat="1" ht="16" customHeight="1" thickBot="1">
      <c r="A16" s="3048" t="s">
        <v>15</v>
      </c>
      <c r="C16" s="1177">
        <v>42</v>
      </c>
      <c r="D16" s="1177">
        <v>46</v>
      </c>
      <c r="E16" s="1177">
        <v>46</v>
      </c>
      <c r="F16" s="1177">
        <v>43</v>
      </c>
      <c r="G16" s="1177">
        <v>39</v>
      </c>
      <c r="H16" s="1177">
        <v>39</v>
      </c>
      <c r="I16" s="1177">
        <v>39</v>
      </c>
      <c r="J16" s="1177">
        <v>45</v>
      </c>
      <c r="K16" s="1177">
        <v>47</v>
      </c>
      <c r="L16" s="1177">
        <v>43</v>
      </c>
      <c r="M16" s="1177">
        <v>45</v>
      </c>
      <c r="N16" s="1177">
        <v>45</v>
      </c>
      <c r="O16" s="1177">
        <v>46</v>
      </c>
      <c r="P16" s="1177">
        <v>47</v>
      </c>
      <c r="Q16" s="1177">
        <v>46</v>
      </c>
      <c r="R16" s="1177">
        <v>50</v>
      </c>
      <c r="S16" s="2236">
        <v>50</v>
      </c>
      <c r="T16" s="2236">
        <v>53.5</v>
      </c>
      <c r="U16" s="2236">
        <v>52.25</v>
      </c>
    </row>
    <row r="17" spans="1:22" ht="16">
      <c r="A17" s="1033" t="s">
        <v>2306</v>
      </c>
      <c r="B17" s="1060"/>
      <c r="C17" s="2237">
        <f t="shared" ref="C17:J17" si="0">AVERAGE(C14:C16)</f>
        <v>47</v>
      </c>
      <c r="D17" s="2237">
        <f t="shared" si="0"/>
        <v>49.666666666666664</v>
      </c>
      <c r="E17" s="2237">
        <f t="shared" si="0"/>
        <v>49.666666666666664</v>
      </c>
      <c r="F17" s="2237">
        <f t="shared" si="0"/>
        <v>46.666666666666664</v>
      </c>
      <c r="G17" s="2237">
        <f t="shared" si="0"/>
        <v>45.666666666666664</v>
      </c>
      <c r="H17" s="2237">
        <f t="shared" si="0"/>
        <v>46</v>
      </c>
      <c r="I17" s="2237">
        <f t="shared" si="0"/>
        <v>45.666666666666664</v>
      </c>
      <c r="J17" s="2237">
        <f t="shared" si="0"/>
        <v>47</v>
      </c>
      <c r="K17" s="2237">
        <f t="shared" ref="K17:Q17" si="1">AVERAGE(K14:K16)</f>
        <v>48.333333333333336</v>
      </c>
      <c r="L17" s="2237">
        <f t="shared" si="1"/>
        <v>47</v>
      </c>
      <c r="M17" s="2237">
        <f t="shared" si="1"/>
        <v>46.666666666666664</v>
      </c>
      <c r="N17" s="2237">
        <f t="shared" si="1"/>
        <v>48</v>
      </c>
      <c r="O17" s="2237">
        <f t="shared" si="1"/>
        <v>48</v>
      </c>
      <c r="P17" s="2237">
        <f t="shared" si="1"/>
        <v>48.333333333333336</v>
      </c>
      <c r="Q17" s="2237">
        <f t="shared" si="1"/>
        <v>49</v>
      </c>
      <c r="R17" s="2237">
        <f>AVERAGE(R14:R16)</f>
        <v>49.666666666666664</v>
      </c>
      <c r="S17" s="2237">
        <f>AVERAGE(S14:S16)</f>
        <v>51</v>
      </c>
      <c r="T17" s="2237">
        <f>AVERAGE(T14:T16)</f>
        <v>51.666666666666664</v>
      </c>
      <c r="U17" s="2237">
        <f>AVERAGE(U14:U16)</f>
        <v>51.762</v>
      </c>
      <c r="V17" s="1176"/>
    </row>
    <row r="18" spans="1:22" ht="3" customHeight="1">
      <c r="A18" s="2238"/>
      <c r="B18" s="2238"/>
      <c r="C18" s="2233"/>
      <c r="D18" s="2233"/>
      <c r="E18" s="2233"/>
      <c r="F18" s="2233"/>
      <c r="G18" s="2233"/>
      <c r="H18" s="2233"/>
      <c r="I18" s="2233"/>
      <c r="J18" s="2233"/>
      <c r="K18" s="2233"/>
      <c r="L18" s="2233"/>
      <c r="M18" s="2233"/>
      <c r="N18" s="2233"/>
      <c r="O18" s="2233"/>
      <c r="P18" s="2233"/>
      <c r="Q18" s="2233"/>
      <c r="R18" s="2233"/>
      <c r="S18" s="2233"/>
      <c r="T18" s="2233"/>
      <c r="U18" s="2233"/>
      <c r="V18" s="1176"/>
    </row>
    <row r="19" spans="1:22" ht="16">
      <c r="A19" s="1033" t="s">
        <v>1113</v>
      </c>
      <c r="C19" s="1177"/>
      <c r="D19" s="1177"/>
      <c r="E19" s="1177"/>
      <c r="F19" s="1177"/>
      <c r="G19" s="1177"/>
      <c r="H19" s="1177"/>
      <c r="I19" s="1177"/>
      <c r="J19" s="1177"/>
      <c r="K19" s="1177"/>
      <c r="L19" s="1177"/>
      <c r="M19" s="1177"/>
      <c r="N19" s="1177"/>
      <c r="O19" s="1177"/>
      <c r="P19" s="1177"/>
      <c r="Q19" s="1177"/>
      <c r="R19" s="1177"/>
      <c r="S19" s="1177"/>
      <c r="T19" s="1177"/>
      <c r="U19" s="1177"/>
      <c r="V19" s="1176"/>
    </row>
    <row r="20" spans="1:22">
      <c r="A20" s="2229" t="s">
        <v>1389</v>
      </c>
    </row>
    <row r="22" spans="1:22" ht="16">
      <c r="A22" s="1033" t="s">
        <v>1121</v>
      </c>
    </row>
    <row r="23" spans="1:22">
      <c r="A23" s="2229" t="s">
        <v>2408</v>
      </c>
    </row>
    <row r="24" spans="1:22">
      <c r="B24" s="2230"/>
    </row>
    <row r="25" spans="1:22">
      <c r="B25" s="2230"/>
    </row>
    <row r="28" spans="1:22">
      <c r="A28" s="2229" t="s">
        <v>1390</v>
      </c>
    </row>
  </sheetData>
  <pageMargins left="0.7" right="0.7" top="0.75" bottom="0.75" header="0.3" footer="0.3"/>
  <pageSetup paperSize="9" orientation="portrait" horizontalDpi="1200" verticalDpi="1200" r:id="rId1"/>
  <ignoredErrors>
    <ignoredError sqref="U17:W17 C17:T17" formulaRange="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tabColor theme="4"/>
  </sheetPr>
  <dimension ref="A2:P46"/>
  <sheetViews>
    <sheetView showGridLines="0" topLeftCell="P21" zoomScaleNormal="100" workbookViewId="0">
      <selection activeCell="V32" sqref="V32"/>
    </sheetView>
  </sheetViews>
  <sheetFormatPr baseColWidth="10" defaultColWidth="9.3984375" defaultRowHeight="14"/>
  <cols>
    <col min="1" max="1" width="6.19921875" style="1194" customWidth="1"/>
    <col min="2" max="2" width="1.19921875" style="1186" customWidth="1"/>
    <col min="3" max="7" width="7.59765625" style="1186" customWidth="1"/>
    <col min="8" max="8" width="7.59765625" style="1160" customWidth="1"/>
    <col min="9" max="9" width="2.19921875" style="1186" customWidth="1"/>
    <col min="10" max="14" width="7.59765625" style="1186" customWidth="1"/>
    <col min="15" max="15" width="6.796875" style="1187" customWidth="1"/>
    <col min="16" max="16" width="9.3984375" style="1186" customWidth="1"/>
    <col min="17" max="16384" width="9.3984375" style="1186"/>
  </cols>
  <sheetData>
    <row r="2" spans="1:16">
      <c r="A2" s="1185" t="s">
        <v>1521</v>
      </c>
    </row>
    <row r="3" spans="1:16" ht="16">
      <c r="A3" s="1206" t="s">
        <v>2711</v>
      </c>
      <c r="B3" s="1207"/>
      <c r="C3" s="1207"/>
      <c r="D3" s="1207"/>
      <c r="E3" s="1207"/>
      <c r="F3" s="1207"/>
      <c r="G3" s="1207"/>
      <c r="H3" s="1208"/>
      <c r="I3" s="1207"/>
      <c r="J3" s="1207"/>
      <c r="K3" s="1207"/>
      <c r="L3" s="1207"/>
      <c r="M3" s="1207"/>
      <c r="N3" s="1207"/>
      <c r="O3" s="1209"/>
      <c r="P3" s="1163"/>
    </row>
    <row r="4" spans="1:16" ht="13.5" customHeight="1" thickBot="1">
      <c r="A4" s="1200"/>
      <c r="B4" s="921"/>
      <c r="C4" s="3415" t="s">
        <v>142</v>
      </c>
      <c r="D4" s="3415"/>
      <c r="E4" s="3415"/>
      <c r="F4" s="3415"/>
      <c r="G4" s="3415"/>
      <c r="H4" s="1201"/>
      <c r="I4" s="921"/>
      <c r="J4" s="3415" t="s">
        <v>1293</v>
      </c>
      <c r="K4" s="3415"/>
      <c r="L4" s="3415"/>
      <c r="M4" s="3415"/>
      <c r="N4" s="3415"/>
      <c r="O4" s="1201"/>
    </row>
    <row r="5" spans="1:16" s="2543" customFormat="1" ht="2.25" customHeight="1">
      <c r="A5" s="1200"/>
      <c r="B5" s="921"/>
      <c r="C5" s="1204"/>
      <c r="D5" s="1204"/>
      <c r="E5" s="1204"/>
      <c r="F5" s="1204"/>
      <c r="G5" s="1204"/>
      <c r="H5" s="1204"/>
      <c r="I5" s="921"/>
      <c r="J5" s="1204"/>
      <c r="K5" s="1204"/>
      <c r="L5" s="1204"/>
      <c r="M5" s="1204"/>
      <c r="N5" s="1204"/>
      <c r="O5" s="1204"/>
    </row>
    <row r="6" spans="1:16" s="1163" customFormat="1">
      <c r="A6" s="1200"/>
      <c r="B6" s="1205"/>
      <c r="C6" s="2243" t="s">
        <v>2308</v>
      </c>
      <c r="D6" s="2244" t="s">
        <v>807</v>
      </c>
      <c r="E6" s="2245" t="s">
        <v>808</v>
      </c>
      <c r="F6" s="2533" t="s">
        <v>2309</v>
      </c>
      <c r="G6" s="2246" t="s">
        <v>12</v>
      </c>
      <c r="H6" s="1203" t="s">
        <v>16</v>
      </c>
      <c r="I6" s="921"/>
      <c r="J6" s="2243" t="s">
        <v>2308</v>
      </c>
      <c r="K6" s="2244" t="s">
        <v>807</v>
      </c>
      <c r="L6" s="2245" t="s">
        <v>808</v>
      </c>
      <c r="M6" s="2533" t="s">
        <v>2309</v>
      </c>
      <c r="N6" s="2246" t="s">
        <v>12</v>
      </c>
      <c r="O6" s="1203" t="s">
        <v>16</v>
      </c>
    </row>
    <row r="7" spans="1:16" ht="2.25" customHeight="1">
      <c r="A7" s="1200"/>
      <c r="B7" s="921"/>
      <c r="C7" s="921"/>
      <c r="D7" s="921"/>
      <c r="E7" s="921"/>
      <c r="F7" s="921"/>
      <c r="G7" s="921"/>
      <c r="H7" s="1202"/>
      <c r="I7" s="921"/>
      <c r="J7" s="921"/>
      <c r="K7" s="921"/>
      <c r="L7" s="921"/>
      <c r="M7" s="921"/>
      <c r="N7" s="921"/>
      <c r="O7" s="1203"/>
    </row>
    <row r="8" spans="1:16" ht="3" customHeight="1">
      <c r="A8" s="1188"/>
      <c r="B8" s="1163"/>
      <c r="C8" s="1163"/>
      <c r="D8" s="1163"/>
      <c r="E8" s="1163"/>
      <c r="F8" s="1163"/>
      <c r="G8" s="1163"/>
      <c r="H8" s="1165"/>
      <c r="I8" s="1163"/>
      <c r="J8" s="1163"/>
      <c r="K8" s="1163"/>
      <c r="L8" s="1163"/>
      <c r="M8" s="1163"/>
      <c r="N8" s="1163"/>
      <c r="O8" s="1189"/>
      <c r="P8" s="1163"/>
    </row>
    <row r="9" spans="1:16" hidden="1">
      <c r="A9" s="1190" t="s">
        <v>1291</v>
      </c>
      <c r="B9" s="1163"/>
      <c r="C9" s="1163"/>
      <c r="D9" s="1163"/>
      <c r="E9" s="1163"/>
      <c r="F9" s="1163"/>
      <c r="G9" s="1163"/>
      <c r="H9" s="1165"/>
      <c r="I9" s="1163"/>
      <c r="J9" s="1163"/>
      <c r="K9" s="1163"/>
      <c r="L9" s="1163"/>
      <c r="M9" s="1163"/>
      <c r="N9" s="1163"/>
      <c r="O9" s="1189"/>
      <c r="P9" s="1163"/>
    </row>
    <row r="10" spans="1:16" hidden="1">
      <c r="A10" s="1190"/>
      <c r="B10" s="1163"/>
      <c r="C10" s="1163">
        <v>376</v>
      </c>
      <c r="D10" s="1163">
        <f>229-D18</f>
        <v>225</v>
      </c>
      <c r="E10" s="1163">
        <v>22</v>
      </c>
      <c r="F10" s="1163">
        <f>6+17</f>
        <v>23</v>
      </c>
      <c r="G10" s="1163"/>
      <c r="H10" s="1165">
        <f>SUM(D10:F10)</f>
        <v>270</v>
      </c>
      <c r="I10" s="1163"/>
      <c r="J10" s="1163"/>
      <c r="K10" s="1163"/>
      <c r="L10" s="1163"/>
      <c r="M10" s="1163"/>
      <c r="N10" s="1163"/>
      <c r="O10" s="1189"/>
      <c r="P10" s="1163"/>
    </row>
    <row r="11" spans="1:16" hidden="1">
      <c r="A11" s="1190"/>
      <c r="B11" s="1190"/>
      <c r="C11" s="1178">
        <v>335</v>
      </c>
      <c r="D11" s="1178">
        <v>266</v>
      </c>
      <c r="E11" s="1178">
        <v>20</v>
      </c>
      <c r="F11" s="1178">
        <v>24</v>
      </c>
      <c r="G11" s="1178"/>
      <c r="H11" s="1165">
        <f>SUM(D11:F11)</f>
        <v>310</v>
      </c>
      <c r="I11" s="1163"/>
      <c r="J11" s="1163"/>
      <c r="K11" s="1163"/>
      <c r="L11" s="1163"/>
      <c r="M11" s="1163"/>
      <c r="N11" s="1163"/>
      <c r="O11" s="1189"/>
      <c r="P11" s="1163"/>
    </row>
    <row r="12" spans="1:16" hidden="1">
      <c r="A12" s="1190"/>
      <c r="B12" s="1190"/>
      <c r="C12" s="1178">
        <v>165</v>
      </c>
      <c r="D12" s="1178">
        <v>409</v>
      </c>
      <c r="E12" s="1178">
        <v>46</v>
      </c>
      <c r="F12" s="1178">
        <v>30</v>
      </c>
      <c r="G12" s="1178"/>
      <c r="H12" s="1165">
        <f>SUM(D12:F12)</f>
        <v>485</v>
      </c>
      <c r="I12" s="1163"/>
      <c r="J12" s="1163"/>
      <c r="K12" s="1163"/>
      <c r="L12" s="1163"/>
      <c r="M12" s="1163"/>
      <c r="N12" s="1163"/>
      <c r="O12" s="1189"/>
      <c r="P12" s="1163"/>
    </row>
    <row r="13" spans="1:16" hidden="1">
      <c r="A13" s="1190"/>
      <c r="B13" s="1190"/>
      <c r="C13" s="1178">
        <v>166</v>
      </c>
      <c r="D13" s="1178">
        <v>400</v>
      </c>
      <c r="E13" s="1178">
        <v>52</v>
      </c>
      <c r="F13" s="1178">
        <v>29</v>
      </c>
      <c r="G13" s="1178"/>
      <c r="H13" s="1165">
        <f>SUM(D13:F13)</f>
        <v>481</v>
      </c>
      <c r="I13" s="1163"/>
      <c r="J13" s="1163"/>
      <c r="K13" s="1163"/>
      <c r="L13" s="1163"/>
      <c r="M13" s="1163"/>
      <c r="N13" s="1163"/>
      <c r="O13" s="1189"/>
      <c r="P13" s="1163"/>
    </row>
    <row r="14" spans="1:16" hidden="1">
      <c r="A14" s="1190"/>
      <c r="B14" s="1190"/>
      <c r="C14" s="1178">
        <v>196</v>
      </c>
      <c r="D14" s="1178">
        <f>355-13</f>
        <v>342</v>
      </c>
      <c r="E14" s="1178">
        <v>62</v>
      </c>
      <c r="F14" s="1178">
        <f>9+9+1+5+3+2+1+1</f>
        <v>31</v>
      </c>
      <c r="G14" s="1178"/>
      <c r="H14" s="1165">
        <f>SUM(D14:F14)</f>
        <v>435</v>
      </c>
      <c r="I14" s="1163"/>
      <c r="J14" s="1163"/>
      <c r="K14" s="1163"/>
      <c r="L14" s="1163"/>
      <c r="M14" s="1163"/>
      <c r="N14" s="1163"/>
      <c r="O14" s="1189"/>
      <c r="P14" s="1163"/>
    </row>
    <row r="15" spans="1:16" hidden="1">
      <c r="A15" s="1190"/>
      <c r="B15" s="1190"/>
      <c r="C15" s="1178">
        <f>306-C23</f>
        <v>295</v>
      </c>
      <c r="D15" s="1178">
        <f>258-D23</f>
        <v>242</v>
      </c>
      <c r="E15" s="1178">
        <v>57</v>
      </c>
      <c r="F15" s="1178">
        <v>29</v>
      </c>
      <c r="G15" s="1178"/>
      <c r="H15" s="1165">
        <v>623</v>
      </c>
      <c r="I15" s="1163"/>
      <c r="J15" s="1163"/>
      <c r="K15" s="1163"/>
      <c r="L15" s="1163"/>
      <c r="M15" s="1163"/>
      <c r="N15" s="1163"/>
      <c r="O15" s="1189"/>
      <c r="P15" s="1163"/>
    </row>
    <row r="16" spans="1:16" ht="6" hidden="1" customHeight="1">
      <c r="A16" s="1190"/>
      <c r="B16" s="1190"/>
      <c r="C16" s="1178"/>
      <c r="D16" s="1178"/>
      <c r="E16" s="1178"/>
      <c r="F16" s="1178"/>
      <c r="G16" s="1178"/>
      <c r="H16" s="1165"/>
      <c r="I16" s="1163"/>
      <c r="J16" s="1163"/>
      <c r="K16" s="1163"/>
      <c r="L16" s="1163"/>
      <c r="M16" s="1163"/>
      <c r="N16" s="1163"/>
      <c r="O16" s="1189"/>
      <c r="P16" s="1163"/>
    </row>
    <row r="17" spans="1:16" hidden="1">
      <c r="A17" s="1190" t="s">
        <v>1292</v>
      </c>
      <c r="B17" s="1190"/>
      <c r="C17" s="1178"/>
      <c r="D17" s="1178"/>
      <c r="E17" s="1178"/>
      <c r="F17" s="1178"/>
      <c r="G17" s="1178"/>
      <c r="H17" s="1189"/>
      <c r="I17" s="1163"/>
      <c r="J17" s="1163"/>
      <c r="K17" s="1163"/>
      <c r="L17" s="1163"/>
      <c r="M17" s="1163"/>
      <c r="N17" s="1163"/>
      <c r="O17" s="1189"/>
      <c r="P17" s="1163"/>
    </row>
    <row r="18" spans="1:16">
      <c r="A18" s="1188">
        <v>1987</v>
      </c>
      <c r="B18" s="1190"/>
      <c r="C18" s="1178">
        <v>0</v>
      </c>
      <c r="D18" s="1178">
        <v>4</v>
      </c>
      <c r="E18" s="1178">
        <v>0</v>
      </c>
      <c r="F18" s="1178">
        <v>0</v>
      </c>
      <c r="G18" s="1178">
        <v>0</v>
      </c>
      <c r="H18" s="1189">
        <v>4</v>
      </c>
      <c r="I18" s="1163"/>
      <c r="J18" s="1191">
        <f t="shared" ref="J18:M22" si="0">C18/C40</f>
        <v>0</v>
      </c>
      <c r="K18" s="1191">
        <f t="shared" si="0"/>
        <v>1.7467248908296942E-2</v>
      </c>
      <c r="L18" s="1191">
        <f t="shared" si="0"/>
        <v>0</v>
      </c>
      <c r="M18" s="1191">
        <f t="shared" si="0"/>
        <v>0</v>
      </c>
      <c r="N18" s="1191">
        <v>0</v>
      </c>
      <c r="O18" s="1198">
        <f>H18/H40</f>
        <v>6.1538461538461538E-3</v>
      </c>
      <c r="P18" s="1163"/>
    </row>
    <row r="19" spans="1:16">
      <c r="A19" s="1188">
        <v>1992</v>
      </c>
      <c r="B19" s="1190"/>
      <c r="C19" s="1178">
        <v>1</v>
      </c>
      <c r="D19" s="1178">
        <v>5</v>
      </c>
      <c r="E19" s="1178">
        <v>0</v>
      </c>
      <c r="F19" s="1178">
        <v>0</v>
      </c>
      <c r="G19" s="1178">
        <v>0</v>
      </c>
      <c r="H19" s="1189">
        <v>6</v>
      </c>
      <c r="I19" s="1163"/>
      <c r="J19" s="1191">
        <f t="shared" si="0"/>
        <v>2.976190476190476E-3</v>
      </c>
      <c r="K19" s="1191">
        <f t="shared" si="0"/>
        <v>1.8450184501845018E-2</v>
      </c>
      <c r="L19" s="1191">
        <f t="shared" si="0"/>
        <v>0</v>
      </c>
      <c r="M19" s="1191">
        <f t="shared" si="0"/>
        <v>0</v>
      </c>
      <c r="N19" s="1191">
        <v>0</v>
      </c>
      <c r="O19" s="1198">
        <f>H19/H41</f>
        <v>9.2165898617511521E-3</v>
      </c>
      <c r="P19" s="1163"/>
    </row>
    <row r="20" spans="1:16">
      <c r="A20" s="1188">
        <v>1997</v>
      </c>
      <c r="B20" s="1190"/>
      <c r="C20" s="1178">
        <v>0</v>
      </c>
      <c r="D20" s="1178">
        <v>9</v>
      </c>
      <c r="E20" s="1178">
        <v>0</v>
      </c>
      <c r="F20" s="1178">
        <v>0</v>
      </c>
      <c r="G20" s="1178">
        <v>0</v>
      </c>
      <c r="H20" s="1189">
        <v>9</v>
      </c>
      <c r="I20" s="1163"/>
      <c r="J20" s="1191">
        <f t="shared" si="0"/>
        <v>0</v>
      </c>
      <c r="K20" s="1191">
        <f t="shared" si="0"/>
        <v>2.1531100478468901E-2</v>
      </c>
      <c r="L20" s="1191">
        <f t="shared" si="0"/>
        <v>0</v>
      </c>
      <c r="M20" s="1191">
        <f t="shared" si="0"/>
        <v>0</v>
      </c>
      <c r="N20" s="1191">
        <v>0</v>
      </c>
      <c r="O20" s="1198">
        <f>H20/H42</f>
        <v>1.3657056145675266E-2</v>
      </c>
      <c r="P20" s="1163"/>
    </row>
    <row r="21" spans="1:16">
      <c r="A21" s="1188">
        <v>2001</v>
      </c>
      <c r="B21" s="1190"/>
      <c r="C21" s="1178">
        <v>0</v>
      </c>
      <c r="D21" s="1178">
        <v>12</v>
      </c>
      <c r="E21" s="1178">
        <v>0</v>
      </c>
      <c r="F21" s="1178">
        <v>0</v>
      </c>
      <c r="G21" s="1178">
        <v>0</v>
      </c>
      <c r="H21" s="1189">
        <v>12</v>
      </c>
      <c r="I21" s="1163"/>
      <c r="J21" s="1191">
        <f t="shared" si="0"/>
        <v>0</v>
      </c>
      <c r="K21" s="1191">
        <f t="shared" si="0"/>
        <v>2.9126213592233011E-2</v>
      </c>
      <c r="L21" s="1191">
        <f t="shared" si="0"/>
        <v>0</v>
      </c>
      <c r="M21" s="1191">
        <f t="shared" si="0"/>
        <v>0</v>
      </c>
      <c r="N21" s="1191">
        <v>0</v>
      </c>
      <c r="O21" s="1198">
        <f>H21/H43</f>
        <v>1.8209408194233688E-2</v>
      </c>
      <c r="P21" s="1163"/>
    </row>
    <row r="22" spans="1:16">
      <c r="A22" s="1188">
        <v>2005</v>
      </c>
      <c r="B22" s="1190"/>
      <c r="C22" s="1178">
        <v>2</v>
      </c>
      <c r="D22" s="1178">
        <v>13</v>
      </c>
      <c r="E22" s="1178">
        <v>0</v>
      </c>
      <c r="F22" s="1178">
        <v>0</v>
      </c>
      <c r="G22" s="1178">
        <v>0</v>
      </c>
      <c r="H22" s="1189">
        <v>15</v>
      </c>
      <c r="I22" s="1163"/>
      <c r="J22" s="1191">
        <f t="shared" si="0"/>
        <v>1.0101010101010102E-2</v>
      </c>
      <c r="K22" s="1191">
        <f t="shared" si="0"/>
        <v>3.6619718309859155E-2</v>
      </c>
      <c r="L22" s="1191">
        <f t="shared" si="0"/>
        <v>0</v>
      </c>
      <c r="M22" s="1191">
        <f t="shared" si="0"/>
        <v>0</v>
      </c>
      <c r="N22" s="1191">
        <v>0</v>
      </c>
      <c r="O22" s="1198">
        <f>H22/H44</f>
        <v>2.3219814241486069E-2</v>
      </c>
      <c r="P22" s="1163"/>
    </row>
    <row r="23" spans="1:16">
      <c r="A23" s="1188">
        <v>2010</v>
      </c>
      <c r="B23" s="1190"/>
      <c r="C23" s="1178">
        <v>11</v>
      </c>
      <c r="D23" s="1178">
        <v>16</v>
      </c>
      <c r="E23" s="1178">
        <v>0</v>
      </c>
      <c r="F23" s="1178">
        <v>0</v>
      </c>
      <c r="G23" s="1178">
        <v>0</v>
      </c>
      <c r="H23" s="1189">
        <v>27</v>
      </c>
      <c r="I23" s="1163"/>
      <c r="J23" s="1191">
        <v>3.5947712418300651E-2</v>
      </c>
      <c r="K23" s="1191">
        <v>6.2015503875968991E-2</v>
      </c>
      <c r="L23" s="1191">
        <v>0</v>
      </c>
      <c r="M23" s="1191">
        <v>0</v>
      </c>
      <c r="N23" s="1191">
        <v>0</v>
      </c>
      <c r="O23" s="1198">
        <v>4.1538461538461538E-2</v>
      </c>
      <c r="P23" s="1163"/>
    </row>
    <row r="24" spans="1:16">
      <c r="A24" s="1188">
        <v>2015</v>
      </c>
      <c r="B24" s="1188"/>
      <c r="C24" s="1178">
        <v>17</v>
      </c>
      <c r="D24" s="1178">
        <v>23</v>
      </c>
      <c r="E24" s="1178">
        <v>0</v>
      </c>
      <c r="F24" s="1178">
        <v>1</v>
      </c>
      <c r="G24" s="1178">
        <v>0</v>
      </c>
      <c r="H24" s="1189">
        <v>41</v>
      </c>
      <c r="I24" s="1163"/>
      <c r="J24" s="1191">
        <v>5.15151515151515E-2</v>
      </c>
      <c r="K24" s="1192">
        <v>9.9137931034482762E-2</v>
      </c>
      <c r="L24" s="1192">
        <v>0</v>
      </c>
      <c r="M24" s="1192">
        <v>1.2500000000000001E-2</v>
      </c>
      <c r="N24" s="1192">
        <v>0</v>
      </c>
      <c r="O24" s="1193">
        <f>41/650</f>
        <v>6.3076923076923072E-2</v>
      </c>
      <c r="P24" s="1163"/>
    </row>
    <row r="25" spans="1:16">
      <c r="A25" s="1188">
        <v>2017</v>
      </c>
      <c r="B25" s="1188"/>
      <c r="C25" s="1178">
        <v>19</v>
      </c>
      <c r="D25" s="1178">
        <v>32</v>
      </c>
      <c r="E25" s="1178">
        <v>1</v>
      </c>
      <c r="F25" s="1178">
        <v>0</v>
      </c>
      <c r="G25" s="1178">
        <v>0</v>
      </c>
      <c r="H25" s="1189">
        <f>SUM(C25:G25)</f>
        <v>52</v>
      </c>
      <c r="I25" s="1163"/>
      <c r="J25" s="1191">
        <f>C25/317</f>
        <v>5.993690851735016E-2</v>
      </c>
      <c r="K25" s="1192">
        <f>D25/262</f>
        <v>0.12213740458015267</v>
      </c>
      <c r="L25" s="1192">
        <f>1/12</f>
        <v>8.3333333333333329E-2</v>
      </c>
      <c r="M25" s="1192">
        <v>0</v>
      </c>
      <c r="N25" s="1192">
        <v>0</v>
      </c>
      <c r="O25" s="1193">
        <f>H25/650</f>
        <v>0.08</v>
      </c>
      <c r="P25" s="1163"/>
    </row>
    <row r="26" spans="1:16">
      <c r="A26" s="1188">
        <v>2019</v>
      </c>
      <c r="B26" s="1188"/>
      <c r="C26" s="1178">
        <v>22</v>
      </c>
      <c r="D26" s="1178">
        <v>41</v>
      </c>
      <c r="E26" s="1178">
        <v>2</v>
      </c>
      <c r="F26" s="1178">
        <v>0</v>
      </c>
      <c r="G26" s="1178">
        <v>0</v>
      </c>
      <c r="H26" s="1189">
        <v>65</v>
      </c>
      <c r="I26" s="1163"/>
      <c r="J26" s="1191">
        <f>C26/C46</f>
        <v>6.0273972602739728E-2</v>
      </c>
      <c r="K26" s="1191">
        <f>D26/D46</f>
        <v>0.20297029702970298</v>
      </c>
      <c r="L26" s="1191">
        <f>E26/E46</f>
        <v>0.18181818181818182</v>
      </c>
      <c r="M26" s="1191">
        <f>F26/F46</f>
        <v>0</v>
      </c>
      <c r="N26" s="1191">
        <v>0</v>
      </c>
      <c r="O26" s="1213">
        <f>H26/H46</f>
        <v>0.1</v>
      </c>
      <c r="P26" s="1163"/>
    </row>
    <row r="27" spans="1:16" ht="3" customHeight="1">
      <c r="A27" s="1210"/>
      <c r="B27" s="921"/>
      <c r="C27" s="921"/>
      <c r="D27" s="921"/>
      <c r="E27" s="921"/>
      <c r="F27" s="921"/>
      <c r="G27" s="921"/>
      <c r="H27" s="1202"/>
      <c r="I27" s="921"/>
      <c r="J27" s="921"/>
      <c r="K27" s="921"/>
      <c r="L27" s="921"/>
      <c r="M27" s="921"/>
      <c r="N27" s="921"/>
      <c r="O27" s="1203"/>
      <c r="P27" s="1163"/>
    </row>
    <row r="28" spans="1:16" ht="3" customHeight="1">
      <c r="A28" s="1188"/>
      <c r="B28" s="1163"/>
      <c r="C28" s="1163"/>
      <c r="D28" s="1163"/>
      <c r="E28" s="1163"/>
      <c r="F28" s="1163"/>
      <c r="G28" s="1163"/>
      <c r="H28" s="1165"/>
      <c r="I28" s="1163"/>
      <c r="J28" s="1163"/>
      <c r="K28" s="1163"/>
      <c r="L28" s="1163"/>
      <c r="M28" s="1163"/>
      <c r="N28" s="1163"/>
      <c r="O28" s="1189"/>
      <c r="P28" s="1163"/>
    </row>
    <row r="29" spans="1:16">
      <c r="A29" s="1188" t="s">
        <v>21</v>
      </c>
      <c r="B29" s="1163"/>
      <c r="C29" s="1163"/>
      <c r="D29" s="1163"/>
      <c r="E29" s="1163"/>
      <c r="F29" s="1163"/>
      <c r="G29" s="1163"/>
      <c r="H29" s="1165"/>
      <c r="I29" s="1163"/>
      <c r="J29" s="1163"/>
      <c r="K29" s="1163"/>
      <c r="L29" s="1163"/>
      <c r="M29" s="1163"/>
      <c r="N29" s="1163"/>
      <c r="O29" s="1189"/>
      <c r="P29" s="1163"/>
    </row>
    <row r="30" spans="1:16">
      <c r="A30" s="1188" t="s">
        <v>2307</v>
      </c>
      <c r="B30" s="1163"/>
      <c r="C30" s="1163"/>
      <c r="D30" s="1163"/>
      <c r="E30" s="1163"/>
      <c r="F30" s="1163"/>
      <c r="G30" s="1163"/>
      <c r="H30" s="1165"/>
      <c r="I30" s="1163"/>
      <c r="J30" s="1163"/>
      <c r="K30" s="1163"/>
      <c r="L30" s="1163"/>
      <c r="M30" s="1163"/>
      <c r="N30" s="1163"/>
      <c r="O30" s="1189"/>
      <c r="P30" s="1163"/>
    </row>
    <row r="31" spans="1:16">
      <c r="A31" s="1188" t="s">
        <v>1520</v>
      </c>
      <c r="B31" s="1163"/>
      <c r="C31" s="1163"/>
      <c r="D31" s="1163"/>
      <c r="E31" s="1163"/>
      <c r="F31" s="1163"/>
      <c r="G31" s="1163"/>
      <c r="H31" s="1165"/>
      <c r="I31" s="1163"/>
      <c r="J31" s="1163"/>
      <c r="K31" s="1163"/>
      <c r="L31" s="1163"/>
      <c r="M31" s="1163"/>
      <c r="N31" s="1163"/>
      <c r="O31" s="1189"/>
      <c r="P31" s="1163"/>
    </row>
    <row r="32" spans="1:16">
      <c r="A32" s="1199" t="s">
        <v>1697</v>
      </c>
      <c r="B32" s="1163"/>
      <c r="C32" s="1163"/>
      <c r="D32" s="1163"/>
      <c r="E32" s="1163"/>
      <c r="F32" s="1163"/>
      <c r="G32" s="1163"/>
      <c r="H32" s="1165"/>
      <c r="I32" s="1163"/>
      <c r="J32" s="1163"/>
      <c r="K32" s="1163"/>
      <c r="L32" s="1163"/>
      <c r="M32" s="1163"/>
      <c r="N32" s="1163"/>
      <c r="O32" s="1189"/>
      <c r="P32" s="1163"/>
    </row>
    <row r="34" spans="1:15">
      <c r="J34" s="1196">
        <f>C22/198</f>
        <v>1.0101010101010102E-2</v>
      </c>
      <c r="K34" s="1186">
        <f>12/412</f>
        <v>2.9126213592233011E-2</v>
      </c>
    </row>
    <row r="35" spans="1:15">
      <c r="J35" s="1197">
        <f>C23/306</f>
        <v>3.5947712418300651E-2</v>
      </c>
    </row>
    <row r="36" spans="1:15">
      <c r="J36" s="1196">
        <f>17/330</f>
        <v>5.1515151515151514E-2</v>
      </c>
    </row>
    <row r="37" spans="1:15">
      <c r="J37" s="1196">
        <f>19/317</f>
        <v>5.993690851735016E-2</v>
      </c>
    </row>
    <row r="38" spans="1:15">
      <c r="A38" s="1190"/>
      <c r="B38" s="1190"/>
      <c r="C38" s="1178"/>
      <c r="D38" s="1178"/>
      <c r="E38" s="1178"/>
      <c r="F38" s="1178"/>
      <c r="G38" s="1178"/>
      <c r="H38" s="1189"/>
      <c r="I38" s="1163"/>
      <c r="J38" s="1191">
        <v>5.1515151515151514E-2</v>
      </c>
      <c r="K38" s="1163">
        <v>9.9137931034482762E-2</v>
      </c>
      <c r="L38" s="1163">
        <v>0</v>
      </c>
      <c r="M38" s="1163">
        <v>1.2500000000000001E-2</v>
      </c>
      <c r="N38" s="1163"/>
      <c r="O38" s="1189">
        <v>6.3076923076923072E-2</v>
      </c>
    </row>
    <row r="39" spans="1:15">
      <c r="A39" s="1190" t="s">
        <v>16</v>
      </c>
      <c r="B39" s="1190"/>
      <c r="C39" s="1178"/>
      <c r="D39" s="1178"/>
      <c r="E39" s="1178"/>
      <c r="F39" s="1178"/>
      <c r="G39" s="1178"/>
      <c r="H39" s="1189"/>
      <c r="I39" s="1163"/>
      <c r="J39" s="1191" t="e">
        <f t="shared" ref="J39:J44" si="1">C39/C28</f>
        <v>#DIV/0!</v>
      </c>
      <c r="K39" s="1163"/>
      <c r="L39" s="1163"/>
      <c r="M39" s="1163"/>
      <c r="N39" s="1163"/>
      <c r="O39" s="1189"/>
    </row>
    <row r="40" spans="1:15">
      <c r="A40" s="1190"/>
      <c r="B40" s="1190"/>
      <c r="C40" s="1178">
        <f>+C18+C10</f>
        <v>376</v>
      </c>
      <c r="D40" s="1178">
        <f>+D18+D10</f>
        <v>229</v>
      </c>
      <c r="E40" s="1178">
        <f>+E18+E10</f>
        <v>22</v>
      </c>
      <c r="F40" s="1178">
        <f>+F18+F10</f>
        <v>23</v>
      </c>
      <c r="G40" s="1178"/>
      <c r="H40" s="1189">
        <f>SUM(C40:F40)</f>
        <v>650</v>
      </c>
      <c r="I40" s="1163"/>
      <c r="J40" s="1191" t="e">
        <f t="shared" si="1"/>
        <v>#DIV/0!</v>
      </c>
      <c r="K40" s="1163"/>
      <c r="L40" s="1163"/>
      <c r="M40" s="1163"/>
      <c r="N40" s="1163"/>
      <c r="O40" s="1189"/>
    </row>
    <row r="41" spans="1:15">
      <c r="A41" s="1190"/>
      <c r="B41" s="1188"/>
      <c r="C41" s="1178">
        <v>336</v>
      </c>
      <c r="D41" s="1178">
        <v>271</v>
      </c>
      <c r="E41" s="1178">
        <v>20</v>
      </c>
      <c r="F41" s="1178">
        <v>24</v>
      </c>
      <c r="G41" s="1178"/>
      <c r="H41" s="1189">
        <f>SUM(C41:F41)</f>
        <v>651</v>
      </c>
      <c r="I41" s="1163"/>
      <c r="J41" s="1191" t="e">
        <f t="shared" si="1"/>
        <v>#DIV/0!</v>
      </c>
      <c r="K41" s="1163"/>
      <c r="L41" s="1163"/>
      <c r="M41" s="1163"/>
      <c r="N41" s="1163"/>
      <c r="O41" s="1189"/>
    </row>
    <row r="42" spans="1:15">
      <c r="A42" s="1190"/>
      <c r="B42" s="1188"/>
      <c r="C42" s="1178">
        <v>165</v>
      </c>
      <c r="D42" s="1178">
        <v>418</v>
      </c>
      <c r="E42" s="1178">
        <v>46</v>
      </c>
      <c r="F42" s="1178">
        <v>30</v>
      </c>
      <c r="G42" s="1178"/>
      <c r="H42" s="1189">
        <f>SUM(C42:F42)</f>
        <v>659</v>
      </c>
      <c r="I42" s="1163"/>
      <c r="J42" s="1191" t="e">
        <f t="shared" si="1"/>
        <v>#DIV/0!</v>
      </c>
      <c r="K42" s="1163"/>
      <c r="L42" s="1163"/>
      <c r="M42" s="1163"/>
      <c r="N42" s="1163"/>
      <c r="O42" s="1189"/>
    </row>
    <row r="43" spans="1:15">
      <c r="A43" s="1190"/>
      <c r="B43" s="1188"/>
      <c r="C43" s="1178">
        <v>166</v>
      </c>
      <c r="D43" s="1178">
        <v>412</v>
      </c>
      <c r="E43" s="1178">
        <v>52</v>
      </c>
      <c r="F43" s="1178">
        <v>29</v>
      </c>
      <c r="G43" s="1178"/>
      <c r="H43" s="1189">
        <f>SUM(C43:F43)</f>
        <v>659</v>
      </c>
      <c r="I43" s="1163"/>
      <c r="J43" s="1191" t="e">
        <f t="shared" si="1"/>
        <v>#DIV/0!</v>
      </c>
      <c r="K43" s="1163"/>
      <c r="L43" s="1163"/>
      <c r="M43" s="1163"/>
      <c r="N43" s="1163"/>
      <c r="O43" s="1189"/>
    </row>
    <row r="44" spans="1:15">
      <c r="A44" s="1190"/>
      <c r="B44" s="1188"/>
      <c r="C44" s="1178">
        <v>198</v>
      </c>
      <c r="D44" s="1178">
        <v>355</v>
      </c>
      <c r="E44" s="1178">
        <v>62</v>
      </c>
      <c r="F44" s="1178">
        <f>6+3+9+1+3+5+4</f>
        <v>31</v>
      </c>
      <c r="G44" s="1178"/>
      <c r="H44" s="1189">
        <f>SUM(C44:F44)</f>
        <v>646</v>
      </c>
      <c r="I44" s="1163"/>
      <c r="J44" s="1191" t="e">
        <f t="shared" si="1"/>
        <v>#DIV/0!</v>
      </c>
      <c r="K44" s="1163"/>
      <c r="L44" s="1163"/>
      <c r="M44" s="1163"/>
      <c r="N44" s="1163"/>
      <c r="O44" s="1189"/>
    </row>
    <row r="46" spans="1:15">
      <c r="A46" s="1194">
        <v>2019</v>
      </c>
      <c r="C46" s="1186">
        <v>365</v>
      </c>
      <c r="D46" s="1186">
        <v>202</v>
      </c>
      <c r="E46" s="1186">
        <v>11</v>
      </c>
      <c r="F46" s="1186">
        <v>47</v>
      </c>
      <c r="G46" s="1186">
        <v>0</v>
      </c>
      <c r="H46" s="1160">
        <v>650</v>
      </c>
    </row>
  </sheetData>
  <mergeCells count="2">
    <mergeCell ref="C4:G4"/>
    <mergeCell ref="J4:N4"/>
  </mergeCells>
  <phoneticPr fontId="10" type="noConversion"/>
  <hyperlinks>
    <hyperlink ref="A32" r:id="rId1" display="http://www.obv.org.uk/index.php?option=com_content&amp;task=category&amp;sectionid=7&amp;id=101&amp;Itemid=115" xr:uid="{00000000-0004-0000-2200-000000000000}"/>
  </hyperlinks>
  <pageMargins left="0.75" right="0.75" top="1" bottom="1" header="0.5" footer="0.5"/>
  <pageSetup paperSize="9" orientation="portrait" horizontalDpi="1200" verticalDpi="1200" r:id="rId2"/>
  <headerFooter alignWithMargins="0"/>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tabColor theme="4"/>
  </sheetPr>
  <dimension ref="A4:AJ87"/>
  <sheetViews>
    <sheetView showGridLines="0" topLeftCell="C15" workbookViewId="0">
      <selection activeCell="M29" sqref="M29"/>
    </sheetView>
  </sheetViews>
  <sheetFormatPr baseColWidth="10" defaultColWidth="9.3984375" defaultRowHeight="14"/>
  <cols>
    <col min="1" max="1" width="5.19921875" style="859" customWidth="1"/>
    <col min="2" max="2" width="1.19921875" style="850" customWidth="1"/>
    <col min="3" max="7" width="6.19921875" style="850" customWidth="1"/>
    <col min="8" max="8" width="1.3984375" style="850" customWidth="1"/>
    <col min="9" max="13" width="6.19921875" style="850" customWidth="1"/>
    <col min="14" max="14" width="1.3984375" style="850" customWidth="1"/>
    <col min="15" max="19" width="6.19921875" style="850" customWidth="1"/>
    <col min="20" max="21" width="4.3984375" style="850" customWidth="1"/>
    <col min="22" max="22" width="9.3984375" style="850"/>
    <col min="23" max="23" width="9.3984375" style="1212"/>
    <col min="24" max="24" width="1.59765625" style="850" customWidth="1"/>
    <col min="25" max="25" width="13" style="850" customWidth="1"/>
    <col min="26" max="16384" width="9.3984375" style="850"/>
  </cols>
  <sheetData>
    <row r="4" spans="1:33">
      <c r="A4" s="857"/>
    </row>
    <row r="5" spans="1:33" ht="21" customHeight="1">
      <c r="A5" s="1150" t="s">
        <v>2712</v>
      </c>
      <c r="B5" s="1218"/>
      <c r="C5" s="1218"/>
      <c r="D5" s="1218"/>
      <c r="E5" s="1218"/>
      <c r="F5" s="1218"/>
      <c r="G5" s="1218"/>
      <c r="H5" s="1218"/>
      <c r="I5" s="1218"/>
      <c r="J5" s="1218"/>
      <c r="K5" s="1218"/>
      <c r="L5" s="1218"/>
      <c r="M5" s="1218"/>
      <c r="N5" s="1218"/>
      <c r="O5" s="1218"/>
      <c r="P5" s="1218"/>
      <c r="Q5" s="1218"/>
      <c r="R5" s="1218"/>
      <c r="S5" s="1218"/>
    </row>
    <row r="6" spans="1:33" ht="17" thickBot="1">
      <c r="A6" s="1200"/>
      <c r="B6" s="921"/>
      <c r="C6" s="3415" t="s">
        <v>2310</v>
      </c>
      <c r="D6" s="3415"/>
      <c r="E6" s="3415"/>
      <c r="F6" s="3415"/>
      <c r="G6" s="3415"/>
      <c r="H6" s="1211"/>
      <c r="I6" s="3415" t="s">
        <v>2311</v>
      </c>
      <c r="J6" s="3415"/>
      <c r="K6" s="3415"/>
      <c r="L6" s="3415"/>
      <c r="M6" s="3415"/>
      <c r="N6" s="871"/>
      <c r="O6" s="3416" t="s">
        <v>1394</v>
      </c>
      <c r="P6" s="3416"/>
      <c r="Q6" s="3416"/>
      <c r="R6" s="3416"/>
      <c r="S6" s="3416"/>
      <c r="W6" s="1212">
        <v>1979</v>
      </c>
      <c r="X6" s="1188"/>
      <c r="Y6" s="1188"/>
      <c r="Z6" s="1188">
        <v>1979</v>
      </c>
      <c r="AA6" s="1188">
        <v>1983</v>
      </c>
      <c r="AB6" s="1188">
        <v>1987</v>
      </c>
      <c r="AC6" s="1188">
        <v>1992</v>
      </c>
      <c r="AD6" s="1188">
        <v>1997</v>
      </c>
      <c r="AE6" s="1188">
        <v>2001</v>
      </c>
      <c r="AF6" s="1188">
        <v>2005</v>
      </c>
      <c r="AG6" s="1188">
        <v>2010</v>
      </c>
    </row>
    <row r="7" spans="1:33" ht="3" customHeight="1">
      <c r="A7" s="1200"/>
      <c r="B7" s="921"/>
      <c r="C7" s="2371"/>
      <c r="D7" s="2371"/>
      <c r="E7" s="2371"/>
      <c r="F7" s="2371"/>
      <c r="G7" s="2371"/>
      <c r="H7" s="2371"/>
      <c r="I7" s="2371"/>
      <c r="J7" s="2371"/>
      <c r="K7" s="2371"/>
      <c r="L7" s="2371"/>
      <c r="M7" s="2371"/>
      <c r="N7" s="871"/>
      <c r="O7" s="2103"/>
      <c r="P7" s="2103"/>
      <c r="Q7" s="2103"/>
      <c r="R7" s="2103"/>
      <c r="S7" s="2103"/>
      <c r="X7" s="1188"/>
      <c r="Y7" s="1188"/>
      <c r="Z7" s="1188"/>
      <c r="AA7" s="1188"/>
      <c r="AB7" s="1188"/>
      <c r="AC7" s="1188"/>
      <c r="AD7" s="1188"/>
      <c r="AE7" s="1188"/>
      <c r="AF7" s="1188"/>
      <c r="AG7" s="1188"/>
    </row>
    <row r="8" spans="1:33" s="1272" customFormat="1" ht="15.75" customHeight="1">
      <c r="A8" s="1200"/>
      <c r="B8" s="2544"/>
      <c r="C8" s="2243" t="s">
        <v>2445</v>
      </c>
      <c r="D8" s="2244" t="s">
        <v>807</v>
      </c>
      <c r="E8" s="2245" t="s">
        <v>2446</v>
      </c>
      <c r="F8" s="2246" t="s">
        <v>1972</v>
      </c>
      <c r="G8" s="1203" t="s">
        <v>16</v>
      </c>
      <c r="H8" s="1203"/>
      <c r="I8" s="2243" t="s">
        <v>2445</v>
      </c>
      <c r="J8" s="2244" t="s">
        <v>807</v>
      </c>
      <c r="K8" s="2245" t="s">
        <v>2446</v>
      </c>
      <c r="L8" s="2246" t="s">
        <v>1972</v>
      </c>
      <c r="M8" s="1203" t="s">
        <v>16</v>
      </c>
      <c r="N8" s="1183"/>
      <c r="O8" s="2243" t="s">
        <v>2445</v>
      </c>
      <c r="P8" s="2244" t="s">
        <v>807</v>
      </c>
      <c r="Q8" s="2245" t="s">
        <v>2446</v>
      </c>
      <c r="R8" s="2246" t="s">
        <v>1972</v>
      </c>
      <c r="S8" s="1203" t="s">
        <v>16</v>
      </c>
      <c r="T8" s="1214"/>
      <c r="U8" s="1214"/>
      <c r="V8" s="1214" t="s">
        <v>13</v>
      </c>
      <c r="W8" s="1212">
        <v>77</v>
      </c>
      <c r="Y8" s="1214" t="s">
        <v>13</v>
      </c>
      <c r="Z8" s="1272">
        <f t="shared" ref="Z8:Z25" si="0">IFERROR(VLOOKUP(Y8,$V$8:$W$11,2,FALSE),0)</f>
        <v>77</v>
      </c>
      <c r="AA8" s="1272">
        <f t="shared" ref="AA8:AA17" si="1">IFERROR(VLOOKUP(Y8,$V$14:$W$25,2,FALSE),0)</f>
        <v>100</v>
      </c>
      <c r="AB8" s="1272">
        <f t="shared" ref="AB8:AB17" si="2">IFERROR(VLOOKUP(Y8,$V$28:$W$34,2,FALSE),0)</f>
        <v>53</v>
      </c>
      <c r="AC8" s="1272">
        <f t="shared" ref="AC8:AC17" si="3">IFERROR(VLOOKUP(Y8,$V$37:$W$42,2,FALSE),0)</f>
        <v>54</v>
      </c>
      <c r="AD8" s="1272">
        <f t="shared" ref="AD8:AD17" si="4">IFERROR(VLOOKUP(Y8,$V$45:$W$52,2,FALSE),0)</f>
        <v>33</v>
      </c>
      <c r="AE8" s="1272">
        <f t="shared" ref="AE8:AE17" si="5">IFERROR(VLOOKUP(Y8,$V$55:$W$64,2,FALSE),0)</f>
        <v>26</v>
      </c>
      <c r="AF8" s="1272">
        <f t="shared" ref="AF8:AF17" si="6">IFERROR(VLOOKUP(Y8,$V$67:$W$75,2,FALSE),0)</f>
        <v>51</v>
      </c>
      <c r="AG8" s="1272">
        <f t="shared" ref="AG8:AG17" si="7">IFERROR(VLOOKUP(Y8,$V$78:$W$87,2,FALSE),0)</f>
        <v>147</v>
      </c>
    </row>
    <row r="9" spans="1:33" ht="3" customHeight="1">
      <c r="A9" s="1200"/>
      <c r="B9" s="921"/>
      <c r="C9" s="921"/>
      <c r="D9" s="921"/>
      <c r="E9" s="921"/>
      <c r="F9" s="921"/>
      <c r="G9" s="1202"/>
      <c r="H9" s="1202"/>
      <c r="I9" s="1202"/>
      <c r="J9" s="1202"/>
      <c r="K9" s="1202"/>
      <c r="L9" s="1202"/>
      <c r="M9" s="1202"/>
      <c r="N9" s="871"/>
      <c r="O9" s="921"/>
      <c r="P9" s="921"/>
      <c r="Q9" s="921"/>
      <c r="R9" s="921"/>
      <c r="S9" s="1202"/>
      <c r="V9" s="1163" t="s">
        <v>114</v>
      </c>
      <c r="W9" s="1212">
        <v>2</v>
      </c>
      <c r="Y9" s="1163" t="s">
        <v>114</v>
      </c>
      <c r="Z9" s="850">
        <f t="shared" si="0"/>
        <v>2</v>
      </c>
      <c r="AA9" s="850">
        <f t="shared" si="1"/>
        <v>1</v>
      </c>
      <c r="AB9" s="850">
        <f t="shared" si="2"/>
        <v>0</v>
      </c>
      <c r="AC9" s="850">
        <f t="shared" si="3"/>
        <v>0</v>
      </c>
      <c r="AD9" s="850">
        <f t="shared" si="4"/>
        <v>0</v>
      </c>
      <c r="AE9" s="850">
        <f t="shared" si="5"/>
        <v>3</v>
      </c>
      <c r="AF9" s="850">
        <f t="shared" si="6"/>
        <v>2</v>
      </c>
      <c r="AG9" s="850">
        <f t="shared" si="7"/>
        <v>2</v>
      </c>
    </row>
    <row r="10" spans="1:33">
      <c r="A10" s="1188">
        <v>1979</v>
      </c>
      <c r="B10" s="1163"/>
      <c r="C10" s="1163">
        <v>77</v>
      </c>
      <c r="D10" s="1163">
        <v>37</v>
      </c>
      <c r="E10" s="1163">
        <v>0</v>
      </c>
      <c r="F10" s="1163">
        <v>2</v>
      </c>
      <c r="G10" s="1165">
        <v>116</v>
      </c>
      <c r="H10" s="1165"/>
      <c r="I10" s="1191">
        <f>C10/O10</f>
        <v>0.22713864306784662</v>
      </c>
      <c r="J10" s="1191">
        <f>D10/P10</f>
        <v>0.13805970149253732</v>
      </c>
      <c r="K10" s="1191">
        <f>E10/Q10</f>
        <v>0</v>
      </c>
      <c r="L10" s="1191">
        <f>F10/R10</f>
        <v>0.11764705882352941</v>
      </c>
      <c r="M10" s="1213">
        <f>G10/S10</f>
        <v>0.18267716535433071</v>
      </c>
      <c r="O10" s="850">
        <v>339</v>
      </c>
      <c r="P10" s="850">
        <v>268</v>
      </c>
      <c r="Q10" s="850">
        <v>11</v>
      </c>
      <c r="R10" s="850">
        <v>17</v>
      </c>
      <c r="S10" s="880">
        <v>635</v>
      </c>
      <c r="V10" s="1163" t="s">
        <v>14</v>
      </c>
      <c r="W10" s="1212">
        <v>37</v>
      </c>
      <c r="Y10" s="1163" t="s">
        <v>14</v>
      </c>
      <c r="Z10" s="850">
        <f t="shared" si="0"/>
        <v>37</v>
      </c>
      <c r="AA10" s="850">
        <f t="shared" si="1"/>
        <v>33</v>
      </c>
      <c r="AB10" s="850">
        <f t="shared" si="2"/>
        <v>62</v>
      </c>
      <c r="AC10" s="850">
        <f t="shared" si="3"/>
        <v>66</v>
      </c>
      <c r="AD10" s="850">
        <f t="shared" si="4"/>
        <v>178</v>
      </c>
      <c r="AE10" s="850">
        <f t="shared" si="5"/>
        <v>38</v>
      </c>
      <c r="AF10" s="850">
        <f t="shared" si="6"/>
        <v>40</v>
      </c>
      <c r="AG10" s="850">
        <f t="shared" si="7"/>
        <v>63</v>
      </c>
    </row>
    <row r="11" spans="1:33">
      <c r="A11" s="1188">
        <v>1983</v>
      </c>
      <c r="B11" s="1163"/>
      <c r="C11" s="1163">
        <v>100</v>
      </c>
      <c r="D11" s="1163">
        <v>34</v>
      </c>
      <c r="E11" s="1163">
        <v>7</v>
      </c>
      <c r="F11" s="1163">
        <v>9</v>
      </c>
      <c r="G11" s="1165">
        <v>150</v>
      </c>
      <c r="H11" s="1165"/>
      <c r="I11" s="1191">
        <f t="shared" ref="I11:I17" si="8">C11/O11</f>
        <v>0.25188916876574308</v>
      </c>
      <c r="J11" s="1191">
        <f t="shared" ref="J11:J17" si="9">D11/P11</f>
        <v>0.16267942583732056</v>
      </c>
      <c r="K11" s="1191">
        <f t="shared" ref="K11:K17" si="10">E11/Q11</f>
        <v>0.30434782608695654</v>
      </c>
      <c r="L11" s="1191">
        <f t="shared" ref="L11:L17" si="11">F11/R11</f>
        <v>0.42857142857142855</v>
      </c>
      <c r="M11" s="1213">
        <f t="shared" ref="M11:M16" si="12">G11/S11</f>
        <v>0.23076923076923078</v>
      </c>
      <c r="O11" s="850">
        <v>397</v>
      </c>
      <c r="P11" s="850">
        <v>209</v>
      </c>
      <c r="Q11" s="850">
        <v>23</v>
      </c>
      <c r="R11" s="850">
        <v>21</v>
      </c>
      <c r="S11" s="880">
        <v>650</v>
      </c>
      <c r="V11" s="1163" t="s">
        <v>1304</v>
      </c>
      <c r="W11" s="1212">
        <v>116</v>
      </c>
      <c r="Y11" s="1163" t="s">
        <v>15</v>
      </c>
      <c r="Z11" s="850">
        <f t="shared" si="0"/>
        <v>0</v>
      </c>
      <c r="AA11" s="850">
        <f t="shared" si="1"/>
        <v>6</v>
      </c>
      <c r="AB11" s="850">
        <f t="shared" si="2"/>
        <v>3</v>
      </c>
      <c r="AC11" s="850">
        <f t="shared" si="3"/>
        <v>0</v>
      </c>
      <c r="AD11" s="850">
        <f t="shared" si="4"/>
        <v>0</v>
      </c>
      <c r="AE11" s="850">
        <f t="shared" si="5"/>
        <v>0</v>
      </c>
      <c r="AF11" s="850">
        <f t="shared" si="6"/>
        <v>0</v>
      </c>
      <c r="AG11" s="850">
        <f t="shared" si="7"/>
        <v>0</v>
      </c>
    </row>
    <row r="12" spans="1:33">
      <c r="A12" s="1188">
        <v>1987</v>
      </c>
      <c r="B12" s="1163"/>
      <c r="C12" s="1163">
        <v>53</v>
      </c>
      <c r="D12" s="1163">
        <v>62</v>
      </c>
      <c r="E12" s="1163">
        <v>3</v>
      </c>
      <c r="F12" s="1163">
        <v>3</v>
      </c>
      <c r="G12" s="1165">
        <v>121</v>
      </c>
      <c r="H12" s="1165"/>
      <c r="I12" s="1191">
        <f t="shared" si="8"/>
        <v>0.14133333333333334</v>
      </c>
      <c r="J12" s="1191">
        <f t="shared" si="9"/>
        <v>0.27074235807860264</v>
      </c>
      <c r="K12" s="1191">
        <f t="shared" si="10"/>
        <v>0.13636363636363635</v>
      </c>
      <c r="L12" s="1191">
        <f t="shared" si="11"/>
        <v>0.125</v>
      </c>
      <c r="M12" s="1213">
        <f t="shared" si="12"/>
        <v>0.18615384615384614</v>
      </c>
      <c r="O12" s="850">
        <v>375</v>
      </c>
      <c r="P12" s="850">
        <v>229</v>
      </c>
      <c r="Q12" s="850">
        <v>22</v>
      </c>
      <c r="R12" s="850">
        <v>24</v>
      </c>
      <c r="S12" s="880">
        <v>650</v>
      </c>
      <c r="Y12" s="1163" t="s">
        <v>27</v>
      </c>
      <c r="Z12" s="850">
        <f t="shared" si="0"/>
        <v>0</v>
      </c>
      <c r="AA12" s="850">
        <f t="shared" si="1"/>
        <v>1</v>
      </c>
      <c r="AB12" s="850">
        <f t="shared" si="2"/>
        <v>0</v>
      </c>
      <c r="AC12" s="850">
        <f t="shared" si="3"/>
        <v>0</v>
      </c>
      <c r="AD12" s="850">
        <f t="shared" si="4"/>
        <v>1</v>
      </c>
      <c r="AE12" s="850">
        <f t="shared" si="5"/>
        <v>2</v>
      </c>
      <c r="AF12" s="850">
        <f t="shared" si="6"/>
        <v>1</v>
      </c>
      <c r="AG12" s="850">
        <f t="shared" si="7"/>
        <v>0</v>
      </c>
    </row>
    <row r="13" spans="1:33">
      <c r="A13" s="1188">
        <v>1992</v>
      </c>
      <c r="B13" s="1163"/>
      <c r="C13" s="1163">
        <v>54</v>
      </c>
      <c r="D13" s="1163">
        <v>66</v>
      </c>
      <c r="E13" s="1163">
        <v>4</v>
      </c>
      <c r="F13" s="1163">
        <v>3</v>
      </c>
      <c r="G13" s="1165">
        <v>127</v>
      </c>
      <c r="H13" s="1165"/>
      <c r="I13" s="1191">
        <f t="shared" si="8"/>
        <v>0.16071428571428573</v>
      </c>
      <c r="J13" s="1191">
        <f t="shared" si="9"/>
        <v>0.24354243542435425</v>
      </c>
      <c r="K13" s="1191">
        <f t="shared" si="10"/>
        <v>0.2</v>
      </c>
      <c r="L13" s="1191">
        <f t="shared" si="11"/>
        <v>0.125</v>
      </c>
      <c r="M13" s="1213">
        <f t="shared" si="12"/>
        <v>0.19508448540706605</v>
      </c>
      <c r="O13" s="850">
        <v>336</v>
      </c>
      <c r="P13" s="850">
        <v>271</v>
      </c>
      <c r="Q13" s="850">
        <v>20</v>
      </c>
      <c r="R13" s="850">
        <v>24</v>
      </c>
      <c r="S13" s="880">
        <v>651</v>
      </c>
      <c r="W13" s="1212">
        <v>1983</v>
      </c>
      <c r="Y13" s="1163" t="s">
        <v>1303</v>
      </c>
      <c r="Z13" s="850">
        <f t="shared" si="0"/>
        <v>0</v>
      </c>
      <c r="AA13" s="850">
        <f t="shared" si="1"/>
        <v>1</v>
      </c>
      <c r="AB13" s="850">
        <f t="shared" si="2"/>
        <v>1</v>
      </c>
      <c r="AC13" s="850">
        <f t="shared" si="3"/>
        <v>1</v>
      </c>
      <c r="AD13" s="850">
        <f t="shared" si="4"/>
        <v>0</v>
      </c>
      <c r="AE13" s="850">
        <f t="shared" si="5"/>
        <v>0</v>
      </c>
      <c r="AF13" s="850">
        <f t="shared" si="6"/>
        <v>2</v>
      </c>
      <c r="AG13" s="850">
        <f t="shared" si="7"/>
        <v>1</v>
      </c>
    </row>
    <row r="14" spans="1:33">
      <c r="A14" s="1188">
        <v>1997</v>
      </c>
      <c r="B14" s="1163"/>
      <c r="C14" s="1163">
        <v>33</v>
      </c>
      <c r="D14" s="1163">
        <v>178</v>
      </c>
      <c r="E14" s="1163">
        <v>26</v>
      </c>
      <c r="F14" s="1163">
        <v>6</v>
      </c>
      <c r="G14" s="1165">
        <v>243</v>
      </c>
      <c r="H14" s="1165"/>
      <c r="I14" s="1191">
        <f t="shared" si="8"/>
        <v>0.2</v>
      </c>
      <c r="J14" s="1191">
        <f t="shared" si="9"/>
        <v>0.42583732057416268</v>
      </c>
      <c r="K14" s="1191">
        <f t="shared" si="10"/>
        <v>0.56521739130434778</v>
      </c>
      <c r="L14" s="1191">
        <f t="shared" si="11"/>
        <v>0.2</v>
      </c>
      <c r="M14" s="1213">
        <f t="shared" si="12"/>
        <v>0.36874051593323215</v>
      </c>
      <c r="O14" s="850">
        <v>165</v>
      </c>
      <c r="P14" s="850">
        <v>418</v>
      </c>
      <c r="Q14" s="850">
        <v>46</v>
      </c>
      <c r="R14" s="850">
        <v>30</v>
      </c>
      <c r="S14" s="880">
        <v>659</v>
      </c>
      <c r="V14" s="1163" t="s">
        <v>13</v>
      </c>
      <c r="W14" s="1214">
        <v>100</v>
      </c>
      <c r="Y14" s="1163" t="s">
        <v>85</v>
      </c>
      <c r="Z14" s="850">
        <f t="shared" si="0"/>
        <v>0</v>
      </c>
      <c r="AA14" s="850">
        <f t="shared" si="1"/>
        <v>1</v>
      </c>
      <c r="AB14" s="850">
        <f t="shared" si="2"/>
        <v>0</v>
      </c>
      <c r="AC14" s="850">
        <f t="shared" si="3"/>
        <v>0</v>
      </c>
      <c r="AD14" s="850">
        <f t="shared" si="4"/>
        <v>0</v>
      </c>
      <c r="AE14" s="850">
        <f t="shared" si="5"/>
        <v>0</v>
      </c>
      <c r="AF14" s="850">
        <f t="shared" si="6"/>
        <v>0</v>
      </c>
      <c r="AG14" s="850">
        <f t="shared" si="7"/>
        <v>0</v>
      </c>
    </row>
    <row r="15" spans="1:33">
      <c r="A15" s="1188">
        <v>2001</v>
      </c>
      <c r="B15" s="1163"/>
      <c r="C15" s="1163">
        <v>26</v>
      </c>
      <c r="D15" s="1163">
        <v>38</v>
      </c>
      <c r="E15" s="1163">
        <v>14</v>
      </c>
      <c r="F15" s="1163">
        <v>14</v>
      </c>
      <c r="G15" s="1165">
        <v>92</v>
      </c>
      <c r="H15" s="1165"/>
      <c r="I15" s="1191">
        <f t="shared" si="8"/>
        <v>0.15662650602409639</v>
      </c>
      <c r="J15" s="1191">
        <f t="shared" si="9"/>
        <v>9.2233009708737865E-2</v>
      </c>
      <c r="K15" s="1191">
        <f t="shared" si="10"/>
        <v>0.26923076923076922</v>
      </c>
      <c r="L15" s="1191">
        <f t="shared" si="11"/>
        <v>0.48275862068965519</v>
      </c>
      <c r="M15" s="1213">
        <f t="shared" si="12"/>
        <v>0.13960546282245828</v>
      </c>
      <c r="O15" s="850">
        <v>166</v>
      </c>
      <c r="P15" s="850">
        <v>412</v>
      </c>
      <c r="Q15" s="850">
        <v>52</v>
      </c>
      <c r="R15" s="850">
        <v>29</v>
      </c>
      <c r="S15" s="880">
        <v>659</v>
      </c>
      <c r="V15" s="1163" t="s">
        <v>114</v>
      </c>
      <c r="W15" s="1214">
        <v>1</v>
      </c>
      <c r="Y15" s="1163" t="s">
        <v>31</v>
      </c>
      <c r="Z15" s="850">
        <f t="shared" si="0"/>
        <v>0</v>
      </c>
      <c r="AA15" s="850">
        <f t="shared" si="1"/>
        <v>6</v>
      </c>
      <c r="AB15" s="850">
        <f t="shared" si="2"/>
        <v>0</v>
      </c>
      <c r="AC15" s="850">
        <f t="shared" si="3"/>
        <v>0</v>
      </c>
      <c r="AD15" s="850">
        <f t="shared" si="4"/>
        <v>2</v>
      </c>
      <c r="AE15" s="850">
        <f t="shared" si="5"/>
        <v>2</v>
      </c>
      <c r="AF15" s="850">
        <f t="shared" si="6"/>
        <v>0</v>
      </c>
      <c r="AG15" s="850">
        <f t="shared" si="7"/>
        <v>0</v>
      </c>
    </row>
    <row r="16" spans="1:33">
      <c r="A16" s="1188">
        <v>2005</v>
      </c>
      <c r="B16" s="1163"/>
      <c r="C16" s="1163">
        <v>51</v>
      </c>
      <c r="D16" s="1163">
        <v>41</v>
      </c>
      <c r="E16" s="1163">
        <v>20</v>
      </c>
      <c r="F16" s="1163">
        <v>7</v>
      </c>
      <c r="G16" s="1165">
        <v>119</v>
      </c>
      <c r="H16" s="1165"/>
      <c r="I16" s="1191">
        <f t="shared" si="8"/>
        <v>0.25757575757575757</v>
      </c>
      <c r="J16" s="1191">
        <f t="shared" si="9"/>
        <v>0.11549295774647887</v>
      </c>
      <c r="K16" s="1191">
        <f t="shared" si="10"/>
        <v>0.32258064516129031</v>
      </c>
      <c r="L16" s="1191">
        <f t="shared" si="11"/>
        <v>0.22580645161290322</v>
      </c>
      <c r="M16" s="1213">
        <f t="shared" si="12"/>
        <v>0.18421052631578946</v>
      </c>
      <c r="O16" s="850">
        <v>198</v>
      </c>
      <c r="P16" s="850">
        <v>355</v>
      </c>
      <c r="Q16" s="850">
        <v>62</v>
      </c>
      <c r="R16" s="850">
        <v>31</v>
      </c>
      <c r="S16" s="880">
        <v>646</v>
      </c>
      <c r="V16" s="1163" t="s">
        <v>14</v>
      </c>
      <c r="W16" s="1214">
        <v>33</v>
      </c>
      <c r="Y16" s="850" t="s">
        <v>22</v>
      </c>
      <c r="Z16" s="850">
        <f t="shared" si="0"/>
        <v>0</v>
      </c>
      <c r="AA16" s="850">
        <f t="shared" si="1"/>
        <v>0</v>
      </c>
      <c r="AB16" s="850">
        <f t="shared" si="2"/>
        <v>0</v>
      </c>
      <c r="AC16" s="850">
        <f t="shared" si="3"/>
        <v>4</v>
      </c>
      <c r="AD16" s="850">
        <f t="shared" si="4"/>
        <v>26</v>
      </c>
      <c r="AE16" s="850">
        <f t="shared" si="5"/>
        <v>14</v>
      </c>
      <c r="AF16" s="850">
        <f t="shared" si="6"/>
        <v>20</v>
      </c>
      <c r="AG16" s="850">
        <f t="shared" si="7"/>
        <v>10</v>
      </c>
    </row>
    <row r="17" spans="1:36">
      <c r="A17" s="1188">
        <v>2010</v>
      </c>
      <c r="B17" s="1163"/>
      <c r="C17" s="1163">
        <v>147</v>
      </c>
      <c r="D17" s="1163">
        <v>63</v>
      </c>
      <c r="E17" s="1163">
        <v>10</v>
      </c>
      <c r="F17" s="1163">
        <v>7</v>
      </c>
      <c r="G17" s="1165">
        <v>227</v>
      </c>
      <c r="H17" s="1165"/>
      <c r="I17" s="1191">
        <f t="shared" si="8"/>
        <v>0.48039215686274511</v>
      </c>
      <c r="J17" s="1191">
        <f t="shared" si="9"/>
        <v>0.2441860465116279</v>
      </c>
      <c r="K17" s="1191">
        <f t="shared" si="10"/>
        <v>0.17543859649122806</v>
      </c>
      <c r="L17" s="1191">
        <f t="shared" si="11"/>
        <v>0.2413793103448276</v>
      </c>
      <c r="M17" s="1213">
        <f>G17/S17</f>
        <v>0.34923076923076923</v>
      </c>
      <c r="O17" s="850">
        <v>306</v>
      </c>
      <c r="P17" s="850">
        <v>258</v>
      </c>
      <c r="Q17" s="850">
        <v>57</v>
      </c>
      <c r="R17" s="850">
        <v>29</v>
      </c>
      <c r="S17" s="880">
        <v>650</v>
      </c>
      <c r="V17" s="1163" t="s">
        <v>15</v>
      </c>
      <c r="W17" s="1214">
        <v>6</v>
      </c>
      <c r="Y17" s="850" t="s">
        <v>71</v>
      </c>
      <c r="Z17" s="850">
        <f t="shared" si="0"/>
        <v>0</v>
      </c>
      <c r="AA17" s="850">
        <f t="shared" si="1"/>
        <v>0</v>
      </c>
      <c r="AB17" s="850">
        <f t="shared" si="2"/>
        <v>0</v>
      </c>
      <c r="AC17" s="850">
        <f t="shared" si="3"/>
        <v>0</v>
      </c>
      <c r="AD17" s="850">
        <f t="shared" si="4"/>
        <v>0</v>
      </c>
      <c r="AE17" s="850">
        <f t="shared" si="5"/>
        <v>0</v>
      </c>
      <c r="AF17" s="850">
        <f t="shared" si="6"/>
        <v>0</v>
      </c>
      <c r="AG17" s="850">
        <f t="shared" si="7"/>
        <v>1</v>
      </c>
    </row>
    <row r="18" spans="1:36">
      <c r="A18" s="1188">
        <v>2015</v>
      </c>
      <c r="B18" s="1178">
        <v>74</v>
      </c>
      <c r="C18" s="1178">
        <v>73</v>
      </c>
      <c r="D18" s="1178">
        <v>50</v>
      </c>
      <c r="E18" s="1178">
        <v>0</v>
      </c>
      <c r="F18" s="1178">
        <v>54</v>
      </c>
      <c r="G18" s="1189">
        <v>177</v>
      </c>
      <c r="H18" s="1215">
        <v>1.3214285714285714</v>
      </c>
      <c r="I18" s="1215">
        <v>0.221212121212121</v>
      </c>
      <c r="J18" s="1215">
        <v>0.21551724137931033</v>
      </c>
      <c r="K18" s="1215">
        <v>0</v>
      </c>
      <c r="L18" s="1216">
        <v>0.67500000000000004</v>
      </c>
      <c r="M18" s="1213">
        <v>0.27230769230769231</v>
      </c>
      <c r="N18" s="861"/>
      <c r="O18" s="861">
        <v>330</v>
      </c>
      <c r="P18" s="861">
        <v>232</v>
      </c>
      <c r="Q18" s="861">
        <v>8</v>
      </c>
      <c r="R18" s="850">
        <v>80</v>
      </c>
      <c r="S18" s="880">
        <v>650</v>
      </c>
      <c r="T18" s="1216"/>
      <c r="U18" s="1216"/>
      <c r="V18" s="1216">
        <f>E18/P18</f>
        <v>0</v>
      </c>
      <c r="W18" s="1216">
        <f>F18/Q18</f>
        <v>6.75</v>
      </c>
      <c r="Y18" s="1163" t="s">
        <v>27</v>
      </c>
      <c r="Z18" s="1214">
        <v>1</v>
      </c>
      <c r="AB18" s="850" t="s">
        <v>23</v>
      </c>
      <c r="AC18" s="850">
        <f>IFERROR(VLOOKUP(AB18,$Y$8:$Z$11,2,FALSE),0)</f>
        <v>0</v>
      </c>
      <c r="AD18" s="850">
        <f>IFERROR(VLOOKUP(AB18,$Y$14:$Z$24,2,FALSE),0)</f>
        <v>0</v>
      </c>
      <c r="AE18" s="850">
        <f>IFERROR(VLOOKUP(AB18,$Y$28:$Z$34,2,FALSE),0)</f>
        <v>0</v>
      </c>
      <c r="AF18" s="850">
        <f>IFERROR(VLOOKUP(AB18,$Y$37:$Z$42,2,FALSE),0)</f>
        <v>0</v>
      </c>
      <c r="AG18" s="850">
        <f>IFERROR(VLOOKUP(AB18,$Y$45:$Z$52,2,FALSE),0)</f>
        <v>0</v>
      </c>
      <c r="AH18" s="850">
        <f>IFERROR(VLOOKUP(AB18,$Y$55:$Z$64,2,FALSE),0)</f>
        <v>0</v>
      </c>
      <c r="AI18" s="850">
        <f>IFERROR(VLOOKUP(AB18,$Y$67:$Z$75,2,FALSE),0)</f>
        <v>0</v>
      </c>
      <c r="AJ18" s="850">
        <f>IFERROR(VLOOKUP(AB18,$Y$78:$Z$87,2,FALSE),0)</f>
        <v>0</v>
      </c>
    </row>
    <row r="19" spans="1:36">
      <c r="A19" s="1188">
        <v>2017</v>
      </c>
      <c r="B19" s="1178"/>
      <c r="C19" s="1178">
        <v>30</v>
      </c>
      <c r="D19" s="1178">
        <v>46</v>
      </c>
      <c r="E19" s="1178">
        <v>4</v>
      </c>
      <c r="F19" s="1178">
        <v>7</v>
      </c>
      <c r="G19" s="1189">
        <f>SUM(C19:F19)</f>
        <v>87</v>
      </c>
      <c r="H19" s="1215"/>
      <c r="I19" s="1215">
        <f t="shared" ref="I19:M20" si="13">C19/O19</f>
        <v>9.4637223974763401E-2</v>
      </c>
      <c r="J19" s="1215">
        <f t="shared" si="13"/>
        <v>0.17557251908396945</v>
      </c>
      <c r="K19" s="1215">
        <f t="shared" si="13"/>
        <v>0.33333333333333331</v>
      </c>
      <c r="L19" s="1215">
        <f t="shared" si="13"/>
        <v>0.11864406779661017</v>
      </c>
      <c r="M19" s="1198">
        <f t="shared" si="13"/>
        <v>0.13384615384615384</v>
      </c>
      <c r="N19" s="861"/>
      <c r="O19" s="861">
        <v>317</v>
      </c>
      <c r="P19" s="861">
        <v>262</v>
      </c>
      <c r="Q19" s="861">
        <v>12</v>
      </c>
      <c r="R19" s="850">
        <v>59</v>
      </c>
      <c r="S19" s="880">
        <v>650</v>
      </c>
      <c r="T19" s="1216"/>
      <c r="U19" s="1216"/>
      <c r="V19" s="1216"/>
      <c r="W19" s="1216"/>
      <c r="Y19" s="1163"/>
      <c r="Z19" s="1214"/>
    </row>
    <row r="20" spans="1:36">
      <c r="A20" s="1188">
        <v>2019</v>
      </c>
      <c r="B20" s="1178"/>
      <c r="C20" s="1178">
        <v>97</v>
      </c>
      <c r="D20" s="1178">
        <v>24</v>
      </c>
      <c r="E20" s="1178">
        <v>3</v>
      </c>
      <c r="F20" s="1178">
        <f>G20-(SUM(C20:E20))</f>
        <v>16</v>
      </c>
      <c r="G20" s="1189">
        <v>140</v>
      </c>
      <c r="H20" s="1215"/>
      <c r="I20" s="1215">
        <f t="shared" si="13"/>
        <v>0.26575342465753427</v>
      </c>
      <c r="J20" s="1215">
        <f t="shared" si="13"/>
        <v>0.13636363636363635</v>
      </c>
      <c r="K20" s="1215">
        <f t="shared" si="13"/>
        <v>0.27272727272727271</v>
      </c>
      <c r="L20" s="1215">
        <f t="shared" si="13"/>
        <v>0.16326530612244897</v>
      </c>
      <c r="M20" s="1198">
        <f t="shared" si="13"/>
        <v>0.2153846153846154</v>
      </c>
      <c r="N20" s="861"/>
      <c r="O20" s="861">
        <v>365</v>
      </c>
      <c r="P20" s="861">
        <v>176</v>
      </c>
      <c r="Q20" s="861">
        <v>11</v>
      </c>
      <c r="R20" s="850">
        <f>S20-O20-P20-Q20</f>
        <v>98</v>
      </c>
      <c r="S20" s="880">
        <v>650</v>
      </c>
      <c r="T20" s="1216"/>
      <c r="U20" s="1216"/>
      <c r="V20" s="1216"/>
      <c r="W20" s="1216"/>
      <c r="Y20" s="1163"/>
      <c r="Z20" s="1214"/>
    </row>
    <row r="21" spans="1:36" ht="3" customHeight="1">
      <c r="A21" s="1200"/>
      <c r="B21" s="921"/>
      <c r="C21" s="921"/>
      <c r="D21" s="921"/>
      <c r="E21" s="921"/>
      <c r="F21" s="921"/>
      <c r="G21" s="921"/>
      <c r="H21" s="921"/>
      <c r="I21" s="921"/>
      <c r="J21" s="921"/>
      <c r="K21" s="921"/>
      <c r="L21" s="921"/>
      <c r="M21" s="921"/>
      <c r="N21" s="871"/>
      <c r="O21" s="871"/>
      <c r="P21" s="871"/>
      <c r="Q21" s="871"/>
      <c r="R21" s="871"/>
      <c r="S21" s="871"/>
      <c r="V21" s="1163" t="s">
        <v>27</v>
      </c>
      <c r="W21" s="1214">
        <v>1</v>
      </c>
      <c r="Y21" s="850" t="s">
        <v>23</v>
      </c>
      <c r="Z21" s="850">
        <f t="shared" si="0"/>
        <v>0</v>
      </c>
      <c r="AA21" s="850">
        <f>IFERROR(VLOOKUP(Y21,$V$14:$W$25,2,FALSE),0)</f>
        <v>0</v>
      </c>
      <c r="AB21" s="850">
        <f>IFERROR(VLOOKUP(Y21,$V$28:$W$34,2,FALSE),0)</f>
        <v>1</v>
      </c>
      <c r="AC21" s="850">
        <f>IFERROR(VLOOKUP(Y21,$V$37:$W$42,2,FALSE),0)</f>
        <v>2</v>
      </c>
      <c r="AD21" s="850">
        <f>IFERROR(VLOOKUP(Y21,$V$45:$W$52,2,FALSE),0)</f>
        <v>0</v>
      </c>
      <c r="AE21" s="850">
        <f>IFERROR(VLOOKUP(Y21,$V$55:$W$64,2,FALSE),0)</f>
        <v>2</v>
      </c>
      <c r="AF21" s="850">
        <f>IFERROR(VLOOKUP(Y21,$V$67:$W$75,2,FALSE),0)</f>
        <v>0</v>
      </c>
      <c r="AG21" s="850">
        <f>IFERROR(VLOOKUP(Y21,$V$78:$W$87,2,FALSE),0)</f>
        <v>1</v>
      </c>
    </row>
    <row r="22" spans="1:36" ht="3" customHeight="1">
      <c r="A22" s="850"/>
      <c r="V22" s="1163" t="s">
        <v>1303</v>
      </c>
      <c r="W22" s="1214">
        <v>1</v>
      </c>
      <c r="Y22" s="850" t="s">
        <v>24</v>
      </c>
      <c r="Z22" s="850">
        <f t="shared" si="0"/>
        <v>0</v>
      </c>
      <c r="AA22" s="850">
        <f>IFERROR(VLOOKUP(Y22,$V$14:$W$25,2,FALSE),0)</f>
        <v>0</v>
      </c>
      <c r="AB22" s="850">
        <f>IFERROR(VLOOKUP(Y22,$V$28:$W$34,2,FALSE),0)</f>
        <v>1</v>
      </c>
      <c r="AC22" s="850">
        <f>IFERROR(VLOOKUP(Y22,$V$37:$W$42,2,FALSE),0)</f>
        <v>0</v>
      </c>
      <c r="AD22" s="850">
        <f>IFERROR(VLOOKUP(Y22,$V$45:$W$52,2,FALSE),0)</f>
        <v>2</v>
      </c>
      <c r="AE22" s="850">
        <f>IFERROR(VLOOKUP(Y22,$V$55:$W$64,2,FALSE),0)</f>
        <v>4</v>
      </c>
      <c r="AF22" s="850">
        <f>IFERROR(VLOOKUP(Y22,$V$67:$W$75,2,FALSE),0)</f>
        <v>2</v>
      </c>
      <c r="AG22" s="850">
        <f>IFERROR(VLOOKUP(Y22,$V$78:$W$87,2,FALSE),0)</f>
        <v>1</v>
      </c>
    </row>
    <row r="23" spans="1:36" ht="11.25" customHeight="1">
      <c r="A23" s="850" t="s">
        <v>1113</v>
      </c>
      <c r="V23" s="1163" t="s">
        <v>85</v>
      </c>
      <c r="W23" s="1214">
        <v>1</v>
      </c>
      <c r="Y23" s="850" t="s">
        <v>117</v>
      </c>
      <c r="Z23" s="850">
        <f t="shared" si="0"/>
        <v>0</v>
      </c>
      <c r="AA23" s="850">
        <f>IFERROR(VLOOKUP(Y23,$V$14:$W$25,2,FALSE),0)</f>
        <v>0</v>
      </c>
      <c r="AB23" s="850">
        <f>IFERROR(VLOOKUP(Y23,$V$28:$W$34,2,FALSE),0)</f>
        <v>0</v>
      </c>
      <c r="AC23" s="850">
        <f>IFERROR(VLOOKUP(Y23,$V$37:$W$42,2,FALSE),0)</f>
        <v>0</v>
      </c>
      <c r="AD23" s="850">
        <f>IFERROR(VLOOKUP(Y23,$V$45:$W$52,2,FALSE),0)</f>
        <v>1</v>
      </c>
      <c r="AE23" s="850">
        <f>IFERROR(VLOOKUP(Y23,$V$55:$W$64,2,FALSE),0)</f>
        <v>1</v>
      </c>
      <c r="AF23" s="850">
        <f>IFERROR(VLOOKUP(Y23,$V$67:$W$75,2,FALSE),0)</f>
        <v>1</v>
      </c>
      <c r="AG23" s="850">
        <f>IFERROR(VLOOKUP(Y23,$V$78:$W$87,2,FALSE),0)</f>
        <v>0</v>
      </c>
    </row>
    <row r="24" spans="1:36" ht="11.25" customHeight="1">
      <c r="A24" s="859" t="s">
        <v>1397</v>
      </c>
      <c r="V24" s="1163" t="s">
        <v>31</v>
      </c>
      <c r="W24" s="1214">
        <v>6</v>
      </c>
      <c r="Y24" s="850" t="s">
        <v>115</v>
      </c>
      <c r="Z24" s="850">
        <f t="shared" si="0"/>
        <v>0</v>
      </c>
      <c r="AA24" s="850">
        <f>IFERROR(VLOOKUP(Y24,$V$14:$W$25,2,FALSE),0)</f>
        <v>0</v>
      </c>
      <c r="AB24" s="850">
        <f>IFERROR(VLOOKUP(Y24,$V$28:$W$34,2,FALSE),0)</f>
        <v>0</v>
      </c>
      <c r="AC24" s="850">
        <f>IFERROR(VLOOKUP(Y24,$V$37:$W$42,2,FALSE),0)</f>
        <v>0</v>
      </c>
      <c r="AD24" s="850">
        <f>IFERROR(VLOOKUP(Y24,$V$45:$W$52,2,FALSE),0)</f>
        <v>0</v>
      </c>
      <c r="AE24" s="850">
        <f>IFERROR(VLOOKUP(Y24,$V$55:$W$64,2,FALSE),0)</f>
        <v>0</v>
      </c>
      <c r="AF24" s="850">
        <f>IFERROR(VLOOKUP(Y24,$V$67:$W$75,2,FALSE),0)</f>
        <v>0</v>
      </c>
      <c r="AG24" s="850">
        <f>IFERROR(VLOOKUP(Y24,$V$78:$W$87,2,FALSE),0)</f>
        <v>1</v>
      </c>
    </row>
    <row r="25" spans="1:36" ht="11.25" customHeight="1">
      <c r="A25" s="859" t="s">
        <v>1398</v>
      </c>
      <c r="V25" s="1163" t="s">
        <v>1304</v>
      </c>
      <c r="W25" s="1214">
        <v>149</v>
      </c>
      <c r="Y25" s="850" t="s">
        <v>1395</v>
      </c>
      <c r="Z25" s="850">
        <f t="shared" si="0"/>
        <v>116</v>
      </c>
      <c r="AA25" s="850">
        <f>IFERROR(VLOOKUP(Y25,$V$14:$W$25,2,FALSE),0)</f>
        <v>149</v>
      </c>
      <c r="AB25" s="850">
        <f>IFERROR(VLOOKUP(Y25,$V$28:$W$34,2,FALSE),0)</f>
        <v>121</v>
      </c>
      <c r="AC25" s="850">
        <f>IFERROR(VLOOKUP(Y25,$V$37:$W$42,2,FALSE),0)</f>
        <v>127</v>
      </c>
      <c r="AD25" s="850">
        <f>IFERROR(VLOOKUP(Y25,$V$45:$W$52,2,FALSE),0)</f>
        <v>243</v>
      </c>
      <c r="AE25" s="850">
        <f>IFERROR(VLOOKUP(Y25,$V$55:$W$64,2,FALSE),0)</f>
        <v>92</v>
      </c>
      <c r="AF25" s="850">
        <f>IFERROR(VLOOKUP(Y25,$V$67:$W$75,2,FALSE),0)</f>
        <v>119</v>
      </c>
      <c r="AG25" s="850">
        <f>IFERROR(VLOOKUP(Y25,$V$78:$W$87,2,FALSE),0)</f>
        <v>227</v>
      </c>
    </row>
    <row r="26" spans="1:36" ht="3" customHeight="1">
      <c r="A26" s="850"/>
    </row>
    <row r="27" spans="1:36">
      <c r="A27" s="859" t="s">
        <v>1312</v>
      </c>
      <c r="W27" s="1212">
        <v>1987</v>
      </c>
    </row>
    <row r="28" spans="1:36">
      <c r="V28" s="1163" t="s">
        <v>13</v>
      </c>
      <c r="W28" s="1214">
        <v>53</v>
      </c>
    </row>
    <row r="29" spans="1:36">
      <c r="V29" s="1163" t="s">
        <v>14</v>
      </c>
      <c r="W29" s="1214">
        <v>62</v>
      </c>
      <c r="Y29" s="850" t="s">
        <v>698</v>
      </c>
      <c r="Z29" s="850">
        <f>Z8</f>
        <v>77</v>
      </c>
      <c r="AA29" s="850">
        <f t="shared" ref="AA29:AF29" si="14">AA8</f>
        <v>100</v>
      </c>
      <c r="AB29" s="850">
        <f t="shared" si="14"/>
        <v>53</v>
      </c>
      <c r="AC29" s="850">
        <f t="shared" si="14"/>
        <v>54</v>
      </c>
      <c r="AD29" s="850">
        <f t="shared" si="14"/>
        <v>33</v>
      </c>
      <c r="AE29" s="850">
        <f t="shared" si="14"/>
        <v>26</v>
      </c>
      <c r="AF29" s="850">
        <f t="shared" si="14"/>
        <v>51</v>
      </c>
      <c r="AG29" s="850">
        <f>AG8</f>
        <v>147</v>
      </c>
    </row>
    <row r="30" spans="1:36">
      <c r="V30" s="1163" t="s">
        <v>15</v>
      </c>
      <c r="W30" s="1214">
        <v>3</v>
      </c>
      <c r="Y30" s="850" t="s">
        <v>699</v>
      </c>
      <c r="Z30" s="850">
        <f>Z10</f>
        <v>37</v>
      </c>
      <c r="AA30" s="850">
        <f t="shared" ref="AA30:AF30" si="15">AA10</f>
        <v>33</v>
      </c>
      <c r="AB30" s="850">
        <f t="shared" si="15"/>
        <v>62</v>
      </c>
      <c r="AC30" s="850">
        <f t="shared" si="15"/>
        <v>66</v>
      </c>
      <c r="AD30" s="850">
        <f t="shared" si="15"/>
        <v>178</v>
      </c>
      <c r="AE30" s="850">
        <f t="shared" si="15"/>
        <v>38</v>
      </c>
      <c r="AF30" s="850">
        <f t="shared" si="15"/>
        <v>40</v>
      </c>
      <c r="AG30" s="850">
        <f>AG10</f>
        <v>63</v>
      </c>
    </row>
    <row r="31" spans="1:36" ht="16">
      <c r="C31" s="2243" t="s">
        <v>2445</v>
      </c>
      <c r="D31" s="2244" t="s">
        <v>807</v>
      </c>
      <c r="E31" s="2245" t="s">
        <v>2446</v>
      </c>
      <c r="F31" s="2246" t="s">
        <v>1972</v>
      </c>
      <c r="Q31" s="1188"/>
      <c r="R31" s="1217"/>
      <c r="V31" s="1163" t="s">
        <v>23</v>
      </c>
      <c r="W31" s="1214">
        <v>1</v>
      </c>
      <c r="Y31" s="850" t="s">
        <v>827</v>
      </c>
      <c r="Z31" s="850">
        <f>Z11+Z14+Z16</f>
        <v>0</v>
      </c>
      <c r="AA31" s="850">
        <f t="shared" ref="AA31:AF31" si="16">AA11+AA14+AA16</f>
        <v>7</v>
      </c>
      <c r="AB31" s="850">
        <f t="shared" si="16"/>
        <v>3</v>
      </c>
      <c r="AC31" s="850">
        <f t="shared" si="16"/>
        <v>4</v>
      </c>
      <c r="AD31" s="850">
        <f t="shared" si="16"/>
        <v>26</v>
      </c>
      <c r="AE31" s="850">
        <f t="shared" si="16"/>
        <v>14</v>
      </c>
      <c r="AF31" s="850">
        <f t="shared" si="16"/>
        <v>20</v>
      </c>
      <c r="AG31" s="850">
        <f>AG11+AG14+AG16</f>
        <v>10</v>
      </c>
    </row>
    <row r="32" spans="1:36">
      <c r="Q32" s="1188"/>
      <c r="R32" s="1217"/>
      <c r="V32" s="1163" t="s">
        <v>24</v>
      </c>
      <c r="W32" s="1214">
        <v>1</v>
      </c>
      <c r="Y32" s="850" t="s">
        <v>12</v>
      </c>
      <c r="Z32" s="850">
        <f>SUM(Z9,Z12,Z13,Z15,Z17,Z21,Z22,Z23,Z24)</f>
        <v>2</v>
      </c>
      <c r="AA32" s="850">
        <f t="shared" ref="AA32:AF32" si="17">SUM(AA9,AA12,AA13,AA15,AA17,AA21,AA22,AA23,AA24)</f>
        <v>9</v>
      </c>
      <c r="AB32" s="850">
        <f t="shared" si="17"/>
        <v>3</v>
      </c>
      <c r="AC32" s="850">
        <f t="shared" si="17"/>
        <v>3</v>
      </c>
      <c r="AD32" s="850">
        <f t="shared" si="17"/>
        <v>6</v>
      </c>
      <c r="AE32" s="850">
        <f t="shared" si="17"/>
        <v>14</v>
      </c>
      <c r="AF32" s="850">
        <f t="shared" si="17"/>
        <v>8</v>
      </c>
      <c r="AG32" s="850">
        <f>SUM(AG9,AG12,AG13,AG15,AG17,AG21,AG22,AG23,AG24)</f>
        <v>7</v>
      </c>
    </row>
    <row r="33" spans="17:33">
      <c r="Q33" s="1188"/>
      <c r="R33" s="1217"/>
      <c r="V33" s="1163" t="s">
        <v>1303</v>
      </c>
      <c r="W33" s="1214">
        <v>1</v>
      </c>
      <c r="Y33" s="850" t="s">
        <v>16</v>
      </c>
      <c r="Z33" s="850">
        <f>Z25</f>
        <v>116</v>
      </c>
      <c r="AA33" s="850">
        <f t="shared" ref="AA33:AF33" si="18">AA25</f>
        <v>149</v>
      </c>
      <c r="AB33" s="850">
        <f t="shared" si="18"/>
        <v>121</v>
      </c>
      <c r="AC33" s="850">
        <f t="shared" si="18"/>
        <v>127</v>
      </c>
      <c r="AD33" s="850">
        <f t="shared" si="18"/>
        <v>243</v>
      </c>
      <c r="AE33" s="850">
        <f t="shared" si="18"/>
        <v>92</v>
      </c>
      <c r="AF33" s="850">
        <f t="shared" si="18"/>
        <v>119</v>
      </c>
      <c r="AG33" s="850">
        <f>AG25</f>
        <v>227</v>
      </c>
    </row>
    <row r="34" spans="17:33">
      <c r="Q34" s="1188"/>
      <c r="R34" s="1217"/>
      <c r="V34" s="1163" t="s">
        <v>1304</v>
      </c>
      <c r="W34" s="1214">
        <v>121</v>
      </c>
    </row>
    <row r="35" spans="17:33">
      <c r="Q35" s="1188"/>
      <c r="R35" s="1217"/>
      <c r="Y35" s="850" t="s">
        <v>1396</v>
      </c>
    </row>
    <row r="36" spans="17:33">
      <c r="Q36" s="1188"/>
      <c r="R36" s="1217"/>
      <c r="W36" s="1212">
        <v>1992</v>
      </c>
    </row>
    <row r="37" spans="17:33">
      <c r="Q37" s="1188"/>
      <c r="R37" s="1217"/>
      <c r="V37" s="1163" t="s">
        <v>13</v>
      </c>
      <c r="W37" s="1214">
        <v>54</v>
      </c>
    </row>
    <row r="38" spans="17:33">
      <c r="Q38" s="1188"/>
      <c r="R38" s="1217"/>
      <c r="V38" s="1163" t="s">
        <v>14</v>
      </c>
      <c r="W38" s="1214">
        <v>66</v>
      </c>
    </row>
    <row r="39" spans="17:33">
      <c r="Q39" s="1188"/>
      <c r="R39" s="1217"/>
      <c r="V39" s="1163" t="s">
        <v>22</v>
      </c>
      <c r="W39" s="1214">
        <v>4</v>
      </c>
    </row>
    <row r="40" spans="17:33">
      <c r="Q40" s="1188"/>
      <c r="R40" s="1217"/>
      <c r="V40" s="1163" t="s">
        <v>23</v>
      </c>
      <c r="W40" s="1214">
        <v>2</v>
      </c>
    </row>
    <row r="41" spans="17:33">
      <c r="V41" s="1163" t="s">
        <v>1303</v>
      </c>
      <c r="W41" s="1214">
        <v>1</v>
      </c>
    </row>
    <row r="42" spans="17:33">
      <c r="V42" s="1163" t="s">
        <v>1304</v>
      </c>
      <c r="W42" s="1214">
        <v>127</v>
      </c>
    </row>
    <row r="44" spans="17:33">
      <c r="W44" s="1212">
        <v>1997</v>
      </c>
    </row>
    <row r="45" spans="17:33">
      <c r="V45" s="1163" t="s">
        <v>13</v>
      </c>
      <c r="W45" s="1214">
        <v>33</v>
      </c>
    </row>
    <row r="46" spans="17:33">
      <c r="V46" s="1163" t="s">
        <v>117</v>
      </c>
      <c r="W46" s="1214">
        <v>1</v>
      </c>
    </row>
    <row r="47" spans="17:33">
      <c r="V47" s="1163" t="s">
        <v>14</v>
      </c>
      <c r="W47" s="1214">
        <v>178</v>
      </c>
    </row>
    <row r="48" spans="17:33">
      <c r="V48" s="1163" t="s">
        <v>22</v>
      </c>
      <c r="W48" s="1214">
        <v>26</v>
      </c>
    </row>
    <row r="49" spans="22:23">
      <c r="V49" s="1163" t="s">
        <v>24</v>
      </c>
      <c r="W49" s="1214">
        <v>2</v>
      </c>
    </row>
    <row r="50" spans="22:23">
      <c r="V50" s="1163" t="s">
        <v>27</v>
      </c>
      <c r="W50" s="1214">
        <v>1</v>
      </c>
    </row>
    <row r="51" spans="22:23">
      <c r="V51" s="1163" t="s">
        <v>31</v>
      </c>
      <c r="W51" s="1214">
        <v>2</v>
      </c>
    </row>
    <row r="52" spans="22:23">
      <c r="V52" s="1163" t="s">
        <v>1304</v>
      </c>
      <c r="W52" s="1214">
        <v>243</v>
      </c>
    </row>
    <row r="54" spans="22:23">
      <c r="W54" s="1212">
        <v>2001</v>
      </c>
    </row>
    <row r="55" spans="22:23">
      <c r="V55" s="1163" t="s">
        <v>13</v>
      </c>
      <c r="W55" s="1214">
        <v>26</v>
      </c>
    </row>
    <row r="56" spans="22:23">
      <c r="V56" s="1163" t="s">
        <v>114</v>
      </c>
      <c r="W56" s="1214">
        <v>3</v>
      </c>
    </row>
    <row r="57" spans="22:23">
      <c r="V57" s="1163" t="s">
        <v>117</v>
      </c>
      <c r="W57" s="1214">
        <v>1</v>
      </c>
    </row>
    <row r="58" spans="22:23">
      <c r="V58" s="1163" t="s">
        <v>14</v>
      </c>
      <c r="W58" s="1214">
        <v>38</v>
      </c>
    </row>
    <row r="59" spans="22:23">
      <c r="V59" s="1163" t="s">
        <v>22</v>
      </c>
      <c r="W59" s="1214">
        <v>14</v>
      </c>
    </row>
    <row r="60" spans="22:23">
      <c r="V60" s="1163" t="s">
        <v>23</v>
      </c>
      <c r="W60" s="1214">
        <v>2</v>
      </c>
    </row>
    <row r="61" spans="22:23">
      <c r="V61" s="1163" t="s">
        <v>24</v>
      </c>
      <c r="W61" s="1214">
        <v>4</v>
      </c>
    </row>
    <row r="62" spans="22:23">
      <c r="V62" s="1163" t="s">
        <v>27</v>
      </c>
      <c r="W62" s="1214">
        <v>2</v>
      </c>
    </row>
    <row r="63" spans="22:23">
      <c r="V63" s="1163" t="s">
        <v>31</v>
      </c>
      <c r="W63" s="1214">
        <v>2</v>
      </c>
    </row>
    <row r="64" spans="22:23">
      <c r="V64" s="1163" t="s">
        <v>1304</v>
      </c>
      <c r="W64" s="1214">
        <v>92</v>
      </c>
    </row>
    <row r="66" spans="22:23">
      <c r="W66" s="1212">
        <v>2005</v>
      </c>
    </row>
    <row r="67" spans="22:23">
      <c r="V67" s="1163" t="s">
        <v>13</v>
      </c>
      <c r="W67" s="1214">
        <v>51</v>
      </c>
    </row>
    <row r="68" spans="22:23">
      <c r="V68" s="1163" t="s">
        <v>114</v>
      </c>
      <c r="W68" s="1214">
        <v>2</v>
      </c>
    </row>
    <row r="69" spans="22:23">
      <c r="V69" s="1163" t="s">
        <v>117</v>
      </c>
      <c r="W69" s="1214">
        <v>1</v>
      </c>
    </row>
    <row r="70" spans="22:23">
      <c r="V70" s="1163" t="s">
        <v>14</v>
      </c>
      <c r="W70" s="1214">
        <v>40</v>
      </c>
    </row>
    <row r="71" spans="22:23">
      <c r="V71" s="1163" t="s">
        <v>22</v>
      </c>
      <c r="W71" s="1214">
        <v>20</v>
      </c>
    </row>
    <row r="72" spans="22:23">
      <c r="V72" s="1163" t="s">
        <v>24</v>
      </c>
      <c r="W72" s="1214">
        <v>2</v>
      </c>
    </row>
    <row r="73" spans="22:23">
      <c r="V73" s="1163" t="s">
        <v>27</v>
      </c>
      <c r="W73" s="1214">
        <v>1</v>
      </c>
    </row>
    <row r="74" spans="22:23">
      <c r="V74" s="1163" t="s">
        <v>1303</v>
      </c>
      <c r="W74" s="1214">
        <v>2</v>
      </c>
    </row>
    <row r="75" spans="22:23">
      <c r="V75" s="1163" t="s">
        <v>1304</v>
      </c>
      <c r="W75" s="1214">
        <v>119</v>
      </c>
    </row>
    <row r="77" spans="22:23">
      <c r="W77" s="1212">
        <v>2010</v>
      </c>
    </row>
    <row r="78" spans="22:23">
      <c r="V78" s="1163" t="s">
        <v>71</v>
      </c>
      <c r="W78" s="1214">
        <v>1</v>
      </c>
    </row>
    <row r="79" spans="22:23">
      <c r="V79" s="1163" t="s">
        <v>13</v>
      </c>
      <c r="W79" s="1214">
        <v>147</v>
      </c>
    </row>
    <row r="80" spans="22:23">
      <c r="V80" s="1163" t="s">
        <v>114</v>
      </c>
      <c r="W80" s="1214">
        <v>2</v>
      </c>
    </row>
    <row r="81" spans="22:23">
      <c r="V81" s="1163" t="s">
        <v>115</v>
      </c>
      <c r="W81" s="1214">
        <v>1</v>
      </c>
    </row>
    <row r="82" spans="22:23">
      <c r="V82" s="1163" t="s">
        <v>14</v>
      </c>
      <c r="W82" s="1214">
        <v>63</v>
      </c>
    </row>
    <row r="83" spans="22:23">
      <c r="V83" s="1163" t="s">
        <v>22</v>
      </c>
      <c r="W83" s="1214">
        <v>10</v>
      </c>
    </row>
    <row r="84" spans="22:23">
      <c r="V84" s="1163" t="s">
        <v>23</v>
      </c>
      <c r="W84" s="1214">
        <v>1</v>
      </c>
    </row>
    <row r="85" spans="22:23">
      <c r="V85" s="1163" t="s">
        <v>24</v>
      </c>
      <c r="W85" s="1214">
        <v>1</v>
      </c>
    </row>
    <row r="86" spans="22:23">
      <c r="V86" s="1163" t="s">
        <v>1303</v>
      </c>
      <c r="W86" s="1214">
        <v>1</v>
      </c>
    </row>
    <row r="87" spans="22:23">
      <c r="V87" s="1163" t="s">
        <v>1304</v>
      </c>
      <c r="W87" s="1214">
        <v>227</v>
      </c>
    </row>
  </sheetData>
  <mergeCells count="3">
    <mergeCell ref="O6:S6"/>
    <mergeCell ref="C6:G6"/>
    <mergeCell ref="I6:M6"/>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7">
    <tabColor theme="4"/>
  </sheetPr>
  <dimension ref="A3:AP60"/>
  <sheetViews>
    <sheetView showGridLines="0" zoomScale="85" zoomScaleNormal="85" workbookViewId="0">
      <selection activeCell="L35" sqref="L35"/>
    </sheetView>
  </sheetViews>
  <sheetFormatPr baseColWidth="10" defaultColWidth="9.3984375" defaultRowHeight="13"/>
  <cols>
    <col min="1" max="1" width="9.3984375" style="944"/>
    <col min="2" max="2" width="5.796875" style="944" customWidth="1"/>
    <col min="3" max="20" width="4" style="944" customWidth="1"/>
    <col min="21" max="21" width="3.796875" style="944" customWidth="1"/>
    <col min="22" max="22" width="9.3984375" style="944"/>
    <col min="23" max="23" width="12.19921875" style="944" customWidth="1"/>
    <col min="24" max="39" width="4.3984375" style="944" customWidth="1"/>
    <col min="40" max="40" width="5.3984375" style="944" customWidth="1"/>
    <col min="41" max="41" width="6.3984375" style="944" customWidth="1"/>
    <col min="42" max="16384" width="9.3984375" style="944"/>
  </cols>
  <sheetData>
    <row r="3" spans="1:42" ht="14">
      <c r="A3" s="880" t="s">
        <v>2173</v>
      </c>
    </row>
    <row r="4" spans="1:42" ht="4.5" customHeight="1">
      <c r="A4" s="880"/>
    </row>
    <row r="5" spans="1:42">
      <c r="B5" s="947"/>
      <c r="C5" s="947"/>
    </row>
    <row r="6" spans="1:42" ht="18.75" customHeight="1">
      <c r="A6" s="1122" t="s">
        <v>2743</v>
      </c>
      <c r="B6" s="1122"/>
      <c r="C6" s="1122"/>
      <c r="D6" s="1122"/>
      <c r="E6" s="1122"/>
      <c r="F6" s="1122"/>
      <c r="G6" s="1122"/>
      <c r="H6" s="1122"/>
      <c r="I6" s="1122"/>
      <c r="J6" s="1122"/>
      <c r="K6" s="1122"/>
      <c r="L6" s="1122"/>
      <c r="M6" s="1122"/>
      <c r="N6" s="1122"/>
      <c r="O6" s="1122"/>
      <c r="P6" s="1122"/>
      <c r="Q6" s="1122"/>
      <c r="R6" s="1122"/>
      <c r="S6" s="1122"/>
      <c r="T6" s="1122"/>
      <c r="U6" s="1122"/>
    </row>
    <row r="7" spans="1:42" ht="13.5" customHeight="1">
      <c r="A7" s="853" t="s">
        <v>1402</v>
      </c>
      <c r="B7" s="1122"/>
      <c r="C7" s="1122"/>
      <c r="D7" s="1122"/>
      <c r="E7" s="1122"/>
      <c r="F7" s="1122"/>
      <c r="G7" s="1122"/>
      <c r="H7" s="1122"/>
      <c r="I7" s="1122"/>
      <c r="J7" s="1122"/>
      <c r="K7" s="1122"/>
      <c r="L7" s="1122"/>
      <c r="M7" s="1122"/>
      <c r="N7" s="1122"/>
      <c r="O7" s="1122"/>
      <c r="P7" s="1122"/>
      <c r="Q7" s="1122"/>
      <c r="R7" s="1122"/>
      <c r="S7" s="1122"/>
      <c r="T7" s="1122"/>
      <c r="U7" s="1122"/>
    </row>
    <row r="8" spans="1:42">
      <c r="A8" s="1023"/>
      <c r="B8" s="1023"/>
      <c r="C8" s="1023"/>
      <c r="D8" s="1023"/>
      <c r="E8" s="1023"/>
      <c r="F8" s="1023"/>
      <c r="G8" s="1023"/>
      <c r="H8" s="1023"/>
      <c r="I8" s="1023" t="s">
        <v>50</v>
      </c>
      <c r="J8" s="1023" t="s">
        <v>51</v>
      </c>
      <c r="K8" s="1023"/>
      <c r="L8" s="1023"/>
      <c r="M8" s="1023"/>
      <c r="N8" s="1023"/>
      <c r="O8" s="1023"/>
      <c r="P8" s="1023"/>
      <c r="Q8" s="1023"/>
      <c r="R8" s="1023"/>
      <c r="S8" s="1023"/>
      <c r="T8" s="1023"/>
      <c r="U8" s="1023"/>
      <c r="AE8" s="944" t="s">
        <v>50</v>
      </c>
      <c r="AF8" s="944" t="s">
        <v>51</v>
      </c>
    </row>
    <row r="9" spans="1:42">
      <c r="A9" s="1023"/>
      <c r="B9" s="1023"/>
      <c r="C9" s="1023">
        <v>51</v>
      </c>
      <c r="D9" s="1023">
        <v>55</v>
      </c>
      <c r="E9" s="1023">
        <v>59</v>
      </c>
      <c r="F9" s="1023">
        <v>64</v>
      </c>
      <c r="G9" s="1023">
        <v>66</v>
      </c>
      <c r="H9" s="1023">
        <v>70</v>
      </c>
      <c r="I9" s="1023">
        <v>74</v>
      </c>
      <c r="J9" s="1023">
        <v>74</v>
      </c>
      <c r="K9" s="1023">
        <v>79</v>
      </c>
      <c r="L9" s="1023">
        <v>83</v>
      </c>
      <c r="M9" s="1023">
        <v>87</v>
      </c>
      <c r="N9" s="1023">
        <v>92</v>
      </c>
      <c r="O9" s="1023">
        <v>97</v>
      </c>
      <c r="P9" s="1226" t="s">
        <v>173</v>
      </c>
      <c r="Q9" s="1226" t="s">
        <v>754</v>
      </c>
      <c r="R9" s="1226" t="s">
        <v>977</v>
      </c>
      <c r="S9" s="1025">
        <v>15</v>
      </c>
      <c r="T9" s="1025">
        <v>17</v>
      </c>
      <c r="U9" s="3284">
        <v>19</v>
      </c>
      <c r="V9" s="1383"/>
      <c r="W9" s="1066"/>
      <c r="Y9" s="944">
        <v>51</v>
      </c>
      <c r="Z9" s="944">
        <v>55</v>
      </c>
      <c r="AA9" s="944">
        <v>59</v>
      </c>
      <c r="AB9" s="944">
        <v>64</v>
      </c>
      <c r="AC9" s="944">
        <v>66</v>
      </c>
      <c r="AD9" s="944">
        <v>70</v>
      </c>
      <c r="AE9" s="944">
        <v>74</v>
      </c>
      <c r="AF9" s="944">
        <v>74</v>
      </c>
      <c r="AG9" s="944">
        <v>79</v>
      </c>
      <c r="AH9" s="944">
        <v>83</v>
      </c>
      <c r="AI9" s="944">
        <v>87</v>
      </c>
      <c r="AJ9" s="944">
        <v>92</v>
      </c>
      <c r="AK9" s="944">
        <v>97</v>
      </c>
      <c r="AL9" s="1219" t="s">
        <v>173</v>
      </c>
      <c r="AM9" s="1219" t="s">
        <v>754</v>
      </c>
      <c r="AN9" s="1219" t="s">
        <v>977</v>
      </c>
      <c r="AO9" s="944">
        <v>15</v>
      </c>
      <c r="AP9" s="944">
        <v>17</v>
      </c>
    </row>
    <row r="10" spans="1:42" ht="3" customHeight="1">
      <c r="P10" s="1219"/>
      <c r="Q10" s="1219"/>
      <c r="R10" s="1219"/>
      <c r="S10" s="1219"/>
      <c r="T10" s="1219"/>
      <c r="U10" s="1219"/>
      <c r="V10" s="2584" t="s">
        <v>2741</v>
      </c>
      <c r="AL10" s="1219"/>
      <c r="AM10" s="1219"/>
      <c r="AN10" s="1219"/>
    </row>
    <row r="11" spans="1:42" s="947" customFormat="1">
      <c r="A11" s="947" t="s">
        <v>13</v>
      </c>
      <c r="P11" s="1220"/>
      <c r="Y11" s="1221">
        <v>625</v>
      </c>
      <c r="Z11" s="1221">
        <v>630</v>
      </c>
      <c r="AA11" s="1221">
        <v>630</v>
      </c>
      <c r="AB11" s="1222">
        <v>630</v>
      </c>
      <c r="AC11" s="1221">
        <v>630</v>
      </c>
      <c r="AD11" s="1221">
        <v>630</v>
      </c>
      <c r="AE11" s="1221">
        <v>635</v>
      </c>
      <c r="AF11" s="1221">
        <v>635</v>
      </c>
      <c r="AG11" s="1221">
        <v>635</v>
      </c>
      <c r="AH11" s="1221">
        <v>650</v>
      </c>
      <c r="AI11" s="1221">
        <v>650</v>
      </c>
      <c r="AJ11" s="1221">
        <v>651</v>
      </c>
      <c r="AK11" s="1221">
        <v>659</v>
      </c>
      <c r="AL11" s="1221">
        <v>659</v>
      </c>
      <c r="AM11" s="1221">
        <v>646</v>
      </c>
      <c r="AN11" s="1221">
        <v>650</v>
      </c>
      <c r="AO11" s="1223">
        <v>650</v>
      </c>
      <c r="AP11" s="947">
        <v>650</v>
      </c>
    </row>
    <row r="12" spans="1:42" ht="14">
      <c r="A12" s="944" t="s">
        <v>1091</v>
      </c>
      <c r="C12" s="1061">
        <f>Y12/$Y$15*100</f>
        <v>74.766355140186917</v>
      </c>
      <c r="D12" s="1061">
        <f>Z12/$Z$15*100</f>
        <v>75.581395348837205</v>
      </c>
      <c r="E12" s="1061">
        <f>AA12/$AA$15*100</f>
        <v>72.054794520547944</v>
      </c>
      <c r="F12" s="1061">
        <f>AB12/$AB$15*100</f>
        <v>75.328947368421055</v>
      </c>
      <c r="G12" s="1061">
        <f>AC12/$AC$15*100</f>
        <v>80.632411067193672</v>
      </c>
      <c r="H12" s="1061">
        <f>AD12/$AD$15*100</f>
        <v>73.636363636363626</v>
      </c>
      <c r="I12" s="1061">
        <f>AE12/$AE$15*100</f>
        <v>74.074074074074076</v>
      </c>
      <c r="J12" s="1061">
        <f>AF12/$AF$15*100</f>
        <v>75.090252707581229</v>
      </c>
      <c r="K12" s="1061">
        <f>AG12/$AG$15*100</f>
        <v>72.56637168141593</v>
      </c>
      <c r="L12" s="1061">
        <f>AH12/$AH$15*100</f>
        <v>70.025188916876573</v>
      </c>
      <c r="M12" s="1061">
        <f>AI12/$AI$15*100</f>
        <v>68.085106382978722</v>
      </c>
      <c r="N12" s="1061">
        <f>AJ12/$AJ$15*100</f>
        <v>61.904761904761905</v>
      </c>
      <c r="O12" s="1061">
        <f>AK12/$AK$15*100</f>
        <v>66.060606060606062</v>
      </c>
      <c r="P12" s="1061">
        <f>AL12/$AL$15*100</f>
        <v>63.855421686746979</v>
      </c>
      <c r="Q12" s="1061">
        <f>AM12/$AM$15*100</f>
        <v>59.595959595959592</v>
      </c>
      <c r="R12" s="1061">
        <f>AN12/AN$15*100</f>
        <v>54.248366013071895</v>
      </c>
      <c r="S12" s="1061">
        <f>AO12/AO$15*100</f>
        <v>50</v>
      </c>
      <c r="T12" s="1061">
        <v>44</v>
      </c>
      <c r="U12" s="3376">
        <v>41</v>
      </c>
      <c r="W12" s="944" t="s">
        <v>1091</v>
      </c>
      <c r="Y12" s="944">
        <v>240</v>
      </c>
      <c r="Z12" s="944">
        <v>260</v>
      </c>
      <c r="AA12" s="944">
        <v>263</v>
      </c>
      <c r="AB12" s="944">
        <v>229</v>
      </c>
      <c r="AC12" s="944">
        <v>204</v>
      </c>
      <c r="AD12" s="944">
        <v>243</v>
      </c>
      <c r="AE12" s="944">
        <v>220</v>
      </c>
      <c r="AF12" s="944">
        <v>208</v>
      </c>
      <c r="AG12" s="944">
        <v>246</v>
      </c>
      <c r="AH12" s="944">
        <v>278</v>
      </c>
      <c r="AI12" s="944">
        <v>256</v>
      </c>
      <c r="AJ12" s="944">
        <v>208</v>
      </c>
      <c r="AK12" s="944">
        <v>109</v>
      </c>
      <c r="AL12" s="944">
        <v>106</v>
      </c>
      <c r="AM12" s="944">
        <v>118</v>
      </c>
      <c r="AN12" s="944">
        <v>166</v>
      </c>
      <c r="AO12" s="879">
        <v>165</v>
      </c>
      <c r="AP12" s="944">
        <v>129</v>
      </c>
    </row>
    <row r="13" spans="1:42" ht="14">
      <c r="A13" s="944" t="s">
        <v>752</v>
      </c>
      <c r="C13" s="1061">
        <f>Y13/$Y$15*100</f>
        <v>65.420560747663544</v>
      </c>
      <c r="D13" s="1061">
        <f>Z13/$Z$15*100</f>
        <v>63.372093023255815</v>
      </c>
      <c r="E13" s="1061">
        <f>AA13/$AA$15*100</f>
        <v>59.726027397260275</v>
      </c>
      <c r="F13" s="1061">
        <f>AB13/$AB$15*100</f>
        <v>63.157894736842103</v>
      </c>
      <c r="G13" s="1061">
        <f>AC13/$AC$15*100</f>
        <v>67.193675889328063</v>
      </c>
      <c r="H13" s="1061">
        <f>AD13/$AD$15*100</f>
        <v>63.030303030303024</v>
      </c>
      <c r="I13" s="1061">
        <f>AE13/$AE$15*100</f>
        <v>67.34006734006735</v>
      </c>
      <c r="J13" s="1061">
        <f>AF13/$AF$15*100</f>
        <v>68.592057761732846</v>
      </c>
      <c r="K13" s="1061">
        <f>AG13/$AG$15*100</f>
        <v>67.846607669616517</v>
      </c>
      <c r="L13" s="1061">
        <f>AH13/$AH$15*100</f>
        <v>71.032745591939545</v>
      </c>
      <c r="M13" s="1061">
        <f>AI13/$AI$15*100</f>
        <v>69.946808510638306</v>
      </c>
      <c r="N13" s="1061">
        <f>AJ13/$AJ$15*100</f>
        <v>72.916666666666657</v>
      </c>
      <c r="O13" s="1061">
        <f>AK13/$AK$15*100</f>
        <v>80.606060606060609</v>
      </c>
      <c r="P13" s="1061">
        <f>AL13/$AL$15*100</f>
        <v>83.132530120481931</v>
      </c>
      <c r="Q13" s="1061">
        <f>AM13/$AM$15*100</f>
        <v>80.808080808080803</v>
      </c>
      <c r="R13" s="1061">
        <f>AN13/$AN$15*100</f>
        <v>80.06535947712419</v>
      </c>
      <c r="S13" s="1061">
        <f>AO13/$AO$15*100</f>
        <v>80.606060606060609</v>
      </c>
      <c r="T13" s="1061">
        <v>83</v>
      </c>
      <c r="U13" s="3376">
        <v>88</v>
      </c>
      <c r="W13" s="944" t="s">
        <v>752</v>
      </c>
      <c r="Y13" s="944">
        <v>210</v>
      </c>
      <c r="Z13" s="944">
        <v>218</v>
      </c>
      <c r="AA13" s="944">
        <v>218</v>
      </c>
      <c r="AB13" s="944">
        <v>192</v>
      </c>
      <c r="AC13" s="944">
        <v>170</v>
      </c>
      <c r="AD13" s="944">
        <v>208</v>
      </c>
      <c r="AE13" s="944">
        <v>200</v>
      </c>
      <c r="AF13" s="944">
        <v>190</v>
      </c>
      <c r="AG13" s="944">
        <v>230</v>
      </c>
      <c r="AH13" s="944">
        <v>282</v>
      </c>
      <c r="AI13" s="944">
        <v>263</v>
      </c>
      <c r="AJ13" s="944">
        <v>245</v>
      </c>
      <c r="AK13" s="944">
        <v>133</v>
      </c>
      <c r="AL13" s="944">
        <v>138</v>
      </c>
      <c r="AM13" s="944">
        <v>160</v>
      </c>
      <c r="AN13" s="944">
        <v>245</v>
      </c>
      <c r="AO13" s="879">
        <v>266</v>
      </c>
    </row>
    <row r="14" spans="1:42" ht="14">
      <c r="A14" s="944" t="s">
        <v>753</v>
      </c>
      <c r="C14" s="1061">
        <f>Y14/$Y$15*100</f>
        <v>52.336448598130836</v>
      </c>
      <c r="D14" s="1061">
        <f>Z14/$Z$15*100</f>
        <v>52.906976744186053</v>
      </c>
      <c r="E14" s="1061">
        <f>AA14/$AA$15*100</f>
        <v>50.136986301369866</v>
      </c>
      <c r="F14" s="1061">
        <f>AB14/$AB$15*100</f>
        <v>52.30263157894737</v>
      </c>
      <c r="G14" s="1061">
        <f>AC14/$AC$15*100</f>
        <v>56.916996047430835</v>
      </c>
      <c r="H14" s="1061">
        <f>AD14/$AD$15*100</f>
        <v>51.515151515151516</v>
      </c>
      <c r="I14" s="1061">
        <f>AE14/$AE$15*100</f>
        <v>53.535353535353536</v>
      </c>
      <c r="J14" s="1061">
        <f>AF14/$AF$15*100</f>
        <v>55.95667870036101</v>
      </c>
      <c r="K14" s="1061">
        <f>AG14/$AG$15*100</f>
        <v>49.262536873156343</v>
      </c>
      <c r="L14" s="1061">
        <f>AH14/$AH$15*100</f>
        <v>47.858942065491185</v>
      </c>
      <c r="M14" s="1061">
        <f>AI14/$AI$15*100</f>
        <v>44.148936170212764</v>
      </c>
      <c r="N14" s="1061">
        <f>AJ14/$AJ$15*100</f>
        <v>44.94047619047619</v>
      </c>
      <c r="O14" s="1061">
        <f>AK14/$AK$15*100</f>
        <v>50.909090909090907</v>
      </c>
      <c r="P14" s="1061">
        <f>AL14/$AL$15*100</f>
        <v>47.590361445783131</v>
      </c>
      <c r="Q14" s="1061">
        <f>AM14/$AM$15*100</f>
        <v>43.43434343434344</v>
      </c>
      <c r="R14" s="1061">
        <f>AN14/$AN$15*100</f>
        <v>33.986928104575163</v>
      </c>
      <c r="S14" s="1061">
        <f>AO14/$AO$15*100</f>
        <v>30.303030303030305</v>
      </c>
      <c r="T14" s="1061">
        <v>34</v>
      </c>
      <c r="U14" s="3376">
        <v>27</v>
      </c>
      <c r="W14" s="944" t="s">
        <v>753</v>
      </c>
      <c r="Y14" s="944">
        <v>168</v>
      </c>
      <c r="Z14" s="944">
        <v>182</v>
      </c>
      <c r="AA14" s="944">
        <v>183</v>
      </c>
      <c r="AB14" s="944">
        <v>159</v>
      </c>
      <c r="AC14" s="944">
        <v>144</v>
      </c>
      <c r="AD14" s="944">
        <v>170</v>
      </c>
      <c r="AE14" s="944">
        <v>159</v>
      </c>
      <c r="AF14" s="944">
        <v>155</v>
      </c>
      <c r="AG14" s="944">
        <v>167</v>
      </c>
      <c r="AH14" s="944">
        <v>190</v>
      </c>
      <c r="AI14" s="944">
        <v>166</v>
      </c>
      <c r="AJ14" s="944">
        <v>151</v>
      </c>
      <c r="AK14" s="944">
        <v>84</v>
      </c>
      <c r="AL14" s="944">
        <v>79</v>
      </c>
      <c r="AM14" s="944">
        <v>86</v>
      </c>
      <c r="AN14" s="944">
        <v>104</v>
      </c>
      <c r="AO14" s="1224">
        <v>100</v>
      </c>
    </row>
    <row r="15" spans="1:42" ht="4.5" customHeight="1">
      <c r="R15" s="1061"/>
      <c r="S15" s="1061"/>
      <c r="T15" s="1061"/>
      <c r="U15" s="3376"/>
      <c r="W15" s="944" t="s">
        <v>221</v>
      </c>
      <c r="Y15" s="944">
        <v>321</v>
      </c>
      <c r="Z15" s="944">
        <v>344</v>
      </c>
      <c r="AA15" s="944">
        <v>365</v>
      </c>
      <c r="AB15" s="944">
        <v>304</v>
      </c>
      <c r="AC15" s="944">
        <v>253</v>
      </c>
      <c r="AD15" s="944">
        <v>330</v>
      </c>
      <c r="AE15" s="944">
        <v>297</v>
      </c>
      <c r="AF15" s="944">
        <v>277</v>
      </c>
      <c r="AG15" s="944">
        <v>339</v>
      </c>
      <c r="AH15" s="944">
        <v>397</v>
      </c>
      <c r="AI15" s="944">
        <v>376</v>
      </c>
      <c r="AJ15" s="944">
        <v>336</v>
      </c>
      <c r="AK15" s="944">
        <v>165</v>
      </c>
      <c r="AL15" s="944">
        <v>166</v>
      </c>
      <c r="AM15" s="944">
        <v>198</v>
      </c>
      <c r="AN15" s="944">
        <v>306</v>
      </c>
      <c r="AO15" s="944">
        <v>330</v>
      </c>
      <c r="AP15" s="944">
        <v>318</v>
      </c>
    </row>
    <row r="16" spans="1:42">
      <c r="A16" s="947" t="s">
        <v>14</v>
      </c>
      <c r="Q16" s="1061"/>
      <c r="R16" s="1061"/>
      <c r="S16" s="1061"/>
      <c r="T16" s="1061"/>
      <c r="U16" s="3223"/>
      <c r="W16" s="947" t="s">
        <v>14</v>
      </c>
    </row>
    <row r="17" spans="1:42" ht="14">
      <c r="A17" s="944" t="s">
        <v>1091</v>
      </c>
      <c r="C17" s="1061">
        <f>Y17/$Y$20*100</f>
        <v>20.33898305084746</v>
      </c>
      <c r="D17" s="1061">
        <f>Z17/$Z$20*100</f>
        <v>22.302158273381295</v>
      </c>
      <c r="E17" s="1061">
        <f>AA17/$AA$20*100</f>
        <v>18.217054263565892</v>
      </c>
      <c r="F17" s="1061">
        <f>AB17/$AB$20*100</f>
        <v>17.665615141955836</v>
      </c>
      <c r="G17" s="1061">
        <f>AC17/$AC$20*100</f>
        <v>18.181818181818183</v>
      </c>
      <c r="H17" s="1061">
        <f>AD17/$AD$20*100</f>
        <v>17.421602787456447</v>
      </c>
      <c r="I17" s="1061">
        <f>AE17/$AE$20*100</f>
        <v>16.279069767441861</v>
      </c>
      <c r="J17" s="1061">
        <f>AF17/$AF$20*100</f>
        <v>17.554858934169278</v>
      </c>
      <c r="K17" s="1061">
        <f>AG17/$AG$20*100</f>
        <v>17.829457364341085</v>
      </c>
      <c r="L17" s="1061">
        <f>AH17/$AH$20*100</f>
        <v>14.354066985645932</v>
      </c>
      <c r="M17" s="1061">
        <f>AI17/$AI$20*100</f>
        <v>13.973799126637553</v>
      </c>
      <c r="N17" s="1061">
        <f>AJ17/$AJ$20*100</f>
        <v>14.760147601476014</v>
      </c>
      <c r="O17" s="1061">
        <f>AK17/$AK$20*100</f>
        <v>16.028708133971293</v>
      </c>
      <c r="P17" s="1061">
        <f>AL17/$AL$20*100</f>
        <v>16.50485436893204</v>
      </c>
      <c r="Q17" s="1061">
        <f>AM17/$AM$20*100</f>
        <v>17.74647887323944</v>
      </c>
      <c r="R17" s="1061">
        <f>AN17/$AN$15*100</f>
        <v>11.76470588235294</v>
      </c>
      <c r="S17" s="1061">
        <f>AO17/$AO$20*100</f>
        <v>15.517241379310345</v>
      </c>
      <c r="T17" s="1061">
        <v>13</v>
      </c>
      <c r="U17" s="3376">
        <v>14</v>
      </c>
      <c r="W17" s="944" t="s">
        <v>1091</v>
      </c>
      <c r="Y17" s="944">
        <v>60</v>
      </c>
      <c r="Z17" s="944">
        <v>62</v>
      </c>
      <c r="AA17" s="944">
        <v>47</v>
      </c>
      <c r="AB17" s="944">
        <v>56</v>
      </c>
      <c r="AC17" s="944">
        <v>66</v>
      </c>
      <c r="AD17" s="944">
        <v>50</v>
      </c>
      <c r="AE17" s="944">
        <v>49</v>
      </c>
      <c r="AF17" s="944">
        <v>56</v>
      </c>
      <c r="AG17" s="944">
        <v>46</v>
      </c>
      <c r="AH17" s="944">
        <v>30</v>
      </c>
      <c r="AI17" s="944">
        <v>32</v>
      </c>
      <c r="AJ17" s="944">
        <v>40</v>
      </c>
      <c r="AK17" s="944">
        <v>67</v>
      </c>
      <c r="AL17" s="944">
        <v>68</v>
      </c>
      <c r="AM17" s="944">
        <v>63</v>
      </c>
      <c r="AN17" s="944">
        <v>36</v>
      </c>
      <c r="AO17" s="879">
        <v>36</v>
      </c>
      <c r="AP17" s="944">
        <v>31</v>
      </c>
    </row>
    <row r="18" spans="1:42" ht="14">
      <c r="A18" s="944" t="s">
        <v>752</v>
      </c>
      <c r="C18" s="1061">
        <f>Y18/$Y$20*100</f>
        <v>41.355932203389827</v>
      </c>
      <c r="D18" s="1061">
        <f>Z18/$Z$20*100</f>
        <v>39.568345323741006</v>
      </c>
      <c r="E18" s="1061">
        <f>AA18/$AA$20*100</f>
        <v>39.147286821705421</v>
      </c>
      <c r="F18" s="1061">
        <f>AB18/$AB$20*100</f>
        <v>42.271293375394322</v>
      </c>
      <c r="G18" s="1061">
        <f>AC18/$AC$20*100</f>
        <v>51.239669421487598</v>
      </c>
      <c r="H18" s="1061">
        <f>AD18/$AD$20*100</f>
        <v>53.658536585365859</v>
      </c>
      <c r="I18" s="1061">
        <f>AE18/$AE$20*100</f>
        <v>53.488372093023251</v>
      </c>
      <c r="J18" s="1061">
        <f>AF18/$AF$20*100</f>
        <v>57.053291536050153</v>
      </c>
      <c r="K18" s="1061">
        <f>AG18/$AG$20*100</f>
        <v>59.302325581395351</v>
      </c>
      <c r="L18" s="1061">
        <f>AH18/$AH$20*100</f>
        <v>53.110047846889955</v>
      </c>
      <c r="M18" s="1061">
        <f>AI18/$AI$20*100</f>
        <v>56.331877729257641</v>
      </c>
      <c r="N18" s="1061">
        <f>AJ18/$AJ$20*100</f>
        <v>61.254612546125465</v>
      </c>
      <c r="O18" s="1061">
        <f>AK18/$AK$20*100</f>
        <v>65.789473684210535</v>
      </c>
      <c r="P18" s="1061">
        <f>AL18/$AL$20*100</f>
        <v>66.747572815533985</v>
      </c>
      <c r="Q18" s="1061">
        <f>AM18/$AM$20*100</f>
        <v>63.661971830985919</v>
      </c>
      <c r="R18" s="1061">
        <f>AN18/$AN$15*100</f>
        <v>61.111111111111114</v>
      </c>
      <c r="S18" s="1061">
        <f>AO18/$AO$20*100</f>
        <v>76.724137931034491</v>
      </c>
      <c r="T18" s="1061">
        <v>84</v>
      </c>
      <c r="U18" s="3376">
        <f>18+37+18+14+3</f>
        <v>90</v>
      </c>
      <c r="W18" s="944" t="s">
        <v>752</v>
      </c>
      <c r="Y18" s="944">
        <v>122</v>
      </c>
      <c r="Z18" s="944">
        <v>110</v>
      </c>
      <c r="AA18" s="944">
        <v>101</v>
      </c>
      <c r="AB18" s="944">
        <v>134</v>
      </c>
      <c r="AC18" s="944">
        <v>186</v>
      </c>
      <c r="AD18" s="944">
        <v>154</v>
      </c>
      <c r="AE18" s="944">
        <v>161</v>
      </c>
      <c r="AF18" s="944">
        <v>182</v>
      </c>
      <c r="AG18" s="944">
        <v>153</v>
      </c>
      <c r="AH18" s="944">
        <v>111</v>
      </c>
      <c r="AI18" s="944">
        <v>129</v>
      </c>
      <c r="AJ18" s="944">
        <v>166</v>
      </c>
      <c r="AK18" s="944">
        <v>275</v>
      </c>
      <c r="AL18" s="944">
        <v>275</v>
      </c>
      <c r="AM18" s="944">
        <v>226</v>
      </c>
      <c r="AN18" s="944">
        <v>187</v>
      </c>
      <c r="AO18" s="879">
        <v>178</v>
      </c>
    </row>
    <row r="19" spans="1:42" ht="14">
      <c r="A19" s="944" t="s">
        <v>753</v>
      </c>
      <c r="C19" s="1061">
        <f>Y19/$Y$20*100</f>
        <v>19.322033898305087</v>
      </c>
      <c r="D19" s="1061">
        <f>Z19/$Z$20*100</f>
        <v>16.546762589928058</v>
      </c>
      <c r="E19" s="1061">
        <f>AA19/$AA$20*100</f>
        <v>17.829457364341085</v>
      </c>
      <c r="F19" s="1061">
        <f>AB19/$AB$20*100</f>
        <v>18.927444794952681</v>
      </c>
      <c r="G19" s="1061">
        <f>AC19/$AC$20*100</f>
        <v>22.865013774104685</v>
      </c>
      <c r="H19" s="1061">
        <f>AD19/$AD$20*100</f>
        <v>25.087108013937282</v>
      </c>
      <c r="I19" s="1061">
        <f>AE19/$AE$20*100</f>
        <v>19.601328903654487</v>
      </c>
      <c r="J19" s="1061">
        <f>AF19/$AF$20*100</f>
        <v>25.078369905956109</v>
      </c>
      <c r="K19" s="1061">
        <f>AG19/$AG$20*100</f>
        <v>21.31782945736434</v>
      </c>
      <c r="L19" s="1061">
        <f>AH19/$AH$20*100</f>
        <v>14.832535885167463</v>
      </c>
      <c r="M19" s="1061">
        <f>AI19/$AI$20*100</f>
        <v>14.847161572052403</v>
      </c>
      <c r="N19" s="1061">
        <f>AJ19/$AJ$20*100</f>
        <v>16.236162361623617</v>
      </c>
      <c r="O19" s="1061">
        <f>AK19/$AK$20*100</f>
        <v>14.593301435406699</v>
      </c>
      <c r="P19" s="1061">
        <f>AL19/$AL$20*100</f>
        <v>15.776699029126215</v>
      </c>
      <c r="Q19" s="1061">
        <f>AM19/$AM$20*100</f>
        <v>16.338028169014084</v>
      </c>
      <c r="R19" s="1061">
        <f>AN19/$AN$15*100</f>
        <v>14.705882352941178</v>
      </c>
      <c r="S19" s="1061">
        <f>AO19/$AO$20*100</f>
        <v>21.120689655172413</v>
      </c>
      <c r="T19" s="1061">
        <v>20</v>
      </c>
      <c r="U19" s="3376">
        <v>18</v>
      </c>
      <c r="W19" s="944" t="s">
        <v>753</v>
      </c>
      <c r="Y19" s="944">
        <v>57</v>
      </c>
      <c r="Z19" s="944">
        <v>46</v>
      </c>
      <c r="AA19" s="944">
        <v>46</v>
      </c>
      <c r="AB19" s="944">
        <v>60</v>
      </c>
      <c r="AC19" s="944">
        <v>83</v>
      </c>
      <c r="AD19" s="944">
        <v>72</v>
      </c>
      <c r="AE19" s="944">
        <v>59</v>
      </c>
      <c r="AF19" s="944">
        <v>80</v>
      </c>
      <c r="AG19" s="944">
        <v>55</v>
      </c>
      <c r="AH19" s="944">
        <v>31</v>
      </c>
      <c r="AI19" s="944">
        <v>34</v>
      </c>
      <c r="AJ19" s="944">
        <v>44</v>
      </c>
      <c r="AK19" s="944">
        <v>61</v>
      </c>
      <c r="AL19" s="944">
        <v>65</v>
      </c>
      <c r="AM19" s="944">
        <v>58</v>
      </c>
      <c r="AN19" s="944">
        <v>45</v>
      </c>
      <c r="AO19" s="1224">
        <v>49</v>
      </c>
    </row>
    <row r="20" spans="1:42" ht="4.5" customHeight="1">
      <c r="R20" s="1061"/>
      <c r="S20" s="1061"/>
      <c r="T20" s="1061"/>
      <c r="U20" s="3223"/>
      <c r="Y20" s="944">
        <v>295</v>
      </c>
      <c r="Z20" s="944">
        <v>278</v>
      </c>
      <c r="AA20" s="944">
        <v>258</v>
      </c>
      <c r="AB20" s="944">
        <v>317</v>
      </c>
      <c r="AC20" s="944">
        <v>363</v>
      </c>
      <c r="AD20" s="944">
        <v>287</v>
      </c>
      <c r="AE20" s="944">
        <v>301</v>
      </c>
      <c r="AF20" s="944">
        <v>319</v>
      </c>
      <c r="AG20" s="944">
        <v>258</v>
      </c>
      <c r="AH20" s="944">
        <v>209</v>
      </c>
      <c r="AI20" s="944">
        <v>229</v>
      </c>
      <c r="AJ20" s="944">
        <v>271</v>
      </c>
      <c r="AK20" s="944">
        <v>418</v>
      </c>
      <c r="AL20" s="944">
        <v>412</v>
      </c>
      <c r="AM20" s="944">
        <v>355</v>
      </c>
      <c r="AN20" s="944">
        <v>258</v>
      </c>
      <c r="AO20" s="944">
        <v>232</v>
      </c>
      <c r="AP20" s="944">
        <v>262</v>
      </c>
    </row>
    <row r="21" spans="1:42">
      <c r="A21" s="947" t="s">
        <v>22</v>
      </c>
      <c r="Q21" s="1061"/>
      <c r="R21" s="1061"/>
      <c r="S21" s="1061"/>
      <c r="T21" s="1061"/>
      <c r="U21" s="3223"/>
      <c r="W21" s="947" t="s">
        <v>15</v>
      </c>
    </row>
    <row r="22" spans="1:42" ht="14">
      <c r="A22" s="944" t="s">
        <v>1091</v>
      </c>
      <c r="C22" s="1061">
        <f t="shared" ref="C22:E24" si="0">Y22/$AA$25*100</f>
        <v>50</v>
      </c>
      <c r="D22" s="1061">
        <f t="shared" si="0"/>
        <v>50</v>
      </c>
      <c r="E22" s="1061">
        <f t="shared" si="0"/>
        <v>66.666666666666657</v>
      </c>
      <c r="F22" s="1061">
        <f>AB22/$AB$25*100</f>
        <v>33.333333333333329</v>
      </c>
      <c r="G22" s="1061">
        <f>AC22/$AC$25*100</f>
        <v>58.333333333333336</v>
      </c>
      <c r="H22" s="1061">
        <f>AD22/$AD$25*100</f>
        <v>50</v>
      </c>
      <c r="I22" s="1061">
        <f>AE22/$AE$25*100</f>
        <v>71.428571428571431</v>
      </c>
      <c r="J22" s="1061">
        <f>AF22/$AF$25*100</f>
        <v>69.230769230769226</v>
      </c>
      <c r="K22" s="1061">
        <f>AG22/$AG$25*100</f>
        <v>54.54545454545454</v>
      </c>
      <c r="L22" s="1061">
        <f>AH22/$AH$25*100</f>
        <v>52.173913043478258</v>
      </c>
      <c r="M22" s="1061">
        <f>AI22/$AI$25*100</f>
        <v>45.454545454545453</v>
      </c>
      <c r="N22" s="1061">
        <f>AJ22/$AJ$25*100</f>
        <v>50</v>
      </c>
      <c r="O22" s="1061">
        <f>AK22/$AK$25*100</f>
        <v>41.304347826086953</v>
      </c>
      <c r="P22" s="1061">
        <f>AL22/$AL$25*100</f>
        <v>34.615384615384613</v>
      </c>
      <c r="Q22" s="1061">
        <f>AM22/$AM$25*100</f>
        <v>38.70967741935484</v>
      </c>
      <c r="R22" s="1061">
        <v>39</v>
      </c>
      <c r="S22" s="1061">
        <v>13</v>
      </c>
      <c r="T22" s="1061">
        <v>30</v>
      </c>
      <c r="U22" s="3376">
        <v>30</v>
      </c>
      <c r="W22" s="944" t="s">
        <v>1091</v>
      </c>
      <c r="Y22" s="944">
        <v>3</v>
      </c>
      <c r="Z22" s="944">
        <v>3</v>
      </c>
      <c r="AA22" s="944">
        <v>4</v>
      </c>
      <c r="AB22" s="944">
        <v>3</v>
      </c>
      <c r="AC22" s="944">
        <v>7</v>
      </c>
      <c r="AD22" s="944">
        <v>3</v>
      </c>
      <c r="AE22" s="944">
        <v>10</v>
      </c>
      <c r="AF22" s="944">
        <v>9</v>
      </c>
      <c r="AG22" s="944">
        <v>6</v>
      </c>
      <c r="AH22" s="944">
        <v>12</v>
      </c>
      <c r="AI22" s="944">
        <v>10</v>
      </c>
      <c r="AJ22" s="944">
        <v>10</v>
      </c>
      <c r="AK22" s="944">
        <v>19</v>
      </c>
      <c r="AL22" s="944">
        <v>18</v>
      </c>
      <c r="AM22" s="944">
        <v>24</v>
      </c>
      <c r="AN22" s="944">
        <v>22</v>
      </c>
      <c r="AO22" s="879">
        <v>1</v>
      </c>
      <c r="AP22" s="944">
        <v>3</v>
      </c>
    </row>
    <row r="23" spans="1:42" ht="14">
      <c r="A23" s="944" t="s">
        <v>752</v>
      </c>
      <c r="C23" s="1061">
        <f t="shared" si="0"/>
        <v>100</v>
      </c>
      <c r="D23" s="1061">
        <f t="shared" si="0"/>
        <v>100</v>
      </c>
      <c r="E23" s="1061">
        <f t="shared" si="0"/>
        <v>100</v>
      </c>
      <c r="F23" s="1061">
        <f>AB23/$AB$25*100</f>
        <v>77.777777777777786</v>
      </c>
      <c r="G23" s="1061">
        <f>AC23/$AC$25*100</f>
        <v>83.333333333333343</v>
      </c>
      <c r="H23" s="1061">
        <f>AD23/$AD$25*100</f>
        <v>100</v>
      </c>
      <c r="I23" s="1061">
        <f>AE23/$AE$25*100</f>
        <v>71.428571428571431</v>
      </c>
      <c r="J23" s="1061">
        <f>AF23/$AF$25*100</f>
        <v>61.53846153846154</v>
      </c>
      <c r="K23" s="1061">
        <f>AG23/$AG$25*100</f>
        <v>45.454545454545453</v>
      </c>
      <c r="L23" s="1061">
        <f>AH23/$AH$25*100</f>
        <v>65.217391304347828</v>
      </c>
      <c r="M23" s="1061">
        <f>AI23/$AI$25*100</f>
        <v>72.727272727272734</v>
      </c>
      <c r="N23" s="1061">
        <f>AJ23/$AJ$25*100</f>
        <v>75</v>
      </c>
      <c r="O23" s="1061">
        <f>AK23/$AK$25*100</f>
        <v>69.565217391304344</v>
      </c>
      <c r="P23" s="1061">
        <f>AL23/$AL$25*100</f>
        <v>69.230769230769226</v>
      </c>
      <c r="Q23" s="1061">
        <f>AM23/$AM$25*100</f>
        <v>79.032258064516128</v>
      </c>
      <c r="R23" s="1061">
        <v>81</v>
      </c>
      <c r="S23" s="1061">
        <v>100</v>
      </c>
      <c r="T23" s="1061">
        <v>92</v>
      </c>
      <c r="U23" s="3376">
        <f>18+55+18</f>
        <v>91</v>
      </c>
      <c r="W23" s="944" t="s">
        <v>752</v>
      </c>
      <c r="Y23" s="944">
        <v>6</v>
      </c>
      <c r="Z23" s="944">
        <v>6</v>
      </c>
      <c r="AA23" s="944">
        <v>6</v>
      </c>
      <c r="AB23" s="944">
        <v>7</v>
      </c>
      <c r="AC23" s="944">
        <v>10</v>
      </c>
      <c r="AD23" s="944">
        <v>6</v>
      </c>
      <c r="AE23" s="944">
        <v>10</v>
      </c>
      <c r="AF23" s="944">
        <v>8</v>
      </c>
      <c r="AG23" s="944">
        <v>5</v>
      </c>
      <c r="AH23" s="944">
        <v>15</v>
      </c>
      <c r="AI23" s="944">
        <v>16</v>
      </c>
      <c r="AJ23" s="944">
        <v>15</v>
      </c>
      <c r="AK23" s="944">
        <v>32</v>
      </c>
      <c r="AL23" s="944">
        <v>36</v>
      </c>
      <c r="AM23" s="944">
        <v>49</v>
      </c>
      <c r="AN23" s="944">
        <v>46</v>
      </c>
      <c r="AO23" s="879">
        <v>8</v>
      </c>
    </row>
    <row r="24" spans="1:42" ht="14">
      <c r="A24" s="944" t="s">
        <v>753</v>
      </c>
      <c r="C24" s="1061">
        <f t="shared" si="0"/>
        <v>66.666666666666657</v>
      </c>
      <c r="D24" s="1061">
        <f t="shared" si="0"/>
        <v>66.666666666666657</v>
      </c>
      <c r="E24" s="1061">
        <f t="shared" si="0"/>
        <v>83.333333333333343</v>
      </c>
      <c r="F24" s="1061">
        <f>AB24/$AB$25*100</f>
        <v>44.444444444444443</v>
      </c>
      <c r="G24" s="1061">
        <f>AC24/$AC$25*100</f>
        <v>50</v>
      </c>
      <c r="H24" s="1061">
        <f>AD24/$AD$25*100</f>
        <v>50</v>
      </c>
      <c r="I24" s="1061">
        <f>AE24/$AE$25*100</f>
        <v>42.857142857142854</v>
      </c>
      <c r="J24" s="1061">
        <f>AF24/$AF$25*100</f>
        <v>38.461538461538467</v>
      </c>
      <c r="K24" s="1061">
        <f>AG24/$AG$25*100</f>
        <v>27.27272727272727</v>
      </c>
      <c r="L24" s="1061">
        <f>AH24/$AH$25*100</f>
        <v>30.434782608695656</v>
      </c>
      <c r="M24" s="1061">
        <f>AI24/$AI$25*100</f>
        <v>27.27272727272727</v>
      </c>
      <c r="N24" s="1061">
        <f>AJ24/$AJ$25*100</f>
        <v>30</v>
      </c>
      <c r="O24" s="1061">
        <f>AK24/$AK$25*100</f>
        <v>32.608695652173914</v>
      </c>
      <c r="P24" s="1061">
        <f>AL24/$AL$25*100</f>
        <v>26.923076923076923</v>
      </c>
      <c r="Q24" s="1061">
        <f>AM24/$AM$25*100</f>
        <v>30.64516129032258</v>
      </c>
      <c r="R24" s="1061">
        <v>28</v>
      </c>
      <c r="S24" s="1061">
        <v>13</v>
      </c>
      <c r="T24" s="1061">
        <v>17</v>
      </c>
      <c r="U24" s="3376">
        <v>18</v>
      </c>
      <c r="W24" s="944" t="s">
        <v>753</v>
      </c>
      <c r="Y24" s="944">
        <v>4</v>
      </c>
      <c r="Z24" s="944">
        <v>4</v>
      </c>
      <c r="AA24" s="944">
        <v>5</v>
      </c>
      <c r="AB24" s="944">
        <v>4</v>
      </c>
      <c r="AC24" s="944">
        <v>6</v>
      </c>
      <c r="AD24" s="944">
        <v>3</v>
      </c>
      <c r="AE24" s="944">
        <v>6</v>
      </c>
      <c r="AF24" s="944">
        <v>5</v>
      </c>
      <c r="AG24" s="944">
        <v>3</v>
      </c>
      <c r="AH24" s="944">
        <v>7</v>
      </c>
      <c r="AI24" s="944">
        <v>6</v>
      </c>
      <c r="AJ24" s="944">
        <v>6</v>
      </c>
      <c r="AK24" s="944">
        <v>15</v>
      </c>
      <c r="AL24" s="944">
        <v>14</v>
      </c>
      <c r="AM24" s="944">
        <v>19</v>
      </c>
      <c r="AN24" s="944">
        <v>16</v>
      </c>
      <c r="AO24" s="1224">
        <v>1</v>
      </c>
    </row>
    <row r="25" spans="1:42" s="1009" customFormat="1" ht="2.25" customHeight="1">
      <c r="U25" s="3223"/>
      <c r="Y25" s="1009">
        <v>6</v>
      </c>
      <c r="Z25" s="1009">
        <v>6</v>
      </c>
      <c r="AA25" s="1009">
        <v>6</v>
      </c>
      <c r="AB25" s="1009">
        <v>9</v>
      </c>
      <c r="AC25" s="1009">
        <v>12</v>
      </c>
      <c r="AD25" s="1009">
        <v>6</v>
      </c>
      <c r="AE25" s="1009">
        <v>14</v>
      </c>
      <c r="AF25" s="1009">
        <v>13</v>
      </c>
      <c r="AG25" s="1009">
        <v>11</v>
      </c>
      <c r="AH25" s="1009">
        <v>23</v>
      </c>
      <c r="AI25" s="1009">
        <v>22</v>
      </c>
      <c r="AJ25" s="1009">
        <v>20</v>
      </c>
      <c r="AK25" s="1009">
        <v>46</v>
      </c>
      <c r="AL25" s="1009">
        <v>52</v>
      </c>
      <c r="AM25" s="1009">
        <v>62</v>
      </c>
      <c r="AN25" s="1009">
        <v>57</v>
      </c>
      <c r="AO25" s="1009">
        <v>8</v>
      </c>
      <c r="AP25" s="1009">
        <v>12</v>
      </c>
    </row>
    <row r="26" spans="1:42">
      <c r="A26" s="947" t="s">
        <v>24</v>
      </c>
      <c r="Q26" s="1061"/>
      <c r="R26" s="1061"/>
      <c r="S26" s="1061"/>
      <c r="T26" s="1061"/>
      <c r="U26" s="3223"/>
      <c r="W26" s="947"/>
    </row>
    <row r="27" spans="1:42" ht="14">
      <c r="A27" s="944" t="s">
        <v>1091</v>
      </c>
      <c r="C27" s="1061"/>
      <c r="D27" s="1061"/>
      <c r="E27" s="1061"/>
      <c r="F27" s="1061"/>
      <c r="G27" s="1061"/>
      <c r="H27" s="1061"/>
      <c r="I27" s="1061"/>
      <c r="J27" s="1061"/>
      <c r="K27" s="1061"/>
      <c r="L27" s="1061"/>
      <c r="M27" s="1061"/>
      <c r="N27" s="1061"/>
      <c r="O27" s="1061"/>
      <c r="P27" s="1061"/>
      <c r="Q27" s="1061"/>
      <c r="R27" s="1061"/>
      <c r="S27" s="1061">
        <v>7</v>
      </c>
      <c r="T27" s="1061">
        <v>6</v>
      </c>
      <c r="U27" s="3376">
        <v>7</v>
      </c>
      <c r="W27" s="944" t="s">
        <v>1091</v>
      </c>
      <c r="AO27" s="879">
        <v>4</v>
      </c>
    </row>
    <row r="28" spans="1:42" ht="14">
      <c r="A28" s="944" t="s">
        <v>752</v>
      </c>
      <c r="C28" s="1061"/>
      <c r="D28" s="1061"/>
      <c r="E28" s="1061"/>
      <c r="F28" s="1061"/>
      <c r="G28" s="1061"/>
      <c r="H28" s="1061"/>
      <c r="I28" s="1061"/>
      <c r="J28" s="1061"/>
      <c r="K28" s="1061"/>
      <c r="L28" s="1061"/>
      <c r="M28" s="1061"/>
      <c r="N28" s="1061"/>
      <c r="O28" s="1061"/>
      <c r="P28" s="1061"/>
      <c r="Q28" s="1061"/>
      <c r="R28" s="1061"/>
      <c r="S28" s="1061">
        <v>75</v>
      </c>
      <c r="T28" s="1061">
        <v>62</v>
      </c>
      <c r="U28" s="3376">
        <f>24+37+7+2</f>
        <v>70</v>
      </c>
      <c r="W28" s="944" t="s">
        <v>752</v>
      </c>
      <c r="AO28" s="879">
        <v>42</v>
      </c>
    </row>
    <row r="29" spans="1:42" ht="14">
      <c r="A29" s="944" t="s">
        <v>753</v>
      </c>
      <c r="C29" s="1061"/>
      <c r="D29" s="1061"/>
      <c r="E29" s="1061"/>
      <c r="F29" s="1061"/>
      <c r="G29" s="1061"/>
      <c r="H29" s="1061"/>
      <c r="I29" s="1061"/>
      <c r="J29" s="1061"/>
      <c r="K29" s="1061"/>
      <c r="L29" s="1061"/>
      <c r="M29" s="1061"/>
      <c r="N29" s="1061"/>
      <c r="O29" s="1061"/>
      <c r="P29" s="1061"/>
      <c r="Q29" s="1061"/>
      <c r="R29" s="1061"/>
      <c r="S29" s="1061">
        <v>0</v>
      </c>
      <c r="T29" s="1061">
        <v>0</v>
      </c>
      <c r="U29" s="3376">
        <v>0</v>
      </c>
      <c r="W29" s="944" t="s">
        <v>753</v>
      </c>
      <c r="AO29" s="1224">
        <v>0</v>
      </c>
    </row>
    <row r="30" spans="1:42" ht="3" customHeight="1">
      <c r="A30" s="1023"/>
      <c r="B30" s="1023"/>
      <c r="C30" s="1085"/>
      <c r="D30" s="1085"/>
      <c r="E30" s="1085"/>
      <c r="F30" s="1085"/>
      <c r="G30" s="1085"/>
      <c r="H30" s="1085"/>
      <c r="I30" s="1085"/>
      <c r="J30" s="1085"/>
      <c r="K30" s="1085"/>
      <c r="L30" s="1085"/>
      <c r="M30" s="1085"/>
      <c r="N30" s="1085"/>
      <c r="O30" s="1085"/>
      <c r="P30" s="1085"/>
      <c r="Q30" s="1085"/>
      <c r="R30" s="1085"/>
      <c r="S30" s="1085"/>
      <c r="T30" s="1085"/>
      <c r="U30" s="1085"/>
    </row>
    <row r="31" spans="1:42" ht="3" customHeight="1">
      <c r="C31" s="1061"/>
      <c r="D31" s="1061"/>
      <c r="E31" s="1061"/>
      <c r="F31" s="1061"/>
      <c r="G31" s="1061"/>
      <c r="H31" s="1061"/>
      <c r="I31" s="1061"/>
      <c r="J31" s="1061"/>
      <c r="K31" s="1061"/>
      <c r="L31" s="1061"/>
      <c r="M31" s="1061"/>
      <c r="N31" s="1061"/>
      <c r="O31" s="1061"/>
      <c r="P31" s="1061"/>
      <c r="Q31" s="1061"/>
      <c r="R31" s="1061"/>
      <c r="S31" s="1061"/>
      <c r="T31" s="1061"/>
      <c r="U31" s="1061"/>
    </row>
    <row r="32" spans="1:42" ht="14">
      <c r="A32" s="850" t="s">
        <v>1674</v>
      </c>
      <c r="AO32" s="944">
        <v>56</v>
      </c>
    </row>
    <row r="33" spans="1:42" ht="14">
      <c r="A33" s="850" t="s">
        <v>2745</v>
      </c>
      <c r="Y33" s="944">
        <f t="shared" ref="Y33:AO33" si="1">Y15+Y20+Y25</f>
        <v>622</v>
      </c>
      <c r="Z33" s="944">
        <f t="shared" si="1"/>
        <v>628</v>
      </c>
      <c r="AA33" s="944">
        <f t="shared" si="1"/>
        <v>629</v>
      </c>
      <c r="AB33" s="944">
        <f t="shared" si="1"/>
        <v>630</v>
      </c>
      <c r="AC33" s="944">
        <f t="shared" si="1"/>
        <v>628</v>
      </c>
      <c r="AD33" s="944">
        <f t="shared" si="1"/>
        <v>623</v>
      </c>
      <c r="AE33" s="944">
        <f t="shared" si="1"/>
        <v>612</v>
      </c>
      <c r="AF33" s="944">
        <f t="shared" si="1"/>
        <v>609</v>
      </c>
      <c r="AG33" s="944">
        <f t="shared" si="1"/>
        <v>608</v>
      </c>
      <c r="AH33" s="944">
        <f t="shared" si="1"/>
        <v>629</v>
      </c>
      <c r="AI33" s="944">
        <f t="shared" si="1"/>
        <v>627</v>
      </c>
      <c r="AJ33" s="944">
        <f t="shared" si="1"/>
        <v>627</v>
      </c>
      <c r="AK33" s="944">
        <f t="shared" si="1"/>
        <v>629</v>
      </c>
      <c r="AL33" s="944">
        <f t="shared" si="1"/>
        <v>630</v>
      </c>
      <c r="AM33" s="944">
        <f t="shared" si="1"/>
        <v>615</v>
      </c>
      <c r="AN33" s="944">
        <f t="shared" si="1"/>
        <v>621</v>
      </c>
      <c r="AO33" s="944">
        <f t="shared" si="1"/>
        <v>570</v>
      </c>
    </row>
    <row r="34" spans="1:42" ht="14">
      <c r="A34" s="896" t="s">
        <v>2746</v>
      </c>
      <c r="Y34" s="1225">
        <f>Y33/Y11</f>
        <v>0.99519999999999997</v>
      </c>
      <c r="Z34" s="1225">
        <f t="shared" ref="Z34:AO34" si="2">Z33/Z11</f>
        <v>0.99682539682539684</v>
      </c>
      <c r="AA34" s="1225">
        <f t="shared" si="2"/>
        <v>0.99841269841269842</v>
      </c>
      <c r="AB34" s="1225">
        <f t="shared" si="2"/>
        <v>1</v>
      </c>
      <c r="AC34" s="1225">
        <f t="shared" si="2"/>
        <v>0.99682539682539684</v>
      </c>
      <c r="AD34" s="1225">
        <f t="shared" si="2"/>
        <v>0.98888888888888893</v>
      </c>
      <c r="AE34" s="1225">
        <f t="shared" si="2"/>
        <v>0.96377952755905516</v>
      </c>
      <c r="AF34" s="1225">
        <f t="shared" si="2"/>
        <v>0.95905511811023625</v>
      </c>
      <c r="AG34" s="1225">
        <f t="shared" si="2"/>
        <v>0.95748031496062991</v>
      </c>
      <c r="AH34" s="1225">
        <f t="shared" si="2"/>
        <v>0.96769230769230774</v>
      </c>
      <c r="AI34" s="1225">
        <f t="shared" si="2"/>
        <v>0.96461538461538465</v>
      </c>
      <c r="AJ34" s="1225">
        <f t="shared" si="2"/>
        <v>0.96313364055299544</v>
      </c>
      <c r="AK34" s="1225">
        <f t="shared" si="2"/>
        <v>0.95447647951441583</v>
      </c>
      <c r="AL34" s="1225">
        <f t="shared" si="2"/>
        <v>0.95599393019726864</v>
      </c>
      <c r="AM34" s="1225">
        <f t="shared" si="2"/>
        <v>0.95201238390092879</v>
      </c>
      <c r="AN34" s="1225">
        <f t="shared" si="2"/>
        <v>0.95538461538461539</v>
      </c>
      <c r="AO34" s="1225">
        <f t="shared" si="2"/>
        <v>0.87692307692307692</v>
      </c>
      <c r="AP34" s="944" t="s">
        <v>1668</v>
      </c>
    </row>
    <row r="35" spans="1:42" ht="14">
      <c r="A35" s="850" t="s">
        <v>2747</v>
      </c>
      <c r="W35" s="944" t="s">
        <v>1289</v>
      </c>
      <c r="AO35" s="1066">
        <f>(AO33+AO32)/AO11</f>
        <v>0.96307692307692305</v>
      </c>
      <c r="AP35" s="1066">
        <f>AVERAGE(Y34:AN34)</f>
        <v>0.97311100521501359</v>
      </c>
    </row>
    <row r="36" spans="1:42">
      <c r="AO36" s="1066">
        <f>AO35-AO34</f>
        <v>8.6153846153846136E-2</v>
      </c>
    </row>
    <row r="37" spans="1:42">
      <c r="B37" s="1007">
        <v>1951</v>
      </c>
      <c r="D37" s="1142">
        <v>321</v>
      </c>
      <c r="E37" s="1142">
        <v>295</v>
      </c>
      <c r="F37" s="1142">
        <v>6</v>
      </c>
      <c r="G37" s="1142">
        <v>0</v>
      </c>
      <c r="H37" s="1142">
        <f t="shared" ref="H37:H52" si="3">+I37-SUM(D37:G37)</f>
        <v>3</v>
      </c>
      <c r="I37" s="1142">
        <v>625</v>
      </c>
      <c r="W37" s="944" t="s">
        <v>1091</v>
      </c>
      <c r="Y37" s="944">
        <f>Y22+Y17+Y12</f>
        <v>303</v>
      </c>
      <c r="Z37" s="944">
        <f t="shared" ref="Z37:AN37" si="4">Z22+Z17+Z12</f>
        <v>325</v>
      </c>
      <c r="AA37" s="944">
        <f t="shared" si="4"/>
        <v>314</v>
      </c>
      <c r="AB37" s="944">
        <f t="shared" si="4"/>
        <v>288</v>
      </c>
      <c r="AC37" s="944">
        <f t="shared" si="4"/>
        <v>277</v>
      </c>
      <c r="AD37" s="944">
        <f t="shared" si="4"/>
        <v>296</v>
      </c>
      <c r="AE37" s="944">
        <f t="shared" si="4"/>
        <v>279</v>
      </c>
      <c r="AF37" s="944">
        <f t="shared" si="4"/>
        <v>273</v>
      </c>
      <c r="AG37" s="944">
        <f t="shared" si="4"/>
        <v>298</v>
      </c>
      <c r="AH37" s="944">
        <f t="shared" si="4"/>
        <v>320</v>
      </c>
      <c r="AI37" s="944">
        <f t="shared" si="4"/>
        <v>298</v>
      </c>
      <c r="AJ37" s="944">
        <f t="shared" si="4"/>
        <v>258</v>
      </c>
      <c r="AK37" s="944">
        <f t="shared" si="4"/>
        <v>195</v>
      </c>
      <c r="AL37" s="944">
        <f t="shared" si="4"/>
        <v>192</v>
      </c>
      <c r="AM37" s="944">
        <f t="shared" si="4"/>
        <v>205</v>
      </c>
      <c r="AN37" s="944">
        <f t="shared" si="4"/>
        <v>224</v>
      </c>
    </row>
    <row r="38" spans="1:42">
      <c r="B38" s="1007">
        <v>1955</v>
      </c>
      <c r="D38" s="1142">
        <v>345</v>
      </c>
      <c r="E38" s="1142">
        <v>277</v>
      </c>
      <c r="F38" s="1142">
        <v>6</v>
      </c>
      <c r="G38" s="1142">
        <v>0</v>
      </c>
      <c r="H38" s="1142">
        <f t="shared" si="3"/>
        <v>2</v>
      </c>
      <c r="I38" s="1142">
        <v>630</v>
      </c>
      <c r="W38" s="944" t="s">
        <v>752</v>
      </c>
      <c r="Y38" s="944">
        <f t="shared" ref="Y38:AN38" si="5">Y23+Y18+Y13</f>
        <v>338</v>
      </c>
      <c r="Z38" s="944">
        <f t="shared" si="5"/>
        <v>334</v>
      </c>
      <c r="AA38" s="944">
        <f t="shared" si="5"/>
        <v>325</v>
      </c>
      <c r="AB38" s="944">
        <f t="shared" si="5"/>
        <v>333</v>
      </c>
      <c r="AC38" s="944">
        <f t="shared" si="5"/>
        <v>366</v>
      </c>
      <c r="AD38" s="944">
        <f t="shared" si="5"/>
        <v>368</v>
      </c>
      <c r="AE38" s="944">
        <f t="shared" si="5"/>
        <v>371</v>
      </c>
      <c r="AF38" s="944">
        <f t="shared" si="5"/>
        <v>380</v>
      </c>
      <c r="AG38" s="944">
        <f t="shared" si="5"/>
        <v>388</v>
      </c>
      <c r="AH38" s="944">
        <f t="shared" si="5"/>
        <v>408</v>
      </c>
      <c r="AI38" s="944">
        <f t="shared" si="5"/>
        <v>408</v>
      </c>
      <c r="AJ38" s="944">
        <f t="shared" si="5"/>
        <v>426</v>
      </c>
      <c r="AK38" s="944">
        <f t="shared" si="5"/>
        <v>440</v>
      </c>
      <c r="AL38" s="944">
        <f t="shared" si="5"/>
        <v>449</v>
      </c>
      <c r="AM38" s="944">
        <f t="shared" si="5"/>
        <v>435</v>
      </c>
      <c r="AN38" s="944">
        <f t="shared" si="5"/>
        <v>478</v>
      </c>
    </row>
    <row r="39" spans="1:42">
      <c r="B39" s="1007">
        <v>1959</v>
      </c>
      <c r="D39" s="1142">
        <v>365</v>
      </c>
      <c r="E39" s="1142">
        <v>258</v>
      </c>
      <c r="F39" s="1142">
        <v>6</v>
      </c>
      <c r="G39" s="1142">
        <v>0</v>
      </c>
      <c r="H39" s="1142">
        <f t="shared" si="3"/>
        <v>1</v>
      </c>
      <c r="I39" s="1142">
        <v>630</v>
      </c>
      <c r="W39" s="944" t="s">
        <v>753</v>
      </c>
      <c r="Y39" s="944">
        <f t="shared" ref="Y39:AN39" si="6">Y24+Y19+Y14</f>
        <v>229</v>
      </c>
      <c r="Z39" s="944">
        <f t="shared" si="6"/>
        <v>232</v>
      </c>
      <c r="AA39" s="944">
        <f t="shared" si="6"/>
        <v>234</v>
      </c>
      <c r="AB39" s="944">
        <f t="shared" si="6"/>
        <v>223</v>
      </c>
      <c r="AC39" s="944">
        <f t="shared" si="6"/>
        <v>233</v>
      </c>
      <c r="AD39" s="944">
        <f t="shared" si="6"/>
        <v>245</v>
      </c>
      <c r="AE39" s="944">
        <f t="shared" si="6"/>
        <v>224</v>
      </c>
      <c r="AF39" s="944">
        <f t="shared" si="6"/>
        <v>240</v>
      </c>
      <c r="AG39" s="944">
        <f t="shared" si="6"/>
        <v>225</v>
      </c>
      <c r="AH39" s="944">
        <f t="shared" si="6"/>
        <v>228</v>
      </c>
      <c r="AI39" s="944">
        <f t="shared" si="6"/>
        <v>206</v>
      </c>
      <c r="AJ39" s="944">
        <f t="shared" si="6"/>
        <v>201</v>
      </c>
      <c r="AK39" s="944">
        <f t="shared" si="6"/>
        <v>160</v>
      </c>
      <c r="AL39" s="944">
        <f t="shared" si="6"/>
        <v>158</v>
      </c>
      <c r="AM39" s="944">
        <f t="shared" si="6"/>
        <v>163</v>
      </c>
      <c r="AN39" s="944">
        <f t="shared" si="6"/>
        <v>165</v>
      </c>
    </row>
    <row r="40" spans="1:42">
      <c r="B40" s="1007">
        <v>1964</v>
      </c>
      <c r="D40" s="1053">
        <v>304</v>
      </c>
      <c r="E40" s="1053">
        <v>317</v>
      </c>
      <c r="F40" s="1053">
        <v>9</v>
      </c>
      <c r="G40" s="1053">
        <v>0</v>
      </c>
      <c r="H40" s="1053">
        <f t="shared" si="3"/>
        <v>0</v>
      </c>
      <c r="I40" s="1053">
        <v>630</v>
      </c>
    </row>
    <row r="41" spans="1:42">
      <c r="B41" s="1007">
        <v>1966</v>
      </c>
      <c r="D41" s="1142">
        <v>253</v>
      </c>
      <c r="E41" s="1142">
        <v>364</v>
      </c>
      <c r="F41" s="1142">
        <v>12</v>
      </c>
      <c r="G41" s="1142">
        <v>0</v>
      </c>
      <c r="H41" s="1142">
        <f t="shared" si="3"/>
        <v>1</v>
      </c>
      <c r="I41" s="1142">
        <v>630</v>
      </c>
    </row>
    <row r="42" spans="1:42">
      <c r="B42" s="1007">
        <v>1970</v>
      </c>
      <c r="D42" s="1142">
        <v>330</v>
      </c>
      <c r="E42" s="1142">
        <v>288</v>
      </c>
      <c r="F42" s="1142">
        <v>6</v>
      </c>
      <c r="G42" s="1142">
        <v>1</v>
      </c>
      <c r="H42" s="1142">
        <f t="shared" si="3"/>
        <v>5</v>
      </c>
      <c r="I42" s="1142">
        <v>630</v>
      </c>
    </row>
    <row r="43" spans="1:42">
      <c r="B43" s="1007">
        <v>1974</v>
      </c>
      <c r="C43" s="944" t="s">
        <v>50</v>
      </c>
      <c r="D43" s="1142">
        <v>297</v>
      </c>
      <c r="E43" s="1142">
        <v>301</v>
      </c>
      <c r="F43" s="1142">
        <v>14</v>
      </c>
      <c r="G43" s="1142">
        <v>9</v>
      </c>
      <c r="H43" s="1142">
        <f t="shared" si="3"/>
        <v>14</v>
      </c>
      <c r="I43" s="1142">
        <v>635</v>
      </c>
    </row>
    <row r="44" spans="1:42" ht="14">
      <c r="B44" s="1007">
        <v>1974</v>
      </c>
      <c r="C44" s="944" t="s">
        <v>51</v>
      </c>
      <c r="D44" s="1142">
        <v>277</v>
      </c>
      <c r="E44" s="1142">
        <v>319</v>
      </c>
      <c r="F44" s="1142">
        <v>13</v>
      </c>
      <c r="G44" s="1142">
        <v>14</v>
      </c>
      <c r="H44" s="1142">
        <f t="shared" si="3"/>
        <v>12</v>
      </c>
      <c r="I44" s="1142">
        <v>635</v>
      </c>
      <c r="AN44" s="879"/>
    </row>
    <row r="45" spans="1:42">
      <c r="B45" s="1007">
        <v>1979</v>
      </c>
      <c r="D45" s="1142">
        <v>339</v>
      </c>
      <c r="E45" s="1142">
        <v>269</v>
      </c>
      <c r="F45" s="1142">
        <v>11</v>
      </c>
      <c r="G45" s="1142">
        <v>4</v>
      </c>
      <c r="H45" s="1142">
        <f t="shared" si="3"/>
        <v>12</v>
      </c>
      <c r="I45" s="1142">
        <v>635</v>
      </c>
    </row>
    <row r="46" spans="1:42">
      <c r="B46" s="1007">
        <v>1983</v>
      </c>
      <c r="D46" s="1142">
        <v>397</v>
      </c>
      <c r="E46" s="1142">
        <v>209</v>
      </c>
      <c r="F46" s="1142">
        <v>23</v>
      </c>
      <c r="G46" s="1142">
        <v>4</v>
      </c>
      <c r="H46" s="1142">
        <f t="shared" si="3"/>
        <v>17</v>
      </c>
      <c r="I46" s="1142">
        <v>650</v>
      </c>
      <c r="L46" s="1142">
        <v>625</v>
      </c>
      <c r="M46" s="1142">
        <v>630</v>
      </c>
      <c r="N46" s="1142">
        <v>630</v>
      </c>
      <c r="O46" s="1053">
        <v>630</v>
      </c>
      <c r="P46" s="1142">
        <v>630</v>
      </c>
      <c r="Q46" s="1142">
        <v>630</v>
      </c>
      <c r="R46" s="1142">
        <v>635</v>
      </c>
      <c r="S46" s="1142">
        <v>635</v>
      </c>
      <c r="T46" s="1142">
        <v>635</v>
      </c>
      <c r="U46" s="1142"/>
      <c r="V46" s="1142">
        <v>635</v>
      </c>
      <c r="W46" s="1142">
        <v>650</v>
      </c>
      <c r="X46" s="1142">
        <v>650</v>
      </c>
      <c r="Y46" s="1142">
        <v>651</v>
      </c>
      <c r="Z46" s="1142">
        <v>659</v>
      </c>
      <c r="AA46" s="1142">
        <v>659</v>
      </c>
      <c r="AB46" s="1142">
        <v>646</v>
      </c>
      <c r="AC46" s="1142">
        <v>650</v>
      </c>
      <c r="AD46" s="1050">
        <v>650</v>
      </c>
    </row>
    <row r="47" spans="1:42">
      <c r="B47" s="1007">
        <v>1987</v>
      </c>
      <c r="D47" s="1142">
        <v>376</v>
      </c>
      <c r="E47" s="1142">
        <v>229</v>
      </c>
      <c r="F47" s="1142">
        <v>22</v>
      </c>
      <c r="G47" s="1142">
        <v>6</v>
      </c>
      <c r="H47" s="1142">
        <f t="shared" si="3"/>
        <v>17</v>
      </c>
      <c r="I47" s="1142">
        <v>650</v>
      </c>
    </row>
    <row r="48" spans="1:42" ht="14">
      <c r="B48" s="1007">
        <v>1992</v>
      </c>
      <c r="D48" s="1142">
        <v>336</v>
      </c>
      <c r="E48" s="1142">
        <v>271</v>
      </c>
      <c r="F48" s="1142">
        <v>20</v>
      </c>
      <c r="G48" s="1142">
        <v>7</v>
      </c>
      <c r="H48" s="1142">
        <f t="shared" si="3"/>
        <v>17</v>
      </c>
      <c r="I48" s="1142">
        <v>651</v>
      </c>
      <c r="AN48" s="879"/>
    </row>
    <row r="49" spans="2:40" ht="14">
      <c r="B49" s="1007">
        <v>1997</v>
      </c>
      <c r="D49" s="1142">
        <v>165</v>
      </c>
      <c r="E49" s="1142">
        <v>418</v>
      </c>
      <c r="F49" s="1142">
        <v>46</v>
      </c>
      <c r="G49" s="1142">
        <v>10</v>
      </c>
      <c r="H49" s="1142">
        <f t="shared" si="3"/>
        <v>20</v>
      </c>
      <c r="I49" s="1142">
        <v>659</v>
      </c>
      <c r="AN49" s="879">
        <v>1</v>
      </c>
    </row>
    <row r="50" spans="2:40" ht="14">
      <c r="B50" s="1007">
        <v>2001</v>
      </c>
      <c r="D50" s="1142">
        <v>166</v>
      </c>
      <c r="E50" s="1142">
        <v>412</v>
      </c>
      <c r="F50" s="1142">
        <v>52</v>
      </c>
      <c r="G50" s="1142">
        <v>9</v>
      </c>
      <c r="H50" s="1142">
        <f t="shared" si="3"/>
        <v>20</v>
      </c>
      <c r="I50" s="1142">
        <v>659</v>
      </c>
      <c r="AN50" s="879">
        <v>8</v>
      </c>
    </row>
    <row r="51" spans="2:40" ht="14">
      <c r="B51" s="1007">
        <v>2005</v>
      </c>
      <c r="D51" s="1142">
        <v>198</v>
      </c>
      <c r="E51" s="1142">
        <v>355</v>
      </c>
      <c r="F51" s="1142">
        <v>62</v>
      </c>
      <c r="G51" s="1142">
        <v>9</v>
      </c>
      <c r="H51" s="1142">
        <f t="shared" si="3"/>
        <v>22</v>
      </c>
      <c r="I51" s="1142">
        <v>646</v>
      </c>
      <c r="AN51" s="1224">
        <v>1</v>
      </c>
    </row>
    <row r="52" spans="2:40" ht="14">
      <c r="B52" s="1007">
        <v>2010</v>
      </c>
      <c r="D52" s="1142">
        <v>306</v>
      </c>
      <c r="E52" s="1142">
        <v>258</v>
      </c>
      <c r="F52" s="1142">
        <v>57</v>
      </c>
      <c r="G52" s="1142">
        <v>9</v>
      </c>
      <c r="H52" s="1142">
        <f t="shared" si="3"/>
        <v>20</v>
      </c>
      <c r="I52" s="1142">
        <v>650</v>
      </c>
      <c r="AN52" s="1224"/>
    </row>
    <row r="53" spans="2:40">
      <c r="B53" s="1007">
        <v>2015</v>
      </c>
      <c r="D53" s="1050">
        <v>330</v>
      </c>
      <c r="E53" s="1050">
        <v>232</v>
      </c>
      <c r="F53" s="1050">
        <v>8</v>
      </c>
      <c r="G53" s="1050">
        <v>59</v>
      </c>
      <c r="H53" s="1050">
        <v>21</v>
      </c>
      <c r="I53" s="1050">
        <v>650</v>
      </c>
    </row>
    <row r="60" spans="2:40">
      <c r="F60" s="2584"/>
    </row>
  </sheetData>
  <phoneticPr fontId="10" type="noConversion"/>
  <pageMargins left="0.75" right="0.75" top="1" bottom="1" header="0.5" footer="0.5"/>
  <pageSetup paperSize="9" orientation="portrait" horizontalDpi="300" verticalDpi="300" r:id="rId1"/>
  <headerFooter alignWithMargins="0"/>
  <ignoredErrors>
    <ignoredError sqref="P9:R9" numberStoredAsText="1"/>
  </ignoredErrors>
  <webPublishItems count="1">
    <webPublishItem id="18168" divId="RP11-XXX_Election Statistics UK 1918-2011_18168" sourceType="range" sourceRef="A1:R33" destinationFile="U:\election stats rp\Table 6b.mht"/>
  </webPublishItem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sheetPr>
  <dimension ref="A4:W66"/>
  <sheetViews>
    <sheetView zoomScale="70" zoomScaleNormal="70" workbookViewId="0">
      <selection activeCell="C65" sqref="C65"/>
    </sheetView>
  </sheetViews>
  <sheetFormatPr baseColWidth="10" defaultColWidth="10.59765625" defaultRowHeight="14"/>
  <cols>
    <col min="1" max="1" width="5.796875" style="896" customWidth="1"/>
    <col min="2" max="2" width="24.19921875" style="896" customWidth="1"/>
    <col min="3" max="13" width="8.59765625" style="896" customWidth="1"/>
    <col min="14" max="15" width="10.59765625" style="897"/>
    <col min="16" max="16384" width="10.59765625" style="896"/>
  </cols>
  <sheetData>
    <row r="4" spans="1:23">
      <c r="A4" s="895"/>
      <c r="B4" s="895"/>
    </row>
    <row r="5" spans="1:23" ht="16">
      <c r="A5" s="3419" t="s">
        <v>2744</v>
      </c>
      <c r="B5" s="3419"/>
      <c r="C5" s="3419"/>
      <c r="D5" s="3419"/>
      <c r="E5" s="3419"/>
      <c r="F5" s="3419"/>
      <c r="G5" s="3419"/>
      <c r="H5" s="3419"/>
      <c r="I5" s="3419"/>
      <c r="J5" s="3419"/>
      <c r="K5" s="3419"/>
      <c r="L5" s="3419"/>
      <c r="M5" s="3280"/>
    </row>
    <row r="6" spans="1:23" ht="12.75" customHeight="1">
      <c r="A6" s="899" t="s">
        <v>2158</v>
      </c>
      <c r="B6" s="900"/>
      <c r="C6" s="901"/>
      <c r="D6" s="901"/>
      <c r="E6" s="901"/>
      <c r="F6" s="901"/>
      <c r="G6" s="901"/>
      <c r="H6" s="901"/>
      <c r="I6" s="901"/>
      <c r="J6" s="901"/>
      <c r="K6" s="901"/>
      <c r="L6" s="902"/>
      <c r="M6" s="902"/>
      <c r="N6" s="903"/>
      <c r="O6" s="903"/>
      <c r="P6" s="3420">
        <v>2015</v>
      </c>
      <c r="Q6" s="3420"/>
    </row>
    <row r="7" spans="1:23">
      <c r="A7" s="871"/>
      <c r="B7" s="871"/>
      <c r="C7" s="921">
        <v>1979</v>
      </c>
      <c r="D7" s="921">
        <v>1983</v>
      </c>
      <c r="E7" s="921">
        <v>1987</v>
      </c>
      <c r="F7" s="921">
        <v>1992</v>
      </c>
      <c r="G7" s="921">
        <v>1997</v>
      </c>
      <c r="H7" s="921">
        <v>2001</v>
      </c>
      <c r="I7" s="921">
        <v>2005</v>
      </c>
      <c r="J7" s="921">
        <v>2010</v>
      </c>
      <c r="K7" s="921">
        <v>2015</v>
      </c>
      <c r="L7" s="921">
        <v>2017</v>
      </c>
      <c r="M7" s="3283" t="s">
        <v>2740</v>
      </c>
      <c r="N7" s="879"/>
      <c r="O7" s="879"/>
      <c r="P7" s="896" t="s">
        <v>2159</v>
      </c>
      <c r="Q7" s="896" t="s">
        <v>2160</v>
      </c>
      <c r="R7" s="896">
        <v>2010</v>
      </c>
      <c r="S7" s="896" t="s">
        <v>2161</v>
      </c>
      <c r="U7" s="896" t="s">
        <v>2162</v>
      </c>
      <c r="W7" s="896" t="s">
        <v>2163</v>
      </c>
    </row>
    <row r="8" spans="1:23" ht="13.5" customHeight="1">
      <c r="A8" s="3421" t="s">
        <v>698</v>
      </c>
      <c r="B8" s="896" t="s">
        <v>2164</v>
      </c>
      <c r="C8" s="904">
        <f>C29/100</f>
        <v>0.73</v>
      </c>
      <c r="D8" s="904">
        <f t="shared" ref="D8:J8" si="0">D29/100</f>
        <v>0.7</v>
      </c>
      <c r="E8" s="904">
        <f t="shared" si="0"/>
        <v>0.68</v>
      </c>
      <c r="F8" s="904">
        <f t="shared" si="0"/>
        <v>0.62</v>
      </c>
      <c r="G8" s="904">
        <f t="shared" si="0"/>
        <v>0.66</v>
      </c>
      <c r="H8" s="904">
        <f t="shared" si="0"/>
        <v>0.64</v>
      </c>
      <c r="I8" s="904">
        <f t="shared" si="0"/>
        <v>0.6</v>
      </c>
      <c r="J8" s="904">
        <f t="shared" si="0"/>
        <v>0.54248366013071903</v>
      </c>
      <c r="K8" s="904">
        <f>P8/Q8</f>
        <v>0.5</v>
      </c>
      <c r="L8" s="904">
        <v>0.44</v>
      </c>
      <c r="M8" s="904">
        <v>0.41</v>
      </c>
      <c r="N8" s="905">
        <f>O$8*L8</f>
        <v>139.47999999999999</v>
      </c>
      <c r="O8" s="905">
        <v>317</v>
      </c>
      <c r="P8" s="906">
        <v>165</v>
      </c>
      <c r="Q8" s="906">
        <v>330</v>
      </c>
      <c r="S8" s="904">
        <f>(P8+P12+P16+P20)/650</f>
        <v>0.31692307692307692</v>
      </c>
      <c r="U8" s="904">
        <f>(P9+P13+P17+P21)/650</f>
        <v>0.76</v>
      </c>
      <c r="W8" s="904">
        <f>(P10+P14+P18+P22)/650</f>
        <v>0.23076923076923078</v>
      </c>
    </row>
    <row r="9" spans="1:23" ht="13.5" customHeight="1">
      <c r="A9" s="3421"/>
      <c r="B9" s="896" t="s">
        <v>752</v>
      </c>
      <c r="C9" s="904">
        <f t="shared" ref="C9:J10" si="1">C30/100</f>
        <v>0.68</v>
      </c>
      <c r="D9" s="904">
        <f t="shared" si="1"/>
        <v>0.71</v>
      </c>
      <c r="E9" s="904">
        <f t="shared" si="1"/>
        <v>0.7</v>
      </c>
      <c r="F9" s="904">
        <f t="shared" si="1"/>
        <v>0.73</v>
      </c>
      <c r="G9" s="904">
        <f t="shared" si="1"/>
        <v>0.81</v>
      </c>
      <c r="H9" s="904">
        <f t="shared" si="1"/>
        <v>0.83</v>
      </c>
      <c r="I9" s="904">
        <f t="shared" si="1"/>
        <v>0.81</v>
      </c>
      <c r="J9" s="904">
        <f t="shared" si="1"/>
        <v>0.80065359477124187</v>
      </c>
      <c r="K9" s="904">
        <f>P9/Q8</f>
        <v>0.80606060606060603</v>
      </c>
      <c r="L9" s="904">
        <f>0.55+0.28</f>
        <v>0.83000000000000007</v>
      </c>
      <c r="M9" s="904">
        <v>0.61</v>
      </c>
      <c r="N9" s="905">
        <f>O$8*L9</f>
        <v>263.11</v>
      </c>
      <c r="O9" s="905"/>
      <c r="P9" s="906">
        <v>266</v>
      </c>
      <c r="Q9" s="907"/>
      <c r="U9" s="897">
        <f>P9+P13+P17</f>
        <v>452</v>
      </c>
      <c r="V9" s="896" t="s">
        <v>2165</v>
      </c>
      <c r="W9" s="897">
        <f>P10+P14+P18</f>
        <v>150</v>
      </c>
    </row>
    <row r="10" spans="1:23" ht="13.5" customHeight="1">
      <c r="A10" s="3422"/>
      <c r="B10" s="908" t="s">
        <v>2166</v>
      </c>
      <c r="C10" s="904">
        <f t="shared" si="1"/>
        <v>0.49</v>
      </c>
      <c r="D10" s="904">
        <f t="shared" si="1"/>
        <v>0.48</v>
      </c>
      <c r="E10" s="904">
        <f t="shared" si="1"/>
        <v>0.44</v>
      </c>
      <c r="F10" s="904">
        <f t="shared" si="1"/>
        <v>0.45</v>
      </c>
      <c r="G10" s="904">
        <f t="shared" si="1"/>
        <v>0.51</v>
      </c>
      <c r="H10" s="904">
        <f t="shared" si="1"/>
        <v>0.48</v>
      </c>
      <c r="I10" s="904">
        <f t="shared" si="1"/>
        <v>0.43</v>
      </c>
      <c r="J10" s="904">
        <f t="shared" si="1"/>
        <v>0.33986928104575165</v>
      </c>
      <c r="K10" s="904">
        <f>P10/Q8</f>
        <v>0.30303030303030304</v>
      </c>
      <c r="L10" s="904">
        <v>0.34</v>
      </c>
      <c r="M10" s="904">
        <v>0.27</v>
      </c>
      <c r="N10" s="905">
        <f>O$8*L10</f>
        <v>107.78</v>
      </c>
      <c r="O10" s="905"/>
      <c r="P10" s="909">
        <v>100</v>
      </c>
      <c r="Q10" s="910"/>
      <c r="U10" s="897">
        <f>P9+P13+P17+P21</f>
        <v>494</v>
      </c>
      <c r="V10" s="896" t="s">
        <v>2167</v>
      </c>
    </row>
    <row r="11" spans="1:23" ht="3" customHeight="1">
      <c r="A11" s="911"/>
      <c r="B11" s="912"/>
      <c r="C11" s="904"/>
      <c r="D11" s="904"/>
      <c r="E11" s="904"/>
      <c r="F11" s="904"/>
      <c r="G11" s="904"/>
      <c r="H11" s="904"/>
      <c r="I11" s="904"/>
      <c r="J11" s="904"/>
      <c r="K11" s="904"/>
      <c r="L11" s="904"/>
      <c r="M11" s="904"/>
      <c r="N11" s="905">
        <f>O$8*L11</f>
        <v>0</v>
      </c>
      <c r="O11" s="905"/>
      <c r="P11" s="906"/>
      <c r="Q11" s="910"/>
    </row>
    <row r="12" spans="1:23" ht="13.5" customHeight="1">
      <c r="A12" s="3423" t="s">
        <v>699</v>
      </c>
      <c r="B12" s="896" t="s">
        <v>2164</v>
      </c>
      <c r="C12" s="904">
        <f t="shared" ref="C12:J14" si="2">C33/100</f>
        <v>0.18</v>
      </c>
      <c r="D12" s="904">
        <f t="shared" si="2"/>
        <v>0.14000000000000001</v>
      </c>
      <c r="E12" s="904">
        <f t="shared" si="2"/>
        <v>0.14000000000000001</v>
      </c>
      <c r="F12" s="904">
        <f t="shared" si="2"/>
        <v>0.15</v>
      </c>
      <c r="G12" s="904">
        <f t="shared" si="2"/>
        <v>0.16</v>
      </c>
      <c r="H12" s="904">
        <f t="shared" si="2"/>
        <v>0.17</v>
      </c>
      <c r="I12" s="904">
        <f t="shared" si="2"/>
        <v>0.18</v>
      </c>
      <c r="J12" s="904">
        <f t="shared" si="2"/>
        <v>0.13953488372093023</v>
      </c>
      <c r="K12" s="904">
        <f>P12/Q12</f>
        <v>0.15517241379310345</v>
      </c>
      <c r="L12" s="904">
        <v>0.13</v>
      </c>
      <c r="M12" s="904">
        <v>0.14000000000000001</v>
      </c>
      <c r="N12" s="905">
        <f>O$12*L12</f>
        <v>34.06</v>
      </c>
      <c r="O12" s="905">
        <v>262</v>
      </c>
      <c r="P12" s="906">
        <v>36</v>
      </c>
      <c r="Q12" s="910">
        <v>232</v>
      </c>
      <c r="S12" s="913"/>
    </row>
    <row r="13" spans="1:23" ht="13.5" customHeight="1">
      <c r="A13" s="3424"/>
      <c r="B13" s="896" t="s">
        <v>752</v>
      </c>
      <c r="C13" s="904">
        <f t="shared" si="2"/>
        <v>0.59</v>
      </c>
      <c r="D13" s="904">
        <f t="shared" si="2"/>
        <v>0.53</v>
      </c>
      <c r="E13" s="904">
        <f t="shared" si="2"/>
        <v>0.56000000000000005</v>
      </c>
      <c r="F13" s="904">
        <f t="shared" si="2"/>
        <v>0.61</v>
      </c>
      <c r="G13" s="904">
        <f t="shared" si="2"/>
        <v>0.66</v>
      </c>
      <c r="H13" s="904">
        <f t="shared" si="2"/>
        <v>0.67</v>
      </c>
      <c r="I13" s="904">
        <f t="shared" si="2"/>
        <v>0.64</v>
      </c>
      <c r="J13" s="904">
        <f t="shared" si="2"/>
        <v>0.72480620155038755</v>
      </c>
      <c r="K13" s="904">
        <f>P13/Q12</f>
        <v>0.76724137931034486</v>
      </c>
      <c r="L13" s="904">
        <f>0.52+0.32</f>
        <v>0.84000000000000008</v>
      </c>
      <c r="M13" s="904">
        <v>0.72</v>
      </c>
      <c r="N13" s="905">
        <f>O$12*L13</f>
        <v>220.08</v>
      </c>
      <c r="O13" s="905"/>
      <c r="P13" s="906">
        <v>178</v>
      </c>
      <c r="Q13" s="910"/>
    </row>
    <row r="14" spans="1:23" ht="13.5" customHeight="1">
      <c r="A14" s="3425"/>
      <c r="B14" s="908" t="s">
        <v>2166</v>
      </c>
      <c r="C14" s="904">
        <f t="shared" si="2"/>
        <v>0.21</v>
      </c>
      <c r="D14" s="904">
        <f t="shared" si="2"/>
        <v>0.15</v>
      </c>
      <c r="E14" s="904">
        <f t="shared" si="2"/>
        <v>0.15</v>
      </c>
      <c r="F14" s="904">
        <f t="shared" si="2"/>
        <v>0.16</v>
      </c>
      <c r="G14" s="904">
        <f t="shared" si="2"/>
        <v>0.15</v>
      </c>
      <c r="H14" s="904">
        <f t="shared" si="2"/>
        <v>0.16</v>
      </c>
      <c r="I14" s="904">
        <f t="shared" si="2"/>
        <v>0.16</v>
      </c>
      <c r="J14" s="904">
        <f t="shared" si="2"/>
        <v>0.17441860465116277</v>
      </c>
      <c r="K14" s="904">
        <f>P14/Q12</f>
        <v>0.21120689655172414</v>
      </c>
      <c r="L14" s="904">
        <v>0.2</v>
      </c>
      <c r="M14" s="904">
        <v>0.18</v>
      </c>
      <c r="N14" s="905">
        <f>O$12*L14</f>
        <v>52.400000000000006</v>
      </c>
      <c r="O14" s="905"/>
      <c r="P14" s="909">
        <v>49</v>
      </c>
      <c r="Q14" s="910"/>
    </row>
    <row r="15" spans="1:23" ht="3" customHeight="1">
      <c r="A15" s="911"/>
      <c r="B15" s="912"/>
      <c r="C15" s="904"/>
      <c r="D15" s="904"/>
      <c r="E15" s="904"/>
      <c r="F15" s="904"/>
      <c r="G15" s="904"/>
      <c r="H15" s="904"/>
      <c r="I15" s="904"/>
      <c r="J15" s="904"/>
      <c r="K15" s="904"/>
      <c r="L15" s="904"/>
      <c r="M15" s="904"/>
      <c r="N15" s="905">
        <f>O$12*L15</f>
        <v>0</v>
      </c>
      <c r="O15" s="905"/>
      <c r="P15" s="906"/>
      <c r="Q15" s="910"/>
    </row>
    <row r="16" spans="1:23" ht="13.5" customHeight="1">
      <c r="A16" s="3426" t="s">
        <v>827</v>
      </c>
      <c r="B16" s="896" t="s">
        <v>2164</v>
      </c>
      <c r="C16" s="904">
        <f t="shared" ref="C16:J18" si="3">C37/100</f>
        <v>0.55000000000000004</v>
      </c>
      <c r="D16" s="904">
        <f t="shared" si="3"/>
        <v>0.52</v>
      </c>
      <c r="E16" s="904">
        <f t="shared" si="3"/>
        <v>0.45</v>
      </c>
      <c r="F16" s="904">
        <f t="shared" si="3"/>
        <v>0.5</v>
      </c>
      <c r="G16" s="904">
        <f t="shared" si="3"/>
        <v>0.41</v>
      </c>
      <c r="H16" s="904">
        <f t="shared" si="3"/>
        <v>0.35</v>
      </c>
      <c r="I16" s="904">
        <f t="shared" si="3"/>
        <v>0.39</v>
      </c>
      <c r="J16" s="904">
        <f t="shared" si="3"/>
        <v>0.38596491228070173</v>
      </c>
      <c r="K16" s="904">
        <f>P16/Q16</f>
        <v>0.125</v>
      </c>
      <c r="L16" s="904">
        <v>0.3</v>
      </c>
      <c r="M16" s="904">
        <v>0.3</v>
      </c>
      <c r="N16" s="905">
        <f>O$16*L16</f>
        <v>3.5999999999999996</v>
      </c>
      <c r="O16" s="905">
        <v>12</v>
      </c>
      <c r="P16" s="906">
        <v>1</v>
      </c>
      <c r="Q16" s="910">
        <v>8</v>
      </c>
    </row>
    <row r="17" spans="1:17" ht="13.5" customHeight="1">
      <c r="A17" s="3427"/>
      <c r="B17" s="896" t="s">
        <v>752</v>
      </c>
      <c r="C17" s="904">
        <f t="shared" si="3"/>
        <v>0.45</v>
      </c>
      <c r="D17" s="904">
        <f t="shared" si="3"/>
        <v>0.65</v>
      </c>
      <c r="E17" s="904">
        <f t="shared" si="3"/>
        <v>0.73</v>
      </c>
      <c r="F17" s="904">
        <f t="shared" si="3"/>
        <v>0.75</v>
      </c>
      <c r="G17" s="904">
        <f t="shared" si="3"/>
        <v>0.7</v>
      </c>
      <c r="H17" s="904">
        <f t="shared" si="3"/>
        <v>0.69</v>
      </c>
      <c r="I17" s="904">
        <f t="shared" si="3"/>
        <v>0.79</v>
      </c>
      <c r="J17" s="904">
        <f t="shared" si="3"/>
        <v>0.80701754385964908</v>
      </c>
      <c r="K17" s="904">
        <f>P17/Q16</f>
        <v>1</v>
      </c>
      <c r="L17" s="904">
        <f>0.5+0.42</f>
        <v>0.91999999999999993</v>
      </c>
      <c r="M17" s="904">
        <v>0.73</v>
      </c>
      <c r="N17" s="905">
        <f>O$16*L17</f>
        <v>11.04</v>
      </c>
      <c r="O17" s="905"/>
      <c r="P17" s="906">
        <v>8</v>
      </c>
      <c r="Q17" s="910"/>
    </row>
    <row r="18" spans="1:17" ht="13.5" customHeight="1">
      <c r="A18" s="3428"/>
      <c r="B18" s="908" t="s">
        <v>2168</v>
      </c>
      <c r="C18" s="904">
        <f t="shared" si="3"/>
        <v>0.27</v>
      </c>
      <c r="D18" s="904">
        <f t="shared" si="3"/>
        <v>0.3</v>
      </c>
      <c r="E18" s="904">
        <f t="shared" si="3"/>
        <v>0.27</v>
      </c>
      <c r="F18" s="904">
        <f t="shared" si="3"/>
        <v>0.3</v>
      </c>
      <c r="G18" s="904">
        <f t="shared" si="3"/>
        <v>0.33</v>
      </c>
      <c r="H18" s="904">
        <f t="shared" si="3"/>
        <v>0.27</v>
      </c>
      <c r="I18" s="904">
        <f t="shared" si="3"/>
        <v>0.31</v>
      </c>
      <c r="J18" s="904">
        <f t="shared" si="3"/>
        <v>0.2807017543859649</v>
      </c>
      <c r="K18" s="904">
        <f>P18/Q16</f>
        <v>0.125</v>
      </c>
      <c r="L18" s="904">
        <v>0.17</v>
      </c>
      <c r="M18" s="904">
        <v>0.18</v>
      </c>
      <c r="N18" s="905">
        <f t="shared" ref="N18:N24" si="4">O$16*L18</f>
        <v>2.04</v>
      </c>
      <c r="O18" s="905"/>
      <c r="P18" s="909">
        <v>1</v>
      </c>
      <c r="Q18" s="910"/>
    </row>
    <row r="19" spans="1:17" s="917" customFormat="1" ht="3.75" customHeight="1">
      <c r="A19" s="914"/>
      <c r="B19" s="915"/>
      <c r="C19" s="915"/>
      <c r="D19" s="915"/>
      <c r="E19" s="915"/>
      <c r="F19" s="915"/>
      <c r="G19" s="915"/>
      <c r="H19" s="915"/>
      <c r="I19" s="915"/>
      <c r="J19" s="916"/>
      <c r="K19" s="904"/>
      <c r="L19" s="904"/>
      <c r="M19" s="904"/>
      <c r="N19" s="905">
        <f t="shared" si="4"/>
        <v>0</v>
      </c>
      <c r="O19" s="905"/>
      <c r="P19" s="909"/>
      <c r="Q19" s="910"/>
    </row>
    <row r="20" spans="1:17" ht="13.5" customHeight="1">
      <c r="A20" s="3417" t="s">
        <v>101</v>
      </c>
      <c r="B20" s="896" t="s">
        <v>2164</v>
      </c>
      <c r="J20" s="897"/>
      <c r="K20" s="904">
        <f>P20/Q20</f>
        <v>7.1428571428571425E-2</v>
      </c>
      <c r="L20" s="904">
        <v>0.06</v>
      </c>
      <c r="M20" s="904">
        <v>7.0000000000000007E-2</v>
      </c>
      <c r="N20" s="905">
        <f>O$20*L20</f>
        <v>2.1</v>
      </c>
      <c r="O20" s="905">
        <v>35</v>
      </c>
      <c r="P20" s="906">
        <v>4</v>
      </c>
      <c r="Q20" s="910">
        <v>56</v>
      </c>
    </row>
    <row r="21" spans="1:17" ht="13.5" customHeight="1">
      <c r="A21" s="3418"/>
      <c r="B21" s="896" t="s">
        <v>752</v>
      </c>
      <c r="J21" s="897"/>
      <c r="K21" s="904">
        <f>P21/Q20</f>
        <v>0.75</v>
      </c>
      <c r="L21" s="904">
        <f>0.49+0.13</f>
        <v>0.62</v>
      </c>
      <c r="M21" s="904">
        <v>0.48</v>
      </c>
      <c r="N21" s="905">
        <f>O$20*L21</f>
        <v>21.7</v>
      </c>
      <c r="O21" s="905"/>
      <c r="P21" s="906">
        <v>42</v>
      </c>
      <c r="Q21" s="910"/>
    </row>
    <row r="22" spans="1:17" ht="13.5" customHeight="1">
      <c r="A22" s="3418"/>
      <c r="B22" s="908" t="s">
        <v>2166</v>
      </c>
      <c r="C22" s="908"/>
      <c r="D22" s="908"/>
      <c r="E22" s="908"/>
      <c r="F22" s="908"/>
      <c r="G22" s="908"/>
      <c r="H22" s="908"/>
      <c r="I22" s="908"/>
      <c r="J22" s="918"/>
      <c r="K22" s="904">
        <f>P22/Q20</f>
        <v>0</v>
      </c>
      <c r="L22" s="904">
        <v>0</v>
      </c>
      <c r="M22" s="904">
        <v>0</v>
      </c>
      <c r="N22" s="905">
        <f>O$20*L22</f>
        <v>0</v>
      </c>
      <c r="O22" s="905"/>
      <c r="P22" s="909">
        <v>0</v>
      </c>
      <c r="Q22" s="910"/>
    </row>
    <row r="23" spans="1:17" ht="4.5" customHeight="1">
      <c r="A23" s="871"/>
      <c r="B23" s="871"/>
      <c r="C23" s="871"/>
      <c r="D23" s="871"/>
      <c r="E23" s="871"/>
      <c r="F23" s="871"/>
      <c r="G23" s="871"/>
      <c r="H23" s="871"/>
      <c r="I23" s="871"/>
      <c r="J23" s="871"/>
      <c r="K23" s="871"/>
      <c r="L23" s="871"/>
      <c r="M23" s="871"/>
      <c r="N23" s="905">
        <f t="shared" si="4"/>
        <v>0</v>
      </c>
      <c r="O23" s="848"/>
    </row>
    <row r="24" spans="1:17" ht="0.75" customHeight="1">
      <c r="N24" s="905">
        <f t="shared" si="4"/>
        <v>0</v>
      </c>
    </row>
    <row r="25" spans="1:17">
      <c r="A25" s="919" t="s">
        <v>2169</v>
      </c>
    </row>
    <row r="26" spans="1:17">
      <c r="A26" s="2635" t="s">
        <v>2742</v>
      </c>
    </row>
    <row r="27" spans="1:17">
      <c r="A27" s="919"/>
    </row>
    <row r="28" spans="1:17">
      <c r="A28" s="919"/>
    </row>
    <row r="29" spans="1:17">
      <c r="A29" s="919"/>
      <c r="C29" s="896">
        <v>73</v>
      </c>
      <c r="D29" s="896">
        <v>70</v>
      </c>
      <c r="E29" s="896">
        <v>68</v>
      </c>
      <c r="F29" s="896">
        <v>62</v>
      </c>
      <c r="G29" s="896">
        <v>66</v>
      </c>
      <c r="H29" s="896">
        <v>64</v>
      </c>
      <c r="I29" s="896">
        <v>60</v>
      </c>
      <c r="J29" s="897">
        <v>54.248366013071902</v>
      </c>
    </row>
    <row r="30" spans="1:17">
      <c r="A30" s="919"/>
      <c r="C30" s="896">
        <v>68</v>
      </c>
      <c r="D30" s="896">
        <v>71</v>
      </c>
      <c r="E30" s="896">
        <v>70</v>
      </c>
      <c r="F30" s="896">
        <v>73</v>
      </c>
      <c r="G30" s="896">
        <v>81</v>
      </c>
      <c r="H30" s="896">
        <v>83</v>
      </c>
      <c r="I30" s="896">
        <v>81</v>
      </c>
      <c r="J30" s="897">
        <v>80.06535947712419</v>
      </c>
    </row>
    <row r="31" spans="1:17">
      <c r="C31" s="908">
        <v>49</v>
      </c>
      <c r="D31" s="908">
        <v>48</v>
      </c>
      <c r="E31" s="908">
        <v>44</v>
      </c>
      <c r="F31" s="908">
        <v>45</v>
      </c>
      <c r="G31" s="908">
        <v>51</v>
      </c>
      <c r="H31" s="908">
        <v>48</v>
      </c>
      <c r="I31" s="908">
        <v>43</v>
      </c>
      <c r="J31" s="918">
        <v>33.986928104575163</v>
      </c>
    </row>
    <row r="32" spans="1:17">
      <c r="J32" s="897">
        <v>0</v>
      </c>
    </row>
    <row r="33" spans="2:16">
      <c r="C33" s="896">
        <v>18</v>
      </c>
      <c r="D33" s="896">
        <v>14</v>
      </c>
      <c r="E33" s="896">
        <v>14</v>
      </c>
      <c r="F33" s="896">
        <v>15</v>
      </c>
      <c r="G33" s="896">
        <v>16</v>
      </c>
      <c r="H33" s="896">
        <v>17</v>
      </c>
      <c r="I33" s="896">
        <v>18</v>
      </c>
      <c r="J33" s="897">
        <v>13.953488372093023</v>
      </c>
    </row>
    <row r="34" spans="2:16">
      <c r="C34" s="896">
        <v>59</v>
      </c>
      <c r="D34" s="896">
        <v>53</v>
      </c>
      <c r="E34" s="896">
        <v>56</v>
      </c>
      <c r="F34" s="896">
        <v>61</v>
      </c>
      <c r="G34" s="896">
        <v>66</v>
      </c>
      <c r="H34" s="896">
        <v>67</v>
      </c>
      <c r="I34" s="896">
        <v>64</v>
      </c>
      <c r="J34" s="897">
        <v>72.48062015503875</v>
      </c>
    </row>
    <row r="35" spans="2:16">
      <c r="C35" s="908">
        <v>21</v>
      </c>
      <c r="D35" s="908">
        <v>15</v>
      </c>
      <c r="E35" s="908">
        <v>15</v>
      </c>
      <c r="F35" s="908">
        <v>16</v>
      </c>
      <c r="G35" s="908">
        <v>15</v>
      </c>
      <c r="H35" s="908">
        <v>16</v>
      </c>
      <c r="I35" s="908">
        <v>16</v>
      </c>
      <c r="J35" s="918">
        <v>17.441860465116278</v>
      </c>
    </row>
    <row r="36" spans="2:16">
      <c r="J36" s="897">
        <v>0</v>
      </c>
    </row>
    <row r="37" spans="2:16">
      <c r="C37" s="896">
        <v>55</v>
      </c>
      <c r="D37" s="896">
        <v>52</v>
      </c>
      <c r="E37" s="896">
        <v>45</v>
      </c>
      <c r="F37" s="896">
        <v>50</v>
      </c>
      <c r="G37" s="896">
        <v>41</v>
      </c>
      <c r="H37" s="896">
        <v>35</v>
      </c>
      <c r="I37" s="896">
        <v>39</v>
      </c>
      <c r="J37" s="897">
        <v>38.596491228070171</v>
      </c>
    </row>
    <row r="38" spans="2:16">
      <c r="C38" s="896">
        <v>45</v>
      </c>
      <c r="D38" s="896">
        <v>65</v>
      </c>
      <c r="E38" s="896">
        <v>73</v>
      </c>
      <c r="F38" s="896">
        <v>75</v>
      </c>
      <c r="G38" s="896">
        <v>70</v>
      </c>
      <c r="H38" s="896">
        <v>69</v>
      </c>
      <c r="I38" s="896">
        <v>79</v>
      </c>
      <c r="J38" s="897">
        <v>80.701754385964904</v>
      </c>
    </row>
    <row r="39" spans="2:16">
      <c r="C39" s="908">
        <v>27</v>
      </c>
      <c r="D39" s="908">
        <v>30</v>
      </c>
      <c r="E39" s="908">
        <v>27</v>
      </c>
      <c r="F39" s="908">
        <v>30</v>
      </c>
      <c r="G39" s="908">
        <v>33</v>
      </c>
      <c r="H39" s="908">
        <v>27</v>
      </c>
      <c r="I39" s="908">
        <v>31</v>
      </c>
      <c r="J39" s="918">
        <v>28.07017543859649</v>
      </c>
    </row>
    <row r="42" spans="2:16">
      <c r="B42" s="896">
        <f>90+77+37+18+3</f>
        <v>225</v>
      </c>
      <c r="C42" s="896">
        <f>40+18+49+37+19</f>
        <v>163</v>
      </c>
    </row>
    <row r="43" spans="2:16">
      <c r="B43" s="896">
        <f>339+269+11</f>
        <v>619</v>
      </c>
      <c r="C43" s="896">
        <f>355+198+62</f>
        <v>615</v>
      </c>
      <c r="J43" s="896">
        <v>2010</v>
      </c>
    </row>
    <row r="44" spans="2:16">
      <c r="B44" s="896">
        <f>+B42/B43</f>
        <v>0.36348949919224555</v>
      </c>
      <c r="C44" s="896">
        <f>+C42/C43</f>
        <v>0.26504065040650404</v>
      </c>
      <c r="I44" s="896" t="s">
        <v>16</v>
      </c>
      <c r="J44" s="896" t="s">
        <v>2170</v>
      </c>
      <c r="K44" s="896" t="s">
        <v>752</v>
      </c>
      <c r="P44" s="896" t="s">
        <v>753</v>
      </c>
    </row>
    <row r="45" spans="2:16">
      <c r="H45" s="896" t="s">
        <v>698</v>
      </c>
      <c r="I45" s="896">
        <v>306</v>
      </c>
      <c r="J45" s="896">
        <v>166</v>
      </c>
      <c r="K45" s="896">
        <v>245</v>
      </c>
      <c r="P45" s="896">
        <v>104</v>
      </c>
    </row>
    <row r="46" spans="2:16">
      <c r="H46" s="896" t="s">
        <v>699</v>
      </c>
      <c r="I46" s="896">
        <v>258</v>
      </c>
      <c r="J46" s="896">
        <v>36</v>
      </c>
      <c r="K46" s="896">
        <v>187</v>
      </c>
      <c r="P46" s="896">
        <v>45</v>
      </c>
    </row>
    <row r="47" spans="2:16">
      <c r="H47" s="896" t="s">
        <v>827</v>
      </c>
      <c r="I47" s="896">
        <v>57</v>
      </c>
      <c r="J47" s="896">
        <v>22</v>
      </c>
      <c r="K47" s="896">
        <v>46</v>
      </c>
      <c r="P47" s="896">
        <v>16</v>
      </c>
    </row>
    <row r="49" spans="8:16">
      <c r="I49" s="896">
        <f>SUM(I45:I47)</f>
        <v>621</v>
      </c>
      <c r="J49" s="896">
        <f>SUM(J45:J47)</f>
        <v>224</v>
      </c>
      <c r="K49" s="896">
        <f>SUM(K45:K47)</f>
        <v>478</v>
      </c>
      <c r="P49" s="896">
        <f>SUM(P45:P47)</f>
        <v>165</v>
      </c>
    </row>
    <row r="50" spans="8:16">
      <c r="H50" s="896" t="s">
        <v>2171</v>
      </c>
      <c r="J50" s="920">
        <f>J49/I49</f>
        <v>0.36070853462157809</v>
      </c>
      <c r="K50" s="920">
        <f>K49/I49</f>
        <v>0.76972624798711753</v>
      </c>
      <c r="L50" s="920"/>
      <c r="M50" s="920"/>
      <c r="P50" s="920">
        <f>P49/I49</f>
        <v>0.26570048309178745</v>
      </c>
    </row>
    <row r="51" spans="8:16">
      <c r="J51" s="920"/>
      <c r="K51" s="920"/>
      <c r="L51" s="920"/>
      <c r="M51" s="920"/>
      <c r="P51" s="920"/>
    </row>
    <row r="52" spans="8:16">
      <c r="H52" s="896" t="s">
        <v>2172</v>
      </c>
      <c r="J52" s="920">
        <f>J49/650</f>
        <v>0.3446153846153846</v>
      </c>
      <c r="K52" s="920">
        <f>K49/650</f>
        <v>0.73538461538461541</v>
      </c>
      <c r="L52" s="920"/>
      <c r="M52" s="920"/>
      <c r="P52" s="920">
        <f>P49/650</f>
        <v>0.25384615384615383</v>
      </c>
    </row>
    <row r="65" spans="3:3">
      <c r="C65" s="3375">
        <f>578/650</f>
        <v>0.88923076923076927</v>
      </c>
    </row>
    <row r="66" spans="3:3">
      <c r="C66" s="896">
        <f>365+202+11</f>
        <v>578</v>
      </c>
    </row>
  </sheetData>
  <mergeCells count="6">
    <mergeCell ref="A20:A22"/>
    <mergeCell ref="A5:L5"/>
    <mergeCell ref="P6:Q6"/>
    <mergeCell ref="A8:A10"/>
    <mergeCell ref="A12:A14"/>
    <mergeCell ref="A16:A18"/>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dimension ref="A3:AD83"/>
  <sheetViews>
    <sheetView showGridLines="0" topLeftCell="Q4" zoomScale="70" zoomScaleNormal="70" workbookViewId="0">
      <selection activeCell="Y39" sqref="Y39"/>
    </sheetView>
  </sheetViews>
  <sheetFormatPr baseColWidth="10" defaultColWidth="9" defaultRowHeight="13"/>
  <cols>
    <col min="1" max="1" width="2.3984375" customWidth="1"/>
    <col min="2" max="2" width="7.3984375" customWidth="1"/>
    <col min="3" max="3" width="4.796875" customWidth="1"/>
    <col min="11" max="11" width="2" customWidth="1"/>
    <col min="39" max="39" width="8.796875" customWidth="1"/>
  </cols>
  <sheetData>
    <row r="3" spans="1:13">
      <c r="M3" s="548" t="s">
        <v>2133</v>
      </c>
    </row>
    <row r="4" spans="1:13" ht="15" customHeight="1">
      <c r="A4" s="846" t="s">
        <v>1969</v>
      </c>
      <c r="B4" s="847" t="s">
        <v>2070</v>
      </c>
      <c r="C4" s="846"/>
      <c r="D4" s="846"/>
      <c r="E4" s="846"/>
      <c r="F4" s="846"/>
      <c r="G4" s="846"/>
      <c r="H4" s="846"/>
      <c r="I4" s="846"/>
      <c r="J4" s="846"/>
      <c r="K4" s="846"/>
      <c r="L4" s="846" t="s">
        <v>1969</v>
      </c>
    </row>
    <row r="5" spans="1:13" ht="10" customHeight="1"/>
    <row r="6" spans="1:13" ht="10" customHeight="1"/>
    <row r="7" spans="1:13" ht="10" customHeight="1" thickBot="1"/>
    <row r="8" spans="1:13" ht="10" customHeight="1" thickTop="1" thickBot="1">
      <c r="K8" s="776"/>
      <c r="L8" s="777" t="s">
        <v>1834</v>
      </c>
    </row>
    <row r="9" spans="1:13" ht="10" customHeight="1" thickTop="1" thickBot="1">
      <c r="K9" s="778"/>
      <c r="L9" s="777" t="s">
        <v>53</v>
      </c>
    </row>
    <row r="10" spans="1:13" ht="10" customHeight="1" thickTop="1" thickBot="1">
      <c r="K10" s="779"/>
      <c r="L10" s="777" t="s">
        <v>827</v>
      </c>
    </row>
    <row r="11" spans="1:13" ht="10" customHeight="1" thickTop="1" thickBot="1">
      <c r="K11" s="780"/>
      <c r="L11" s="777" t="s">
        <v>101</v>
      </c>
    </row>
    <row r="12" spans="1:13" ht="10" customHeight="1" thickTop="1" thickBot="1">
      <c r="K12" s="781"/>
      <c r="L12" s="777" t="s">
        <v>99</v>
      </c>
    </row>
    <row r="13" spans="1:13" ht="10" customHeight="1" thickTop="1" thickBot="1">
      <c r="K13" s="782"/>
      <c r="L13" s="777" t="s">
        <v>251</v>
      </c>
    </row>
    <row r="14" spans="1:13" ht="10" customHeight="1" thickTop="1" thickBot="1">
      <c r="K14" s="783"/>
      <c r="L14" s="777" t="s">
        <v>1341</v>
      </c>
    </row>
    <row r="15" spans="1:13" ht="10" customHeight="1" thickTop="1" thickBot="1">
      <c r="K15" s="784"/>
      <c r="L15" s="777" t="s">
        <v>71</v>
      </c>
    </row>
    <row r="16" spans="1:13" ht="10" customHeight="1" thickTop="1" thickBot="1">
      <c r="K16" s="785"/>
      <c r="L16" s="777" t="s">
        <v>1966</v>
      </c>
    </row>
    <row r="17" spans="1:12" ht="10" customHeight="1" thickTop="1" thickBot="1">
      <c r="K17" s="786"/>
      <c r="L17" s="777" t="s">
        <v>27</v>
      </c>
    </row>
    <row r="18" spans="1:12" ht="10" customHeight="1" thickTop="1" thickBot="1">
      <c r="K18" s="787"/>
      <c r="L18" s="777" t="s">
        <v>1092</v>
      </c>
    </row>
    <row r="19" spans="1:12" ht="10" customHeight="1" thickTop="1" thickBot="1">
      <c r="K19" s="788"/>
      <c r="L19" s="777" t="s">
        <v>1066</v>
      </c>
    </row>
    <row r="20" spans="1:12" ht="10" customHeight="1" thickTop="1" thickBot="1">
      <c r="K20" s="789"/>
      <c r="L20" s="777" t="s">
        <v>113</v>
      </c>
    </row>
    <row r="21" spans="1:12" ht="10" customHeight="1" thickTop="1" thickBot="1">
      <c r="K21" s="790"/>
      <c r="L21" s="777" t="s">
        <v>12</v>
      </c>
    </row>
    <row r="22" spans="1:12" ht="15.75" customHeight="1" thickTop="1"/>
    <row r="23" spans="1:12" ht="15.75" customHeight="1"/>
    <row r="24" spans="1:12" ht="15.75" customHeight="1"/>
    <row r="25" spans="1:12" ht="15.75" customHeight="1"/>
    <row r="26" spans="1:12" ht="15.75" customHeight="1"/>
    <row r="27" spans="1:12" ht="15.75" customHeight="1" thickBot="1"/>
    <row r="28" spans="1:12" ht="15.75" customHeight="1" thickTop="1" thickBot="1">
      <c r="K28" s="791"/>
    </row>
    <row r="29" spans="1:12" ht="15.75" customHeight="1" thickTop="1">
      <c r="A29" s="548" t="s">
        <v>1967</v>
      </c>
      <c r="L29" s="548" t="s">
        <v>1968</v>
      </c>
    </row>
    <row r="30" spans="1:12">
      <c r="A30" s="845"/>
      <c r="B30" s="845"/>
      <c r="C30" s="845"/>
      <c r="D30" s="845"/>
      <c r="E30" s="845"/>
      <c r="F30" s="845"/>
      <c r="G30" s="845"/>
      <c r="H30" s="845"/>
      <c r="I30" s="845"/>
      <c r="J30" s="845"/>
      <c r="K30" s="845"/>
      <c r="L30" s="844"/>
    </row>
    <row r="35" spans="4:29">
      <c r="D35" s="794"/>
    </row>
    <row r="37" spans="4:29">
      <c r="M37" s="2578"/>
      <c r="N37" s="2578"/>
      <c r="O37" s="2578"/>
      <c r="P37" s="2578"/>
      <c r="Q37" s="2578"/>
      <c r="R37" s="2578"/>
      <c r="S37" s="2578"/>
      <c r="T37" s="2578"/>
      <c r="U37" s="2578"/>
      <c r="V37" s="2578"/>
      <c r="W37" s="2578"/>
      <c r="X37" s="2578"/>
      <c r="Y37" s="2578"/>
      <c r="Z37" s="2578"/>
      <c r="AA37" s="2578"/>
    </row>
    <row r="38" spans="4:29">
      <c r="M38" s="2578"/>
      <c r="N38" s="2578"/>
      <c r="O38" s="2578"/>
      <c r="P38" s="2578"/>
      <c r="Q38" s="2578"/>
      <c r="R38" s="2578"/>
      <c r="S38" s="2578"/>
      <c r="T38" s="2578"/>
      <c r="U38" s="2578"/>
      <c r="V38" s="2578"/>
      <c r="W38" s="2578"/>
      <c r="X38" s="2578"/>
      <c r="Y38" s="2578"/>
      <c r="Z38" s="2578"/>
      <c r="AA38" s="2578"/>
      <c r="AB38" s="2578"/>
      <c r="AC38" s="2578"/>
    </row>
    <row r="64" spans="5:5" ht="14">
      <c r="E64" s="795"/>
    </row>
    <row r="65" spans="5:5" ht="14">
      <c r="E65" s="795"/>
    </row>
    <row r="83" spans="29:30">
      <c r="AC83" s="2578"/>
      <c r="AD83" s="2578"/>
    </row>
  </sheetData>
  <pageMargins left="0.7" right="0.7" top="0.75" bottom="0.75" header="0.3" footer="0.3"/>
  <pageSetup paperSize="9" orientation="portrait"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4"/>
  </sheetPr>
  <dimension ref="A1:AU173"/>
  <sheetViews>
    <sheetView showGridLines="0" zoomScale="70" zoomScaleNormal="70" workbookViewId="0">
      <selection activeCell="R110" sqref="R110"/>
    </sheetView>
  </sheetViews>
  <sheetFormatPr baseColWidth="10" defaultColWidth="9.3984375" defaultRowHeight="14"/>
  <cols>
    <col min="1" max="1" width="30.19921875" style="1234" customWidth="1"/>
    <col min="2" max="2" width="1.796875" style="1227" customWidth="1"/>
    <col min="3" max="18" width="5.796875" style="1227" customWidth="1"/>
    <col min="19" max="19" width="7" style="1227" customWidth="1"/>
    <col min="20" max="21" width="9.3984375" style="1227"/>
    <col min="22" max="22" width="27.3984375" style="1227" customWidth="1"/>
    <col min="23" max="28" width="5.19921875" style="1227" customWidth="1"/>
    <col min="29" max="30" width="5.19921875" style="1228" customWidth="1"/>
    <col min="31" max="39" width="5.19921875" style="1227" customWidth="1"/>
    <col min="40" max="40" width="5.796875" style="1227" customWidth="1"/>
    <col min="41" max="42" width="9.3984375" style="1227"/>
    <col min="43" max="43" width="19.3984375" style="1227" customWidth="1"/>
    <col min="44" max="16384" width="9.3984375" style="1227"/>
  </cols>
  <sheetData>
    <row r="1" spans="1:47">
      <c r="A1" s="1234" t="s">
        <v>751</v>
      </c>
      <c r="AP1" s="1227" t="s">
        <v>751</v>
      </c>
    </row>
    <row r="3" spans="1:47">
      <c r="A3" s="1237" t="s">
        <v>2312</v>
      </c>
      <c r="V3" s="1235" t="s">
        <v>1525</v>
      </c>
      <c r="AP3" s="1235" t="s">
        <v>2312</v>
      </c>
    </row>
    <row r="5" spans="1:47">
      <c r="A5" s="1237" t="s">
        <v>13</v>
      </c>
      <c r="V5" s="1235" t="s">
        <v>13</v>
      </c>
      <c r="AP5" s="1235" t="s">
        <v>108</v>
      </c>
    </row>
    <row r="6" spans="1:47">
      <c r="I6" s="1227" t="s">
        <v>50</v>
      </c>
      <c r="J6" s="1227" t="s">
        <v>51</v>
      </c>
      <c r="V6" s="1246"/>
      <c r="W6" s="1246"/>
      <c r="X6" s="1246"/>
      <c r="Y6" s="1246"/>
      <c r="Z6" s="1246"/>
      <c r="AA6" s="1246"/>
      <c r="AB6" s="1246"/>
      <c r="AC6" s="1247" t="s">
        <v>50</v>
      </c>
      <c r="AD6" s="1247" t="s">
        <v>51</v>
      </c>
      <c r="AE6" s="1246"/>
      <c r="AF6" s="1246"/>
      <c r="AG6" s="1246"/>
      <c r="AH6" s="1246"/>
      <c r="AI6" s="1246"/>
      <c r="AJ6" s="1246"/>
      <c r="AK6" s="1246"/>
      <c r="AL6" s="1246"/>
      <c r="AM6" s="1246"/>
    </row>
    <row r="7" spans="1:47">
      <c r="C7" s="1227">
        <v>51</v>
      </c>
      <c r="D7" s="1227">
        <v>55</v>
      </c>
      <c r="E7" s="1227">
        <v>59</v>
      </c>
      <c r="F7" s="1227">
        <v>64</v>
      </c>
      <c r="G7" s="1227">
        <v>66</v>
      </c>
      <c r="H7" s="1227">
        <v>70</v>
      </c>
      <c r="I7" s="1227">
        <v>74</v>
      </c>
      <c r="J7" s="1227">
        <v>74</v>
      </c>
      <c r="K7" s="1227">
        <v>79</v>
      </c>
      <c r="L7" s="1227">
        <v>83</v>
      </c>
      <c r="M7" s="1227">
        <v>87</v>
      </c>
      <c r="N7" s="1227">
        <v>92</v>
      </c>
      <c r="O7" s="1227">
        <v>97</v>
      </c>
      <c r="P7" s="1229" t="s">
        <v>173</v>
      </c>
      <c r="Q7" s="1229" t="s">
        <v>754</v>
      </c>
      <c r="R7" s="1229" t="s">
        <v>977</v>
      </c>
      <c r="S7" s="1229" t="s">
        <v>1523</v>
      </c>
      <c r="V7" s="1246"/>
      <c r="W7" s="1246">
        <v>51</v>
      </c>
      <c r="X7" s="1246">
        <v>55</v>
      </c>
      <c r="Y7" s="1246">
        <v>59</v>
      </c>
      <c r="Z7" s="1246">
        <v>64</v>
      </c>
      <c r="AA7" s="1246">
        <v>66</v>
      </c>
      <c r="AB7" s="1246">
        <v>70</v>
      </c>
      <c r="AC7" s="1247">
        <v>74</v>
      </c>
      <c r="AD7" s="1247">
        <v>74</v>
      </c>
      <c r="AE7" s="1246">
        <v>79</v>
      </c>
      <c r="AF7" s="1246">
        <v>83</v>
      </c>
      <c r="AG7" s="1246">
        <v>87</v>
      </c>
      <c r="AH7" s="1246">
        <v>92</v>
      </c>
      <c r="AI7" s="1246">
        <v>97</v>
      </c>
      <c r="AJ7" s="1248" t="s">
        <v>173</v>
      </c>
      <c r="AK7" s="1248" t="s">
        <v>754</v>
      </c>
      <c r="AL7" s="1248" t="s">
        <v>977</v>
      </c>
      <c r="AM7" s="1248" t="s">
        <v>1523</v>
      </c>
      <c r="AN7" s="1229"/>
      <c r="AR7" s="1229" t="s">
        <v>173</v>
      </c>
      <c r="AS7" s="1229" t="s">
        <v>754</v>
      </c>
      <c r="AT7" s="1229" t="s">
        <v>977</v>
      </c>
      <c r="AU7" s="1227">
        <v>15</v>
      </c>
    </row>
    <row r="8" spans="1:47" ht="13.5" customHeight="1">
      <c r="A8" s="1230" t="s">
        <v>736</v>
      </c>
      <c r="P8" s="1229"/>
      <c r="Q8" s="1229"/>
      <c r="R8" s="1229"/>
      <c r="S8" s="1229"/>
      <c r="V8" s="1231" t="s">
        <v>736</v>
      </c>
      <c r="W8" s="1232"/>
      <c r="X8" s="1232"/>
      <c r="Y8" s="1232"/>
      <c r="Z8" s="1232"/>
      <c r="AA8" s="1232"/>
      <c r="AB8" s="1232"/>
      <c r="AC8" s="1233"/>
      <c r="AD8" s="1233"/>
      <c r="AE8" s="1232"/>
      <c r="AF8" s="1232"/>
      <c r="AG8" s="1232"/>
      <c r="AH8" s="1232"/>
      <c r="AI8" s="1232"/>
      <c r="AJ8" s="1233"/>
      <c r="AL8" s="1233"/>
      <c r="AP8" s="1231" t="s">
        <v>736</v>
      </c>
      <c r="AR8" s="1233"/>
    </row>
    <row r="9" spans="1:47" ht="13.5" customHeight="1">
      <c r="A9" s="1234" t="s">
        <v>734</v>
      </c>
      <c r="C9" s="1232">
        <f t="shared" ref="C9:C14" si="0">W9/$W$27*100</f>
        <v>19.003115264797508</v>
      </c>
      <c r="D9" s="1232">
        <f t="shared" ref="D9:D14" si="1">X9/$X$27*100</f>
        <v>19.186046511627907</v>
      </c>
      <c r="E9" s="1232">
        <f t="shared" ref="E9:E14" si="2">Y9/$Y$27*100</f>
        <v>19.726027397260275</v>
      </c>
      <c r="F9" s="1232">
        <f t="shared" ref="F9:F14" si="3">Z9/$Z$27*100</f>
        <v>21.381578947368421</v>
      </c>
      <c r="G9" s="1232">
        <f t="shared" ref="G9:G14" si="4">AA9/$AA$27*100</f>
        <v>21.739130434782609</v>
      </c>
      <c r="H9" s="1232">
        <f t="shared" ref="H9:H14" si="5">AB9/$AB$27*100</f>
        <v>18.181818181818183</v>
      </c>
      <c r="I9" s="1232">
        <f t="shared" ref="I9:I14" si="6">AC9/$AC$27*100</f>
        <v>19.865319865319865</v>
      </c>
      <c r="J9" s="1232">
        <f t="shared" ref="J9:J14" si="7">AD9/$AD$27*100</f>
        <v>19.855595667870034</v>
      </c>
      <c r="K9" s="1232">
        <f t="shared" ref="K9:K14" si="8">AE9/$AE$27*100</f>
        <v>15.044247787610621</v>
      </c>
      <c r="L9" s="1232">
        <f t="shared" ref="L9:L14" si="9">AF9/$AF$27*100</f>
        <v>14.105793450881613</v>
      </c>
      <c r="M9" s="1232">
        <f t="shared" ref="M9:M14" si="10">AG9/$AG$27*100</f>
        <v>11.436170212765957</v>
      </c>
      <c r="N9" s="1232">
        <f t="shared" ref="N9:N14" si="11">AH9/$AH$27*100</f>
        <v>11.607142857142858</v>
      </c>
      <c r="O9" s="1232">
        <f t="shared" ref="O9:O14" si="12">AI9/$AI$27*100</f>
        <v>12.121212121212121</v>
      </c>
      <c r="P9" s="1232">
        <f t="shared" ref="P9:P14" si="13">AJ9/$AJ$27*100</f>
        <v>10.843373493975903</v>
      </c>
      <c r="Q9" s="1232">
        <f t="shared" ref="Q9:Q14" si="14">AK9/$AK$27*100</f>
        <v>11.111111111111111</v>
      </c>
      <c r="R9" s="1232">
        <f t="shared" ref="R9:R14" si="15">AL9/$AL$27*100</f>
        <v>8.8235294117647065</v>
      </c>
      <c r="S9" s="1232">
        <f t="shared" ref="S9:S14" si="16">AM9/$AM$27*100</f>
        <v>8.4848484848484862</v>
      </c>
      <c r="V9" s="1227" t="s">
        <v>734</v>
      </c>
      <c r="W9" s="1232">
        <v>61</v>
      </c>
      <c r="X9" s="1232">
        <v>66</v>
      </c>
      <c r="Y9" s="1232">
        <v>72</v>
      </c>
      <c r="Z9" s="1232">
        <v>65</v>
      </c>
      <c r="AA9" s="1232">
        <v>55</v>
      </c>
      <c r="AB9" s="1232">
        <v>60</v>
      </c>
      <c r="AC9" s="1233">
        <v>59</v>
      </c>
      <c r="AD9" s="1233">
        <v>55</v>
      </c>
      <c r="AE9" s="1232">
        <v>51</v>
      </c>
      <c r="AF9" s="1232">
        <v>56</v>
      </c>
      <c r="AG9" s="1232">
        <v>43</v>
      </c>
      <c r="AH9" s="1232">
        <v>39</v>
      </c>
      <c r="AI9" s="1227">
        <v>20</v>
      </c>
      <c r="AJ9" s="1232">
        <v>18</v>
      </c>
      <c r="AK9" s="1227">
        <v>22</v>
      </c>
      <c r="AL9" s="1232">
        <v>27</v>
      </c>
      <c r="AM9" s="1232">
        <v>28</v>
      </c>
      <c r="AN9" s="1232"/>
      <c r="AP9" s="1227" t="s">
        <v>734</v>
      </c>
      <c r="AR9" s="1232">
        <f t="shared" ref="AR9:AU14" si="17">AJ9+AJ35+AJ61</f>
        <v>33</v>
      </c>
      <c r="AS9" s="1232">
        <f t="shared" si="17"/>
        <v>34</v>
      </c>
      <c r="AT9" s="1232">
        <f t="shared" si="17"/>
        <v>38</v>
      </c>
      <c r="AU9" s="1232">
        <f t="shared" si="17"/>
        <v>37</v>
      </c>
    </row>
    <row r="10" spans="1:47" ht="13.5" customHeight="1">
      <c r="A10" s="1234" t="s">
        <v>735</v>
      </c>
      <c r="C10" s="1232">
        <f t="shared" si="0"/>
        <v>3.4267912772585665</v>
      </c>
      <c r="D10" s="1232">
        <f t="shared" si="1"/>
        <v>3.1976744186046515</v>
      </c>
      <c r="E10" s="1232">
        <f t="shared" si="2"/>
        <v>3.8356164383561646</v>
      </c>
      <c r="F10" s="1232">
        <f t="shared" si="3"/>
        <v>4.6052631578947363</v>
      </c>
      <c r="G10" s="1232">
        <f t="shared" si="4"/>
        <v>5.928853754940711</v>
      </c>
      <c r="H10" s="1232">
        <f t="shared" si="5"/>
        <v>4.2424242424242431</v>
      </c>
      <c r="I10" s="1232">
        <f t="shared" si="6"/>
        <v>4.3771043771043772</v>
      </c>
      <c r="J10" s="1232">
        <f t="shared" si="7"/>
        <v>4.3321299638989164</v>
      </c>
      <c r="K10" s="1232">
        <f t="shared" si="8"/>
        <v>5.6047197640117989</v>
      </c>
      <c r="L10" s="1232">
        <f t="shared" si="9"/>
        <v>6.5491183879093198</v>
      </c>
      <c r="M10" s="1232">
        <f t="shared" si="10"/>
        <v>5.5851063829787231</v>
      </c>
      <c r="N10" s="1232">
        <f t="shared" si="11"/>
        <v>6.25</v>
      </c>
      <c r="O10" s="1232">
        <f t="shared" si="12"/>
        <v>5.4545454545454541</v>
      </c>
      <c r="P10" s="1232">
        <f t="shared" si="13"/>
        <v>7.8313253012048198</v>
      </c>
      <c r="Q10" s="1232">
        <f t="shared" si="14"/>
        <v>9.0909090909090917</v>
      </c>
      <c r="R10" s="1232">
        <f t="shared" si="15"/>
        <v>9.477124183006536</v>
      </c>
      <c r="S10" s="1232">
        <f t="shared" si="16"/>
        <v>8.4848484848484862</v>
      </c>
      <c r="V10" s="1227" t="s">
        <v>735</v>
      </c>
      <c r="W10" s="1232">
        <v>11</v>
      </c>
      <c r="X10" s="1232">
        <v>11</v>
      </c>
      <c r="Y10" s="1232">
        <v>14</v>
      </c>
      <c r="Z10" s="1232">
        <v>14</v>
      </c>
      <c r="AA10" s="1232">
        <v>15</v>
      </c>
      <c r="AB10" s="1232">
        <v>14</v>
      </c>
      <c r="AC10" s="1233">
        <v>13</v>
      </c>
      <c r="AD10" s="1233">
        <v>12</v>
      </c>
      <c r="AE10" s="1232">
        <v>19</v>
      </c>
      <c r="AF10" s="1232">
        <v>26</v>
      </c>
      <c r="AG10" s="1232">
        <v>21</v>
      </c>
      <c r="AH10" s="1232">
        <v>21</v>
      </c>
      <c r="AI10" s="1227">
        <v>9</v>
      </c>
      <c r="AJ10" s="1232">
        <v>13</v>
      </c>
      <c r="AK10" s="1227">
        <v>18</v>
      </c>
      <c r="AL10" s="1232">
        <v>29</v>
      </c>
      <c r="AM10" s="1232">
        <v>28</v>
      </c>
      <c r="AN10" s="1232"/>
      <c r="AP10" s="1227" t="s">
        <v>735</v>
      </c>
      <c r="AR10" s="1232">
        <f t="shared" si="17"/>
        <v>35</v>
      </c>
      <c r="AS10" s="1232">
        <f t="shared" si="17"/>
        <v>38</v>
      </c>
      <c r="AT10" s="1232">
        <f t="shared" si="17"/>
        <v>48</v>
      </c>
      <c r="AU10" s="1232">
        <f t="shared" si="17"/>
        <v>47</v>
      </c>
    </row>
    <row r="11" spans="1:47" ht="13.5" customHeight="1">
      <c r="A11" s="1234" t="s">
        <v>737</v>
      </c>
      <c r="C11" s="1232">
        <f t="shared" si="0"/>
        <v>2.8037383177570092</v>
      </c>
      <c r="D11" s="1232">
        <f t="shared" si="1"/>
        <v>3.4883720930232558</v>
      </c>
      <c r="E11" s="1232">
        <f t="shared" si="2"/>
        <v>3.8356164383561646</v>
      </c>
      <c r="F11" s="1232">
        <f t="shared" si="3"/>
        <v>5.9210526315789469</v>
      </c>
      <c r="G11" s="1232">
        <f t="shared" si="4"/>
        <v>5.1383399209486171</v>
      </c>
      <c r="H11" s="1232">
        <f t="shared" si="5"/>
        <v>3.6363636363636362</v>
      </c>
      <c r="I11" s="1232">
        <f t="shared" si="6"/>
        <v>2.6936026936026933</v>
      </c>
      <c r="J11" s="1232">
        <f t="shared" si="7"/>
        <v>2.5270758122743682</v>
      </c>
      <c r="K11" s="1232">
        <f t="shared" si="8"/>
        <v>4.1297935103244834</v>
      </c>
      <c r="L11" s="1232">
        <f t="shared" si="9"/>
        <v>4.0302267002518892</v>
      </c>
      <c r="M11" s="1232">
        <f t="shared" si="10"/>
        <v>3.4574468085106385</v>
      </c>
      <c r="N11" s="1232">
        <f t="shared" si="11"/>
        <v>0.89285714285714279</v>
      </c>
      <c r="O11" s="1232">
        <f t="shared" si="12"/>
        <v>3.0303030303030303</v>
      </c>
      <c r="P11" s="1232">
        <f t="shared" si="13"/>
        <v>1.2048192771084338</v>
      </c>
      <c r="Q11" s="1232">
        <f t="shared" si="14"/>
        <v>1.5151515151515151</v>
      </c>
      <c r="R11" s="1232">
        <f t="shared" si="15"/>
        <v>0.65359477124183007</v>
      </c>
      <c r="S11" s="1232">
        <f t="shared" si="16"/>
        <v>0.60606060606060608</v>
      </c>
      <c r="V11" s="1227" t="s">
        <v>1287</v>
      </c>
      <c r="W11" s="1232">
        <v>9</v>
      </c>
      <c r="X11" s="1232">
        <v>12</v>
      </c>
      <c r="Y11" s="1232">
        <v>14</v>
      </c>
      <c r="Z11" s="1232">
        <v>18</v>
      </c>
      <c r="AA11" s="1232">
        <v>13</v>
      </c>
      <c r="AB11" s="1232">
        <v>12</v>
      </c>
      <c r="AC11" s="1233">
        <v>8</v>
      </c>
      <c r="AD11" s="1233">
        <v>7</v>
      </c>
      <c r="AE11" s="1232">
        <v>14</v>
      </c>
      <c r="AF11" s="1232">
        <v>16</v>
      </c>
      <c r="AG11" s="1232">
        <v>13</v>
      </c>
      <c r="AH11" s="1232">
        <v>3</v>
      </c>
      <c r="AI11" s="1227">
        <v>5</v>
      </c>
      <c r="AJ11" s="1232">
        <v>2</v>
      </c>
      <c r="AK11" s="1227">
        <v>3</v>
      </c>
      <c r="AL11" s="1232">
        <v>2</v>
      </c>
      <c r="AM11" s="1232">
        <v>2</v>
      </c>
      <c r="AN11" s="1232"/>
      <c r="AP11" s="1227" t="s">
        <v>737</v>
      </c>
      <c r="AR11" s="1232">
        <f t="shared" si="17"/>
        <v>35</v>
      </c>
      <c r="AS11" s="1232">
        <f t="shared" si="17"/>
        <v>28</v>
      </c>
      <c r="AT11" s="1232">
        <f t="shared" si="17"/>
        <v>18</v>
      </c>
      <c r="AU11" s="1232">
        <f t="shared" si="17"/>
        <v>14</v>
      </c>
    </row>
    <row r="12" spans="1:47" ht="13.5" customHeight="1">
      <c r="A12" s="1234" t="s">
        <v>738</v>
      </c>
      <c r="C12" s="1232">
        <f t="shared" si="0"/>
        <v>1.557632398753894</v>
      </c>
      <c r="D12" s="1232">
        <f t="shared" si="1"/>
        <v>1.1627906976744187</v>
      </c>
      <c r="E12" s="1232">
        <f t="shared" si="2"/>
        <v>1.3698630136986301</v>
      </c>
      <c r="F12" s="1232">
        <f t="shared" si="3"/>
        <v>1.6447368421052631</v>
      </c>
      <c r="G12" s="1232">
        <f t="shared" si="4"/>
        <v>1.5810276679841897</v>
      </c>
      <c r="H12" s="1232">
        <f t="shared" si="5"/>
        <v>2.7272727272727271</v>
      </c>
      <c r="I12" s="1232">
        <f t="shared" si="6"/>
        <v>3.3670033670033668</v>
      </c>
      <c r="J12" s="1232">
        <f t="shared" si="7"/>
        <v>4.3321299638989164</v>
      </c>
      <c r="K12" s="1232">
        <f t="shared" si="8"/>
        <v>5.3097345132743365</v>
      </c>
      <c r="L12" s="1232">
        <f t="shared" si="9"/>
        <v>5.037783375314862</v>
      </c>
      <c r="M12" s="1232">
        <f t="shared" si="10"/>
        <v>6.6489361702127656</v>
      </c>
      <c r="N12" s="1232">
        <f t="shared" si="11"/>
        <v>6.5476190476190483</v>
      </c>
      <c r="O12" s="1232">
        <f t="shared" si="12"/>
        <v>4.8484848484848486</v>
      </c>
      <c r="P12" s="1232">
        <f t="shared" si="13"/>
        <v>4.2168674698795181</v>
      </c>
      <c r="Q12" s="1232">
        <f t="shared" si="14"/>
        <v>3.0303030303030303</v>
      </c>
      <c r="R12" s="1232">
        <f t="shared" si="15"/>
        <v>1.3071895424836601</v>
      </c>
      <c r="S12" s="1232">
        <f t="shared" si="16"/>
        <v>1.8181818181818181</v>
      </c>
      <c r="V12" s="1227" t="s">
        <v>738</v>
      </c>
      <c r="W12" s="1232">
        <v>5</v>
      </c>
      <c r="X12" s="1232">
        <v>4</v>
      </c>
      <c r="Y12" s="1232">
        <v>5</v>
      </c>
      <c r="Z12" s="1232">
        <v>5</v>
      </c>
      <c r="AA12" s="1232">
        <v>4</v>
      </c>
      <c r="AB12" s="1232">
        <v>9</v>
      </c>
      <c r="AC12" s="1233">
        <v>10</v>
      </c>
      <c r="AD12" s="1233">
        <v>12</v>
      </c>
      <c r="AE12" s="1232">
        <v>18</v>
      </c>
      <c r="AF12" s="1232">
        <v>20</v>
      </c>
      <c r="AG12" s="1232">
        <v>25</v>
      </c>
      <c r="AH12" s="1232">
        <v>22</v>
      </c>
      <c r="AI12" s="1227">
        <v>8</v>
      </c>
      <c r="AJ12" s="1232">
        <f>1+6</f>
        <v>7</v>
      </c>
      <c r="AK12" s="1227">
        <v>6</v>
      </c>
      <c r="AL12" s="1232">
        <v>4</v>
      </c>
      <c r="AM12" s="1232">
        <v>6</v>
      </c>
      <c r="AN12" s="1232"/>
      <c r="AP12" s="1227" t="s">
        <v>738</v>
      </c>
      <c r="AR12" s="1232">
        <f t="shared" si="17"/>
        <v>117</v>
      </c>
      <c r="AS12" s="1232">
        <f t="shared" si="17"/>
        <v>91</v>
      </c>
      <c r="AT12" s="1232">
        <f t="shared" si="17"/>
        <v>49</v>
      </c>
      <c r="AU12" s="1232">
        <f t="shared" si="17"/>
        <v>27</v>
      </c>
    </row>
    <row r="13" spans="1:47" ht="13.5" customHeight="1">
      <c r="A13" s="1234" t="s">
        <v>739</v>
      </c>
      <c r="C13" s="1232">
        <f t="shared" si="0"/>
        <v>9.9688473520249214</v>
      </c>
      <c r="D13" s="1232">
        <f t="shared" si="1"/>
        <v>13.662790697674417</v>
      </c>
      <c r="E13" s="1232">
        <f t="shared" si="2"/>
        <v>10.136986301369863</v>
      </c>
      <c r="F13" s="1232">
        <f t="shared" si="3"/>
        <v>9.2105263157894726</v>
      </c>
      <c r="G13" s="1232">
        <f t="shared" si="4"/>
        <v>7.5098814229249005</v>
      </c>
      <c r="H13" s="1232">
        <f t="shared" si="5"/>
        <v>7.2727272727272725</v>
      </c>
      <c r="I13" s="1232">
        <f t="shared" si="6"/>
        <v>3.0303030303030303</v>
      </c>
      <c r="J13" s="1232">
        <f t="shared" si="7"/>
        <v>2.8880866425992782</v>
      </c>
      <c r="K13" s="1232">
        <f t="shared" si="8"/>
        <v>5.8997050147492622</v>
      </c>
      <c r="L13" s="1232">
        <f t="shared" si="9"/>
        <v>4.5340050377833752</v>
      </c>
      <c r="M13" s="1232">
        <f t="shared" si="10"/>
        <v>3.9893617021276597</v>
      </c>
      <c r="N13" s="1232">
        <f t="shared" si="11"/>
        <v>4.1666666666666661</v>
      </c>
      <c r="O13" s="1232">
        <f t="shared" si="12"/>
        <v>5.4545454545454541</v>
      </c>
      <c r="P13" s="1232">
        <f t="shared" si="13"/>
        <v>6.6265060240963862</v>
      </c>
      <c r="Q13" s="1232">
        <f t="shared" si="14"/>
        <v>6.5656565656565666</v>
      </c>
      <c r="R13" s="1232">
        <f t="shared" si="15"/>
        <v>4.9019607843137258</v>
      </c>
      <c r="S13" s="1232">
        <f t="shared" si="16"/>
        <v>3.6363636363636362</v>
      </c>
      <c r="V13" s="1234" t="s">
        <v>739</v>
      </c>
      <c r="W13" s="1232">
        <v>32</v>
      </c>
      <c r="X13" s="1232">
        <v>47</v>
      </c>
      <c r="Y13" s="1232">
        <v>37</v>
      </c>
      <c r="Z13" s="1232">
        <v>28</v>
      </c>
      <c r="AA13" s="1232">
        <v>19</v>
      </c>
      <c r="AB13" s="1232">
        <v>24</v>
      </c>
      <c r="AC13" s="1233">
        <v>9</v>
      </c>
      <c r="AD13" s="1233">
        <v>8</v>
      </c>
      <c r="AE13" s="1232">
        <v>20</v>
      </c>
      <c r="AF13" s="1232">
        <v>18</v>
      </c>
      <c r="AG13" s="1232">
        <v>15</v>
      </c>
      <c r="AH13" s="1232">
        <v>14</v>
      </c>
      <c r="AI13" s="1227">
        <v>9</v>
      </c>
      <c r="AJ13" s="1232">
        <v>11</v>
      </c>
      <c r="AK13" s="1227">
        <v>13</v>
      </c>
      <c r="AL13" s="1232">
        <v>15</v>
      </c>
      <c r="AM13" s="1232">
        <v>12</v>
      </c>
      <c r="AN13" s="1232"/>
      <c r="AP13" s="1234" t="s">
        <v>739</v>
      </c>
      <c r="AR13" s="1232">
        <f t="shared" si="17"/>
        <v>12</v>
      </c>
      <c r="AS13" s="1232">
        <f t="shared" si="17"/>
        <v>14</v>
      </c>
      <c r="AT13" s="1232">
        <f t="shared" si="17"/>
        <v>16</v>
      </c>
      <c r="AU13" s="1232">
        <f t="shared" si="17"/>
        <v>13</v>
      </c>
    </row>
    <row r="14" spans="1:47" ht="13.5" customHeight="1">
      <c r="A14" s="1234" t="s">
        <v>740</v>
      </c>
      <c r="C14" s="1232">
        <f t="shared" si="0"/>
        <v>4.361370716510903</v>
      </c>
      <c r="D14" s="1232">
        <f t="shared" si="1"/>
        <v>5.5232558139534884</v>
      </c>
      <c r="E14" s="1232">
        <f t="shared" si="2"/>
        <v>6.8493150684931505</v>
      </c>
      <c r="F14" s="1232">
        <f t="shared" si="3"/>
        <v>5.5921052631578947</v>
      </c>
      <c r="G14" s="1232">
        <f t="shared" si="4"/>
        <v>4.3478260869565215</v>
      </c>
      <c r="H14" s="1232">
        <f t="shared" si="5"/>
        <v>9.0909090909090917</v>
      </c>
      <c r="I14" s="1232">
        <f t="shared" si="6"/>
        <v>11.447811447811448</v>
      </c>
      <c r="J14" s="1232">
        <f t="shared" si="7"/>
        <v>11.913357400722022</v>
      </c>
      <c r="K14" s="1232">
        <f t="shared" si="8"/>
        <v>9.4395280235988199</v>
      </c>
      <c r="L14" s="1232">
        <f t="shared" si="9"/>
        <v>10.327455919395465</v>
      </c>
      <c r="M14" s="1232">
        <f t="shared" si="10"/>
        <v>10.372340425531915</v>
      </c>
      <c r="N14" s="1232">
        <f t="shared" si="11"/>
        <v>9.5238095238095237</v>
      </c>
      <c r="O14" s="1232">
        <f t="shared" si="12"/>
        <v>6.0606060606060606</v>
      </c>
      <c r="P14" s="1232">
        <f t="shared" si="13"/>
        <v>7.8313253012048198</v>
      </c>
      <c r="Q14" s="1232">
        <f t="shared" si="14"/>
        <v>7.0707070707070701</v>
      </c>
      <c r="R14" s="1232">
        <f t="shared" si="15"/>
        <v>9.8039215686274517</v>
      </c>
      <c r="S14" s="1232">
        <f t="shared" si="16"/>
        <v>9.3939393939393927</v>
      </c>
      <c r="V14" s="1234" t="s">
        <v>740</v>
      </c>
      <c r="W14" s="1232">
        <f>132-W13-W12-W11-W10-W9</f>
        <v>14</v>
      </c>
      <c r="X14" s="1232">
        <f>159-X9-X10-X11-X12-X13</f>
        <v>19</v>
      </c>
      <c r="Y14" s="1232">
        <f>167-Y13-Y12-Y11-Y10-Y9</f>
        <v>25</v>
      </c>
      <c r="Z14" s="1232">
        <f>147-Z9-Z10-Z11-Z12-Z13</f>
        <v>17</v>
      </c>
      <c r="AA14" s="1232">
        <f>117-AA13-AA12-AA11-AA10-AA9</f>
        <v>11</v>
      </c>
      <c r="AB14" s="1232">
        <f>149-AB9-AB10-AB11-AB12-AB13</f>
        <v>30</v>
      </c>
      <c r="AC14" s="1233">
        <f>133-AC13-AC12-AC11-AC10-AC9</f>
        <v>34</v>
      </c>
      <c r="AD14" s="1233">
        <f>127-AD13-AD12-AD11-AD10-AD9</f>
        <v>33</v>
      </c>
      <c r="AE14" s="1232">
        <f>154-AE13-AE12-AE11-AE10-AE9</f>
        <v>32</v>
      </c>
      <c r="AF14" s="1232">
        <f>177-AF13-AF12-AF11-AF10-AF9</f>
        <v>41</v>
      </c>
      <c r="AG14" s="1232">
        <f>156-AG13-AG12-AG11-AG10-AG9</f>
        <v>39</v>
      </c>
      <c r="AH14" s="1232">
        <f>131-AH9-AH10-AH11-AH12-AH13</f>
        <v>32</v>
      </c>
      <c r="AI14" s="1227">
        <f>61-AI13-AI12-AI11-AI10-AI9</f>
        <v>10</v>
      </c>
      <c r="AJ14" s="1232">
        <f>64-AJ13-AJ12-AJ11-AJ10-AJ9</f>
        <v>13</v>
      </c>
      <c r="AK14" s="1227">
        <v>14</v>
      </c>
      <c r="AL14" s="1232">
        <v>30</v>
      </c>
      <c r="AM14" s="1232">
        <f>107-(SUM(AM9:AM13))</f>
        <v>31</v>
      </c>
      <c r="AN14" s="1232"/>
      <c r="AP14" s="1234" t="s">
        <v>740</v>
      </c>
      <c r="AR14" s="1232">
        <f t="shared" si="17"/>
        <v>38</v>
      </c>
      <c r="AS14" s="1232">
        <f t="shared" si="17"/>
        <v>37</v>
      </c>
      <c r="AT14" s="1232">
        <f t="shared" si="17"/>
        <v>49</v>
      </c>
      <c r="AU14" s="1232">
        <f t="shared" si="17"/>
        <v>39</v>
      </c>
    </row>
    <row r="15" spans="1:47" ht="13.5" customHeight="1">
      <c r="A15" s="1230" t="s">
        <v>174</v>
      </c>
      <c r="C15" s="1232"/>
      <c r="D15" s="1232"/>
      <c r="E15" s="1232"/>
      <c r="F15" s="1232"/>
      <c r="G15" s="1232"/>
      <c r="H15" s="1232"/>
      <c r="I15" s="1232"/>
      <c r="J15" s="1232"/>
      <c r="K15" s="1232"/>
      <c r="L15" s="1232"/>
      <c r="M15" s="1232"/>
      <c r="N15" s="1232"/>
      <c r="O15" s="1232"/>
      <c r="P15" s="1232"/>
      <c r="Q15" s="1232"/>
      <c r="R15" s="1232"/>
      <c r="S15" s="1232"/>
      <c r="V15" s="1230" t="s">
        <v>174</v>
      </c>
      <c r="W15" s="1232"/>
      <c r="X15" s="1232"/>
      <c r="Y15" s="1232"/>
      <c r="Z15" s="1232"/>
      <c r="AA15" s="1232"/>
      <c r="AB15" s="1232"/>
      <c r="AC15" s="1233"/>
      <c r="AD15" s="1233"/>
      <c r="AE15" s="1232"/>
      <c r="AF15" s="1232"/>
      <c r="AG15" s="1232"/>
      <c r="AH15" s="1232"/>
      <c r="AI15" s="1232"/>
      <c r="AJ15" s="1232"/>
      <c r="AL15" s="1232"/>
      <c r="AM15" s="1232"/>
      <c r="AN15" s="1232"/>
      <c r="AP15" s="1230" t="s">
        <v>174</v>
      </c>
      <c r="AR15" s="1232"/>
      <c r="AS15" s="1232"/>
      <c r="AT15" s="1232"/>
      <c r="AU15" s="1232"/>
    </row>
    <row r="16" spans="1:47" ht="13.5" customHeight="1">
      <c r="A16" s="1234" t="s">
        <v>741</v>
      </c>
      <c r="C16" s="1232">
        <f>W16/$W$27*100</f>
        <v>23.676012461059191</v>
      </c>
      <c r="D16" s="1232">
        <f>X16/$X$27*100</f>
        <v>18.023255813953487</v>
      </c>
      <c r="E16" s="1232">
        <f>Y16/$Y$27*100</f>
        <v>24.109589041095891</v>
      </c>
      <c r="F16" s="1232">
        <f>Z16/$Z$27*100</f>
        <v>19.078947368421055</v>
      </c>
      <c r="G16" s="1232">
        <f>AA16/$AA$27*100</f>
        <v>20.553359683794469</v>
      </c>
      <c r="H16" s="1232">
        <f>AB16/$AB$27*100</f>
        <v>28.484848484848484</v>
      </c>
      <c r="I16" s="1232">
        <f>AC16/$AC$27*100</f>
        <v>20.875420875420875</v>
      </c>
      <c r="J16" s="1232">
        <f>AD16/$AD$27*100</f>
        <v>22.021660649819495</v>
      </c>
      <c r="K16" s="1232">
        <f>AE16/$AE$27*100</f>
        <v>17.404129793510325</v>
      </c>
      <c r="L16" s="1232">
        <f>AF16/$AF$27*100</f>
        <v>25.188916876574307</v>
      </c>
      <c r="M16" s="1232">
        <f>AG16/$AG$27*100</f>
        <v>30.319148936170215</v>
      </c>
      <c r="N16" s="1232">
        <f>AH16/$AH$27*100</f>
        <v>33.333333333333329</v>
      </c>
      <c r="O16" s="1232">
        <f>AI16/$AI$27*100</f>
        <v>32.121212121212125</v>
      </c>
      <c r="P16" s="1232">
        <f>AJ16/$AJ$27*100</f>
        <v>29.518072289156628</v>
      </c>
      <c r="Q16" s="1232">
        <f>AK16/$AK$27*100</f>
        <v>32.323232323232325</v>
      </c>
      <c r="R16" s="1232">
        <f>AL16/$AL$27*100</f>
        <v>32.679738562091501</v>
      </c>
      <c r="S16" s="1232">
        <f>AM16/$AM$27*100</f>
        <v>33.636363636363633</v>
      </c>
      <c r="V16" s="1234" t="s">
        <v>741</v>
      </c>
      <c r="W16" s="1232">
        <v>76</v>
      </c>
      <c r="X16" s="1232">
        <v>62</v>
      </c>
      <c r="Y16" s="1232">
        <v>88</v>
      </c>
      <c r="Z16" s="1232">
        <v>58</v>
      </c>
      <c r="AA16" s="1232">
        <v>52</v>
      </c>
      <c r="AB16" s="1232">
        <v>94</v>
      </c>
      <c r="AC16" s="1233">
        <v>62</v>
      </c>
      <c r="AD16" s="1233">
        <v>61</v>
      </c>
      <c r="AE16" s="1232">
        <v>59</v>
      </c>
      <c r="AF16" s="1232">
        <v>100</v>
      </c>
      <c r="AG16" s="1232">
        <f>39+75</f>
        <v>114</v>
      </c>
      <c r="AH16" s="1232">
        <v>112</v>
      </c>
      <c r="AI16" s="1232">
        <v>53</v>
      </c>
      <c r="AJ16" s="1232">
        <v>49</v>
      </c>
      <c r="AK16" s="1227">
        <v>64</v>
      </c>
      <c r="AL16" s="1232">
        <v>100</v>
      </c>
      <c r="AM16" s="1232">
        <v>111</v>
      </c>
      <c r="AN16" s="1232"/>
      <c r="AP16" s="1234" t="s">
        <v>741</v>
      </c>
      <c r="AR16" s="1232">
        <f t="shared" ref="AR16:AU17" si="18">AJ16+AJ42+AJ68</f>
        <v>77</v>
      </c>
      <c r="AS16" s="1232">
        <f t="shared" si="18"/>
        <v>87</v>
      </c>
      <c r="AT16" s="1232">
        <f t="shared" si="18"/>
        <v>115</v>
      </c>
      <c r="AU16" s="1232">
        <f t="shared" si="18"/>
        <v>127</v>
      </c>
    </row>
    <row r="17" spans="1:47" ht="13.5" customHeight="1">
      <c r="A17" s="1234" t="s">
        <v>742</v>
      </c>
      <c r="C17" s="1232">
        <f>W17/$W$27*100</f>
        <v>12.772585669781931</v>
      </c>
      <c r="D17" s="1232">
        <f>X17/$X$27*100</f>
        <v>11.337209302325581</v>
      </c>
      <c r="E17" s="1232">
        <f>Y17/$Y$27*100</f>
        <v>6.8493150684931505</v>
      </c>
      <c r="F17" s="1232">
        <f>Z17/$Z$27*100</f>
        <v>7.2368421052631584</v>
      </c>
      <c r="G17" s="1232">
        <f>AA17/$AA$27*100</f>
        <v>9.0909090909090917</v>
      </c>
      <c r="H17" s="1232">
        <f>AB17/$AB$27*100</f>
        <v>2.1212121212121215</v>
      </c>
      <c r="I17" s="1232">
        <f>AC17/$AC$27*100</f>
        <v>11.111111111111111</v>
      </c>
      <c r="J17" s="1232">
        <f>AD17/$AD$27*100</f>
        <v>10.830324909747292</v>
      </c>
      <c r="K17" s="1232">
        <f>AE17/$AE$27*100</f>
        <v>16.519174041297934</v>
      </c>
      <c r="L17" s="1232">
        <f>AF17/$AF$27*100</f>
        <v>10.579345088161208</v>
      </c>
      <c r="M17" s="1232">
        <f>AG17/$AG$27*100</f>
        <v>6.6489361702127656</v>
      </c>
      <c r="N17" s="1232">
        <f>AH17/$AH$27*100</f>
        <v>4.7619047619047619</v>
      </c>
      <c r="O17" s="1232">
        <f>AI17/$AI$27*100</f>
        <v>7.2727272727272725</v>
      </c>
      <c r="P17" s="1232">
        <f>AJ17/$AJ$27*100</f>
        <v>6.6265060240963862</v>
      </c>
      <c r="Q17" s="1232">
        <f>AK17/$AK$27*100</f>
        <v>5.5555555555555554</v>
      </c>
      <c r="R17" s="1232">
        <f>AL17/$AL$27*100</f>
        <v>8.1699346405228752</v>
      </c>
      <c r="S17" s="1232">
        <f>AM17/$AM$27*100</f>
        <v>10.303030303030303</v>
      </c>
      <c r="V17" s="1234" t="s">
        <v>742</v>
      </c>
      <c r="W17" s="1232">
        <v>41</v>
      </c>
      <c r="X17" s="1232">
        <v>39</v>
      </c>
      <c r="Y17" s="1232">
        <v>25</v>
      </c>
      <c r="Z17" s="1232">
        <v>22</v>
      </c>
      <c r="AA17" s="1232">
        <v>23</v>
      </c>
      <c r="AB17" s="1232">
        <v>7</v>
      </c>
      <c r="AC17" s="1233">
        <v>33</v>
      </c>
      <c r="AD17" s="1233">
        <v>30</v>
      </c>
      <c r="AE17" s="1232">
        <v>56</v>
      </c>
      <c r="AF17" s="1232">
        <v>42</v>
      </c>
      <c r="AG17" s="1232">
        <v>25</v>
      </c>
      <c r="AH17" s="1232">
        <v>16</v>
      </c>
      <c r="AI17" s="1232">
        <v>12</v>
      </c>
      <c r="AJ17" s="1232">
        <v>11</v>
      </c>
      <c r="AK17" s="1227">
        <v>11</v>
      </c>
      <c r="AL17" s="1232">
        <v>25</v>
      </c>
      <c r="AM17" s="1232">
        <f>145-111</f>
        <v>34</v>
      </c>
      <c r="AN17" s="1232"/>
      <c r="AP17" s="1234" t="s">
        <v>742</v>
      </c>
      <c r="AR17" s="1232">
        <f t="shared" si="18"/>
        <v>30</v>
      </c>
      <c r="AS17" s="1232">
        <f t="shared" si="18"/>
        <v>31</v>
      </c>
      <c r="AT17" s="1232">
        <f t="shared" si="18"/>
        <v>41</v>
      </c>
      <c r="AU17" s="1232">
        <f t="shared" si="18"/>
        <v>46</v>
      </c>
    </row>
    <row r="18" spans="1:47" ht="13.5" customHeight="1">
      <c r="A18" s="1230" t="s">
        <v>211</v>
      </c>
      <c r="C18" s="1232"/>
      <c r="D18" s="1232"/>
      <c r="E18" s="1232"/>
      <c r="F18" s="1232"/>
      <c r="G18" s="1232"/>
      <c r="H18" s="1232"/>
      <c r="I18" s="1232"/>
      <c r="J18" s="1232"/>
      <c r="K18" s="1232"/>
      <c r="L18" s="1232"/>
      <c r="M18" s="1232"/>
      <c r="N18" s="1232"/>
      <c r="O18" s="1232"/>
      <c r="P18" s="1232"/>
      <c r="Q18" s="1232"/>
      <c r="R18" s="1232"/>
      <c r="S18" s="1232"/>
      <c r="V18" s="1230" t="s">
        <v>743</v>
      </c>
      <c r="W18" s="1232"/>
      <c r="X18" s="1232"/>
      <c r="Y18" s="1232"/>
      <c r="Z18" s="1232"/>
      <c r="AA18" s="1232"/>
      <c r="AB18" s="1232"/>
      <c r="AC18" s="1233"/>
      <c r="AD18" s="1233"/>
      <c r="AE18" s="1232"/>
      <c r="AF18" s="1232"/>
      <c r="AG18" s="1232"/>
      <c r="AH18" s="1232"/>
      <c r="AI18" s="1232"/>
      <c r="AJ18" s="1232"/>
      <c r="AL18" s="1232"/>
      <c r="AM18" s="1232"/>
      <c r="AN18" s="1232"/>
      <c r="AP18" s="1230" t="s">
        <v>743</v>
      </c>
      <c r="AR18" s="1232"/>
      <c r="AS18" s="1232"/>
      <c r="AT18" s="1232"/>
      <c r="AU18" s="1232"/>
    </row>
    <row r="19" spans="1:47" ht="13.5" customHeight="1">
      <c r="A19" s="1234" t="s">
        <v>744</v>
      </c>
      <c r="C19" s="1232">
        <f>W19/$W$27*100</f>
        <v>3.7383177570093453</v>
      </c>
      <c r="D19" s="1232">
        <f>X19/$X$27*100</f>
        <v>4.941860465116279</v>
      </c>
      <c r="E19" s="1232">
        <f>Y19/$Y$27*100</f>
        <v>3.0136986301369864</v>
      </c>
      <c r="F19" s="1232">
        <f>Z19/$Z$27*100</f>
        <v>3.6184210526315792</v>
      </c>
      <c r="G19" s="1232">
        <f>AA19/$AA$27*100</f>
        <v>0.79051383399209485</v>
      </c>
      <c r="H19" s="1232">
        <f>AB19/$AB$27*100</f>
        <v>3.0303030303030303</v>
      </c>
      <c r="I19" s="1232">
        <f>AC19/$AC$27*100</f>
        <v>1.6835016835016834</v>
      </c>
      <c r="J19" s="1232">
        <f>AD19/$AD$27*100</f>
        <v>1.4440433212996391</v>
      </c>
      <c r="K19" s="1232">
        <f>AE19/$AE$27*100</f>
        <v>2.359882005899705</v>
      </c>
      <c r="L19" s="1232">
        <f>AF19/$AF$27*100</f>
        <v>3.0226700251889169</v>
      </c>
      <c r="M19" s="1232">
        <f>AG19/$AG$27*100</f>
        <v>5.5851063829787231</v>
      </c>
      <c r="N19" s="1232">
        <f>AH19/$AH$27*100</f>
        <v>5.9523809523809517</v>
      </c>
      <c r="O19" s="1232">
        <f>AI19/$AI$27*100</f>
        <v>9.0909090909090917</v>
      </c>
      <c r="P19" s="1232">
        <f>AJ19/$AJ$27*100</f>
        <v>10.843373493975903</v>
      </c>
      <c r="Q19" s="1232">
        <f>AK19/$AK$27*100</f>
        <v>10.1010101010101</v>
      </c>
      <c r="R19" s="1232">
        <f>AL19/$AL$27*100</f>
        <v>10.130718954248366</v>
      </c>
      <c r="S19" s="1232">
        <f>AM19/$AM$27*100</f>
        <v>12.121212121212121</v>
      </c>
      <c r="V19" s="1234" t="s">
        <v>1286</v>
      </c>
      <c r="W19" s="1232">
        <v>12</v>
      </c>
      <c r="X19" s="1232">
        <v>17</v>
      </c>
      <c r="Y19" s="1232">
        <v>11</v>
      </c>
      <c r="Z19" s="1232">
        <v>11</v>
      </c>
      <c r="AA19" s="1232">
        <v>2</v>
      </c>
      <c r="AB19" s="1232">
        <v>10</v>
      </c>
      <c r="AC19" s="1233">
        <v>5</v>
      </c>
      <c r="AD19" s="1233">
        <v>4</v>
      </c>
      <c r="AE19" s="1232">
        <v>8</v>
      </c>
      <c r="AF19" s="1232">
        <v>12</v>
      </c>
      <c r="AG19" s="1232">
        <v>21</v>
      </c>
      <c r="AH19" s="1232">
        <v>20</v>
      </c>
      <c r="AI19" s="1232">
        <v>15</v>
      </c>
      <c r="AJ19" s="1232">
        <v>18</v>
      </c>
      <c r="AK19" s="1227">
        <v>20</v>
      </c>
      <c r="AL19" s="1232">
        <v>31</v>
      </c>
      <c r="AM19" s="1232">
        <v>40</v>
      </c>
      <c r="AN19" s="1232"/>
      <c r="AP19" s="1234" t="s">
        <v>744</v>
      </c>
      <c r="AR19" s="1232">
        <f t="shared" ref="AR19:AU21" si="19">AJ19+AJ45+AJ71</f>
        <v>66</v>
      </c>
      <c r="AS19" s="1232">
        <f t="shared" si="19"/>
        <v>87</v>
      </c>
      <c r="AT19" s="1232">
        <f t="shared" si="19"/>
        <v>90</v>
      </c>
      <c r="AU19" s="1232">
        <f t="shared" si="19"/>
        <v>99</v>
      </c>
    </row>
    <row r="20" spans="1:47" ht="13.5" customHeight="1">
      <c r="A20" s="1234" t="s">
        <v>745</v>
      </c>
      <c r="C20" s="1232">
        <f>W20/$W$27*100</f>
        <v>4.0498442367601246</v>
      </c>
      <c r="D20" s="1232">
        <f>X20/$X$27*100</f>
        <v>5.5232558139534884</v>
      </c>
      <c r="E20" s="1232">
        <f>Y20/$Y$27*100</f>
        <v>7.1232876712328768</v>
      </c>
      <c r="F20" s="1232">
        <f>Z20/$Z$27*100</f>
        <v>6.5789473684210522</v>
      </c>
      <c r="G20" s="1232">
        <f>AA20/$AA$27*100</f>
        <v>6.7193675889328066</v>
      </c>
      <c r="H20" s="1232">
        <f>AB20/$AB$27*100</f>
        <v>9.0909090909090917</v>
      </c>
      <c r="I20" s="1232">
        <f>AC20/$AC$27*100</f>
        <v>10.774410774410773</v>
      </c>
      <c r="J20" s="1232">
        <f>AD20/$AD$27*100</f>
        <v>9.7472924187725631</v>
      </c>
      <c r="K20" s="1232">
        <f>AE20/$AE$27*100</f>
        <v>9.1445427728613566</v>
      </c>
      <c r="L20" s="1232">
        <f>AF20/$AF$27*100</f>
        <v>7.8085642317380355</v>
      </c>
      <c r="M20" s="1232">
        <f>AG20/$AG$27*100</f>
        <v>6.9148936170212769</v>
      </c>
      <c r="N20" s="1232">
        <f>AH20/$AH$27*100</f>
        <v>8.3333333333333321</v>
      </c>
      <c r="O20" s="1232">
        <f>AI20/$AI$27*100</f>
        <v>8.4848484848484862</v>
      </c>
      <c r="P20" s="1232">
        <f>AJ20/$AJ$27*100</f>
        <v>8.4337349397590362</v>
      </c>
      <c r="Q20" s="1232">
        <f>AK20/$AK$27*100</f>
        <v>7.0707070707070701</v>
      </c>
      <c r="R20" s="1232">
        <f>AL20/$AL$27*100</f>
        <v>5.8823529411764701</v>
      </c>
      <c r="S20" s="1232">
        <f>AM20/$AM$27*100</f>
        <v>4.8484848484848486</v>
      </c>
      <c r="V20" s="1234" t="s">
        <v>745</v>
      </c>
      <c r="W20" s="1232">
        <v>13</v>
      </c>
      <c r="X20" s="1232">
        <v>19</v>
      </c>
      <c r="Y20" s="1232">
        <v>26</v>
      </c>
      <c r="Z20" s="1232">
        <v>20</v>
      </c>
      <c r="AA20" s="1232">
        <v>17</v>
      </c>
      <c r="AB20" s="1232">
        <v>30</v>
      </c>
      <c r="AC20" s="1233">
        <v>32</v>
      </c>
      <c r="AD20" s="1233">
        <v>27</v>
      </c>
      <c r="AE20" s="1232">
        <v>31</v>
      </c>
      <c r="AF20" s="1232">
        <v>31</v>
      </c>
      <c r="AG20" s="1232">
        <v>26</v>
      </c>
      <c r="AH20" s="1232">
        <v>28</v>
      </c>
      <c r="AI20" s="1232">
        <v>14</v>
      </c>
      <c r="AJ20" s="1232">
        <v>14</v>
      </c>
      <c r="AK20" s="1227">
        <v>14</v>
      </c>
      <c r="AL20" s="1232">
        <v>18</v>
      </c>
      <c r="AM20" s="1232">
        <v>16</v>
      </c>
      <c r="AN20" s="1232"/>
      <c r="AP20" s="1234" t="s">
        <v>745</v>
      </c>
      <c r="AR20" s="1232">
        <f t="shared" si="19"/>
        <v>50</v>
      </c>
      <c r="AS20" s="1232">
        <f t="shared" si="19"/>
        <v>43</v>
      </c>
      <c r="AT20" s="1232">
        <f t="shared" si="19"/>
        <v>38</v>
      </c>
      <c r="AU20" s="1232">
        <f t="shared" si="19"/>
        <v>30</v>
      </c>
    </row>
    <row r="21" spans="1:47" ht="13.5" customHeight="1">
      <c r="A21" s="1234" t="s">
        <v>746</v>
      </c>
      <c r="C21" s="1232">
        <f>W21/$W$27*100</f>
        <v>1.2461059190031152</v>
      </c>
      <c r="D21" s="1232">
        <f>X21/$X$27*100</f>
        <v>1.1627906976744187</v>
      </c>
      <c r="E21" s="1232">
        <f>Y21/$Y$27*100</f>
        <v>1.095890410958904</v>
      </c>
      <c r="F21" s="1232">
        <f>Z21/$Z$27*100</f>
        <v>1.6447368421052631</v>
      </c>
      <c r="G21" s="1232">
        <f>AA21/$AA$27*100</f>
        <v>2.766798418972332</v>
      </c>
      <c r="H21" s="1232">
        <f>AB21/$AB$27*100</f>
        <v>0.30303030303030304</v>
      </c>
      <c r="I21" s="1232">
        <f>AC21/$AC$27*100</f>
        <v>0</v>
      </c>
      <c r="J21" s="1232">
        <f>AD21/$AD$27*100</f>
        <v>0</v>
      </c>
      <c r="K21" s="1232">
        <f>AE21/$AE$27*100</f>
        <v>1.1799410029498525</v>
      </c>
      <c r="L21" s="1232">
        <f>AF21/$AF$27*100</f>
        <v>1.5113350125944585</v>
      </c>
      <c r="M21" s="1232">
        <f>AG21/$AG$27*100</f>
        <v>2.1276595744680851</v>
      </c>
      <c r="N21" s="1232">
        <f>AH21/$AH$27*100</f>
        <v>2.6785714285714284</v>
      </c>
      <c r="O21" s="1232">
        <f>AI21/$AI$27*100</f>
        <v>1.2121212121212122</v>
      </c>
      <c r="P21" s="1232">
        <f>AJ21/$AJ$27*100</f>
        <v>1.2048192771084338</v>
      </c>
      <c r="Q21" s="1232">
        <f>AK21/$AK$27*100</f>
        <v>2.0202020202020203</v>
      </c>
      <c r="R21" s="1232">
        <f>AL21/$AL$27*100</f>
        <v>7.5163398692810457</v>
      </c>
      <c r="S21" s="1232">
        <f>AM21/$AM$27*100</f>
        <v>1.2121212121212122</v>
      </c>
      <c r="V21" s="1234" t="s">
        <v>1290</v>
      </c>
      <c r="W21" s="1232">
        <v>4</v>
      </c>
      <c r="X21" s="1232">
        <v>4</v>
      </c>
      <c r="Y21" s="1232">
        <v>4</v>
      </c>
      <c r="Z21" s="1232">
        <v>5</v>
      </c>
      <c r="AA21" s="1232">
        <v>7</v>
      </c>
      <c r="AB21" s="1232">
        <v>1</v>
      </c>
      <c r="AC21" s="1233">
        <v>0</v>
      </c>
      <c r="AD21" s="1233">
        <v>0</v>
      </c>
      <c r="AE21" s="1232">
        <v>4</v>
      </c>
      <c r="AF21" s="1232">
        <v>6</v>
      </c>
      <c r="AG21" s="1232">
        <v>8</v>
      </c>
      <c r="AH21" s="1232">
        <v>9</v>
      </c>
      <c r="AI21" s="1232">
        <v>2</v>
      </c>
      <c r="AJ21" s="1232">
        <v>2</v>
      </c>
      <c r="AK21" s="1227">
        <v>4</v>
      </c>
      <c r="AL21" s="1232">
        <v>23</v>
      </c>
      <c r="AM21" s="1232">
        <v>4</v>
      </c>
      <c r="AN21" s="1232"/>
      <c r="AP21" s="1234" t="s">
        <v>746</v>
      </c>
      <c r="AR21" s="1232">
        <f t="shared" si="19"/>
        <v>76</v>
      </c>
      <c r="AS21" s="1232">
        <f t="shared" si="19"/>
        <v>80</v>
      </c>
      <c r="AT21" s="1232">
        <f t="shared" si="19"/>
        <v>94</v>
      </c>
      <c r="AU21" s="1232">
        <f t="shared" si="19"/>
        <v>22</v>
      </c>
    </row>
    <row r="22" spans="1:47" ht="13.5" customHeight="1">
      <c r="A22" s="1230" t="s">
        <v>747</v>
      </c>
      <c r="C22" s="1232"/>
      <c r="D22" s="1232"/>
      <c r="E22" s="1232"/>
      <c r="F22" s="1232"/>
      <c r="G22" s="1232"/>
      <c r="H22" s="1232"/>
      <c r="I22" s="1232"/>
      <c r="J22" s="1232"/>
      <c r="K22" s="1232"/>
      <c r="L22" s="1232"/>
      <c r="M22" s="1232"/>
      <c r="N22" s="1232"/>
      <c r="O22" s="1232"/>
      <c r="P22" s="1232"/>
      <c r="Q22" s="1232"/>
      <c r="R22" s="1232"/>
      <c r="S22" s="1232"/>
      <c r="V22" s="1230" t="s">
        <v>747</v>
      </c>
      <c r="W22" s="1232"/>
      <c r="X22" s="1232"/>
      <c r="Y22" s="1232"/>
      <c r="Z22" s="1232"/>
      <c r="AA22" s="1232"/>
      <c r="AB22" s="1232"/>
      <c r="AC22" s="1233"/>
      <c r="AD22" s="1233"/>
      <c r="AE22" s="1232"/>
      <c r="AF22" s="1232"/>
      <c r="AG22" s="1232"/>
      <c r="AH22" s="1232"/>
      <c r="AI22" s="1232"/>
      <c r="AJ22" s="1232"/>
      <c r="AL22" s="1232"/>
      <c r="AM22" s="1232"/>
      <c r="AN22" s="1232"/>
      <c r="AP22" s="1230" t="s">
        <v>747</v>
      </c>
      <c r="AR22" s="1232"/>
      <c r="AS22" s="1232"/>
      <c r="AT22" s="1232"/>
      <c r="AU22" s="1232"/>
    </row>
    <row r="23" spans="1:47" ht="16">
      <c r="A23" s="1234" t="s">
        <v>748</v>
      </c>
      <c r="C23" s="1232">
        <f>W23/$W$27*100</f>
        <v>0</v>
      </c>
      <c r="D23" s="1232">
        <f>X23/$X$27*100</f>
        <v>0</v>
      </c>
      <c r="E23" s="1232">
        <f>Y23/$Y$27*100</f>
        <v>0</v>
      </c>
      <c r="F23" s="1232">
        <f>Z23/$Z$27*100</f>
        <v>0</v>
      </c>
      <c r="G23" s="1232">
        <f>AA23/$AA$27*100</f>
        <v>0</v>
      </c>
      <c r="H23" s="1232">
        <f>AB23/$AB$27*100</f>
        <v>0</v>
      </c>
      <c r="I23" s="1232">
        <f>AC23/$AC$27*100</f>
        <v>0</v>
      </c>
      <c r="J23" s="1232">
        <f>AD23/$AD$27*100</f>
        <v>0</v>
      </c>
      <c r="K23" s="1232">
        <f>AE23/$AE$27*100</f>
        <v>0</v>
      </c>
      <c r="L23" s="1232">
        <f>AF23/$AF$27*100</f>
        <v>0</v>
      </c>
      <c r="M23" s="1232">
        <f>AG23/$AG$27*100</f>
        <v>0.26595744680851063</v>
      </c>
      <c r="N23" s="1232">
        <f>AH23/$AH$27*100</f>
        <v>0.29761904761904762</v>
      </c>
      <c r="O23" s="1232">
        <f>AI23/$AI$27*100</f>
        <v>0.60606060606060608</v>
      </c>
      <c r="P23" s="1232">
        <f>AJ23/$AJ$27*100</f>
        <v>0.60240963855421692</v>
      </c>
      <c r="Q23" s="1232">
        <f>AK23/$AK$27*100</f>
        <v>0.50505050505050508</v>
      </c>
      <c r="R23" s="1232">
        <f>AL23/$AL$27*100</f>
        <v>0.32679738562091504</v>
      </c>
      <c r="S23" s="1233" t="s">
        <v>246</v>
      </c>
      <c r="V23" s="1234" t="s">
        <v>748</v>
      </c>
      <c r="W23" s="1232">
        <v>0</v>
      </c>
      <c r="X23" s="1232">
        <v>0</v>
      </c>
      <c r="Y23" s="1232">
        <v>0</v>
      </c>
      <c r="Z23" s="1232">
        <v>0</v>
      </c>
      <c r="AA23" s="1232">
        <v>0</v>
      </c>
      <c r="AB23" s="1232">
        <v>0</v>
      </c>
      <c r="AC23" s="1233">
        <v>0</v>
      </c>
      <c r="AD23" s="1233">
        <v>0</v>
      </c>
      <c r="AE23" s="1232">
        <v>0</v>
      </c>
      <c r="AF23" s="1232">
        <v>0</v>
      </c>
      <c r="AG23" s="1232">
        <v>1</v>
      </c>
      <c r="AH23" s="1232">
        <v>1</v>
      </c>
      <c r="AI23" s="1232">
        <v>1</v>
      </c>
      <c r="AJ23" s="1232">
        <v>1</v>
      </c>
      <c r="AK23" s="1227">
        <v>1</v>
      </c>
      <c r="AL23" s="1233">
        <v>1</v>
      </c>
      <c r="AM23" s="1233" t="s">
        <v>2313</v>
      </c>
      <c r="AN23" s="1233"/>
      <c r="AP23" s="1234" t="s">
        <v>748</v>
      </c>
      <c r="AR23" s="1232">
        <f t="shared" ref="AR23:AS26" si="20">AJ23+AJ49+AJ75</f>
        <v>12</v>
      </c>
      <c r="AS23" s="1232">
        <f t="shared" si="20"/>
        <v>11</v>
      </c>
      <c r="AT23" s="1233" t="s">
        <v>685</v>
      </c>
      <c r="AU23" s="1233" t="s">
        <v>685</v>
      </c>
    </row>
    <row r="24" spans="1:47" ht="13.5" customHeight="1">
      <c r="A24" s="1234" t="s">
        <v>749</v>
      </c>
      <c r="C24" s="1232">
        <f>W24/$W$27*100</f>
        <v>0.3115264797507788</v>
      </c>
      <c r="D24" s="1232">
        <f>X24/$X$27*100</f>
        <v>0.29069767441860467</v>
      </c>
      <c r="E24" s="1232">
        <f>Y24/$Y$27*100</f>
        <v>0.27397260273972601</v>
      </c>
      <c r="F24" s="1232">
        <f>Z24/$Z$27*100</f>
        <v>0.6578947368421052</v>
      </c>
      <c r="G24" s="1232">
        <f>AA24/$AA$27*100</f>
        <v>0.79051383399209485</v>
      </c>
      <c r="H24" s="1232">
        <f>AB24/$AB$27*100</f>
        <v>0.60606060606060608</v>
      </c>
      <c r="I24" s="1232">
        <f>AC24/$AC$27*100</f>
        <v>0.33670033670033667</v>
      </c>
      <c r="J24" s="1232">
        <f>AD24/$AD$27*100</f>
        <v>0.72202166064981954</v>
      </c>
      <c r="K24" s="1232">
        <f>AE24/$AE$27*100</f>
        <v>0.88495575221238942</v>
      </c>
      <c r="L24" s="1232">
        <f>AF24/$AF$27*100</f>
        <v>1.0075566750629723</v>
      </c>
      <c r="M24" s="1232">
        <f>AG24/$AG$27*100</f>
        <v>0.53191489361702127</v>
      </c>
      <c r="N24" s="1232">
        <f>AH24/$AH$27*100</f>
        <v>0.89285714285714279</v>
      </c>
      <c r="O24" s="1232">
        <f>AI24/$AI$27*100</f>
        <v>0</v>
      </c>
      <c r="P24" s="1232">
        <f>AJ24/$AJ$27*100</f>
        <v>0</v>
      </c>
      <c r="Q24" s="1232">
        <f>AK24/$AK$27*100</f>
        <v>0.50505050505050508</v>
      </c>
      <c r="R24" s="1232">
        <f>AL24/$AL$27*100</f>
        <v>0.32679738562091504</v>
      </c>
      <c r="S24" s="1232">
        <f>AM24/$AM$27*100</f>
        <v>0.90909090909090906</v>
      </c>
      <c r="V24" s="1234" t="s">
        <v>749</v>
      </c>
      <c r="W24" s="1232">
        <v>1</v>
      </c>
      <c r="X24" s="1232">
        <v>1</v>
      </c>
      <c r="Y24" s="1232">
        <v>1</v>
      </c>
      <c r="Z24" s="1232">
        <v>2</v>
      </c>
      <c r="AA24" s="1232">
        <v>2</v>
      </c>
      <c r="AB24" s="1232">
        <v>2</v>
      </c>
      <c r="AC24" s="1233">
        <v>1</v>
      </c>
      <c r="AD24" s="1233">
        <v>2</v>
      </c>
      <c r="AE24" s="1232">
        <v>3</v>
      </c>
      <c r="AF24" s="1232">
        <v>4</v>
      </c>
      <c r="AG24" s="1232">
        <v>2</v>
      </c>
      <c r="AH24" s="1232">
        <v>3</v>
      </c>
      <c r="AI24" s="1232">
        <v>0</v>
      </c>
      <c r="AJ24" s="1232">
        <v>0</v>
      </c>
      <c r="AK24" s="1227">
        <v>1</v>
      </c>
      <c r="AL24" s="1232">
        <v>1</v>
      </c>
      <c r="AM24" s="1232">
        <v>3</v>
      </c>
      <c r="AN24" s="1232"/>
      <c r="AP24" s="1234" t="s">
        <v>749</v>
      </c>
      <c r="AR24" s="1232">
        <f t="shared" si="20"/>
        <v>41</v>
      </c>
      <c r="AS24" s="1232">
        <f t="shared" si="20"/>
        <v>27</v>
      </c>
      <c r="AT24" s="1232">
        <f t="shared" ref="AT24:AU26" si="21">AL24+AL50+AL76</f>
        <v>24</v>
      </c>
      <c r="AU24" s="1232">
        <f t="shared" si="21"/>
        <v>19</v>
      </c>
    </row>
    <row r="25" spans="1:47" ht="13.5" customHeight="1">
      <c r="A25" s="1230" t="s">
        <v>221</v>
      </c>
      <c r="C25" s="1232"/>
      <c r="D25" s="1232"/>
      <c r="E25" s="1232"/>
      <c r="F25" s="1232"/>
      <c r="G25" s="1232"/>
      <c r="H25" s="1232"/>
      <c r="I25" s="1232"/>
      <c r="J25" s="1232"/>
      <c r="K25" s="1232"/>
      <c r="L25" s="1232"/>
      <c r="M25" s="1232"/>
      <c r="N25" s="1232"/>
      <c r="O25" s="1232"/>
      <c r="P25" s="1232"/>
      <c r="Q25" s="1232"/>
      <c r="R25" s="1232"/>
      <c r="S25" s="1232"/>
      <c r="V25" s="1230" t="s">
        <v>750</v>
      </c>
      <c r="W25" s="1232"/>
      <c r="X25" s="1232"/>
      <c r="Y25" s="1232"/>
      <c r="Z25" s="1232"/>
      <c r="AA25" s="1232"/>
      <c r="AB25" s="1232"/>
      <c r="AC25" s="1233"/>
      <c r="AD25" s="1233"/>
      <c r="AE25" s="1232"/>
      <c r="AF25" s="1232"/>
      <c r="AG25" s="1232"/>
      <c r="AH25" s="1232"/>
      <c r="AI25" s="1232"/>
      <c r="AJ25" s="1232"/>
      <c r="AL25" s="1232"/>
      <c r="AP25" s="1230" t="s">
        <v>750</v>
      </c>
      <c r="AR25" s="1232">
        <f t="shared" si="20"/>
        <v>0</v>
      </c>
      <c r="AS25" s="1232">
        <f t="shared" si="20"/>
        <v>0</v>
      </c>
      <c r="AT25" s="1232">
        <f t="shared" si="21"/>
        <v>0</v>
      </c>
      <c r="AU25" s="1232">
        <f t="shared" si="21"/>
        <v>0</v>
      </c>
    </row>
    <row r="26" spans="1:47" ht="13.5" customHeight="1">
      <c r="A26" s="1234" t="s">
        <v>12</v>
      </c>
      <c r="C26" s="1232">
        <f>W26/$W$27*100</f>
        <v>13.084112149532709</v>
      </c>
      <c r="D26" s="1232">
        <f>X26/$X$27*100</f>
        <v>12.5</v>
      </c>
      <c r="E26" s="1232">
        <f>Y26/$Y$27*100</f>
        <v>11.78082191780822</v>
      </c>
      <c r="F26" s="1232">
        <f>Z26/$Z$27*100</f>
        <v>12.828947368421053</v>
      </c>
      <c r="G26" s="1232">
        <f>AA26/$AA$27*100</f>
        <v>13.043478260869565</v>
      </c>
      <c r="H26" s="1232">
        <f>AB26/$AB$27*100</f>
        <v>11.212121212121213</v>
      </c>
      <c r="I26" s="1232">
        <f>AC26/$AC$27*100</f>
        <v>10.437710437710438</v>
      </c>
      <c r="J26" s="1232">
        <f>AD26/$AD$27*100</f>
        <v>9.3862815884476536</v>
      </c>
      <c r="K26" s="1232">
        <f>AE26/$AE$27*100</f>
        <v>7.0796460176991154</v>
      </c>
      <c r="L26" s="1232">
        <f>AF26/$AF$27*100</f>
        <v>6.2972292191435768</v>
      </c>
      <c r="M26" s="1232">
        <f>AG26/$AG$27*100</f>
        <v>6.1170212765957448</v>
      </c>
      <c r="N26" s="1232">
        <f>AH26/$AH$27*100</f>
        <v>4.7619047619047619</v>
      </c>
      <c r="O26" s="1232">
        <f>AI26/$AI$27*100</f>
        <v>4.2424242424242431</v>
      </c>
      <c r="P26" s="1232">
        <f>AJ26/$AJ$27*100</f>
        <v>4.2168674698795181</v>
      </c>
      <c r="Q26" s="1232">
        <f>AK26/$AK$27*100</f>
        <v>3.535353535353535</v>
      </c>
      <c r="R26" s="1232">
        <f>AL26/$AL$27*100</f>
        <v>0</v>
      </c>
      <c r="S26" s="1232">
        <f>AM26/$AM$27*100</f>
        <v>4.5454545454545459</v>
      </c>
      <c r="V26" s="1234" t="s">
        <v>12</v>
      </c>
      <c r="W26" s="1232">
        <v>42</v>
      </c>
      <c r="X26" s="1232">
        <v>43</v>
      </c>
      <c r="Y26" s="1232">
        <v>43</v>
      </c>
      <c r="Z26" s="1232">
        <v>39</v>
      </c>
      <c r="AA26" s="1232">
        <v>33</v>
      </c>
      <c r="AB26" s="1232">
        <v>37</v>
      </c>
      <c r="AC26" s="1233">
        <v>31</v>
      </c>
      <c r="AD26" s="1233">
        <v>26</v>
      </c>
      <c r="AE26" s="1232">
        <v>24</v>
      </c>
      <c r="AF26" s="1232">
        <v>25</v>
      </c>
      <c r="AG26" s="1232">
        <v>23</v>
      </c>
      <c r="AH26" s="1232">
        <v>16</v>
      </c>
      <c r="AI26" s="1232">
        <v>7</v>
      </c>
      <c r="AJ26" s="1232">
        <v>7</v>
      </c>
      <c r="AK26" s="1227">
        <v>7</v>
      </c>
      <c r="AL26" s="1232">
        <v>0</v>
      </c>
      <c r="AM26" s="1227">
        <v>15</v>
      </c>
      <c r="AP26" s="1234" t="s">
        <v>12</v>
      </c>
      <c r="AR26" s="1232">
        <f t="shared" si="20"/>
        <v>8</v>
      </c>
      <c r="AS26" s="1232">
        <f t="shared" si="20"/>
        <v>7</v>
      </c>
      <c r="AT26" s="1232">
        <f t="shared" si="21"/>
        <v>0</v>
      </c>
      <c r="AU26" s="1232">
        <f t="shared" si="21"/>
        <v>50</v>
      </c>
    </row>
    <row r="27" spans="1:47" ht="13.5" customHeight="1">
      <c r="A27" s="1237" t="s">
        <v>16</v>
      </c>
      <c r="C27" s="1232">
        <f t="shared" ref="C27:Q27" si="22">SUM(C9:C26)</f>
        <v>100</v>
      </c>
      <c r="D27" s="1232">
        <f t="shared" si="22"/>
        <v>100</v>
      </c>
      <c r="E27" s="1232">
        <f t="shared" si="22"/>
        <v>100.00000000000001</v>
      </c>
      <c r="F27" s="1232">
        <f t="shared" si="22"/>
        <v>100</v>
      </c>
      <c r="G27" s="1232">
        <f t="shared" si="22"/>
        <v>100</v>
      </c>
      <c r="H27" s="1232">
        <f t="shared" si="22"/>
        <v>100.00000000000001</v>
      </c>
      <c r="I27" s="1232">
        <f t="shared" si="22"/>
        <v>99.999999999999986</v>
      </c>
      <c r="J27" s="1232">
        <f t="shared" si="22"/>
        <v>100</v>
      </c>
      <c r="K27" s="1232">
        <f t="shared" si="22"/>
        <v>100</v>
      </c>
      <c r="L27" s="1232">
        <f t="shared" si="22"/>
        <v>100</v>
      </c>
      <c r="M27" s="1232">
        <f t="shared" si="22"/>
        <v>100.00000000000001</v>
      </c>
      <c r="N27" s="1232">
        <f t="shared" si="22"/>
        <v>99.999999999999986</v>
      </c>
      <c r="O27" s="1232">
        <f t="shared" si="22"/>
        <v>100.00000000000001</v>
      </c>
      <c r="P27" s="1232">
        <f t="shared" si="22"/>
        <v>100</v>
      </c>
      <c r="Q27" s="1232">
        <f t="shared" si="22"/>
        <v>100.00000000000001</v>
      </c>
      <c r="R27" s="1232">
        <f>AL27/$AL$27*100</f>
        <v>100</v>
      </c>
      <c r="S27" s="1232">
        <f>AM27/$AM$27*100</f>
        <v>100</v>
      </c>
      <c r="V27" s="1237" t="s">
        <v>16</v>
      </c>
      <c r="W27" s="1235">
        <f t="shared" ref="W27:AM27" si="23">SUM(W9:W26)</f>
        <v>321</v>
      </c>
      <c r="X27" s="1235">
        <f t="shared" si="23"/>
        <v>344</v>
      </c>
      <c r="Y27" s="1235">
        <f t="shared" si="23"/>
        <v>365</v>
      </c>
      <c r="Z27" s="1235">
        <f t="shared" si="23"/>
        <v>304</v>
      </c>
      <c r="AA27" s="1235">
        <f t="shared" si="23"/>
        <v>253</v>
      </c>
      <c r="AB27" s="1235">
        <f t="shared" si="23"/>
        <v>330</v>
      </c>
      <c r="AC27" s="1242">
        <f t="shared" si="23"/>
        <v>297</v>
      </c>
      <c r="AD27" s="1242">
        <f t="shared" si="23"/>
        <v>277</v>
      </c>
      <c r="AE27" s="1235">
        <f t="shared" si="23"/>
        <v>339</v>
      </c>
      <c r="AF27" s="1235">
        <f t="shared" si="23"/>
        <v>397</v>
      </c>
      <c r="AG27" s="1235">
        <f t="shared" si="23"/>
        <v>376</v>
      </c>
      <c r="AH27" s="1235">
        <f t="shared" si="23"/>
        <v>336</v>
      </c>
      <c r="AI27" s="1235">
        <f t="shared" si="23"/>
        <v>165</v>
      </c>
      <c r="AJ27" s="1235">
        <f t="shared" si="23"/>
        <v>166</v>
      </c>
      <c r="AK27" s="1235">
        <f t="shared" si="23"/>
        <v>198</v>
      </c>
      <c r="AL27" s="1235">
        <f t="shared" si="23"/>
        <v>306</v>
      </c>
      <c r="AM27" s="1235">
        <f t="shared" si="23"/>
        <v>330</v>
      </c>
      <c r="AN27" s="1235"/>
    </row>
    <row r="28" spans="1:47" ht="1.25" customHeight="1">
      <c r="P28" s="1227" t="s">
        <v>221</v>
      </c>
      <c r="R28" s="1227" t="s">
        <v>221</v>
      </c>
      <c r="V28" s="1246"/>
      <c r="W28" s="1246"/>
      <c r="X28" s="1246"/>
      <c r="Y28" s="1246"/>
      <c r="Z28" s="1246"/>
      <c r="AA28" s="1246"/>
      <c r="AB28" s="1246"/>
      <c r="AC28" s="1247"/>
      <c r="AD28" s="1247"/>
      <c r="AE28" s="1246"/>
      <c r="AF28" s="1246"/>
      <c r="AG28" s="1246"/>
      <c r="AH28" s="1246"/>
      <c r="AI28" s="1246"/>
      <c r="AJ28" s="1246"/>
      <c r="AK28" s="1246"/>
      <c r="AL28" s="1246"/>
      <c r="AM28" s="1246"/>
    </row>
    <row r="29" spans="1:47">
      <c r="V29" s="1234"/>
    </row>
    <row r="30" spans="1:47" ht="23">
      <c r="V30" s="3049" t="s">
        <v>2715</v>
      </c>
      <c r="W30" s="1249"/>
      <c r="X30" s="1249"/>
      <c r="Y30" s="1249"/>
      <c r="Z30" s="1249"/>
      <c r="AA30" s="1249"/>
      <c r="AB30" s="1249"/>
      <c r="AC30" s="1250"/>
      <c r="AD30" s="1250"/>
      <c r="AE30" s="1249"/>
      <c r="AF30" s="1249"/>
      <c r="AG30" s="1249"/>
      <c r="AH30" s="1249"/>
      <c r="AI30" s="1249"/>
      <c r="AJ30" s="1249"/>
      <c r="AK30" s="1249"/>
      <c r="AL30" s="1249"/>
      <c r="AM30" s="1249"/>
    </row>
    <row r="31" spans="1:47">
      <c r="A31" s="1237" t="s">
        <v>14</v>
      </c>
      <c r="V31" s="1235" t="s">
        <v>14</v>
      </c>
    </row>
    <row r="32" spans="1:47">
      <c r="I32" s="1227" t="s">
        <v>50</v>
      </c>
      <c r="J32" s="1227" t="s">
        <v>51</v>
      </c>
      <c r="V32" s="1246"/>
      <c r="W32" s="1246"/>
      <c r="X32" s="1246"/>
      <c r="Y32" s="1246"/>
      <c r="Z32" s="1246"/>
      <c r="AA32" s="1246"/>
      <c r="AB32" s="1246"/>
      <c r="AC32" s="1247" t="s">
        <v>50</v>
      </c>
      <c r="AD32" s="1247" t="s">
        <v>51</v>
      </c>
      <c r="AE32" s="1246"/>
      <c r="AF32" s="1246"/>
      <c r="AG32" s="1246"/>
      <c r="AH32" s="1246"/>
      <c r="AI32" s="1246"/>
      <c r="AJ32" s="1246"/>
      <c r="AK32" s="1246"/>
      <c r="AL32" s="1246"/>
      <c r="AM32" s="1246"/>
    </row>
    <row r="33" spans="1:40">
      <c r="C33" s="1227">
        <v>51</v>
      </c>
      <c r="D33" s="1227">
        <v>55</v>
      </c>
      <c r="E33" s="1227">
        <v>59</v>
      </c>
      <c r="F33" s="1227">
        <v>64</v>
      </c>
      <c r="G33" s="1227">
        <v>66</v>
      </c>
      <c r="H33" s="1227">
        <v>70</v>
      </c>
      <c r="I33" s="1227">
        <v>74</v>
      </c>
      <c r="J33" s="1227">
        <v>74</v>
      </c>
      <c r="K33" s="1227">
        <v>79</v>
      </c>
      <c r="L33" s="1227">
        <v>83</v>
      </c>
      <c r="M33" s="1227">
        <v>87</v>
      </c>
      <c r="N33" s="1227">
        <v>92</v>
      </c>
      <c r="O33" s="1227">
        <v>97</v>
      </c>
      <c r="P33" s="1229" t="s">
        <v>173</v>
      </c>
      <c r="Q33" s="1229" t="s">
        <v>754</v>
      </c>
      <c r="R33" s="1229" t="s">
        <v>977</v>
      </c>
      <c r="S33" s="1229" t="s">
        <v>1523</v>
      </c>
      <c r="V33" s="1246"/>
      <c r="W33" s="1246">
        <v>51</v>
      </c>
      <c r="X33" s="1246">
        <v>55</v>
      </c>
      <c r="Y33" s="1246">
        <v>59</v>
      </c>
      <c r="Z33" s="1246">
        <v>64</v>
      </c>
      <c r="AA33" s="1246">
        <v>66</v>
      </c>
      <c r="AB33" s="1246">
        <v>70</v>
      </c>
      <c r="AC33" s="1247">
        <v>74</v>
      </c>
      <c r="AD33" s="1247">
        <v>74</v>
      </c>
      <c r="AE33" s="1246">
        <v>79</v>
      </c>
      <c r="AF33" s="1246">
        <v>83</v>
      </c>
      <c r="AG33" s="1246">
        <v>87</v>
      </c>
      <c r="AH33" s="1246">
        <v>92</v>
      </c>
      <c r="AI33" s="1246">
        <v>97</v>
      </c>
      <c r="AJ33" s="1248" t="s">
        <v>173</v>
      </c>
      <c r="AK33" s="1251">
        <v>5</v>
      </c>
      <c r="AL33" s="1251">
        <v>10</v>
      </c>
      <c r="AM33" s="1251">
        <v>15</v>
      </c>
      <c r="AN33" s="1236"/>
    </row>
    <row r="34" spans="1:40" ht="13.5" customHeight="1">
      <c r="A34" s="1230" t="s">
        <v>736</v>
      </c>
      <c r="P34" s="1229"/>
      <c r="Q34" s="1229"/>
      <c r="R34" s="1229"/>
      <c r="S34" s="1229"/>
      <c r="V34" s="1231" t="s">
        <v>736</v>
      </c>
      <c r="W34" s="1232"/>
      <c r="X34" s="1232"/>
      <c r="Y34" s="1232"/>
      <c r="Z34" s="1232"/>
      <c r="AA34" s="1232"/>
      <c r="AB34" s="1232"/>
      <c r="AC34" s="1233"/>
      <c r="AD34" s="1233"/>
      <c r="AE34" s="1232"/>
      <c r="AF34" s="1232"/>
      <c r="AG34" s="1232"/>
      <c r="AH34" s="1232"/>
      <c r="AI34" s="1232"/>
      <c r="AJ34" s="1233"/>
      <c r="AL34" s="1233"/>
    </row>
    <row r="35" spans="1:40" ht="13.5" customHeight="1">
      <c r="A35" s="1234" t="s">
        <v>734</v>
      </c>
      <c r="C35" s="1232">
        <f t="shared" ref="C35:C40" si="24">W35/$W$53*100</f>
        <v>9.4915254237288131</v>
      </c>
      <c r="D35" s="1232">
        <f t="shared" ref="D35:D40" si="25">X35/$X$53*100</f>
        <v>9.7122302158273381</v>
      </c>
      <c r="E35" s="1232">
        <f t="shared" ref="E35:E40" si="26">Y35/$Y$53*100</f>
        <v>10.465116279069768</v>
      </c>
      <c r="F35" s="1232">
        <f t="shared" ref="F35:F40" si="27">Z35/$Z$53*100</f>
        <v>9.7791798107255516</v>
      </c>
      <c r="G35" s="1232">
        <f t="shared" ref="G35:G40" si="28">AA35/$AA$53*100</f>
        <v>9.9173553719008272</v>
      </c>
      <c r="H35" s="1232">
        <f t="shared" ref="H35:H40" si="29">AB35/$AB$53*100</f>
        <v>11.846689895470384</v>
      </c>
      <c r="I35" s="1232">
        <f t="shared" ref="I35:I40" si="30">AC35/$AC$53*100</f>
        <v>10.299003322259136</v>
      </c>
      <c r="J35" s="1232">
        <f t="shared" ref="J35:J40" si="31">AD35/$AD$53*100</f>
        <v>10.031347962382444</v>
      </c>
      <c r="K35" s="1232">
        <f t="shared" ref="K35:K40" si="32">AE35/$AE$53*100</f>
        <v>5.8139534883720927</v>
      </c>
      <c r="L35" s="1232">
        <f t="shared" ref="L35:L40" si="33">AF35/$AF$53*100</f>
        <v>4.3062200956937797</v>
      </c>
      <c r="M35" s="1232">
        <f t="shared" ref="M35:M40" si="34">AG35/$AG$53*100</f>
        <v>3.9301310043668125</v>
      </c>
      <c r="N35" s="1232">
        <f t="shared" ref="N35:N40" si="35">AH35/$AH$53*100</f>
        <v>3.3210332103321036</v>
      </c>
      <c r="O35" s="1232">
        <f t="shared" ref="O35:O40" si="36">AI35/$AI$53*100</f>
        <v>2.8708133971291865</v>
      </c>
      <c r="P35" s="1232">
        <f t="shared" ref="P35:P40" si="37">AJ35/$AJ$53*100</f>
        <v>3.1553398058252426</v>
      </c>
      <c r="Q35" s="1232">
        <f t="shared" ref="Q35:Q40" si="38">AK35/$AK$53*100</f>
        <v>2.8169014084507045</v>
      </c>
      <c r="R35" s="1232">
        <f t="shared" ref="R35:R40" si="39">AL35/$AL$53*100</f>
        <v>3.4883720930232558</v>
      </c>
      <c r="S35" s="1232">
        <f t="shared" ref="S35:S40" si="40">AM35/$AM$53*100</f>
        <v>3.8793103448275863</v>
      </c>
      <c r="V35" s="1227" t="s">
        <v>734</v>
      </c>
      <c r="W35" s="1232">
        <v>28</v>
      </c>
      <c r="X35" s="1232">
        <v>27</v>
      </c>
      <c r="Y35" s="1232">
        <v>27</v>
      </c>
      <c r="Z35" s="1232">
        <v>31</v>
      </c>
      <c r="AA35" s="1232">
        <v>36</v>
      </c>
      <c r="AB35" s="1232">
        <v>34</v>
      </c>
      <c r="AC35" s="1233">
        <v>31</v>
      </c>
      <c r="AD35" s="1233">
        <v>32</v>
      </c>
      <c r="AE35" s="1232">
        <v>15</v>
      </c>
      <c r="AF35" s="1232">
        <v>9</v>
      </c>
      <c r="AG35" s="1232">
        <v>9</v>
      </c>
      <c r="AH35" s="1232">
        <v>9</v>
      </c>
      <c r="AI35" s="1232">
        <v>12</v>
      </c>
      <c r="AJ35" s="1232">
        <v>13</v>
      </c>
      <c r="AK35" s="1227">
        <v>10</v>
      </c>
      <c r="AL35" s="1232">
        <v>9</v>
      </c>
      <c r="AM35" s="1227">
        <v>9</v>
      </c>
    </row>
    <row r="36" spans="1:40" ht="13.5" customHeight="1">
      <c r="A36" s="1234" t="s">
        <v>735</v>
      </c>
      <c r="C36" s="1232">
        <f t="shared" si="24"/>
        <v>4.0677966101694913</v>
      </c>
      <c r="D36" s="1232">
        <f t="shared" si="25"/>
        <v>3.2374100719424459</v>
      </c>
      <c r="E36" s="1232">
        <f t="shared" si="26"/>
        <v>3.8759689922480618</v>
      </c>
      <c r="F36" s="1232">
        <f t="shared" si="27"/>
        <v>4.7318611987381702</v>
      </c>
      <c r="G36" s="1232">
        <f t="shared" si="28"/>
        <v>4.9586776859504136</v>
      </c>
      <c r="H36" s="1232">
        <f t="shared" si="29"/>
        <v>4.529616724738676</v>
      </c>
      <c r="I36" s="1232">
        <f t="shared" si="30"/>
        <v>2.9900332225913622</v>
      </c>
      <c r="J36" s="1232">
        <f t="shared" si="31"/>
        <v>2.8213166144200628</v>
      </c>
      <c r="K36" s="1232">
        <f t="shared" si="32"/>
        <v>3.8759689922480618</v>
      </c>
      <c r="L36" s="1232">
        <f t="shared" si="33"/>
        <v>3.8277511961722488</v>
      </c>
      <c r="M36" s="1232">
        <f t="shared" si="34"/>
        <v>3.9301310043668125</v>
      </c>
      <c r="N36" s="1232">
        <f t="shared" si="35"/>
        <v>2.9520295202952029</v>
      </c>
      <c r="O36" s="1232">
        <f t="shared" si="36"/>
        <v>4.0669856459330145</v>
      </c>
      <c r="P36" s="1232">
        <f t="shared" si="37"/>
        <v>4.3689320388349513</v>
      </c>
      <c r="Q36" s="1232">
        <f t="shared" si="38"/>
        <v>5.070422535211268</v>
      </c>
      <c r="R36" s="1232">
        <f t="shared" si="39"/>
        <v>6.5891472868217065</v>
      </c>
      <c r="S36" s="1232">
        <f t="shared" si="40"/>
        <v>7.3275862068965507</v>
      </c>
      <c r="V36" s="1227" t="s">
        <v>735</v>
      </c>
      <c r="W36" s="1232">
        <v>12</v>
      </c>
      <c r="X36" s="1232">
        <v>9</v>
      </c>
      <c r="Y36" s="1232">
        <v>10</v>
      </c>
      <c r="Z36" s="1232">
        <v>15</v>
      </c>
      <c r="AA36" s="1232">
        <v>18</v>
      </c>
      <c r="AB36" s="1232">
        <v>13</v>
      </c>
      <c r="AC36" s="1233">
        <v>9</v>
      </c>
      <c r="AD36" s="1233">
        <v>9</v>
      </c>
      <c r="AE36" s="1232">
        <v>10</v>
      </c>
      <c r="AF36" s="1232">
        <v>8</v>
      </c>
      <c r="AG36" s="1232">
        <v>9</v>
      </c>
      <c r="AH36" s="1232">
        <v>8</v>
      </c>
      <c r="AI36" s="1232">
        <v>17</v>
      </c>
      <c r="AJ36" s="1232">
        <v>18</v>
      </c>
      <c r="AK36" s="1227">
        <v>18</v>
      </c>
      <c r="AL36" s="1232">
        <v>17</v>
      </c>
      <c r="AM36" s="1227">
        <v>17</v>
      </c>
    </row>
    <row r="37" spans="1:40" ht="13.5" customHeight="1">
      <c r="A37" s="1234" t="s">
        <v>737</v>
      </c>
      <c r="C37" s="1232">
        <f t="shared" si="24"/>
        <v>3.050847457627119</v>
      </c>
      <c r="D37" s="1232">
        <f t="shared" si="25"/>
        <v>3.2374100719424459</v>
      </c>
      <c r="E37" s="1232">
        <f t="shared" si="26"/>
        <v>3.1007751937984498</v>
      </c>
      <c r="F37" s="1232">
        <f t="shared" si="27"/>
        <v>2.2082018927444795</v>
      </c>
      <c r="G37" s="1232">
        <f t="shared" si="28"/>
        <v>2.4793388429752068</v>
      </c>
      <c r="H37" s="1232">
        <f t="shared" si="29"/>
        <v>1.0452961672473868</v>
      </c>
      <c r="I37" s="1232">
        <f t="shared" si="30"/>
        <v>1.6611295681063125</v>
      </c>
      <c r="J37" s="1232">
        <f t="shared" si="31"/>
        <v>2.1943573667711598</v>
      </c>
      <c r="K37" s="1232">
        <f t="shared" si="32"/>
        <v>6.2015503875968996</v>
      </c>
      <c r="L37" s="1232">
        <f t="shared" si="33"/>
        <v>4.7846889952153111</v>
      </c>
      <c r="M37" s="1232">
        <f t="shared" si="34"/>
        <v>3.4934497816593884</v>
      </c>
      <c r="N37" s="1232">
        <f t="shared" si="35"/>
        <v>5.9040590405904059</v>
      </c>
      <c r="O37" s="1232">
        <f t="shared" si="36"/>
        <v>7.1770334928229662</v>
      </c>
      <c r="P37" s="1232">
        <f t="shared" si="37"/>
        <v>7.2815533980582519</v>
      </c>
      <c r="Q37" s="1232">
        <f t="shared" si="38"/>
        <v>6.197183098591549</v>
      </c>
      <c r="R37" s="1232">
        <f t="shared" si="39"/>
        <v>5.0387596899224807</v>
      </c>
      <c r="S37" s="1232">
        <f t="shared" si="40"/>
        <v>4.3103448275862073</v>
      </c>
      <c r="V37" s="1227" t="s">
        <v>1287</v>
      </c>
      <c r="W37" s="1232">
        <v>9</v>
      </c>
      <c r="X37" s="1232">
        <v>9</v>
      </c>
      <c r="Y37" s="1232">
        <v>8</v>
      </c>
      <c r="Z37" s="1232">
        <v>7</v>
      </c>
      <c r="AA37" s="1232">
        <v>9</v>
      </c>
      <c r="AB37" s="1232">
        <v>3</v>
      </c>
      <c r="AC37" s="1233">
        <v>5</v>
      </c>
      <c r="AD37" s="1233">
        <v>7</v>
      </c>
      <c r="AE37" s="1232">
        <v>16</v>
      </c>
      <c r="AF37" s="1232">
        <v>10</v>
      </c>
      <c r="AG37" s="1232">
        <v>8</v>
      </c>
      <c r="AH37" s="1232">
        <v>16</v>
      </c>
      <c r="AI37" s="1232">
        <v>30</v>
      </c>
      <c r="AJ37" s="1232">
        <v>30</v>
      </c>
      <c r="AK37" s="1227">
        <v>22</v>
      </c>
      <c r="AL37" s="1232">
        <v>13</v>
      </c>
      <c r="AM37" s="1227">
        <v>10</v>
      </c>
    </row>
    <row r="38" spans="1:40" ht="13.5" customHeight="1">
      <c r="A38" s="1234" t="s">
        <v>738</v>
      </c>
      <c r="C38" s="1232">
        <f t="shared" si="24"/>
        <v>14.237288135593221</v>
      </c>
      <c r="D38" s="1232">
        <f t="shared" si="25"/>
        <v>14.028776978417264</v>
      </c>
      <c r="E38" s="1232">
        <f t="shared" si="26"/>
        <v>13.953488372093023</v>
      </c>
      <c r="F38" s="1232">
        <f t="shared" si="27"/>
        <v>16.088328075709779</v>
      </c>
      <c r="G38" s="1232">
        <f t="shared" si="28"/>
        <v>19.834710743801654</v>
      </c>
      <c r="H38" s="1232">
        <f t="shared" si="29"/>
        <v>19.512195121951219</v>
      </c>
      <c r="I38" s="1232">
        <f t="shared" si="30"/>
        <v>21.59468438538206</v>
      </c>
      <c r="J38" s="1232">
        <f t="shared" si="31"/>
        <v>24.451410658307211</v>
      </c>
      <c r="K38" s="1232">
        <f t="shared" si="32"/>
        <v>21.705426356589147</v>
      </c>
      <c r="L38" s="1232">
        <f t="shared" si="33"/>
        <v>24.880382775119617</v>
      </c>
      <c r="M38" s="1232">
        <f t="shared" si="34"/>
        <v>24.017467248908297</v>
      </c>
      <c r="N38" s="1232">
        <f t="shared" si="35"/>
        <v>28.044280442804425</v>
      </c>
      <c r="O38" s="1232">
        <f t="shared" si="36"/>
        <v>26.555023923444978</v>
      </c>
      <c r="P38" s="1232">
        <f t="shared" si="37"/>
        <v>23.78640776699029</v>
      </c>
      <c r="Q38" s="1232">
        <f t="shared" si="38"/>
        <v>20.56338028169014</v>
      </c>
      <c r="R38" s="1232">
        <f t="shared" si="39"/>
        <v>13.565891472868216</v>
      </c>
      <c r="S38" s="1232">
        <f t="shared" si="40"/>
        <v>8.1896551724137936</v>
      </c>
      <c r="V38" s="1227" t="s">
        <v>738</v>
      </c>
      <c r="W38" s="1232">
        <v>42</v>
      </c>
      <c r="X38" s="1232">
        <v>39</v>
      </c>
      <c r="Y38" s="1232">
        <v>36</v>
      </c>
      <c r="Z38" s="1232">
        <v>51</v>
      </c>
      <c r="AA38" s="1232">
        <v>72</v>
      </c>
      <c r="AB38" s="1232">
        <v>56</v>
      </c>
      <c r="AC38" s="1233">
        <v>65</v>
      </c>
      <c r="AD38" s="1233">
        <v>78</v>
      </c>
      <c r="AE38" s="1232">
        <v>56</v>
      </c>
      <c r="AF38" s="1232">
        <v>52</v>
      </c>
      <c r="AG38" s="1232">
        <f>11+15+29</f>
        <v>55</v>
      </c>
      <c r="AH38" s="1232">
        <f>14+24+38</f>
        <v>76</v>
      </c>
      <c r="AI38" s="1232">
        <f>22+35+54</f>
        <v>111</v>
      </c>
      <c r="AJ38" s="1232">
        <f>18+31+49</f>
        <v>98</v>
      </c>
      <c r="AK38" s="1227">
        <v>73</v>
      </c>
      <c r="AL38" s="1232">
        <v>35</v>
      </c>
      <c r="AM38" s="1227">
        <v>19</v>
      </c>
    </row>
    <row r="39" spans="1:40" ht="13.5" customHeight="1">
      <c r="A39" s="1234" t="s">
        <v>739</v>
      </c>
      <c r="C39" s="1232">
        <f t="shared" si="24"/>
        <v>0.67796610169491522</v>
      </c>
      <c r="D39" s="1232">
        <f t="shared" si="25"/>
        <v>1.079136690647482</v>
      </c>
      <c r="E39" s="1232">
        <f t="shared" si="26"/>
        <v>1.1627906976744187</v>
      </c>
      <c r="F39" s="1232">
        <f t="shared" si="27"/>
        <v>0.63091482649842268</v>
      </c>
      <c r="G39" s="1232">
        <f t="shared" si="28"/>
        <v>0.82644628099173556</v>
      </c>
      <c r="H39" s="1232">
        <f t="shared" si="29"/>
        <v>0</v>
      </c>
      <c r="I39" s="1232">
        <f t="shared" si="30"/>
        <v>0</v>
      </c>
      <c r="J39" s="1232">
        <f t="shared" si="31"/>
        <v>0</v>
      </c>
      <c r="K39" s="1232">
        <f t="shared" si="32"/>
        <v>0</v>
      </c>
      <c r="L39" s="1232">
        <f t="shared" si="33"/>
        <v>0</v>
      </c>
      <c r="M39" s="1232">
        <f t="shared" si="34"/>
        <v>0</v>
      </c>
      <c r="N39" s="1232">
        <f t="shared" si="35"/>
        <v>0</v>
      </c>
      <c r="O39" s="1232">
        <f t="shared" si="36"/>
        <v>0</v>
      </c>
      <c r="P39" s="1232">
        <f t="shared" si="37"/>
        <v>0.24271844660194172</v>
      </c>
      <c r="Q39" s="1232">
        <f t="shared" si="38"/>
        <v>0.28169014084507044</v>
      </c>
      <c r="R39" s="1232">
        <f t="shared" si="39"/>
        <v>0.38759689922480622</v>
      </c>
      <c r="S39" s="1232">
        <f t="shared" si="40"/>
        <v>0.43103448275862066</v>
      </c>
      <c r="V39" s="1234" t="s">
        <v>739</v>
      </c>
      <c r="W39" s="1232">
        <v>2</v>
      </c>
      <c r="X39" s="1232">
        <v>3</v>
      </c>
      <c r="Y39" s="1232">
        <v>3</v>
      </c>
      <c r="Z39" s="1232">
        <v>2</v>
      </c>
      <c r="AA39" s="1232">
        <v>3</v>
      </c>
      <c r="AB39" s="1232">
        <v>0</v>
      </c>
      <c r="AC39" s="1233">
        <v>0</v>
      </c>
      <c r="AD39" s="1233">
        <v>0</v>
      </c>
      <c r="AE39" s="1232">
        <v>0</v>
      </c>
      <c r="AF39" s="1232">
        <v>0</v>
      </c>
      <c r="AG39" s="1232">
        <v>0</v>
      </c>
      <c r="AH39" s="1232">
        <v>0</v>
      </c>
      <c r="AI39" s="1232">
        <v>0</v>
      </c>
      <c r="AJ39" s="1232">
        <v>1</v>
      </c>
      <c r="AK39" s="1227">
        <v>1</v>
      </c>
      <c r="AL39" s="1232">
        <v>1</v>
      </c>
      <c r="AM39" s="1227">
        <v>1</v>
      </c>
    </row>
    <row r="40" spans="1:40" ht="13.5" customHeight="1">
      <c r="A40" s="1234" t="s">
        <v>740</v>
      </c>
      <c r="C40" s="1232">
        <f t="shared" si="24"/>
        <v>3.3898305084745761</v>
      </c>
      <c r="D40" s="1232">
        <f t="shared" si="25"/>
        <v>4.6762589928057556</v>
      </c>
      <c r="E40" s="1232">
        <f t="shared" si="26"/>
        <v>5.4263565891472867</v>
      </c>
      <c r="F40" s="1232">
        <f t="shared" si="27"/>
        <v>6.9400630914826493</v>
      </c>
      <c r="G40" s="1232">
        <f t="shared" si="28"/>
        <v>4.9586776859504136</v>
      </c>
      <c r="H40" s="1232">
        <f t="shared" si="29"/>
        <v>10.801393728222997</v>
      </c>
      <c r="I40" s="1232">
        <f t="shared" si="30"/>
        <v>9.3023255813953494</v>
      </c>
      <c r="J40" s="1232">
        <f t="shared" si="31"/>
        <v>9.4043887147335425</v>
      </c>
      <c r="K40" s="1232">
        <f t="shared" si="32"/>
        <v>7.7519379844961236</v>
      </c>
      <c r="L40" s="1232">
        <f t="shared" si="33"/>
        <v>3.8277511961722488</v>
      </c>
      <c r="M40" s="1232">
        <f t="shared" si="34"/>
        <v>5.2401746724890828</v>
      </c>
      <c r="N40" s="1232">
        <f t="shared" si="35"/>
        <v>2.214022140221402</v>
      </c>
      <c r="O40" s="1232">
        <f t="shared" si="36"/>
        <v>4.3062200956937797</v>
      </c>
      <c r="P40" s="1232">
        <f t="shared" si="37"/>
        <v>4.6116504854368934</v>
      </c>
      <c r="Q40" s="1232">
        <f t="shared" si="38"/>
        <v>4.788732394366197</v>
      </c>
      <c r="R40" s="1232">
        <f t="shared" si="39"/>
        <v>5.4263565891472867</v>
      </c>
      <c r="S40" s="1232">
        <f t="shared" si="40"/>
        <v>3.4482758620689653</v>
      </c>
      <c r="V40" s="1234" t="s">
        <v>740</v>
      </c>
      <c r="W40" s="1232">
        <f>103-W39-W38-W37-W36-W35</f>
        <v>10</v>
      </c>
      <c r="X40" s="1232">
        <f>100-X35-X36-X37-X38-X39</f>
        <v>13</v>
      </c>
      <c r="Y40" s="1232">
        <f>98-Y39-Y38-Y37-Y36-Y35</f>
        <v>14</v>
      </c>
      <c r="Z40" s="1232">
        <f>128-Z39-Z38-Z37-Z36-Z35</f>
        <v>22</v>
      </c>
      <c r="AA40" s="1232">
        <f>156-AA39-AA38-AA37-AA36-AA35</f>
        <v>18</v>
      </c>
      <c r="AB40" s="1232">
        <f>137-AB39-AB38-AB37-AB36-AB35</f>
        <v>31</v>
      </c>
      <c r="AC40" s="1233">
        <f>138-AC39-AC38-AC37-AC36-AC35</f>
        <v>28</v>
      </c>
      <c r="AD40" s="1233">
        <f>156-AD39-AD38-AD37-AD36-AD35</f>
        <v>30</v>
      </c>
      <c r="AE40" s="1232">
        <f>117-AE39-AE38-AE37-AE36-AE35</f>
        <v>20</v>
      </c>
      <c r="AF40" s="1232">
        <f>87-AF39-AF38-AF37-AF36-AF35</f>
        <v>8</v>
      </c>
      <c r="AG40" s="1232">
        <f>93-AG39-AG38-AG37-AG36-AG35</f>
        <v>12</v>
      </c>
      <c r="AH40" s="1232">
        <f>115-AH38-AH37-AH36-AH35</f>
        <v>6</v>
      </c>
      <c r="AI40" s="1232">
        <f>188-AI35-AI36-AI37-AI38-AI39</f>
        <v>18</v>
      </c>
      <c r="AJ40" s="1232">
        <f>179-AJ35-AJ36-AJ37-AJ38-AJ39</f>
        <v>19</v>
      </c>
      <c r="AK40" s="1227">
        <v>17</v>
      </c>
      <c r="AL40" s="1232">
        <v>14</v>
      </c>
      <c r="AM40" s="1227">
        <f>64-(SUM(AM35:AM39))</f>
        <v>8</v>
      </c>
    </row>
    <row r="41" spans="1:40" ht="13.5" customHeight="1">
      <c r="A41" s="1230" t="s">
        <v>174</v>
      </c>
      <c r="C41" s="1232"/>
      <c r="D41" s="1232"/>
      <c r="E41" s="1232"/>
      <c r="F41" s="1232"/>
      <c r="G41" s="1232"/>
      <c r="H41" s="1232"/>
      <c r="I41" s="1232"/>
      <c r="J41" s="1232"/>
      <c r="K41" s="1232"/>
      <c r="L41" s="1232"/>
      <c r="M41" s="1232"/>
      <c r="N41" s="1232"/>
      <c r="O41" s="1232"/>
      <c r="P41" s="1232"/>
      <c r="Q41" s="1232"/>
      <c r="R41" s="1232"/>
      <c r="S41" s="1232"/>
      <c r="V41" s="1230" t="s">
        <v>174</v>
      </c>
      <c r="W41" s="1232"/>
      <c r="X41" s="1232"/>
      <c r="Y41" s="1232"/>
      <c r="Z41" s="1232"/>
      <c r="AA41" s="1232"/>
      <c r="AB41" s="1232"/>
      <c r="AC41" s="1233"/>
      <c r="AD41" s="1233"/>
      <c r="AE41" s="1232"/>
      <c r="AF41" s="1232"/>
      <c r="AG41" s="1232"/>
      <c r="AH41" s="1232"/>
      <c r="AI41" s="1232"/>
      <c r="AJ41" s="1232"/>
      <c r="AL41" s="1232"/>
    </row>
    <row r="42" spans="1:40" ht="13.5" customHeight="1">
      <c r="A42" s="1234" t="s">
        <v>741</v>
      </c>
      <c r="C42" s="1232">
        <f>W42/$W$53*100</f>
        <v>1.3559322033898304</v>
      </c>
      <c r="D42" s="1232">
        <f>X42/$X$53*100</f>
        <v>0.71942446043165476</v>
      </c>
      <c r="E42" s="1232">
        <f>Y42/$Y$53*100</f>
        <v>2.3255813953488373</v>
      </c>
      <c r="F42" s="1232">
        <f>Z42/$Z$53*100</f>
        <v>1.8927444794952681</v>
      </c>
      <c r="G42" s="1232">
        <f>AA42/$AA$53*100</f>
        <v>3.8567493112947657</v>
      </c>
      <c r="H42" s="1232">
        <f>AB42/$AB$53*100</f>
        <v>4.8780487804878048</v>
      </c>
      <c r="I42" s="1232">
        <f>AC42/$AC$53*100</f>
        <v>6.3122923588039868</v>
      </c>
      <c r="J42" s="1232">
        <f>AD42/$AD$53*100</f>
        <v>5.3291536050156738</v>
      </c>
      <c r="K42" s="1232">
        <f>AE42/$AE$53*100</f>
        <v>4.6511627906976747</v>
      </c>
      <c r="L42" s="1232">
        <f>AF42/$AF$53*100</f>
        <v>2.3923444976076556</v>
      </c>
      <c r="M42" s="1232">
        <f>AG42/$AG$53*100</f>
        <v>3.9301310043668125</v>
      </c>
      <c r="N42" s="1232">
        <f>AH42/$AH$53*100</f>
        <v>3.3210332103321036</v>
      </c>
      <c r="O42" s="1232">
        <f>AI42/$AI$53*100</f>
        <v>3.8277511961722488</v>
      </c>
      <c r="P42" s="1232">
        <f>AJ42/$AJ$53*100</f>
        <v>3.6407766990291259</v>
      </c>
      <c r="Q42" s="1232">
        <f>AK42/$AK$53*100</f>
        <v>2.8169014084507045</v>
      </c>
      <c r="R42" s="1232">
        <f>AL42/$AL$53*100</f>
        <v>3.1007751937984498</v>
      </c>
      <c r="S42" s="1232">
        <f>AM42/$AM$53*100</f>
        <v>6.0344827586206895</v>
      </c>
      <c r="V42" s="1234" t="s">
        <v>741</v>
      </c>
      <c r="W42" s="1232">
        <v>4</v>
      </c>
      <c r="X42" s="1232">
        <v>2</v>
      </c>
      <c r="Y42" s="1232">
        <v>6</v>
      </c>
      <c r="Z42" s="1232">
        <v>6</v>
      </c>
      <c r="AA42" s="1232">
        <v>14</v>
      </c>
      <c r="AB42" s="1232">
        <v>14</v>
      </c>
      <c r="AC42" s="1233">
        <v>19</v>
      </c>
      <c r="AD42" s="1233">
        <v>17</v>
      </c>
      <c r="AE42" s="1232">
        <v>12</v>
      </c>
      <c r="AF42" s="1232">
        <v>5</v>
      </c>
      <c r="AG42" s="1232">
        <v>9</v>
      </c>
      <c r="AH42" s="1232">
        <v>9</v>
      </c>
      <c r="AI42" s="1232">
        <v>16</v>
      </c>
      <c r="AJ42" s="1232">
        <v>15</v>
      </c>
      <c r="AK42" s="1227">
        <v>10</v>
      </c>
      <c r="AL42" s="1232">
        <v>8</v>
      </c>
      <c r="AM42" s="1227">
        <v>14</v>
      </c>
    </row>
    <row r="43" spans="1:40" ht="13.5" customHeight="1">
      <c r="A43" s="1234" t="s">
        <v>742</v>
      </c>
      <c r="C43" s="1232">
        <f>W43/$W$53*100</f>
        <v>8.1355932203389827</v>
      </c>
      <c r="D43" s="1232">
        <f>X43/$X$53*100</f>
        <v>11.870503597122301</v>
      </c>
      <c r="E43" s="1232">
        <f>Y43/$Y$53*100</f>
        <v>7.7519379844961236</v>
      </c>
      <c r="F43" s="1232">
        <f>Z43/$Z$53*100</f>
        <v>8.8328075709779181</v>
      </c>
      <c r="G43" s="1232">
        <f>AA43/$AA$53*100</f>
        <v>4.9586776859504136</v>
      </c>
      <c r="H43" s="1232">
        <f>AB43/$AB$53*100</f>
        <v>4.8780487804878048</v>
      </c>
      <c r="I43" s="1232">
        <f>AC43/$AC$53*100</f>
        <v>3.322259136212625</v>
      </c>
      <c r="J43" s="1232">
        <f>AD43/$AD$53*100</f>
        <v>3.1347962382445136</v>
      </c>
      <c r="K43" s="1232">
        <f>AE43/$AE$53*100</f>
        <v>3.8759689922480618</v>
      </c>
      <c r="L43" s="1232">
        <f>AF43/$AF$53*100</f>
        <v>6.6985645933014357</v>
      </c>
      <c r="M43" s="1232">
        <f>AG43/$AG$53*100</f>
        <v>4.8034934497816595</v>
      </c>
      <c r="N43" s="1232">
        <f>AH43/$AH$53*100</f>
        <v>4.7970479704797047</v>
      </c>
      <c r="O43" s="1232">
        <f>AI43/$AI$53*100</f>
        <v>5.0239234449760763</v>
      </c>
      <c r="P43" s="1232">
        <f>AJ43/$AJ$53*100</f>
        <v>4.3689320388349513</v>
      </c>
      <c r="Q43" s="1232">
        <f>AK43/$AK$53*100</f>
        <v>4.225352112676056</v>
      </c>
      <c r="R43" s="1232">
        <f>AL43/$AL$53*100</f>
        <v>4.6511627906976747</v>
      </c>
      <c r="S43" s="1232">
        <f>AM43/$AM$53*100</f>
        <v>5.1724137931034484</v>
      </c>
      <c r="V43" s="1234" t="s">
        <v>742</v>
      </c>
      <c r="W43" s="1232">
        <v>24</v>
      </c>
      <c r="X43" s="1232">
        <v>33</v>
      </c>
      <c r="Y43" s="1232">
        <v>20</v>
      </c>
      <c r="Z43" s="1232">
        <v>28</v>
      </c>
      <c r="AA43" s="1232">
        <v>18</v>
      </c>
      <c r="AB43" s="1232">
        <v>14</v>
      </c>
      <c r="AC43" s="1233">
        <v>10</v>
      </c>
      <c r="AD43" s="1233">
        <v>10</v>
      </c>
      <c r="AE43" s="1232">
        <v>10</v>
      </c>
      <c r="AF43" s="1232">
        <v>14</v>
      </c>
      <c r="AG43" s="1232">
        <v>11</v>
      </c>
      <c r="AH43" s="1232">
        <v>13</v>
      </c>
      <c r="AI43" s="1232">
        <v>21</v>
      </c>
      <c r="AJ43" s="1232">
        <v>18</v>
      </c>
      <c r="AK43" s="1227">
        <v>15</v>
      </c>
      <c r="AL43" s="1232">
        <v>12</v>
      </c>
      <c r="AM43" s="1227">
        <f>26-14</f>
        <v>12</v>
      </c>
    </row>
    <row r="44" spans="1:40" ht="13.5" customHeight="1">
      <c r="A44" s="1230" t="s">
        <v>211</v>
      </c>
      <c r="C44" s="1232"/>
      <c r="D44" s="1232"/>
      <c r="E44" s="1232"/>
      <c r="F44" s="1232"/>
      <c r="G44" s="1232"/>
      <c r="H44" s="1232"/>
      <c r="I44" s="1232"/>
      <c r="J44" s="1232"/>
      <c r="K44" s="1232"/>
      <c r="L44" s="1232"/>
      <c r="M44" s="1232"/>
      <c r="N44" s="1232"/>
      <c r="O44" s="1232"/>
      <c r="P44" s="1232"/>
      <c r="Q44" s="1232"/>
      <c r="R44" s="1232"/>
      <c r="S44" s="1232"/>
      <c r="V44" s="1230" t="s">
        <v>743</v>
      </c>
      <c r="W44" s="1232"/>
      <c r="X44" s="1232"/>
      <c r="Y44" s="1232"/>
      <c r="Z44" s="1232"/>
      <c r="AA44" s="1232"/>
      <c r="AB44" s="1232"/>
      <c r="AC44" s="1233"/>
      <c r="AD44" s="1233"/>
      <c r="AE44" s="1232"/>
      <c r="AF44" s="1232"/>
      <c r="AG44" s="1232"/>
      <c r="AH44" s="1232"/>
      <c r="AI44" s="1232"/>
      <c r="AJ44" s="1232"/>
      <c r="AL44" s="1232"/>
    </row>
    <row r="45" spans="1:40" ht="13.5" customHeight="1">
      <c r="A45" s="1234" t="s">
        <v>744</v>
      </c>
      <c r="C45" s="1232">
        <f>W45/$W$53*100</f>
        <v>2.0338983050847457</v>
      </c>
      <c r="D45" s="1232">
        <f>X45/$X$53*100</f>
        <v>2.5179856115107913</v>
      </c>
      <c r="E45" s="1232">
        <f>Y45/$Y$53*100</f>
        <v>2.7131782945736433</v>
      </c>
      <c r="F45" s="1232">
        <f>Z45/$Z$53*100</f>
        <v>2.2082018927444795</v>
      </c>
      <c r="G45" s="1232">
        <f>AA45/$AA$53*100</f>
        <v>2.4793388429752068</v>
      </c>
      <c r="H45" s="1232">
        <f>AB45/$AB$53*100</f>
        <v>3.8327526132404177</v>
      </c>
      <c r="I45" s="1232">
        <f>AC45/$AC$53*100</f>
        <v>2.6578073089700998</v>
      </c>
      <c r="J45" s="1232">
        <f>AD45/$AD$53*100</f>
        <v>2.507836990595611</v>
      </c>
      <c r="K45" s="1232">
        <f>AE45/$AE$53*100</f>
        <v>5.0387596899224807</v>
      </c>
      <c r="L45" s="1232">
        <f>AF45/$AF$53*100</f>
        <v>3.3492822966507179</v>
      </c>
      <c r="M45" s="1232">
        <f>AG45/$AG$53*100</f>
        <v>5.2401746724890828</v>
      </c>
      <c r="N45" s="1232">
        <f>AH45/$AH$53*100</f>
        <v>8.8560885608856079</v>
      </c>
      <c r="O45" s="1232">
        <f>AI45/$AI$53*100</f>
        <v>9.5693779904306222</v>
      </c>
      <c r="P45" s="1232">
        <f>AJ45/$AJ$53*100</f>
        <v>10.679611650485436</v>
      </c>
      <c r="Q45" s="1232">
        <f>AK45/$AK$53*100</f>
        <v>16.901408450704224</v>
      </c>
      <c r="R45" s="1232">
        <f>AL45/$AL$53*100</f>
        <v>20.155038759689923</v>
      </c>
      <c r="S45" s="1232">
        <f>AM45/$AM$53*100</f>
        <v>25.431034482758619</v>
      </c>
      <c r="V45" s="1234" t="s">
        <v>1286</v>
      </c>
      <c r="W45" s="1232">
        <v>6</v>
      </c>
      <c r="X45" s="1232">
        <v>7</v>
      </c>
      <c r="Y45" s="1232">
        <v>7</v>
      </c>
      <c r="Z45" s="1232">
        <v>7</v>
      </c>
      <c r="AA45" s="1232">
        <v>9</v>
      </c>
      <c r="AB45" s="1232">
        <v>11</v>
      </c>
      <c r="AC45" s="1233">
        <v>8</v>
      </c>
      <c r="AD45" s="1233">
        <v>8</v>
      </c>
      <c r="AE45" s="1232">
        <v>13</v>
      </c>
      <c r="AF45" s="1232">
        <v>7</v>
      </c>
      <c r="AG45" s="1232">
        <v>12</v>
      </c>
      <c r="AH45" s="1232">
        <v>24</v>
      </c>
      <c r="AI45" s="1232">
        <v>40</v>
      </c>
      <c r="AJ45" s="1232">
        <v>44</v>
      </c>
      <c r="AK45" s="1227">
        <v>60</v>
      </c>
      <c r="AL45" s="1232">
        <v>52</v>
      </c>
      <c r="AM45" s="1227">
        <v>59</v>
      </c>
    </row>
    <row r="46" spans="1:40" ht="13.5" customHeight="1">
      <c r="A46" s="1234" t="s">
        <v>745</v>
      </c>
      <c r="C46" s="1232">
        <f>W46/$W$53*100</f>
        <v>11.186440677966102</v>
      </c>
      <c r="D46" s="1232">
        <f>X46/$X$53*100</f>
        <v>9.7122302158273381</v>
      </c>
      <c r="E46" s="1232">
        <f>Y46/$Y$53*100</f>
        <v>9.6899224806201563</v>
      </c>
      <c r="F46" s="1232">
        <f>Z46/$Z$53*100</f>
        <v>8.517350157728707</v>
      </c>
      <c r="G46" s="1232">
        <f>AA46/$AA$53*100</f>
        <v>7.9889807162534439</v>
      </c>
      <c r="H46" s="1232">
        <f>AB46/$AB$53*100</f>
        <v>9.4076655052264808</v>
      </c>
      <c r="I46" s="1232">
        <f>AC46/$AC$53*100</f>
        <v>7.6411960132890364</v>
      </c>
      <c r="J46" s="1232">
        <f>AD46/$AD$53*100</f>
        <v>6.8965517241379306</v>
      </c>
      <c r="K46" s="1232">
        <f>AE46/$AE$53*100</f>
        <v>5.0387596899224807</v>
      </c>
      <c r="L46" s="1232">
        <f>AF46/$AF$53*100</f>
        <v>4.3062200956937797</v>
      </c>
      <c r="M46" s="1232">
        <f>AG46/$AG$53*100</f>
        <v>6.1135371179039302</v>
      </c>
      <c r="N46" s="1232">
        <f>AH46/$AH$53*100</f>
        <v>4.7970479704797047</v>
      </c>
      <c r="O46" s="1232">
        <f>AI46/$AI$53*100</f>
        <v>6.937799043062201</v>
      </c>
      <c r="P46" s="1232">
        <f>AJ46/$AJ$53*100</f>
        <v>7.7669902912621351</v>
      </c>
      <c r="Q46" s="1232">
        <f>AK46/$AK$53*100</f>
        <v>6.7605633802816891</v>
      </c>
      <c r="R46" s="1232">
        <f>AL46/$AL$53*100</f>
        <v>5.8139534883720927</v>
      </c>
      <c r="S46" s="1232">
        <f>AM46/$AM$53*100</f>
        <v>6.0344827586206895</v>
      </c>
      <c r="V46" s="1234" t="s">
        <v>745</v>
      </c>
      <c r="W46" s="1232">
        <v>33</v>
      </c>
      <c r="X46" s="1232">
        <v>27</v>
      </c>
      <c r="Y46" s="1232">
        <v>25</v>
      </c>
      <c r="Z46" s="1232">
        <v>27</v>
      </c>
      <c r="AA46" s="1232">
        <v>29</v>
      </c>
      <c r="AB46" s="1232">
        <v>27</v>
      </c>
      <c r="AC46" s="1233">
        <v>23</v>
      </c>
      <c r="AD46" s="1233">
        <v>22</v>
      </c>
      <c r="AE46" s="1232">
        <v>13</v>
      </c>
      <c r="AF46" s="1232">
        <v>9</v>
      </c>
      <c r="AG46" s="1232">
        <v>14</v>
      </c>
      <c r="AH46" s="1232">
        <v>13</v>
      </c>
      <c r="AI46" s="1232">
        <v>29</v>
      </c>
      <c r="AJ46" s="1232">
        <v>32</v>
      </c>
      <c r="AK46" s="1227">
        <v>24</v>
      </c>
      <c r="AL46" s="1232">
        <v>15</v>
      </c>
      <c r="AM46" s="1227">
        <v>14</v>
      </c>
    </row>
    <row r="47" spans="1:40" ht="13.5" customHeight="1">
      <c r="A47" s="1234" t="s">
        <v>746</v>
      </c>
      <c r="C47" s="1232">
        <f>W47/$W$53*100</f>
        <v>4.0677966101694913</v>
      </c>
      <c r="D47" s="1232">
        <f>X47/$X$53*100</f>
        <v>1.7985611510791366</v>
      </c>
      <c r="E47" s="1232">
        <f>Y47/$Y$53*100</f>
        <v>2.3255813953488373</v>
      </c>
      <c r="F47" s="1232">
        <f>Z47/$Z$53*100</f>
        <v>3.4700315457413247</v>
      </c>
      <c r="G47" s="1232">
        <f>AA47/$AA$53*100</f>
        <v>6.0606060606060606</v>
      </c>
      <c r="H47" s="1232">
        <f>AB47/$AB$53*100</f>
        <v>1.0452961672473868</v>
      </c>
      <c r="I47" s="1232">
        <f>AC47/$AC$53*100</f>
        <v>2.3255813953488373</v>
      </c>
      <c r="J47" s="1232">
        <f>AD47/$AD$53*100</f>
        <v>3.1347962382445136</v>
      </c>
      <c r="K47" s="1232">
        <f>AE47/$AE$53*100</f>
        <v>1.9379844961240309</v>
      </c>
      <c r="L47" s="1232">
        <f>AF47/$AF$53*100</f>
        <v>6.6985645933014357</v>
      </c>
      <c r="M47" s="1232">
        <f>AG47/$AG$53*100</f>
        <v>7.860262008733625</v>
      </c>
      <c r="N47" s="1232">
        <f>AH47/$AH$53*100</f>
        <v>13.284132841328415</v>
      </c>
      <c r="O47" s="1232">
        <f>AI47/$AI$53*100</f>
        <v>16.507177033492823</v>
      </c>
      <c r="P47" s="1232">
        <f>AJ47/$AJ$53*100</f>
        <v>17.718446601941746</v>
      </c>
      <c r="Q47" s="1232">
        <f>AK47/$AK$53*100</f>
        <v>19.718309859154928</v>
      </c>
      <c r="R47" s="1232">
        <f>AL47/$AL$53*100</f>
        <v>23.255813953488371</v>
      </c>
      <c r="S47" s="1232">
        <f>AM47/$AM$53*100</f>
        <v>7.7586206896551726</v>
      </c>
      <c r="V47" s="1234" t="s">
        <v>1290</v>
      </c>
      <c r="W47" s="1232">
        <v>12</v>
      </c>
      <c r="X47" s="1232">
        <v>5</v>
      </c>
      <c r="Y47" s="1232">
        <v>6</v>
      </c>
      <c r="Z47" s="1232">
        <v>11</v>
      </c>
      <c r="AA47" s="1232">
        <v>22</v>
      </c>
      <c r="AB47" s="1232">
        <v>3</v>
      </c>
      <c r="AC47" s="1233">
        <v>7</v>
      </c>
      <c r="AD47" s="1233">
        <v>10</v>
      </c>
      <c r="AE47" s="1232">
        <v>5</v>
      </c>
      <c r="AF47" s="1232">
        <v>14</v>
      </c>
      <c r="AG47" s="1232">
        <v>18</v>
      </c>
      <c r="AH47" s="1232">
        <v>36</v>
      </c>
      <c r="AI47" s="1232">
        <v>69</v>
      </c>
      <c r="AJ47" s="1232">
        <v>73</v>
      </c>
      <c r="AK47" s="1227">
        <v>70</v>
      </c>
      <c r="AL47" s="1232">
        <v>60</v>
      </c>
      <c r="AM47" s="1227">
        <v>18</v>
      </c>
    </row>
    <row r="48" spans="1:40" ht="13.5" customHeight="1">
      <c r="A48" s="1230" t="s">
        <v>747</v>
      </c>
      <c r="C48" s="1232"/>
      <c r="D48" s="1232"/>
      <c r="E48" s="1232"/>
      <c r="F48" s="1232"/>
      <c r="G48" s="1232"/>
      <c r="H48" s="1232"/>
      <c r="I48" s="1232"/>
      <c r="J48" s="1232"/>
      <c r="K48" s="1232"/>
      <c r="L48" s="1232"/>
      <c r="M48" s="1232"/>
      <c r="N48" s="1232"/>
      <c r="O48" s="1232"/>
      <c r="P48" s="1232"/>
      <c r="Q48" s="1232"/>
      <c r="R48" s="1232"/>
      <c r="S48" s="1232"/>
      <c r="V48" s="1230" t="s">
        <v>747</v>
      </c>
      <c r="W48" s="1232"/>
      <c r="X48" s="1232"/>
      <c r="Y48" s="1232"/>
      <c r="Z48" s="1232"/>
      <c r="AA48" s="1232"/>
      <c r="AB48" s="1232"/>
      <c r="AC48" s="1233"/>
      <c r="AD48" s="1233"/>
      <c r="AE48" s="1232"/>
      <c r="AF48" s="1232"/>
      <c r="AG48" s="1232"/>
      <c r="AH48" s="1232"/>
      <c r="AI48" s="1232"/>
      <c r="AJ48" s="1232"/>
      <c r="AL48" s="1232"/>
    </row>
    <row r="49" spans="1:40" ht="16">
      <c r="A49" s="1234" t="s">
        <v>748</v>
      </c>
      <c r="C49" s="1232">
        <f>W49/$W$53*100</f>
        <v>11.864406779661017</v>
      </c>
      <c r="D49" s="1232">
        <f>X49/$X$53*100</f>
        <v>11.870503597122301</v>
      </c>
      <c r="E49" s="1232">
        <f>Y49/$Y$53*100</f>
        <v>13.178294573643413</v>
      </c>
      <c r="F49" s="1232">
        <f>Z49/$Z$53*100</f>
        <v>9.7791798107255516</v>
      </c>
      <c r="G49" s="1232">
        <f>AA49/$AA$53*100</f>
        <v>8.8154269972451793</v>
      </c>
      <c r="H49" s="1232">
        <f>AB49/$AB$53*100</f>
        <v>7.6655052264808354</v>
      </c>
      <c r="I49" s="1232">
        <f>AC49/$AC$53*100</f>
        <v>6.3122923588039868</v>
      </c>
      <c r="J49" s="1232">
        <f>AD49/$AD$53*100</f>
        <v>5.9561128526645764</v>
      </c>
      <c r="K49" s="1232">
        <f>AE49/$AE$53*100</f>
        <v>8.1395348837209305</v>
      </c>
      <c r="L49" s="1232">
        <f>AF49/$AF$53*100</f>
        <v>9.5693779904306222</v>
      </c>
      <c r="M49" s="1232">
        <f>AG49/$AG$53*100</f>
        <v>6.9868995633187767</v>
      </c>
      <c r="N49" s="1232">
        <f>AH49/$AH$53*100</f>
        <v>4.428044280442804</v>
      </c>
      <c r="O49" s="1232">
        <f>AI49/$AI$53*100</f>
        <v>2.8708133971291865</v>
      </c>
      <c r="P49" s="1232">
        <f>AJ49/$AJ$53*100</f>
        <v>2.6699029126213589</v>
      </c>
      <c r="Q49" s="1232">
        <f>AK49/$AK$53*100</f>
        <v>2.8169014084507045</v>
      </c>
      <c r="R49" s="1233" t="s">
        <v>246</v>
      </c>
      <c r="S49" s="1233" t="s">
        <v>246</v>
      </c>
      <c r="V49" s="1234" t="s">
        <v>748</v>
      </c>
      <c r="W49" s="1232">
        <v>35</v>
      </c>
      <c r="X49" s="1232">
        <v>33</v>
      </c>
      <c r="Y49" s="1232">
        <v>34</v>
      </c>
      <c r="Z49" s="1232">
        <v>31</v>
      </c>
      <c r="AA49" s="1232">
        <v>32</v>
      </c>
      <c r="AB49" s="1232">
        <v>22</v>
      </c>
      <c r="AC49" s="1233">
        <v>19</v>
      </c>
      <c r="AD49" s="1233">
        <v>19</v>
      </c>
      <c r="AE49" s="1232">
        <v>21</v>
      </c>
      <c r="AF49" s="1232">
        <v>20</v>
      </c>
      <c r="AG49" s="1232">
        <v>16</v>
      </c>
      <c r="AH49" s="1232">
        <v>12</v>
      </c>
      <c r="AI49" s="1232">
        <v>12</v>
      </c>
      <c r="AJ49" s="1232">
        <v>11</v>
      </c>
      <c r="AK49" s="1227">
        <v>10</v>
      </c>
      <c r="AL49" s="1233">
        <v>6</v>
      </c>
      <c r="AM49" s="1228" t="s">
        <v>2314</v>
      </c>
      <c r="AN49" s="1228"/>
    </row>
    <row r="50" spans="1:40" ht="13.5" customHeight="1">
      <c r="A50" s="1234" t="s">
        <v>749</v>
      </c>
      <c r="C50" s="1232">
        <f>W50/$W$53*100</f>
        <v>24.745762711864408</v>
      </c>
      <c r="D50" s="1232">
        <f>X50/$X$53*100</f>
        <v>23.021582733812952</v>
      </c>
      <c r="E50" s="1232">
        <f>Y50/$Y$53*100</f>
        <v>21.705426356589147</v>
      </c>
      <c r="F50" s="1232">
        <f>Z50/$Z$53*100</f>
        <v>22.712933753943219</v>
      </c>
      <c r="G50" s="1232">
        <f>AA50/$AA$53*100</f>
        <v>21.212121212121211</v>
      </c>
      <c r="H50" s="1232">
        <f>AB50/$AB$53*100</f>
        <v>18.815331010452962</v>
      </c>
      <c r="I50" s="1232">
        <f>AC50/$AC$53*100</f>
        <v>23.255813953488371</v>
      </c>
      <c r="J50" s="1232">
        <f>AD50/$AD$53*100</f>
        <v>21.9435736677116</v>
      </c>
      <c r="K50" s="1232">
        <f>AE50/$AE$53*100</f>
        <v>24.031007751937985</v>
      </c>
      <c r="L50" s="1232">
        <f>AF50/$AF$53*100</f>
        <v>23.923444976076556</v>
      </c>
      <c r="M50" s="1232">
        <f>AG50/$AG$53*100</f>
        <v>21.834061135371179</v>
      </c>
      <c r="N50" s="1232">
        <f>AH50/$AH$53*100</f>
        <v>17.343173431734318</v>
      </c>
      <c r="O50" s="1232">
        <f>AI50/$AI$53*100</f>
        <v>10.047846889952153</v>
      </c>
      <c r="P50" s="1232">
        <f>AJ50/$AJ$53*100</f>
        <v>9.7087378640776691</v>
      </c>
      <c r="Q50" s="1232">
        <f>AK50/$AK$53*100</f>
        <v>7.042253521126761</v>
      </c>
      <c r="R50" s="1232">
        <f>AL50/$AL$53*100</f>
        <v>8.5271317829457356</v>
      </c>
      <c r="S50" s="1232">
        <f>AM50/$AM$53*100</f>
        <v>6.8965517241379306</v>
      </c>
      <c r="V50" s="1234" t="s">
        <v>749</v>
      </c>
      <c r="W50" s="1232">
        <v>73</v>
      </c>
      <c r="X50" s="1232">
        <v>64</v>
      </c>
      <c r="Y50" s="1232">
        <v>56</v>
      </c>
      <c r="Z50" s="1232">
        <v>72</v>
      </c>
      <c r="AA50" s="1232">
        <v>77</v>
      </c>
      <c r="AB50" s="1232">
        <v>54</v>
      </c>
      <c r="AC50" s="1233">
        <v>70</v>
      </c>
      <c r="AD50" s="1233">
        <v>70</v>
      </c>
      <c r="AE50" s="1232">
        <v>62</v>
      </c>
      <c r="AF50" s="1232">
        <v>50</v>
      </c>
      <c r="AG50" s="1232">
        <v>50</v>
      </c>
      <c r="AH50" s="1232">
        <v>47</v>
      </c>
      <c r="AI50" s="1232">
        <v>42</v>
      </c>
      <c r="AJ50" s="1232">
        <v>40</v>
      </c>
      <c r="AK50" s="1227">
        <v>25</v>
      </c>
      <c r="AL50" s="1232">
        <v>22</v>
      </c>
      <c r="AM50" s="1227">
        <v>16</v>
      </c>
    </row>
    <row r="51" spans="1:40" ht="13.5" customHeight="1">
      <c r="A51" s="1230" t="s">
        <v>221</v>
      </c>
      <c r="C51" s="1232"/>
      <c r="D51" s="1232"/>
      <c r="E51" s="1232"/>
      <c r="F51" s="1232"/>
      <c r="G51" s="1232"/>
      <c r="H51" s="1232"/>
      <c r="I51" s="1232"/>
      <c r="J51" s="1232"/>
      <c r="K51" s="1232"/>
      <c r="L51" s="1232"/>
      <c r="M51" s="1232"/>
      <c r="N51" s="1232"/>
      <c r="O51" s="1232"/>
      <c r="P51" s="1232"/>
      <c r="Q51" s="1232"/>
      <c r="R51" s="1232"/>
      <c r="S51" s="1232"/>
      <c r="V51" s="1230" t="s">
        <v>750</v>
      </c>
      <c r="W51" s="1232"/>
      <c r="X51" s="1232"/>
      <c r="Y51" s="1232"/>
      <c r="Z51" s="1232"/>
      <c r="AA51" s="1232"/>
      <c r="AB51" s="1232"/>
      <c r="AC51" s="1233"/>
      <c r="AD51" s="1233"/>
      <c r="AE51" s="1232"/>
      <c r="AF51" s="1232"/>
      <c r="AG51" s="1232"/>
      <c r="AH51" s="1232"/>
      <c r="AI51" s="1232"/>
      <c r="AJ51" s="1232"/>
      <c r="AL51" s="1232"/>
    </row>
    <row r="52" spans="1:40" ht="13.5" customHeight="1">
      <c r="A52" s="1234" t="s">
        <v>12</v>
      </c>
      <c r="C52" s="1232">
        <f>W52/$W$53*100</f>
        <v>1.6949152542372881</v>
      </c>
      <c r="D52" s="1232">
        <f>X52/$X$53*100</f>
        <v>2.5179856115107913</v>
      </c>
      <c r="E52" s="1232">
        <f>Y52/$Y$53*100</f>
        <v>2.3255813953488373</v>
      </c>
      <c r="F52" s="1232">
        <f>Z52/$Z$53*100</f>
        <v>2.2082018927444795</v>
      </c>
      <c r="G52" s="1232">
        <f>AA52/$AA$53*100</f>
        <v>1.6528925619834711</v>
      </c>
      <c r="H52" s="1232">
        <f>AB52/$AB$53*100</f>
        <v>1.7421602787456445</v>
      </c>
      <c r="I52" s="1232">
        <f>AC52/$AC$53*100</f>
        <v>2.3255813953488373</v>
      </c>
      <c r="J52" s="1232">
        <f>AD52/$AD$53*100</f>
        <v>2.1943573667711598</v>
      </c>
      <c r="K52" s="1232">
        <f>AE52/$AE$53*100</f>
        <v>1.9379844961240309</v>
      </c>
      <c r="L52" s="1232">
        <f>AF52/$AF$53*100</f>
        <v>1.4354066985645932</v>
      </c>
      <c r="M52" s="1232">
        <f>AG52/$AG$53*100</f>
        <v>2.6200873362445414</v>
      </c>
      <c r="N52" s="1232">
        <f>AH52/$AH$53*100</f>
        <v>0.73800738007380073</v>
      </c>
      <c r="O52" s="1232">
        <f>AI52/$AI$53*100</f>
        <v>0.23923444976076555</v>
      </c>
      <c r="P52" s="1232">
        <f>AJ52/$AJ$53*100</f>
        <v>0</v>
      </c>
      <c r="Q52" s="1232">
        <f>AK52/$AK$53*100</f>
        <v>0</v>
      </c>
      <c r="R52" s="1232">
        <f>AL52/$AL$53*100</f>
        <v>0</v>
      </c>
      <c r="S52" s="1232">
        <f>AM52/$AM$53*100</f>
        <v>15.086206896551724</v>
      </c>
      <c r="V52" s="1234" t="s">
        <v>12</v>
      </c>
      <c r="W52" s="1232">
        <v>5</v>
      </c>
      <c r="X52" s="1232">
        <v>7</v>
      </c>
      <c r="Y52" s="1232">
        <v>6</v>
      </c>
      <c r="Z52" s="1232">
        <v>7</v>
      </c>
      <c r="AA52" s="1232">
        <v>6</v>
      </c>
      <c r="AB52" s="1232">
        <v>5</v>
      </c>
      <c r="AC52" s="1233">
        <v>7</v>
      </c>
      <c r="AD52" s="1233">
        <v>7</v>
      </c>
      <c r="AE52" s="1232">
        <v>5</v>
      </c>
      <c r="AF52" s="1232">
        <v>3</v>
      </c>
      <c r="AG52" s="1232">
        <v>6</v>
      </c>
      <c r="AH52" s="1232">
        <v>2</v>
      </c>
      <c r="AI52" s="1232">
        <v>1</v>
      </c>
      <c r="AJ52" s="1232">
        <v>0</v>
      </c>
      <c r="AK52" s="1227">
        <v>0</v>
      </c>
      <c r="AL52" s="1232">
        <v>0</v>
      </c>
      <c r="AM52" s="1227">
        <f>232-(SUM(AM35:AM50))</f>
        <v>35</v>
      </c>
    </row>
    <row r="53" spans="1:40" ht="13.5" customHeight="1">
      <c r="A53" s="1237" t="s">
        <v>16</v>
      </c>
      <c r="C53" s="1232">
        <f t="shared" ref="C53:Q53" si="41">SUM(C35:C52)</f>
        <v>100</v>
      </c>
      <c r="D53" s="1232">
        <f t="shared" si="41"/>
        <v>100</v>
      </c>
      <c r="E53" s="1232">
        <f t="shared" si="41"/>
        <v>100</v>
      </c>
      <c r="F53" s="1232">
        <f t="shared" si="41"/>
        <v>100</v>
      </c>
      <c r="G53" s="1232">
        <f t="shared" si="41"/>
        <v>100.00000000000001</v>
      </c>
      <c r="H53" s="1232">
        <f t="shared" si="41"/>
        <v>99.999999999999986</v>
      </c>
      <c r="I53" s="1232">
        <f t="shared" si="41"/>
        <v>100</v>
      </c>
      <c r="J53" s="1232">
        <f t="shared" si="41"/>
        <v>100.00000000000001</v>
      </c>
      <c r="K53" s="1232">
        <f t="shared" si="41"/>
        <v>99.999999999999986</v>
      </c>
      <c r="L53" s="1232">
        <f t="shared" si="41"/>
        <v>100</v>
      </c>
      <c r="M53" s="1232">
        <f t="shared" si="41"/>
        <v>99.999999999999986</v>
      </c>
      <c r="N53" s="1232">
        <f t="shared" si="41"/>
        <v>99.999999999999986</v>
      </c>
      <c r="O53" s="1232">
        <f t="shared" si="41"/>
        <v>100.00000000000001</v>
      </c>
      <c r="P53" s="1232">
        <f t="shared" si="41"/>
        <v>100</v>
      </c>
      <c r="Q53" s="1232">
        <f t="shared" si="41"/>
        <v>100.00000000000001</v>
      </c>
      <c r="R53" s="1232">
        <f>AL53/$AL$53*100</f>
        <v>100</v>
      </c>
      <c r="S53" s="1232">
        <f>AM53/$AM$53*100</f>
        <v>100</v>
      </c>
      <c r="V53" s="1235" t="s">
        <v>16</v>
      </c>
      <c r="W53" s="1235">
        <f t="shared" ref="W53:AM53" si="42">SUM(W35:W52)</f>
        <v>295</v>
      </c>
      <c r="X53" s="1235">
        <f t="shared" si="42"/>
        <v>278</v>
      </c>
      <c r="Y53" s="1235">
        <f t="shared" si="42"/>
        <v>258</v>
      </c>
      <c r="Z53" s="1235">
        <f t="shared" si="42"/>
        <v>317</v>
      </c>
      <c r="AA53" s="1235">
        <f t="shared" si="42"/>
        <v>363</v>
      </c>
      <c r="AB53" s="1235">
        <f t="shared" si="42"/>
        <v>287</v>
      </c>
      <c r="AC53" s="1242">
        <f t="shared" si="42"/>
        <v>301</v>
      </c>
      <c r="AD53" s="1242">
        <f t="shared" si="42"/>
        <v>319</v>
      </c>
      <c r="AE53" s="1235">
        <f t="shared" si="42"/>
        <v>258</v>
      </c>
      <c r="AF53" s="1235">
        <f t="shared" si="42"/>
        <v>209</v>
      </c>
      <c r="AG53" s="1235">
        <f t="shared" si="42"/>
        <v>229</v>
      </c>
      <c r="AH53" s="1235">
        <f t="shared" si="42"/>
        <v>271</v>
      </c>
      <c r="AI53" s="1235">
        <f t="shared" si="42"/>
        <v>418</v>
      </c>
      <c r="AJ53" s="1235">
        <f t="shared" si="42"/>
        <v>412</v>
      </c>
      <c r="AK53" s="1235">
        <f t="shared" si="42"/>
        <v>355</v>
      </c>
      <c r="AL53" s="1235">
        <f>SUM(AL35:AL52)-6</f>
        <v>258</v>
      </c>
      <c r="AM53" s="1235">
        <f t="shared" si="42"/>
        <v>232</v>
      </c>
      <c r="AN53" s="1235"/>
    </row>
    <row r="54" spans="1:40" ht="4" customHeight="1">
      <c r="A54" s="1237"/>
      <c r="C54" s="1232"/>
      <c r="D54" s="1232"/>
      <c r="E54" s="1232"/>
      <c r="F54" s="1232"/>
      <c r="G54" s="1232"/>
      <c r="H54" s="1232"/>
      <c r="I54" s="1232"/>
      <c r="J54" s="1232"/>
      <c r="K54" s="1232"/>
      <c r="L54" s="1232"/>
      <c r="M54" s="1232"/>
      <c r="N54" s="1232"/>
      <c r="O54" s="1232"/>
      <c r="P54" s="1232"/>
      <c r="Q54" s="1232"/>
      <c r="R54" s="1232"/>
      <c r="S54" s="1232"/>
      <c r="V54" s="1246"/>
      <c r="W54" s="1246"/>
      <c r="X54" s="1246"/>
      <c r="Y54" s="1246"/>
      <c r="Z54" s="1246"/>
      <c r="AA54" s="1246"/>
      <c r="AB54" s="1246"/>
      <c r="AC54" s="1247"/>
      <c r="AD54" s="1247"/>
      <c r="AE54" s="1246"/>
      <c r="AF54" s="1246"/>
      <c r="AG54" s="1246"/>
      <c r="AH54" s="1246"/>
      <c r="AI54" s="1246"/>
      <c r="AJ54" s="1246"/>
      <c r="AK54" s="1246"/>
      <c r="AL54" s="1246"/>
      <c r="AM54" s="1246"/>
    </row>
    <row r="55" spans="1:40" ht="6" customHeight="1">
      <c r="A55" s="1237"/>
      <c r="C55" s="1232"/>
      <c r="D55" s="1232"/>
      <c r="E55" s="1232"/>
      <c r="F55" s="1232"/>
      <c r="G55" s="1232"/>
      <c r="H55" s="1232"/>
      <c r="I55" s="1232"/>
      <c r="J55" s="1232"/>
      <c r="K55" s="1232"/>
      <c r="L55" s="1232"/>
      <c r="M55" s="1232"/>
      <c r="N55" s="1232"/>
      <c r="O55" s="1232"/>
      <c r="P55" s="1232"/>
      <c r="Q55" s="1232"/>
      <c r="R55" s="1232"/>
      <c r="S55" s="1232"/>
    </row>
    <row r="56" spans="1:40" hidden="1">
      <c r="A56" s="1237"/>
      <c r="C56" s="1232"/>
      <c r="D56" s="1232"/>
      <c r="E56" s="1232"/>
      <c r="F56" s="1232"/>
      <c r="G56" s="1232"/>
      <c r="H56" s="1232"/>
      <c r="I56" s="1232"/>
      <c r="J56" s="1232"/>
      <c r="K56" s="1232"/>
      <c r="L56" s="1232"/>
      <c r="M56" s="1232"/>
      <c r="N56" s="1232"/>
      <c r="O56" s="1232"/>
      <c r="P56" s="1232"/>
      <c r="Q56" s="1232"/>
      <c r="R56" s="1232"/>
      <c r="S56" s="1232"/>
    </row>
    <row r="57" spans="1:40">
      <c r="A57" s="1237" t="s">
        <v>856</v>
      </c>
      <c r="V57" s="1237" t="s">
        <v>1288</v>
      </c>
    </row>
    <row r="58" spans="1:40">
      <c r="I58" s="1227" t="s">
        <v>50</v>
      </c>
      <c r="J58" s="1227" t="s">
        <v>51</v>
      </c>
      <c r="V58" s="1246"/>
      <c r="W58" s="1246"/>
      <c r="X58" s="1246"/>
      <c r="Y58" s="1246"/>
      <c r="Z58" s="1246"/>
      <c r="AA58" s="1246"/>
      <c r="AB58" s="1246"/>
      <c r="AC58" s="1247" t="s">
        <v>50</v>
      </c>
      <c r="AD58" s="1247" t="s">
        <v>51</v>
      </c>
      <c r="AE58" s="1246"/>
      <c r="AF58" s="1246"/>
      <c r="AG58" s="1246"/>
      <c r="AH58" s="1246"/>
      <c r="AI58" s="1246"/>
      <c r="AJ58" s="1246"/>
      <c r="AK58" s="1246"/>
      <c r="AL58" s="1246"/>
      <c r="AM58" s="1246"/>
    </row>
    <row r="59" spans="1:40">
      <c r="C59" s="1227">
        <v>51</v>
      </c>
      <c r="D59" s="1227">
        <v>55</v>
      </c>
      <c r="E59" s="1227">
        <v>59</v>
      </c>
      <c r="F59" s="1227">
        <v>64</v>
      </c>
      <c r="G59" s="1227">
        <v>66</v>
      </c>
      <c r="H59" s="1227">
        <v>70</v>
      </c>
      <c r="I59" s="1227">
        <v>74</v>
      </c>
      <c r="J59" s="1227">
        <v>74</v>
      </c>
      <c r="K59" s="1238">
        <v>79</v>
      </c>
      <c r="L59" s="1238">
        <v>83</v>
      </c>
      <c r="M59" s="1238">
        <v>87</v>
      </c>
      <c r="N59" s="1238">
        <v>92</v>
      </c>
      <c r="O59" s="1238">
        <v>97</v>
      </c>
      <c r="P59" s="1236">
        <v>1</v>
      </c>
      <c r="Q59" s="1236">
        <v>5</v>
      </c>
      <c r="R59" s="1236" t="s">
        <v>977</v>
      </c>
      <c r="S59" s="1236" t="s">
        <v>1523</v>
      </c>
      <c r="T59" s="1238"/>
      <c r="V59" s="1246"/>
      <c r="W59" s="1246">
        <v>51</v>
      </c>
      <c r="X59" s="1246">
        <v>55</v>
      </c>
      <c r="Y59" s="1246">
        <v>59</v>
      </c>
      <c r="Z59" s="1246">
        <v>64</v>
      </c>
      <c r="AA59" s="1246">
        <v>66</v>
      </c>
      <c r="AB59" s="1246">
        <v>70</v>
      </c>
      <c r="AC59" s="1247">
        <v>74</v>
      </c>
      <c r="AD59" s="1247">
        <v>74</v>
      </c>
      <c r="AE59" s="1246">
        <v>79</v>
      </c>
      <c r="AF59" s="1246">
        <v>83</v>
      </c>
      <c r="AG59" s="1246">
        <v>87</v>
      </c>
      <c r="AH59" s="1246">
        <v>92</v>
      </c>
      <c r="AI59" s="1246">
        <v>97</v>
      </c>
      <c r="AJ59" s="1248" t="s">
        <v>173</v>
      </c>
      <c r="AK59" s="1251">
        <v>5</v>
      </c>
      <c r="AL59" s="1251">
        <v>10</v>
      </c>
      <c r="AM59" s="1251">
        <v>15</v>
      </c>
      <c r="AN59" s="1236"/>
    </row>
    <row r="60" spans="1:40" ht="13.5" customHeight="1">
      <c r="A60" s="1230" t="s">
        <v>736</v>
      </c>
      <c r="P60" s="1229"/>
      <c r="Q60" s="1229"/>
      <c r="R60" s="1229"/>
      <c r="S60" s="1229"/>
      <c r="V60" s="1231" t="s">
        <v>736</v>
      </c>
      <c r="W60" s="1232"/>
      <c r="X60" s="1232"/>
      <c r="Y60" s="1232"/>
      <c r="Z60" s="1232"/>
      <c r="AA60" s="1232"/>
      <c r="AB60" s="1232"/>
      <c r="AC60" s="1233"/>
      <c r="AD60" s="1233"/>
      <c r="AE60" s="1232"/>
      <c r="AF60" s="1232"/>
      <c r="AG60" s="1232"/>
      <c r="AH60" s="1232"/>
      <c r="AI60" s="1232"/>
      <c r="AJ60" s="1233"/>
      <c r="AL60" s="1233"/>
    </row>
    <row r="61" spans="1:40" ht="13.5" customHeight="1">
      <c r="A61" s="1234" t="s">
        <v>734</v>
      </c>
      <c r="C61" s="1228" t="s">
        <v>246</v>
      </c>
      <c r="D61" s="1228" t="s">
        <v>246</v>
      </c>
      <c r="E61" s="1232">
        <f t="shared" ref="E61:E66" si="43">Y61/$Y$79*100</f>
        <v>66.666666666666657</v>
      </c>
      <c r="F61" s="1232">
        <f t="shared" ref="F61:F66" si="44">Z61/$Z$79*100</f>
        <v>44.444444444444443</v>
      </c>
      <c r="G61" s="1232">
        <f t="shared" ref="G61:G66" si="45">AA61/$AA$79*100</f>
        <v>25</v>
      </c>
      <c r="H61" s="1232">
        <f t="shared" ref="H61:H66" si="46">AB61/$AB$79*100</f>
        <v>50</v>
      </c>
      <c r="I61" s="1232">
        <f t="shared" ref="I61:I66" si="47">AC61/$AC$79*100</f>
        <v>21.428571428571427</v>
      </c>
      <c r="J61" s="1232">
        <f t="shared" ref="J61:J66" si="48">AD61/$AD$79*100</f>
        <v>23.076923076923077</v>
      </c>
      <c r="K61" s="1232">
        <f t="shared" ref="K61:K66" si="49">AE61/$AE$79*100</f>
        <v>9.0909090909090917</v>
      </c>
      <c r="L61" s="1232">
        <f t="shared" ref="L61:L66" si="50">AF61/$AF$79*100</f>
        <v>17.391304347826086</v>
      </c>
      <c r="M61" s="1232">
        <f t="shared" ref="M61:M66" si="51">AG61/$AG$79*100</f>
        <v>22.727272727272727</v>
      </c>
      <c r="N61" s="1232">
        <f t="shared" ref="N61:N66" si="52">AH61/$AH$79*100</f>
        <v>25</v>
      </c>
      <c r="O61" s="1232">
        <f t="shared" ref="O61:O66" si="53">AI61/$AI$79*100</f>
        <v>8.695652173913043</v>
      </c>
      <c r="P61" s="1232">
        <f t="shared" ref="P61:P66" si="54">AJ61/$AJ$79*100</f>
        <v>3.8461538461538463</v>
      </c>
      <c r="Q61" s="1232">
        <f t="shared" ref="Q61:Q66" si="55">AK61/$AK$79*100</f>
        <v>3.225806451612903</v>
      </c>
      <c r="R61" s="1232">
        <f t="shared" ref="R61:R66" si="56">AL61/$AL$79*100</f>
        <v>3.5087719298245612</v>
      </c>
      <c r="S61" s="1232">
        <f t="shared" ref="S61:S66" si="57">AM61/$AM$79*100</f>
        <v>0</v>
      </c>
      <c r="V61" s="1227" t="s">
        <v>734</v>
      </c>
      <c r="W61" s="1232">
        <v>4</v>
      </c>
      <c r="X61" s="1232">
        <v>4</v>
      </c>
      <c r="Y61" s="1232">
        <v>4</v>
      </c>
      <c r="Z61" s="1232">
        <v>4</v>
      </c>
      <c r="AA61" s="1232">
        <v>3</v>
      </c>
      <c r="AB61" s="1232">
        <v>3</v>
      </c>
      <c r="AC61" s="1233">
        <v>3</v>
      </c>
      <c r="AD61" s="1233">
        <v>3</v>
      </c>
      <c r="AE61" s="1232">
        <v>1</v>
      </c>
      <c r="AF61" s="1232">
        <v>4</v>
      </c>
      <c r="AG61" s="1232">
        <v>5</v>
      </c>
      <c r="AH61" s="1232">
        <v>5</v>
      </c>
      <c r="AI61" s="1232">
        <v>4</v>
      </c>
      <c r="AJ61" s="1232">
        <v>2</v>
      </c>
      <c r="AK61" s="1227">
        <v>2</v>
      </c>
      <c r="AL61" s="1232">
        <v>2</v>
      </c>
      <c r="AM61" s="1227">
        <v>0</v>
      </c>
    </row>
    <row r="62" spans="1:40" ht="13.5" customHeight="1">
      <c r="A62" s="1234" t="s">
        <v>735</v>
      </c>
      <c r="C62" s="1228" t="s">
        <v>246</v>
      </c>
      <c r="D62" s="1228" t="s">
        <v>246</v>
      </c>
      <c r="E62" s="1232">
        <f t="shared" si="43"/>
        <v>16.666666666666664</v>
      </c>
      <c r="F62" s="1232">
        <f t="shared" si="44"/>
        <v>0</v>
      </c>
      <c r="G62" s="1232">
        <f t="shared" si="45"/>
        <v>0</v>
      </c>
      <c r="H62" s="1232">
        <f t="shared" si="46"/>
        <v>16.666666666666664</v>
      </c>
      <c r="I62" s="1232">
        <f t="shared" si="47"/>
        <v>7.1428571428571423</v>
      </c>
      <c r="J62" s="1232">
        <f t="shared" si="48"/>
        <v>7.6923076923076925</v>
      </c>
      <c r="K62" s="1232">
        <f t="shared" si="49"/>
        <v>0</v>
      </c>
      <c r="L62" s="1232">
        <f t="shared" si="50"/>
        <v>4.3478260869565215</v>
      </c>
      <c r="M62" s="1232">
        <f t="shared" si="51"/>
        <v>4.5454545454545459</v>
      </c>
      <c r="N62" s="1232">
        <f t="shared" si="52"/>
        <v>5</v>
      </c>
      <c r="O62" s="1232">
        <f t="shared" si="53"/>
        <v>4.3478260869565215</v>
      </c>
      <c r="P62" s="1232">
        <f t="shared" si="54"/>
        <v>7.6923076923076925</v>
      </c>
      <c r="Q62" s="1232">
        <f t="shared" si="55"/>
        <v>3.225806451612903</v>
      </c>
      <c r="R62" s="1232">
        <f t="shared" si="56"/>
        <v>3.5087719298245612</v>
      </c>
      <c r="S62" s="1232">
        <f t="shared" si="57"/>
        <v>25</v>
      </c>
      <c r="V62" s="1227" t="s">
        <v>735</v>
      </c>
      <c r="W62" s="1232">
        <v>1</v>
      </c>
      <c r="X62" s="1232">
        <v>1</v>
      </c>
      <c r="Y62" s="1232">
        <v>1</v>
      </c>
      <c r="Z62" s="1232">
        <v>0</v>
      </c>
      <c r="AA62" s="1232">
        <v>0</v>
      </c>
      <c r="AB62" s="1232">
        <v>1</v>
      </c>
      <c r="AC62" s="1233">
        <v>1</v>
      </c>
      <c r="AD62" s="1233">
        <v>1</v>
      </c>
      <c r="AE62" s="1232">
        <v>0</v>
      </c>
      <c r="AF62" s="1232">
        <v>1</v>
      </c>
      <c r="AG62" s="1232">
        <v>1</v>
      </c>
      <c r="AH62" s="1232">
        <v>1</v>
      </c>
      <c r="AI62" s="1232">
        <v>2</v>
      </c>
      <c r="AJ62" s="1232">
        <v>4</v>
      </c>
      <c r="AK62" s="1227">
        <v>2</v>
      </c>
      <c r="AL62" s="1232">
        <v>2</v>
      </c>
      <c r="AM62" s="1227">
        <v>2</v>
      </c>
    </row>
    <row r="63" spans="1:40" ht="13.5" customHeight="1">
      <c r="A63" s="1234" t="s">
        <v>737</v>
      </c>
      <c r="C63" s="1228" t="s">
        <v>246</v>
      </c>
      <c r="D63" s="1228" t="s">
        <v>246</v>
      </c>
      <c r="E63" s="1232">
        <f t="shared" si="43"/>
        <v>0</v>
      </c>
      <c r="F63" s="1232">
        <f t="shared" si="44"/>
        <v>0</v>
      </c>
      <c r="G63" s="1232">
        <f t="shared" si="45"/>
        <v>0</v>
      </c>
      <c r="H63" s="1232">
        <f t="shared" si="46"/>
        <v>0</v>
      </c>
      <c r="I63" s="1232">
        <f t="shared" si="47"/>
        <v>0</v>
      </c>
      <c r="J63" s="1232">
        <f t="shared" si="48"/>
        <v>0</v>
      </c>
      <c r="K63" s="1232">
        <f t="shared" si="49"/>
        <v>0</v>
      </c>
      <c r="L63" s="1232">
        <f t="shared" si="50"/>
        <v>4.3478260869565215</v>
      </c>
      <c r="M63" s="1232">
        <f t="shared" si="51"/>
        <v>4.5454545454545459</v>
      </c>
      <c r="N63" s="1232">
        <f t="shared" si="52"/>
        <v>0</v>
      </c>
      <c r="O63" s="1232">
        <f t="shared" si="53"/>
        <v>4.3478260869565215</v>
      </c>
      <c r="P63" s="1232">
        <f t="shared" si="54"/>
        <v>5.7692307692307692</v>
      </c>
      <c r="Q63" s="1232">
        <f t="shared" si="55"/>
        <v>4.838709677419355</v>
      </c>
      <c r="R63" s="1232">
        <f t="shared" si="56"/>
        <v>5.2631578947368416</v>
      </c>
      <c r="S63" s="1232">
        <f t="shared" si="57"/>
        <v>25</v>
      </c>
      <c r="V63" s="1227" t="s">
        <v>1287</v>
      </c>
      <c r="W63" s="1232">
        <v>0</v>
      </c>
      <c r="X63" s="1232">
        <v>0</v>
      </c>
      <c r="Y63" s="1232">
        <v>0</v>
      </c>
      <c r="Z63" s="1232">
        <v>0</v>
      </c>
      <c r="AA63" s="1232">
        <v>0</v>
      </c>
      <c r="AB63" s="1232">
        <v>0</v>
      </c>
      <c r="AC63" s="1233">
        <v>0</v>
      </c>
      <c r="AD63" s="1233">
        <v>0</v>
      </c>
      <c r="AE63" s="1232">
        <v>0</v>
      </c>
      <c r="AF63" s="1232">
        <v>1</v>
      </c>
      <c r="AG63" s="1232">
        <v>1</v>
      </c>
      <c r="AH63" s="1232">
        <v>0</v>
      </c>
      <c r="AI63" s="1232">
        <v>2</v>
      </c>
      <c r="AJ63" s="1232">
        <v>3</v>
      </c>
      <c r="AK63" s="1227">
        <v>3</v>
      </c>
      <c r="AL63" s="1232">
        <v>3</v>
      </c>
      <c r="AM63" s="1227">
        <v>2</v>
      </c>
    </row>
    <row r="64" spans="1:40" ht="13.5" customHeight="1">
      <c r="A64" s="1234" t="s">
        <v>738</v>
      </c>
      <c r="C64" s="1228" t="s">
        <v>246</v>
      </c>
      <c r="D64" s="1228" t="s">
        <v>246</v>
      </c>
      <c r="E64" s="1232">
        <f t="shared" si="43"/>
        <v>0</v>
      </c>
      <c r="F64" s="1232">
        <f t="shared" si="44"/>
        <v>11.111111111111111</v>
      </c>
      <c r="G64" s="1232">
        <f t="shared" si="45"/>
        <v>8.3333333333333321</v>
      </c>
      <c r="H64" s="1232">
        <f t="shared" si="46"/>
        <v>16.666666666666664</v>
      </c>
      <c r="I64" s="1232">
        <f t="shared" si="47"/>
        <v>14.285714285714285</v>
      </c>
      <c r="J64" s="1232">
        <f t="shared" si="48"/>
        <v>15.384615384615385</v>
      </c>
      <c r="K64" s="1232">
        <f t="shared" si="49"/>
        <v>27.27272727272727</v>
      </c>
      <c r="L64" s="1232">
        <f t="shared" si="50"/>
        <v>13.043478260869565</v>
      </c>
      <c r="M64" s="1232">
        <f t="shared" si="51"/>
        <v>18.181818181818183</v>
      </c>
      <c r="N64" s="1232">
        <f t="shared" si="52"/>
        <v>20</v>
      </c>
      <c r="O64" s="1232">
        <f t="shared" si="53"/>
        <v>15.217391304347828</v>
      </c>
      <c r="P64" s="1232">
        <f t="shared" si="54"/>
        <v>23.076923076923077</v>
      </c>
      <c r="Q64" s="1232">
        <f t="shared" si="55"/>
        <v>19.35483870967742</v>
      </c>
      <c r="R64" s="1232">
        <f t="shared" si="56"/>
        <v>17.543859649122805</v>
      </c>
      <c r="S64" s="1232">
        <f t="shared" si="57"/>
        <v>25</v>
      </c>
      <c r="V64" s="1227" t="s">
        <v>738</v>
      </c>
      <c r="W64" s="1232">
        <v>0</v>
      </c>
      <c r="X64" s="1232">
        <v>0</v>
      </c>
      <c r="Y64" s="1232">
        <v>0</v>
      </c>
      <c r="Z64" s="1232">
        <v>1</v>
      </c>
      <c r="AA64" s="1232">
        <v>1</v>
      </c>
      <c r="AB64" s="1232">
        <v>1</v>
      </c>
      <c r="AC64" s="1233">
        <v>2</v>
      </c>
      <c r="AD64" s="1233">
        <v>2</v>
      </c>
      <c r="AE64" s="1232">
        <v>3</v>
      </c>
      <c r="AF64" s="1232">
        <v>3</v>
      </c>
      <c r="AG64" s="1232">
        <v>4</v>
      </c>
      <c r="AH64" s="1232">
        <v>4</v>
      </c>
      <c r="AI64" s="1232">
        <v>7</v>
      </c>
      <c r="AJ64" s="1232">
        <v>12</v>
      </c>
      <c r="AK64" s="1227">
        <v>12</v>
      </c>
      <c r="AL64" s="1232">
        <v>10</v>
      </c>
      <c r="AM64" s="1227">
        <v>2</v>
      </c>
    </row>
    <row r="65" spans="1:40" ht="13.5" customHeight="1">
      <c r="A65" s="1234" t="s">
        <v>739</v>
      </c>
      <c r="C65" s="1228" t="s">
        <v>246</v>
      </c>
      <c r="D65" s="1228" t="s">
        <v>246</v>
      </c>
      <c r="E65" s="1232">
        <f t="shared" si="43"/>
        <v>0</v>
      </c>
      <c r="F65" s="1232">
        <f t="shared" si="44"/>
        <v>0</v>
      </c>
      <c r="G65" s="1232">
        <f t="shared" si="45"/>
        <v>0</v>
      </c>
      <c r="H65" s="1232">
        <f t="shared" si="46"/>
        <v>0</v>
      </c>
      <c r="I65" s="1232">
        <f t="shared" si="47"/>
        <v>0</v>
      </c>
      <c r="J65" s="1232">
        <f t="shared" si="48"/>
        <v>0</v>
      </c>
      <c r="K65" s="1232">
        <f t="shared" si="49"/>
        <v>0</v>
      </c>
      <c r="L65" s="1232">
        <f t="shared" si="50"/>
        <v>4.3478260869565215</v>
      </c>
      <c r="M65" s="1232">
        <f t="shared" si="51"/>
        <v>4.5454545454545459</v>
      </c>
      <c r="N65" s="1232">
        <f t="shared" si="52"/>
        <v>5</v>
      </c>
      <c r="O65" s="1232">
        <f t="shared" si="53"/>
        <v>2.1739130434782608</v>
      </c>
      <c r="P65" s="1232">
        <f t="shared" si="54"/>
        <v>0</v>
      </c>
      <c r="Q65" s="1232">
        <f t="shared" si="55"/>
        <v>0</v>
      </c>
      <c r="R65" s="1232">
        <f t="shared" si="56"/>
        <v>0</v>
      </c>
      <c r="S65" s="1232">
        <f t="shared" si="57"/>
        <v>0</v>
      </c>
      <c r="V65" s="1234" t="s">
        <v>739</v>
      </c>
      <c r="W65" s="1232">
        <v>0</v>
      </c>
      <c r="X65" s="1232">
        <v>0</v>
      </c>
      <c r="Y65" s="1232">
        <v>0</v>
      </c>
      <c r="Z65" s="1232">
        <v>0</v>
      </c>
      <c r="AA65" s="1232">
        <v>0</v>
      </c>
      <c r="AB65" s="1232">
        <v>0</v>
      </c>
      <c r="AC65" s="1233">
        <v>0</v>
      </c>
      <c r="AD65" s="1233">
        <v>0</v>
      </c>
      <c r="AE65" s="1232">
        <v>0</v>
      </c>
      <c r="AF65" s="1232">
        <v>1</v>
      </c>
      <c r="AG65" s="1232">
        <v>1</v>
      </c>
      <c r="AH65" s="1232">
        <v>1</v>
      </c>
      <c r="AI65" s="1232">
        <v>1</v>
      </c>
      <c r="AJ65" s="1232">
        <v>0</v>
      </c>
      <c r="AK65" s="1227">
        <v>0</v>
      </c>
      <c r="AL65" s="1232">
        <v>0</v>
      </c>
      <c r="AM65" s="1227">
        <v>0</v>
      </c>
    </row>
    <row r="66" spans="1:40" ht="13.5" customHeight="1">
      <c r="A66" s="1234" t="s">
        <v>740</v>
      </c>
      <c r="C66" s="1228" t="s">
        <v>246</v>
      </c>
      <c r="D66" s="1228" t="s">
        <v>246</v>
      </c>
      <c r="E66" s="1232">
        <f t="shared" si="43"/>
        <v>0</v>
      </c>
      <c r="F66" s="1232">
        <f t="shared" si="44"/>
        <v>0</v>
      </c>
      <c r="G66" s="1232">
        <f t="shared" si="45"/>
        <v>16.666666666666664</v>
      </c>
      <c r="H66" s="1232">
        <f t="shared" si="46"/>
        <v>0</v>
      </c>
      <c r="I66" s="1232">
        <f t="shared" si="47"/>
        <v>28.571428571428569</v>
      </c>
      <c r="J66" s="1232">
        <f t="shared" si="48"/>
        <v>23.076923076923077</v>
      </c>
      <c r="K66" s="1232">
        <f t="shared" si="49"/>
        <v>27.27272727272727</v>
      </c>
      <c r="L66" s="1232">
        <f t="shared" si="50"/>
        <v>17.391304347826086</v>
      </c>
      <c r="M66" s="1232">
        <f t="shared" si="51"/>
        <v>4.5454545454545459</v>
      </c>
      <c r="N66" s="1232">
        <f t="shared" si="52"/>
        <v>5</v>
      </c>
      <c r="O66" s="1232">
        <f t="shared" si="53"/>
        <v>15.217391304347828</v>
      </c>
      <c r="P66" s="1232">
        <f t="shared" si="54"/>
        <v>11.538461538461538</v>
      </c>
      <c r="Q66" s="1232">
        <f t="shared" si="55"/>
        <v>9.67741935483871</v>
      </c>
      <c r="R66" s="1232">
        <f t="shared" si="56"/>
        <v>8.7719298245614024</v>
      </c>
      <c r="S66" s="1232">
        <f t="shared" si="57"/>
        <v>0</v>
      </c>
      <c r="V66" s="1234" t="s">
        <v>740</v>
      </c>
      <c r="W66" s="1232">
        <v>0</v>
      </c>
      <c r="X66" s="1232">
        <v>0</v>
      </c>
      <c r="Y66" s="1232">
        <v>0</v>
      </c>
      <c r="Z66" s="1232">
        <v>0</v>
      </c>
      <c r="AA66" s="1232">
        <v>2</v>
      </c>
      <c r="AB66" s="1232">
        <v>0</v>
      </c>
      <c r="AC66" s="1233">
        <v>4</v>
      </c>
      <c r="AD66" s="1233">
        <v>3</v>
      </c>
      <c r="AE66" s="1232">
        <v>3</v>
      </c>
      <c r="AF66" s="1232">
        <f>14-AF65-AF64-AF63-AF62-AF61</f>
        <v>4</v>
      </c>
      <c r="AG66" s="1232">
        <f>13-AG65-AG64-AG63-AG62-AG61</f>
        <v>1</v>
      </c>
      <c r="AH66" s="1232">
        <f>12-AH64-AH62-AH61-AH65</f>
        <v>1</v>
      </c>
      <c r="AI66" s="1232">
        <f>23-AI65-AI64-AI63-AI62-AI61</f>
        <v>7</v>
      </c>
      <c r="AJ66" s="1232">
        <f>27-AJ65-AJ64-AJ63-AJ62-AJ61</f>
        <v>6</v>
      </c>
      <c r="AK66" s="1227">
        <v>6</v>
      </c>
      <c r="AL66" s="1232">
        <v>5</v>
      </c>
      <c r="AM66" s="1227">
        <v>0</v>
      </c>
    </row>
    <row r="67" spans="1:40" ht="13.5" customHeight="1">
      <c r="A67" s="1230" t="s">
        <v>174</v>
      </c>
      <c r="C67" s="1228"/>
      <c r="D67" s="1228"/>
      <c r="E67" s="1232"/>
      <c r="F67" s="1232"/>
      <c r="G67" s="1232"/>
      <c r="H67" s="1232"/>
      <c r="I67" s="1232"/>
      <c r="J67" s="1232"/>
      <c r="K67" s="1232"/>
      <c r="L67" s="1232"/>
      <c r="M67" s="1232"/>
      <c r="N67" s="1232"/>
      <c r="O67" s="1232"/>
      <c r="P67" s="1232"/>
      <c r="Q67" s="1232"/>
      <c r="R67" s="1232"/>
      <c r="S67" s="1232"/>
      <c r="V67" s="1230" t="s">
        <v>174</v>
      </c>
      <c r="W67" s="1232"/>
      <c r="X67" s="1232"/>
      <c r="Y67" s="1232"/>
      <c r="Z67" s="1232"/>
      <c r="AA67" s="1232"/>
      <c r="AB67" s="1232"/>
      <c r="AC67" s="1233"/>
      <c r="AD67" s="1233"/>
      <c r="AE67" s="1232"/>
      <c r="AF67" s="1232"/>
      <c r="AG67" s="1232"/>
      <c r="AH67" s="1232"/>
      <c r="AI67" s="1232"/>
      <c r="AJ67" s="1232"/>
      <c r="AL67" s="1232"/>
    </row>
    <row r="68" spans="1:40" ht="13.5" customHeight="1">
      <c r="A68" s="1234" t="s">
        <v>741</v>
      </c>
      <c r="C68" s="1228" t="s">
        <v>246</v>
      </c>
      <c r="D68" s="1228" t="s">
        <v>246</v>
      </c>
      <c r="E68" s="1232">
        <f>Y68/$Y$79*100</f>
        <v>0</v>
      </c>
      <c r="F68" s="1232">
        <f>Z68/$Z$79*100</f>
        <v>22.222222222222221</v>
      </c>
      <c r="G68" s="1232">
        <f>AA68/$AA$79*100</f>
        <v>25</v>
      </c>
      <c r="H68" s="1232">
        <f>AB68/$AB$79*100</f>
        <v>0</v>
      </c>
      <c r="I68" s="1232">
        <f>AC68/$AC$79*100</f>
        <v>7.1428571428571423</v>
      </c>
      <c r="J68" s="1232">
        <f>AD68/$AD$79*100</f>
        <v>7.6923076923076925</v>
      </c>
      <c r="K68" s="1232">
        <f>AE68/$AE$79*100</f>
        <v>0</v>
      </c>
      <c r="L68" s="1232">
        <f>AF68/$AF$79*100</f>
        <v>0</v>
      </c>
      <c r="M68" s="1232">
        <f>AG68/$AG$79*100</f>
        <v>0</v>
      </c>
      <c r="N68" s="1232">
        <f>AH68/$AH$79*100</f>
        <v>10</v>
      </c>
      <c r="O68" s="1232">
        <f>AI68/$AI$79*100</f>
        <v>19.565217391304348</v>
      </c>
      <c r="P68" s="1232">
        <f>AJ68/$AJ$79*100</f>
        <v>25</v>
      </c>
      <c r="Q68" s="1232">
        <f>AK68/$AK$79*100</f>
        <v>20.967741935483872</v>
      </c>
      <c r="R68" s="1232">
        <f>AL68/$AL$79*100</f>
        <v>12.280701754385964</v>
      </c>
      <c r="S68" s="1232">
        <f>AM68/$AM$79*100</f>
        <v>25</v>
      </c>
      <c r="V68" s="1234" t="s">
        <v>741</v>
      </c>
      <c r="W68" s="1232">
        <v>0</v>
      </c>
      <c r="X68" s="1232">
        <v>0</v>
      </c>
      <c r="Y68" s="1232">
        <v>0</v>
      </c>
      <c r="Z68" s="1232">
        <v>2</v>
      </c>
      <c r="AA68" s="1232">
        <v>3</v>
      </c>
      <c r="AB68" s="1232">
        <v>0</v>
      </c>
      <c r="AC68" s="1233">
        <v>1</v>
      </c>
      <c r="AD68" s="1233">
        <v>1</v>
      </c>
      <c r="AE68" s="1232">
        <v>0</v>
      </c>
      <c r="AF68" s="1232">
        <v>0</v>
      </c>
      <c r="AG68" s="1232">
        <v>0</v>
      </c>
      <c r="AH68" s="1232">
        <v>2</v>
      </c>
      <c r="AI68" s="1232">
        <v>9</v>
      </c>
      <c r="AJ68" s="1232">
        <v>13</v>
      </c>
      <c r="AK68" s="1227">
        <v>13</v>
      </c>
      <c r="AL68" s="1232">
        <v>7</v>
      </c>
      <c r="AM68" s="1227">
        <v>2</v>
      </c>
    </row>
    <row r="69" spans="1:40" ht="13.5" customHeight="1">
      <c r="A69" s="1234" t="s">
        <v>742</v>
      </c>
      <c r="C69" s="1228" t="s">
        <v>246</v>
      </c>
      <c r="D69" s="1228" t="s">
        <v>246</v>
      </c>
      <c r="E69" s="1232">
        <f>Y69/$Y$79*100</f>
        <v>16.666666666666664</v>
      </c>
      <c r="F69" s="1232">
        <f>Z69/$Z$79*100</f>
        <v>0</v>
      </c>
      <c r="G69" s="1232">
        <f>AA69/$AA$79*100</f>
        <v>0</v>
      </c>
      <c r="H69" s="1232">
        <f>AB69/$AB$79*100</f>
        <v>0</v>
      </c>
      <c r="I69" s="1232">
        <f>AC69/$AC$79*100</f>
        <v>7.1428571428571423</v>
      </c>
      <c r="J69" s="1232">
        <f>AD69/$AD$79*100</f>
        <v>7.6923076923076925</v>
      </c>
      <c r="K69" s="1232">
        <f>AE69/$AE$79*100</f>
        <v>9.0909090909090917</v>
      </c>
      <c r="L69" s="1232">
        <f>AF69/$AF$79*100</f>
        <v>4.3478260869565215</v>
      </c>
      <c r="M69" s="1232">
        <f>AG69/$AG$79*100</f>
        <v>9.0909090909090917</v>
      </c>
      <c r="N69" s="1232">
        <f>AH69/$AH$79*100</f>
        <v>0</v>
      </c>
      <c r="O69" s="1232">
        <f>AI69/$AI$79*100</f>
        <v>4.3478260869565215</v>
      </c>
      <c r="P69" s="1232">
        <f>AJ69/$AJ$79*100</f>
        <v>1.9230769230769231</v>
      </c>
      <c r="Q69" s="1232">
        <f>AK69/$AK$79*100</f>
        <v>8.064516129032258</v>
      </c>
      <c r="R69" s="1232">
        <f>AL69/$AL$79*100</f>
        <v>7.0175438596491224</v>
      </c>
      <c r="S69" s="1232">
        <f>AM69/$AM$79*100</f>
        <v>0</v>
      </c>
      <c r="V69" s="1234" t="s">
        <v>742</v>
      </c>
      <c r="W69" s="1232">
        <v>1</v>
      </c>
      <c r="X69" s="1232">
        <v>1</v>
      </c>
      <c r="Y69" s="1232">
        <v>1</v>
      </c>
      <c r="Z69" s="1232">
        <v>0</v>
      </c>
      <c r="AA69" s="1232">
        <v>0</v>
      </c>
      <c r="AB69" s="1232">
        <v>0</v>
      </c>
      <c r="AC69" s="1233">
        <v>1</v>
      </c>
      <c r="AD69" s="1233">
        <v>1</v>
      </c>
      <c r="AE69" s="1232">
        <v>1</v>
      </c>
      <c r="AF69" s="1232">
        <v>1</v>
      </c>
      <c r="AG69" s="1232">
        <v>2</v>
      </c>
      <c r="AH69" s="1232">
        <v>0</v>
      </c>
      <c r="AI69" s="1232">
        <v>2</v>
      </c>
      <c r="AJ69" s="1232">
        <v>1</v>
      </c>
      <c r="AK69" s="1227">
        <v>5</v>
      </c>
      <c r="AL69" s="1232">
        <v>4</v>
      </c>
      <c r="AM69" s="1227">
        <v>0</v>
      </c>
    </row>
    <row r="70" spans="1:40" ht="13.5" customHeight="1">
      <c r="A70" s="1230" t="s">
        <v>211</v>
      </c>
      <c r="C70" s="1228"/>
      <c r="D70" s="1228"/>
      <c r="E70" s="1232"/>
      <c r="F70" s="1232"/>
      <c r="G70" s="1232"/>
      <c r="H70" s="1232"/>
      <c r="I70" s="1232"/>
      <c r="J70" s="1232"/>
      <c r="K70" s="1232"/>
      <c r="L70" s="1232"/>
      <c r="M70" s="1232"/>
      <c r="N70" s="1232"/>
      <c r="O70" s="1232"/>
      <c r="P70" s="1232"/>
      <c r="Q70" s="1232"/>
      <c r="R70" s="1232"/>
      <c r="S70" s="1232"/>
      <c r="V70" s="1230" t="s">
        <v>743</v>
      </c>
      <c r="W70" s="1232"/>
      <c r="X70" s="1232"/>
      <c r="Y70" s="1232"/>
      <c r="Z70" s="1232"/>
      <c r="AA70" s="1232"/>
      <c r="AB70" s="1232"/>
      <c r="AC70" s="1233"/>
      <c r="AD70" s="1233"/>
      <c r="AE70" s="1232"/>
      <c r="AF70" s="1232"/>
      <c r="AG70" s="1232"/>
      <c r="AH70" s="1232"/>
      <c r="AI70" s="1232"/>
      <c r="AJ70" s="1232"/>
      <c r="AL70" s="1232"/>
    </row>
    <row r="71" spans="1:40" ht="13.5" customHeight="1">
      <c r="A71" s="1234" t="s">
        <v>744</v>
      </c>
      <c r="C71" s="1228" t="s">
        <v>246</v>
      </c>
      <c r="D71" s="1228" t="s">
        <v>246</v>
      </c>
      <c r="E71" s="1232">
        <f>Y71/$Y$79*100</f>
        <v>0</v>
      </c>
      <c r="F71" s="1232">
        <f>Z71/$Z$79*100</f>
        <v>0</v>
      </c>
      <c r="G71" s="1232">
        <f>AA71/$AA$79*100</f>
        <v>8.3333333333333321</v>
      </c>
      <c r="H71" s="1232">
        <f>AB71/$AB$79*100</f>
        <v>0</v>
      </c>
      <c r="I71" s="1232">
        <f>AC71/$AC$79*100</f>
        <v>0</v>
      </c>
      <c r="J71" s="1232">
        <f>AD71/$AD$79*100</f>
        <v>0</v>
      </c>
      <c r="K71" s="1232">
        <f>AE71/$AE$79*100</f>
        <v>0</v>
      </c>
      <c r="L71" s="1232">
        <f>AF71/$AF$79*100</f>
        <v>4.3478260869565215</v>
      </c>
      <c r="M71" s="1232">
        <f>AG71/$AG$79*100</f>
        <v>4.5454545454545459</v>
      </c>
      <c r="N71" s="1232">
        <f>AH71/$AH$79*100</f>
        <v>10</v>
      </c>
      <c r="O71" s="1232">
        <f>AI71/$AI$79*100</f>
        <v>10.869565217391305</v>
      </c>
      <c r="P71" s="1232">
        <f>AJ71/$AJ$79*100</f>
        <v>7.6923076923076925</v>
      </c>
      <c r="Q71" s="1232">
        <f>AK71/$AK$79*100</f>
        <v>11.29032258064516</v>
      </c>
      <c r="R71" s="1232">
        <f>AL71/$AL$79*100</f>
        <v>12.280701754385964</v>
      </c>
      <c r="S71" s="1232">
        <f>AM71/$AM$79*100</f>
        <v>0</v>
      </c>
      <c r="V71" s="1234" t="s">
        <v>1286</v>
      </c>
      <c r="W71" s="1232">
        <v>0</v>
      </c>
      <c r="X71" s="1232">
        <v>0</v>
      </c>
      <c r="Y71" s="1232">
        <v>0</v>
      </c>
      <c r="Z71" s="1232">
        <v>0</v>
      </c>
      <c r="AA71" s="1232">
        <v>1</v>
      </c>
      <c r="AB71" s="1232">
        <v>0</v>
      </c>
      <c r="AC71" s="1233">
        <v>0</v>
      </c>
      <c r="AD71" s="1233">
        <v>0</v>
      </c>
      <c r="AE71" s="1232">
        <v>0</v>
      </c>
      <c r="AF71" s="1232">
        <v>1</v>
      </c>
      <c r="AG71" s="1232">
        <v>1</v>
      </c>
      <c r="AH71" s="1232">
        <v>2</v>
      </c>
      <c r="AI71" s="1232">
        <v>5</v>
      </c>
      <c r="AJ71" s="1232">
        <v>4</v>
      </c>
      <c r="AK71" s="1227">
        <v>7</v>
      </c>
      <c r="AL71" s="1232">
        <v>7</v>
      </c>
      <c r="AM71" s="1227">
        <v>0</v>
      </c>
    </row>
    <row r="72" spans="1:40" ht="13.5" customHeight="1">
      <c r="A72" s="1234" t="s">
        <v>745</v>
      </c>
      <c r="C72" s="1228" t="s">
        <v>246</v>
      </c>
      <c r="D72" s="1228" t="s">
        <v>246</v>
      </c>
      <c r="E72" s="1232">
        <f>Y72/$Y$79*100</f>
        <v>0</v>
      </c>
      <c r="F72" s="1232">
        <f>Z72/$Z$79*100</f>
        <v>0</v>
      </c>
      <c r="G72" s="1232">
        <f>AA72/$AA$79*100</f>
        <v>0</v>
      </c>
      <c r="H72" s="1232">
        <f>AB72/$AB$79*100</f>
        <v>16.666666666666664</v>
      </c>
      <c r="I72" s="1232">
        <f>AC72/$AC$79*100</f>
        <v>7.1428571428571423</v>
      </c>
      <c r="J72" s="1232">
        <f>AD72/$AD$79*100</f>
        <v>7.6923076923076925</v>
      </c>
      <c r="K72" s="1232">
        <f>AE72/$AE$79*100</f>
        <v>18.181818181818183</v>
      </c>
      <c r="L72" s="1232">
        <f>AF72/$AF$79*100</f>
        <v>21.739130434782609</v>
      </c>
      <c r="M72" s="1232">
        <f>AG72/$AG$79*100</f>
        <v>13.636363636363635</v>
      </c>
      <c r="N72" s="1232">
        <f>AH72/$AH$79*100</f>
        <v>15</v>
      </c>
      <c r="O72" s="1232">
        <f>AI72/$AI$79*100</f>
        <v>8.695652173913043</v>
      </c>
      <c r="P72" s="1232">
        <f>AJ72/$AJ$79*100</f>
        <v>7.6923076923076925</v>
      </c>
      <c r="Q72" s="1232">
        <f>AK72/$AK$79*100</f>
        <v>8.064516129032258</v>
      </c>
      <c r="R72" s="1232">
        <f>AL72/$AL$79*100</f>
        <v>8.7719298245614024</v>
      </c>
      <c r="S72" s="1232">
        <f>AM72/$AM$79*100</f>
        <v>0</v>
      </c>
      <c r="V72" s="1234" t="s">
        <v>745</v>
      </c>
      <c r="W72" s="1232">
        <v>0</v>
      </c>
      <c r="X72" s="1232">
        <v>0</v>
      </c>
      <c r="Y72" s="1232">
        <v>0</v>
      </c>
      <c r="Z72" s="1232">
        <v>0</v>
      </c>
      <c r="AA72" s="1232">
        <v>0</v>
      </c>
      <c r="AB72" s="1232">
        <v>1</v>
      </c>
      <c r="AC72" s="1233">
        <v>1</v>
      </c>
      <c r="AD72" s="1233">
        <v>1</v>
      </c>
      <c r="AE72" s="1232">
        <v>2</v>
      </c>
      <c r="AF72" s="1232">
        <v>5</v>
      </c>
      <c r="AG72" s="1232">
        <v>3</v>
      </c>
      <c r="AH72" s="1232">
        <v>3</v>
      </c>
      <c r="AI72" s="1232">
        <v>4</v>
      </c>
      <c r="AJ72" s="1232">
        <v>4</v>
      </c>
      <c r="AK72" s="1227">
        <v>5</v>
      </c>
      <c r="AL72" s="1232">
        <v>5</v>
      </c>
      <c r="AM72" s="1227">
        <v>0</v>
      </c>
    </row>
    <row r="73" spans="1:40" ht="13.5" customHeight="1">
      <c r="A73" s="1234" t="s">
        <v>746</v>
      </c>
      <c r="C73" s="1228" t="s">
        <v>246</v>
      </c>
      <c r="D73" s="1228" t="s">
        <v>246</v>
      </c>
      <c r="E73" s="1232">
        <f>Y73/$Y$79*100</f>
        <v>0</v>
      </c>
      <c r="F73" s="1232">
        <f>Z73/$Z$79*100</f>
        <v>11.111111111111111</v>
      </c>
      <c r="G73" s="1232">
        <f>AA73/$AA$79*100</f>
        <v>0</v>
      </c>
      <c r="H73" s="1232">
        <f>AB73/$AB$79*100</f>
        <v>0</v>
      </c>
      <c r="I73" s="1232">
        <f>AC73/$AC$79*100</f>
        <v>0</v>
      </c>
      <c r="J73" s="1232">
        <f>AD73/$AD$79*100</f>
        <v>0</v>
      </c>
      <c r="K73" s="1232">
        <f>AE73/$AE$79*100</f>
        <v>0</v>
      </c>
      <c r="L73" s="1232">
        <f>AF73/$AF$79*100</f>
        <v>4.3478260869565215</v>
      </c>
      <c r="M73" s="1232">
        <f>AG73/$AG$79*100</f>
        <v>9.0909090909090917</v>
      </c>
      <c r="N73" s="1232">
        <f>AH73/$AH$79*100</f>
        <v>5</v>
      </c>
      <c r="O73" s="1232">
        <f>AI73/$AI$79*100</f>
        <v>2.1739130434782608</v>
      </c>
      <c r="P73" s="1232">
        <f>AJ73/$AJ$79*100</f>
        <v>1.9230769230769231</v>
      </c>
      <c r="Q73" s="1232">
        <f>AK73/$AK$79*100</f>
        <v>9.67741935483871</v>
      </c>
      <c r="R73" s="1232">
        <f>AL73/$AL$79*100</f>
        <v>19.298245614035086</v>
      </c>
      <c r="S73" s="1232">
        <f>AM73/$AM$79*100</f>
        <v>0</v>
      </c>
      <c r="V73" s="1234" t="s">
        <v>1290</v>
      </c>
      <c r="W73" s="1232">
        <v>0</v>
      </c>
      <c r="X73" s="1232">
        <v>0</v>
      </c>
      <c r="Y73" s="1232">
        <v>0</v>
      </c>
      <c r="Z73" s="1232">
        <v>1</v>
      </c>
      <c r="AA73" s="1232">
        <v>0</v>
      </c>
      <c r="AB73" s="1232">
        <v>0</v>
      </c>
      <c r="AC73" s="1233">
        <v>0</v>
      </c>
      <c r="AD73" s="1233">
        <v>0</v>
      </c>
      <c r="AE73" s="1232">
        <v>0</v>
      </c>
      <c r="AF73" s="1232">
        <v>1</v>
      </c>
      <c r="AG73" s="1232">
        <v>2</v>
      </c>
      <c r="AH73" s="1232">
        <v>1</v>
      </c>
      <c r="AI73" s="1232">
        <v>1</v>
      </c>
      <c r="AJ73" s="1232">
        <v>1</v>
      </c>
      <c r="AK73" s="1227">
        <v>6</v>
      </c>
      <c r="AL73" s="1232">
        <v>11</v>
      </c>
      <c r="AM73" s="1227">
        <v>0</v>
      </c>
    </row>
    <row r="74" spans="1:40" ht="13.5" customHeight="1">
      <c r="A74" s="1230" t="s">
        <v>747</v>
      </c>
      <c r="C74" s="1228"/>
      <c r="D74" s="1228"/>
      <c r="E74" s="1232"/>
      <c r="F74" s="1232"/>
      <c r="G74" s="1232"/>
      <c r="H74" s="1232"/>
      <c r="I74" s="1232"/>
      <c r="J74" s="1232"/>
      <c r="K74" s="1232"/>
      <c r="L74" s="1232"/>
      <c r="M74" s="1232"/>
      <c r="N74" s="1232"/>
      <c r="O74" s="1232"/>
      <c r="P74" s="1232"/>
      <c r="Q74" s="1232"/>
      <c r="R74" s="1232"/>
      <c r="S74" s="1232"/>
      <c r="V74" s="1230" t="s">
        <v>747</v>
      </c>
      <c r="W74" s="1232"/>
      <c r="X74" s="1232"/>
      <c r="Y74" s="1232"/>
      <c r="Z74" s="1232"/>
      <c r="AA74" s="1232"/>
      <c r="AB74" s="1232"/>
      <c r="AC74" s="1233"/>
      <c r="AD74" s="1233"/>
      <c r="AE74" s="1232"/>
      <c r="AF74" s="1232"/>
      <c r="AG74" s="1232"/>
      <c r="AH74" s="1232"/>
      <c r="AI74" s="1232"/>
      <c r="AJ74" s="1232"/>
      <c r="AL74" s="1232"/>
    </row>
    <row r="75" spans="1:40" ht="13.5" customHeight="1">
      <c r="A75" s="1234" t="s">
        <v>748</v>
      </c>
      <c r="C75" s="1228" t="s">
        <v>246</v>
      </c>
      <c r="D75" s="1228" t="s">
        <v>246</v>
      </c>
      <c r="E75" s="1232">
        <f>Y75/$Y$79*100</f>
        <v>0</v>
      </c>
      <c r="F75" s="1232">
        <f>Z75/$Z$79*100</f>
        <v>0</v>
      </c>
      <c r="G75" s="1232">
        <f>AA75/$AA$79*100</f>
        <v>0</v>
      </c>
      <c r="H75" s="1232">
        <f>AB75/$AB$79*100</f>
        <v>0</v>
      </c>
      <c r="I75" s="1232">
        <f>AC75/$AC$79*100</f>
        <v>0</v>
      </c>
      <c r="J75" s="1232">
        <f>AD75/$AD$79*100</f>
        <v>0</v>
      </c>
      <c r="K75" s="1232">
        <f>AE75/$AE$79*100</f>
        <v>0</v>
      </c>
      <c r="L75" s="1232">
        <f>AF75/$AF$79*100</f>
        <v>0</v>
      </c>
      <c r="M75" s="1232">
        <f>AG75/$AG$79*100</f>
        <v>0</v>
      </c>
      <c r="N75" s="1232">
        <f>AH75/$AH$79*100</f>
        <v>0</v>
      </c>
      <c r="O75" s="1232">
        <f>AI75/$AI$79*100</f>
        <v>0</v>
      </c>
      <c r="P75" s="1232">
        <f>AJ75/$AJ$79*100</f>
        <v>0</v>
      </c>
      <c r="Q75" s="1232">
        <f>AK75/$AK$79*100</f>
        <v>0</v>
      </c>
      <c r="R75" s="1232">
        <f>AL75/$AL$79*100</f>
        <v>0</v>
      </c>
      <c r="S75" s="1232">
        <f>AM75/$AM$79*100</f>
        <v>0</v>
      </c>
      <c r="V75" s="1234" t="s">
        <v>748</v>
      </c>
      <c r="W75" s="1232">
        <v>0</v>
      </c>
      <c r="X75" s="1232">
        <v>0</v>
      </c>
      <c r="Y75" s="1232">
        <v>0</v>
      </c>
      <c r="Z75" s="1232">
        <v>0</v>
      </c>
      <c r="AA75" s="1232">
        <v>0</v>
      </c>
      <c r="AB75" s="1232">
        <v>0</v>
      </c>
      <c r="AC75" s="1233">
        <v>0</v>
      </c>
      <c r="AD75" s="1233">
        <v>0</v>
      </c>
      <c r="AE75" s="1232">
        <v>0</v>
      </c>
      <c r="AF75" s="1232">
        <v>0</v>
      </c>
      <c r="AG75" s="1232">
        <v>0</v>
      </c>
      <c r="AH75" s="1232">
        <v>0</v>
      </c>
      <c r="AI75" s="1232">
        <v>0</v>
      </c>
      <c r="AJ75" s="1232">
        <v>0</v>
      </c>
      <c r="AK75" s="1227">
        <v>0</v>
      </c>
      <c r="AL75" s="1233">
        <v>0</v>
      </c>
      <c r="AM75" s="1227">
        <v>0</v>
      </c>
    </row>
    <row r="76" spans="1:40" ht="13.5" customHeight="1">
      <c r="A76" s="1234" t="s">
        <v>749</v>
      </c>
      <c r="C76" s="1228" t="s">
        <v>246</v>
      </c>
      <c r="D76" s="1228" t="s">
        <v>246</v>
      </c>
      <c r="E76" s="1232">
        <f>Y76/$Y$79*100</f>
        <v>0</v>
      </c>
      <c r="F76" s="1232">
        <f>Z76/$Z$79*100</f>
        <v>0</v>
      </c>
      <c r="G76" s="1232">
        <f>AA76/$AA$79*100</f>
        <v>0</v>
      </c>
      <c r="H76" s="1232">
        <f>AB76/$AB$79*100</f>
        <v>0</v>
      </c>
      <c r="I76" s="1232">
        <f>AC76/$AC$79*100</f>
        <v>0</v>
      </c>
      <c r="J76" s="1232">
        <f>AD76/$AD$79*100</f>
        <v>0</v>
      </c>
      <c r="K76" s="1232">
        <f>AE76/$AE$79*100</f>
        <v>0</v>
      </c>
      <c r="L76" s="1232">
        <f>AF76/$AF$79*100</f>
        <v>0</v>
      </c>
      <c r="M76" s="1232">
        <f>AG76/$AG$79*100</f>
        <v>0</v>
      </c>
      <c r="N76" s="1232">
        <f>AH76/$AH$79*100</f>
        <v>0</v>
      </c>
      <c r="O76" s="1232">
        <f>AI76/$AI$79*100</f>
        <v>2.1739130434782608</v>
      </c>
      <c r="P76" s="1232">
        <f>AJ76/$AJ$79*100</f>
        <v>1.9230769230769231</v>
      </c>
      <c r="Q76" s="1232">
        <f>AK76/$AK$79*100</f>
        <v>1.6129032258064515</v>
      </c>
      <c r="R76" s="1232">
        <f>AL76/$AL$79*100</f>
        <v>1.7543859649122806</v>
      </c>
      <c r="S76" s="1232">
        <f>AM76/$AM$79*100</f>
        <v>0</v>
      </c>
      <c r="V76" s="1234" t="s">
        <v>749</v>
      </c>
      <c r="W76" s="1232">
        <v>0</v>
      </c>
      <c r="X76" s="1232">
        <v>0</v>
      </c>
      <c r="Y76" s="1232">
        <v>0</v>
      </c>
      <c r="Z76" s="1232">
        <v>0</v>
      </c>
      <c r="AA76" s="1232">
        <v>0</v>
      </c>
      <c r="AB76" s="1232">
        <v>0</v>
      </c>
      <c r="AC76" s="1233">
        <v>0</v>
      </c>
      <c r="AD76" s="1233">
        <v>0</v>
      </c>
      <c r="AE76" s="1232">
        <v>0</v>
      </c>
      <c r="AF76" s="1232">
        <v>0</v>
      </c>
      <c r="AG76" s="1232">
        <v>0</v>
      </c>
      <c r="AH76" s="1232">
        <v>0</v>
      </c>
      <c r="AI76" s="1232">
        <v>1</v>
      </c>
      <c r="AJ76" s="1232">
        <v>1</v>
      </c>
      <c r="AK76" s="1227">
        <v>1</v>
      </c>
      <c r="AL76" s="1232">
        <v>1</v>
      </c>
      <c r="AM76" s="1227">
        <v>0</v>
      </c>
    </row>
    <row r="77" spans="1:40" ht="13.5" customHeight="1">
      <c r="A77" s="1230" t="s">
        <v>221</v>
      </c>
      <c r="C77" s="1232"/>
      <c r="D77" s="1232"/>
      <c r="E77" s="1232"/>
      <c r="F77" s="1232"/>
      <c r="G77" s="1232"/>
      <c r="H77" s="1232"/>
      <c r="I77" s="1232"/>
      <c r="J77" s="1232"/>
      <c r="K77" s="1232"/>
      <c r="L77" s="1232"/>
      <c r="M77" s="1232"/>
      <c r="N77" s="1232"/>
      <c r="O77" s="1232"/>
      <c r="P77" s="1232"/>
      <c r="Q77" s="1232"/>
      <c r="R77" s="1232"/>
      <c r="S77" s="1232"/>
      <c r="V77" s="1230" t="s">
        <v>750</v>
      </c>
      <c r="W77" s="1232"/>
      <c r="X77" s="1232"/>
      <c r="Y77" s="1232"/>
      <c r="Z77" s="1232"/>
      <c r="AA77" s="1232"/>
      <c r="AB77" s="1232"/>
      <c r="AC77" s="1233" t="s">
        <v>221</v>
      </c>
      <c r="AD77" s="1233"/>
      <c r="AE77" s="1232"/>
      <c r="AF77" s="1232"/>
      <c r="AG77" s="1232"/>
      <c r="AH77" s="1232"/>
      <c r="AI77" s="1232"/>
      <c r="AJ77" s="1232"/>
      <c r="AL77" s="1232"/>
    </row>
    <row r="78" spans="1:40" ht="13.5" customHeight="1">
      <c r="A78" s="1234" t="s">
        <v>12</v>
      </c>
      <c r="C78" s="1228" t="s">
        <v>246</v>
      </c>
      <c r="D78" s="1228" t="s">
        <v>246</v>
      </c>
      <c r="E78" s="1232">
        <f>Y78/$Y$79*100</f>
        <v>0</v>
      </c>
      <c r="F78" s="1232">
        <f>Z78/$Z$79*100</f>
        <v>11.111111111111111</v>
      </c>
      <c r="G78" s="1232">
        <f>AA78/$AA$79*100</f>
        <v>16.666666666666664</v>
      </c>
      <c r="H78" s="1232">
        <f>AB78/$AB$79*100</f>
        <v>0</v>
      </c>
      <c r="I78" s="1232">
        <f>AC78/$AC$79*100</f>
        <v>7.1428571428571423</v>
      </c>
      <c r="J78" s="1232">
        <f>AD78/$AD$79*100</f>
        <v>7.6923076923076925</v>
      </c>
      <c r="K78" s="1232">
        <f>AE78/$AE$79*100</f>
        <v>9.0909090909090917</v>
      </c>
      <c r="L78" s="1232">
        <f>AF78/$AF$79*100</f>
        <v>4.3478260869565215</v>
      </c>
      <c r="M78" s="1232">
        <f>AG78/$AG$79*100</f>
        <v>4.5454545454545459</v>
      </c>
      <c r="N78" s="1232">
        <f>AH78/$AH$79*100</f>
        <v>0</v>
      </c>
      <c r="O78" s="1232">
        <f>AI78/$AI$79*100</f>
        <v>2.1739130434782608</v>
      </c>
      <c r="P78" s="1232">
        <f>AJ78/$AJ$79*100</f>
        <v>1.9230769230769231</v>
      </c>
      <c r="Q78" s="1232">
        <f>AK78/$AK$79*100</f>
        <v>0</v>
      </c>
      <c r="R78" s="1232">
        <f>AL78/$AL$79*100</f>
        <v>0</v>
      </c>
      <c r="S78" s="1232">
        <f>AM78/$AM$79*100</f>
        <v>0</v>
      </c>
      <c r="V78" s="1234" t="s">
        <v>12</v>
      </c>
      <c r="W78" s="1232">
        <v>0</v>
      </c>
      <c r="X78" s="1232">
        <v>0</v>
      </c>
      <c r="Y78" s="1232">
        <v>0</v>
      </c>
      <c r="Z78" s="1232">
        <v>1</v>
      </c>
      <c r="AA78" s="1232">
        <v>2</v>
      </c>
      <c r="AB78" s="1232">
        <v>0</v>
      </c>
      <c r="AC78" s="1233">
        <v>1</v>
      </c>
      <c r="AD78" s="1233">
        <v>1</v>
      </c>
      <c r="AE78" s="1232">
        <v>1</v>
      </c>
      <c r="AF78" s="1232">
        <v>1</v>
      </c>
      <c r="AG78" s="1232">
        <v>1</v>
      </c>
      <c r="AH78" s="1232">
        <v>0</v>
      </c>
      <c r="AI78" s="1232">
        <v>1</v>
      </c>
      <c r="AJ78" s="1232">
        <v>1</v>
      </c>
      <c r="AK78" s="1227">
        <v>0</v>
      </c>
      <c r="AL78" s="1232">
        <v>0</v>
      </c>
      <c r="AM78" s="1227">
        <v>0</v>
      </c>
    </row>
    <row r="79" spans="1:40" ht="13.5" customHeight="1">
      <c r="A79" s="1237" t="s">
        <v>16</v>
      </c>
      <c r="C79" s="1228" t="s">
        <v>246</v>
      </c>
      <c r="D79" s="1228" t="s">
        <v>246</v>
      </c>
      <c r="E79" s="1232">
        <f t="shared" ref="E79:Q79" si="58">SUM(E61:E78)</f>
        <v>99.999999999999972</v>
      </c>
      <c r="F79" s="1232">
        <f t="shared" si="58"/>
        <v>100</v>
      </c>
      <c r="G79" s="1232">
        <f t="shared" si="58"/>
        <v>100</v>
      </c>
      <c r="H79" s="1232">
        <f t="shared" si="58"/>
        <v>99.999999999999972</v>
      </c>
      <c r="I79" s="1232">
        <f t="shared" si="58"/>
        <v>99.999999999999972</v>
      </c>
      <c r="J79" s="1232">
        <f t="shared" si="58"/>
        <v>100</v>
      </c>
      <c r="K79" s="1232">
        <f t="shared" si="58"/>
        <v>100</v>
      </c>
      <c r="L79" s="1232">
        <f t="shared" si="58"/>
        <v>99.999999999999986</v>
      </c>
      <c r="M79" s="1232">
        <f t="shared" si="58"/>
        <v>100.00000000000001</v>
      </c>
      <c r="N79" s="1232">
        <f t="shared" si="58"/>
        <v>100</v>
      </c>
      <c r="O79" s="1232">
        <f t="shared" si="58"/>
        <v>100</v>
      </c>
      <c r="P79" s="1232">
        <f t="shared" si="58"/>
        <v>100</v>
      </c>
      <c r="Q79" s="1232">
        <f t="shared" si="58"/>
        <v>100</v>
      </c>
      <c r="R79" s="1232">
        <f>AL79/$AL$79*100</f>
        <v>100</v>
      </c>
      <c r="S79" s="1232">
        <f>AM79/$AM$79*100</f>
        <v>100</v>
      </c>
      <c r="V79" s="1235" t="s">
        <v>16</v>
      </c>
      <c r="W79" s="1235">
        <f t="shared" ref="W79:AB79" si="59">SUM(W61:W78)</f>
        <v>6</v>
      </c>
      <c r="X79" s="1235">
        <f t="shared" si="59"/>
        <v>6</v>
      </c>
      <c r="Y79" s="1235">
        <f t="shared" si="59"/>
        <v>6</v>
      </c>
      <c r="Z79" s="1235">
        <f t="shared" si="59"/>
        <v>9</v>
      </c>
      <c r="AA79" s="1235">
        <f t="shared" si="59"/>
        <v>12</v>
      </c>
      <c r="AB79" s="1235">
        <f t="shared" si="59"/>
        <v>6</v>
      </c>
      <c r="AC79" s="1242">
        <f t="shared" ref="AC79:AM79" si="60">SUM(AC61:AC78)</f>
        <v>14</v>
      </c>
      <c r="AD79" s="1242">
        <f t="shared" si="60"/>
        <v>13</v>
      </c>
      <c r="AE79" s="1235">
        <f t="shared" si="60"/>
        <v>11</v>
      </c>
      <c r="AF79" s="1235">
        <f t="shared" si="60"/>
        <v>23</v>
      </c>
      <c r="AG79" s="1235">
        <f t="shared" si="60"/>
        <v>22</v>
      </c>
      <c r="AH79" s="1235">
        <f t="shared" si="60"/>
        <v>20</v>
      </c>
      <c r="AI79" s="1235">
        <f t="shared" si="60"/>
        <v>46</v>
      </c>
      <c r="AJ79" s="1235">
        <f t="shared" si="60"/>
        <v>52</v>
      </c>
      <c r="AK79" s="1235">
        <f t="shared" si="60"/>
        <v>62</v>
      </c>
      <c r="AL79" s="1235">
        <f t="shared" si="60"/>
        <v>57</v>
      </c>
      <c r="AM79" s="1235">
        <f t="shared" si="60"/>
        <v>8</v>
      </c>
      <c r="AN79" s="1235"/>
    </row>
    <row r="80" spans="1:40" ht="4.5" customHeight="1">
      <c r="A80" s="1237"/>
      <c r="C80" s="1228"/>
      <c r="D80" s="1228"/>
      <c r="E80" s="1232"/>
      <c r="F80" s="1232"/>
      <c r="G80" s="1232"/>
      <c r="H80" s="1232"/>
      <c r="I80" s="1232"/>
      <c r="J80" s="1232"/>
      <c r="K80" s="1232"/>
      <c r="L80" s="1232"/>
      <c r="M80" s="1232"/>
      <c r="N80" s="1232"/>
      <c r="O80" s="1232"/>
      <c r="P80" s="1232"/>
      <c r="Q80" s="1232"/>
      <c r="R80" s="1232"/>
      <c r="S80" s="1232"/>
      <c r="V80" s="1252"/>
      <c r="W80" s="1252"/>
      <c r="X80" s="1252"/>
      <c r="Y80" s="1252"/>
      <c r="Z80" s="1252"/>
      <c r="AA80" s="1252"/>
      <c r="AB80" s="1252"/>
      <c r="AC80" s="1253"/>
      <c r="AD80" s="1253"/>
      <c r="AE80" s="1252"/>
      <c r="AF80" s="1252"/>
      <c r="AG80" s="1252"/>
      <c r="AH80" s="1252"/>
      <c r="AI80" s="1252"/>
      <c r="AJ80" s="1252"/>
      <c r="AK80" s="1252"/>
      <c r="AL80" s="1252"/>
      <c r="AM80" s="1252"/>
      <c r="AN80" s="1235"/>
    </row>
    <row r="81" spans="1:41">
      <c r="A81" s="1237"/>
      <c r="C81" s="1228"/>
      <c r="D81" s="1228"/>
      <c r="E81" s="1232"/>
      <c r="F81" s="1232"/>
      <c r="G81" s="1232"/>
      <c r="H81" s="1232"/>
      <c r="I81" s="1232"/>
      <c r="J81" s="1232"/>
      <c r="K81" s="1232"/>
      <c r="L81" s="1232"/>
      <c r="M81" s="1232"/>
      <c r="N81" s="1232"/>
      <c r="O81" s="1232"/>
      <c r="P81" s="1232"/>
      <c r="Q81" s="1232"/>
      <c r="R81" s="1232"/>
      <c r="S81" s="1232"/>
      <c r="V81" s="1235" t="s">
        <v>1403</v>
      </c>
      <c r="W81" s="1235"/>
      <c r="X81" s="1235"/>
      <c r="Y81" s="1235"/>
      <c r="Z81" s="1235"/>
      <c r="AA81" s="1235"/>
      <c r="AB81" s="1235"/>
      <c r="AC81" s="1242"/>
      <c r="AD81" s="1242"/>
      <c r="AE81" s="1235"/>
      <c r="AF81" s="1235"/>
      <c r="AG81" s="1235"/>
      <c r="AH81" s="1235"/>
      <c r="AI81" s="1235"/>
      <c r="AJ81" s="1235"/>
      <c r="AK81" s="1235"/>
      <c r="AL81" s="1235"/>
      <c r="AM81" s="1235"/>
      <c r="AN81" s="1235"/>
    </row>
    <row r="82" spans="1:41">
      <c r="A82" s="1237"/>
      <c r="C82" s="1228"/>
      <c r="D82" s="1228"/>
      <c r="E82" s="1232"/>
      <c r="F82" s="1232"/>
      <c r="G82" s="1232"/>
      <c r="H82" s="1232"/>
      <c r="I82" s="1232"/>
      <c r="J82" s="1232"/>
      <c r="K82" s="1232"/>
      <c r="L82" s="1232"/>
      <c r="M82" s="1232"/>
      <c r="N82" s="1232"/>
      <c r="O82" s="1232"/>
      <c r="P82" s="1232"/>
      <c r="Q82" s="1232"/>
      <c r="R82" s="1232"/>
      <c r="S82" s="1232"/>
      <c r="W82" s="1235"/>
      <c r="X82" s="1235"/>
      <c r="Y82" s="1235"/>
      <c r="Z82" s="1235"/>
      <c r="AA82" s="1235"/>
      <c r="AB82" s="1235"/>
      <c r="AC82" s="1242"/>
      <c r="AD82" s="1242"/>
      <c r="AE82" s="1235"/>
      <c r="AF82" s="1235"/>
      <c r="AG82" s="1235"/>
      <c r="AH82" s="1235"/>
      <c r="AI82" s="1235"/>
      <c r="AJ82" s="1235"/>
      <c r="AK82" s="1235"/>
      <c r="AL82" s="1235"/>
      <c r="AM82" s="1235"/>
      <c r="AN82" s="1235"/>
    </row>
    <row r="83" spans="1:41">
      <c r="A83" s="1237" t="s">
        <v>1289</v>
      </c>
      <c r="C83" s="1228"/>
      <c r="D83" s="1228"/>
      <c r="E83" s="1232"/>
      <c r="F83" s="1232"/>
      <c r="G83" s="1232"/>
      <c r="H83" s="1232"/>
      <c r="I83" s="1232"/>
      <c r="J83" s="1232"/>
      <c r="K83" s="1232"/>
      <c r="L83" s="1232"/>
      <c r="M83" s="1232"/>
      <c r="N83" s="1232"/>
      <c r="O83" s="1232"/>
      <c r="P83" s="1232"/>
      <c r="Q83" s="1232"/>
      <c r="R83" s="1232"/>
      <c r="S83" s="1232"/>
      <c r="V83" s="1235" t="s">
        <v>1667</v>
      </c>
    </row>
    <row r="85" spans="1:41">
      <c r="C85" s="1227">
        <v>2015</v>
      </c>
      <c r="N85" s="1238"/>
      <c r="O85" s="1238"/>
      <c r="P85" s="1236"/>
      <c r="Q85" s="1236"/>
      <c r="R85" s="1236"/>
      <c r="S85" s="1236"/>
      <c r="W85" s="1227">
        <v>15</v>
      </c>
      <c r="AJ85" s="1229"/>
      <c r="AK85" s="1229"/>
      <c r="AL85" s="1229"/>
      <c r="AM85" s="1229"/>
      <c r="AN85" s="1229"/>
    </row>
    <row r="86" spans="1:41" ht="16.5" customHeight="1">
      <c r="A86" s="1230" t="s">
        <v>736</v>
      </c>
      <c r="V86" s="1231" t="s">
        <v>736</v>
      </c>
      <c r="W86" s="1232"/>
      <c r="X86" s="1232"/>
      <c r="Y86" s="1232"/>
      <c r="Z86" s="1232"/>
      <c r="AA86" s="1232"/>
      <c r="AB86" s="1232"/>
      <c r="AC86" s="1233"/>
      <c r="AD86" s="1233"/>
      <c r="AE86" s="1232"/>
      <c r="AF86" s="1232"/>
      <c r="AG86" s="1232"/>
      <c r="AH86" s="1232"/>
      <c r="AI86" s="1232"/>
      <c r="AJ86" s="1233"/>
      <c r="AL86" s="1233"/>
    </row>
    <row r="87" spans="1:41">
      <c r="A87" s="1234" t="s">
        <v>734</v>
      </c>
      <c r="C87" s="1239"/>
      <c r="D87" s="1239"/>
      <c r="E87" s="1239"/>
      <c r="F87" s="1239"/>
      <c r="G87" s="1239"/>
      <c r="H87" s="1239"/>
      <c r="I87" s="1239"/>
      <c r="J87" s="1239"/>
      <c r="K87" s="1239"/>
      <c r="L87" s="1239"/>
      <c r="M87" s="1239"/>
      <c r="N87" s="1239"/>
      <c r="O87" s="1239"/>
      <c r="P87" s="1239"/>
      <c r="Q87" s="1239"/>
      <c r="R87" s="1239"/>
      <c r="S87" s="1239"/>
      <c r="V87" s="1227" t="s">
        <v>734</v>
      </c>
      <c r="W87" s="1232">
        <v>1</v>
      </c>
      <c r="X87" s="1232"/>
      <c r="Y87" s="1232"/>
      <c r="Z87" s="1232"/>
      <c r="AA87" s="1232"/>
      <c r="AB87" s="1232"/>
      <c r="AC87" s="1233"/>
      <c r="AD87" s="1233"/>
      <c r="AE87" s="1232"/>
      <c r="AF87" s="1232"/>
      <c r="AG87" s="1232"/>
      <c r="AH87" s="1232"/>
      <c r="AI87" s="1232"/>
      <c r="AJ87" s="1232"/>
      <c r="AK87" s="1232"/>
      <c r="AL87" s="1232"/>
      <c r="AM87" s="1232"/>
      <c r="AN87" s="1232"/>
      <c r="AO87" s="1240"/>
    </row>
    <row r="88" spans="1:41">
      <c r="A88" s="1234" t="s">
        <v>735</v>
      </c>
      <c r="C88" s="1239"/>
      <c r="D88" s="1239"/>
      <c r="E88" s="1239"/>
      <c r="F88" s="1239"/>
      <c r="G88" s="1239"/>
      <c r="H88" s="1239"/>
      <c r="I88" s="1239"/>
      <c r="J88" s="1239"/>
      <c r="K88" s="1239"/>
      <c r="L88" s="1239"/>
      <c r="M88" s="1239"/>
      <c r="N88" s="1239"/>
      <c r="O88" s="1239"/>
      <c r="P88" s="1239"/>
      <c r="Q88" s="1239"/>
      <c r="R88" s="1239"/>
      <c r="S88" s="1239"/>
      <c r="V88" s="1227" t="s">
        <v>735</v>
      </c>
      <c r="W88" s="1232">
        <v>4</v>
      </c>
      <c r="X88" s="1232"/>
      <c r="Y88" s="1232"/>
      <c r="Z88" s="1232"/>
      <c r="AA88" s="1232"/>
      <c r="AB88" s="1232"/>
      <c r="AC88" s="1233"/>
      <c r="AD88" s="1233"/>
      <c r="AE88" s="1232"/>
      <c r="AF88" s="1232"/>
      <c r="AG88" s="1232"/>
      <c r="AH88" s="1232"/>
      <c r="AI88" s="1232"/>
      <c r="AJ88" s="1232"/>
      <c r="AK88" s="1232"/>
      <c r="AL88" s="1232"/>
      <c r="AM88" s="1232"/>
      <c r="AN88" s="1232"/>
      <c r="AO88" s="1240"/>
    </row>
    <row r="89" spans="1:41">
      <c r="A89" s="1234" t="s">
        <v>737</v>
      </c>
      <c r="C89" s="1239"/>
      <c r="D89" s="1239"/>
      <c r="E89" s="1239"/>
      <c r="F89" s="1239"/>
      <c r="G89" s="1239"/>
      <c r="H89" s="1239"/>
      <c r="I89" s="1239"/>
      <c r="J89" s="1239"/>
      <c r="K89" s="1239"/>
      <c r="L89" s="1239"/>
      <c r="M89" s="1239"/>
      <c r="N89" s="1239"/>
      <c r="O89" s="1239"/>
      <c r="P89" s="1239"/>
      <c r="Q89" s="1239"/>
      <c r="R89" s="1239"/>
      <c r="S89" s="1239"/>
      <c r="V89" s="1227" t="s">
        <v>1287</v>
      </c>
      <c r="W89" s="1232">
        <v>1</v>
      </c>
      <c r="X89" s="1232"/>
      <c r="Y89" s="1232"/>
      <c r="Z89" s="1232"/>
      <c r="AA89" s="1232"/>
      <c r="AB89" s="1232"/>
      <c r="AC89" s="1233"/>
      <c r="AD89" s="1233"/>
      <c r="AE89" s="1232"/>
      <c r="AF89" s="1232"/>
      <c r="AG89" s="1232"/>
      <c r="AH89" s="1232"/>
      <c r="AI89" s="1232"/>
      <c r="AJ89" s="1232"/>
      <c r="AK89" s="1232"/>
      <c r="AL89" s="1232"/>
      <c r="AM89" s="1232"/>
      <c r="AN89" s="1232"/>
      <c r="AO89" s="1240"/>
    </row>
    <row r="90" spans="1:41">
      <c r="A90" s="1234" t="s">
        <v>738</v>
      </c>
      <c r="C90" s="1239"/>
      <c r="D90" s="1239"/>
      <c r="E90" s="1239"/>
      <c r="F90" s="1239"/>
      <c r="G90" s="1239"/>
      <c r="H90" s="1239"/>
      <c r="I90" s="1239"/>
      <c r="J90" s="1239"/>
      <c r="K90" s="1239"/>
      <c r="L90" s="1239"/>
      <c r="M90" s="1239"/>
      <c r="N90" s="1239"/>
      <c r="O90" s="1239"/>
      <c r="P90" s="1239"/>
      <c r="Q90" s="1239"/>
      <c r="R90" s="1239"/>
      <c r="S90" s="1239"/>
      <c r="V90" s="1227" t="s">
        <v>738</v>
      </c>
      <c r="W90" s="1232">
        <v>5</v>
      </c>
      <c r="X90" s="1232"/>
      <c r="Y90" s="1232"/>
      <c r="Z90" s="1232"/>
      <c r="AA90" s="1232"/>
      <c r="AB90" s="1232"/>
      <c r="AC90" s="1233"/>
      <c r="AD90" s="1233"/>
      <c r="AE90" s="1232"/>
      <c r="AF90" s="1232"/>
      <c r="AG90" s="1232"/>
      <c r="AH90" s="1232"/>
      <c r="AI90" s="1232"/>
      <c r="AJ90" s="1232"/>
      <c r="AK90" s="1232"/>
      <c r="AL90" s="1232"/>
      <c r="AM90" s="1232"/>
      <c r="AN90" s="1232"/>
      <c r="AO90" s="1240"/>
    </row>
    <row r="91" spans="1:41">
      <c r="A91" s="1234" t="s">
        <v>739</v>
      </c>
      <c r="C91" s="1239"/>
      <c r="D91" s="1239"/>
      <c r="E91" s="1239"/>
      <c r="F91" s="1239"/>
      <c r="G91" s="1239"/>
      <c r="H91" s="1239"/>
      <c r="I91" s="1239"/>
      <c r="J91" s="1239"/>
      <c r="K91" s="1239"/>
      <c r="L91" s="1239"/>
      <c r="M91" s="1239"/>
      <c r="N91" s="1239"/>
      <c r="O91" s="1239"/>
      <c r="P91" s="1239"/>
      <c r="Q91" s="1239"/>
      <c r="R91" s="1239"/>
      <c r="S91" s="1239"/>
      <c r="V91" s="1234" t="s">
        <v>739</v>
      </c>
      <c r="W91" s="1232">
        <v>0</v>
      </c>
      <c r="X91" s="1232"/>
      <c r="Y91" s="1232"/>
      <c r="Z91" s="1232"/>
      <c r="AA91" s="1232"/>
      <c r="AB91" s="1232"/>
      <c r="AC91" s="1233"/>
      <c r="AD91" s="1233"/>
      <c r="AE91" s="1232"/>
      <c r="AF91" s="1232"/>
      <c r="AG91" s="1232"/>
      <c r="AH91" s="1232"/>
      <c r="AI91" s="1232"/>
      <c r="AJ91" s="1232"/>
      <c r="AK91" s="1232"/>
      <c r="AL91" s="1232"/>
      <c r="AM91" s="1232"/>
      <c r="AN91" s="1232"/>
      <c r="AO91" s="1240"/>
    </row>
    <row r="92" spans="1:41">
      <c r="A92" s="1234" t="s">
        <v>740</v>
      </c>
      <c r="C92" s="1239"/>
      <c r="D92" s="1239"/>
      <c r="E92" s="1239"/>
      <c r="F92" s="1239"/>
      <c r="G92" s="1239"/>
      <c r="H92" s="1239"/>
      <c r="I92" s="1239"/>
      <c r="J92" s="1239"/>
      <c r="K92" s="1239"/>
      <c r="L92" s="1239"/>
      <c r="M92" s="1239"/>
      <c r="N92" s="1239"/>
      <c r="O92" s="1239"/>
      <c r="P92" s="1239"/>
      <c r="Q92" s="1239"/>
      <c r="R92" s="1239"/>
      <c r="S92" s="1239"/>
      <c r="V92" s="1234" t="s">
        <v>740</v>
      </c>
      <c r="W92" s="1232">
        <f>17-SUM(W87:W91)</f>
        <v>6</v>
      </c>
      <c r="X92" s="1232"/>
      <c r="Y92" s="1232"/>
      <c r="Z92" s="1232"/>
      <c r="AA92" s="1232"/>
      <c r="AB92" s="1232"/>
      <c r="AC92" s="1233"/>
      <c r="AD92" s="1233"/>
      <c r="AE92" s="1232"/>
      <c r="AF92" s="1232"/>
      <c r="AG92" s="1232"/>
      <c r="AH92" s="1232"/>
      <c r="AI92" s="1232"/>
      <c r="AJ92" s="1232"/>
      <c r="AK92" s="1232"/>
      <c r="AL92" s="1232"/>
      <c r="AM92" s="1232"/>
      <c r="AN92" s="1232"/>
      <c r="AO92" s="1240"/>
    </row>
    <row r="93" spans="1:41" ht="16.5" customHeight="1">
      <c r="A93" s="1230" t="s">
        <v>174</v>
      </c>
      <c r="C93" s="1239"/>
      <c r="D93" s="1239"/>
      <c r="E93" s="1239"/>
      <c r="F93" s="1239"/>
      <c r="G93" s="1239"/>
      <c r="H93" s="1239"/>
      <c r="I93" s="1239"/>
      <c r="J93" s="1239"/>
      <c r="K93" s="1239"/>
      <c r="L93" s="1239"/>
      <c r="M93" s="1239"/>
      <c r="N93" s="1239"/>
      <c r="O93" s="1239"/>
      <c r="P93" s="1239"/>
      <c r="Q93" s="1239"/>
      <c r="R93" s="1239"/>
      <c r="S93" s="1239"/>
      <c r="V93" s="1230" t="s">
        <v>174</v>
      </c>
      <c r="W93" s="1232"/>
      <c r="X93" s="1232"/>
      <c r="Y93" s="1232"/>
      <c r="Z93" s="1232"/>
      <c r="AA93" s="1232"/>
      <c r="AB93" s="1232"/>
      <c r="AC93" s="1232"/>
      <c r="AD93" s="1232"/>
      <c r="AE93" s="1232"/>
      <c r="AF93" s="1232"/>
      <c r="AG93" s="1232"/>
      <c r="AH93" s="1232"/>
      <c r="AI93" s="1232"/>
      <c r="AJ93" s="1232"/>
      <c r="AK93" s="1232"/>
      <c r="AL93" s="1232"/>
      <c r="AM93" s="1232"/>
      <c r="AN93" s="1232"/>
      <c r="AO93" s="1240"/>
    </row>
    <row r="94" spans="1:41">
      <c r="A94" s="1234" t="s">
        <v>741</v>
      </c>
      <c r="C94" s="1239"/>
      <c r="D94" s="1239"/>
      <c r="E94" s="1239"/>
      <c r="F94" s="1239"/>
      <c r="G94" s="1239"/>
      <c r="H94" s="1239"/>
      <c r="I94" s="1239"/>
      <c r="J94" s="1239"/>
      <c r="K94" s="1239"/>
      <c r="L94" s="1239"/>
      <c r="M94" s="1239"/>
      <c r="N94" s="1239"/>
      <c r="O94" s="1239"/>
      <c r="P94" s="1239"/>
      <c r="Q94" s="1239"/>
      <c r="R94" s="1239"/>
      <c r="S94" s="1239"/>
      <c r="V94" s="1234" t="s">
        <v>741</v>
      </c>
      <c r="W94" s="1232">
        <v>8</v>
      </c>
      <c r="X94" s="1232"/>
      <c r="Y94" s="1232"/>
      <c r="Z94" s="1232"/>
      <c r="AA94" s="1232"/>
      <c r="AB94" s="1232"/>
      <c r="AC94" s="1233"/>
      <c r="AD94" s="1233"/>
      <c r="AE94" s="1232"/>
      <c r="AF94" s="1232"/>
      <c r="AG94" s="1232"/>
      <c r="AH94" s="1232"/>
      <c r="AI94" s="1232"/>
      <c r="AJ94" s="1232"/>
      <c r="AK94" s="1232"/>
      <c r="AL94" s="1232"/>
      <c r="AM94" s="1232"/>
      <c r="AN94" s="1232"/>
      <c r="AO94" s="1240"/>
    </row>
    <row r="95" spans="1:41">
      <c r="A95" s="1234" t="s">
        <v>742</v>
      </c>
      <c r="C95" s="1239"/>
      <c r="D95" s="1239"/>
      <c r="E95" s="1239"/>
      <c r="F95" s="1239"/>
      <c r="G95" s="1239"/>
      <c r="H95" s="1239"/>
      <c r="I95" s="1239"/>
      <c r="J95" s="1239"/>
      <c r="K95" s="1239"/>
      <c r="L95" s="1239"/>
      <c r="M95" s="1239"/>
      <c r="N95" s="1239"/>
      <c r="O95" s="1239"/>
      <c r="P95" s="1239"/>
      <c r="Q95" s="1239"/>
      <c r="R95" s="1239"/>
      <c r="S95" s="1239"/>
      <c r="V95" s="1234" t="s">
        <v>742</v>
      </c>
      <c r="W95" s="1232">
        <v>11</v>
      </c>
      <c r="X95" s="1232"/>
      <c r="Y95" s="1232"/>
      <c r="Z95" s="1232"/>
      <c r="AA95" s="1232"/>
      <c r="AB95" s="1232"/>
      <c r="AC95" s="1233"/>
      <c r="AD95" s="1233"/>
      <c r="AE95" s="1232"/>
      <c r="AF95" s="1232"/>
      <c r="AG95" s="1232"/>
      <c r="AH95" s="1232"/>
      <c r="AI95" s="1232"/>
      <c r="AJ95" s="1232"/>
      <c r="AK95" s="1232"/>
      <c r="AL95" s="1232"/>
      <c r="AM95" s="1232"/>
      <c r="AN95" s="1232"/>
      <c r="AO95" s="1240"/>
    </row>
    <row r="96" spans="1:41" ht="16.5" customHeight="1">
      <c r="A96" s="1230" t="s">
        <v>211</v>
      </c>
      <c r="C96" s="1239"/>
      <c r="D96" s="1239"/>
      <c r="E96" s="1239"/>
      <c r="F96" s="1239"/>
      <c r="G96" s="1239"/>
      <c r="H96" s="1239"/>
      <c r="I96" s="1239"/>
      <c r="J96" s="1239"/>
      <c r="K96" s="1239"/>
      <c r="L96" s="1239"/>
      <c r="M96" s="1239"/>
      <c r="N96" s="1239"/>
      <c r="O96" s="1239"/>
      <c r="P96" s="1239"/>
      <c r="Q96" s="1239"/>
      <c r="R96" s="1239"/>
      <c r="S96" s="1239"/>
      <c r="V96" s="1230" t="s">
        <v>743</v>
      </c>
      <c r="W96" s="1232"/>
      <c r="X96" s="1232"/>
      <c r="Y96" s="1232"/>
      <c r="Z96" s="1232"/>
      <c r="AA96" s="1232"/>
      <c r="AB96" s="1232"/>
      <c r="AC96" s="1233"/>
      <c r="AD96" s="1233"/>
      <c r="AE96" s="1232"/>
      <c r="AF96" s="1232"/>
      <c r="AG96" s="1232"/>
      <c r="AH96" s="1232"/>
      <c r="AI96" s="1232"/>
      <c r="AJ96" s="1232"/>
      <c r="AK96" s="1232"/>
      <c r="AL96" s="1232"/>
      <c r="AM96" s="1232"/>
      <c r="AN96" s="1232"/>
      <c r="AO96" s="1240"/>
    </row>
    <row r="97" spans="1:41">
      <c r="A97" s="1234" t="s">
        <v>744</v>
      </c>
      <c r="C97" s="1239"/>
      <c r="D97" s="1239"/>
      <c r="E97" s="1239"/>
      <c r="F97" s="1239"/>
      <c r="G97" s="1239"/>
      <c r="H97" s="1239"/>
      <c r="I97" s="1239"/>
      <c r="J97" s="1239"/>
      <c r="K97" s="1239"/>
      <c r="L97" s="1239"/>
      <c r="M97" s="1239"/>
      <c r="N97" s="1239"/>
      <c r="O97" s="1239"/>
      <c r="P97" s="1239"/>
      <c r="Q97" s="1239"/>
      <c r="R97" s="1239"/>
      <c r="S97" s="1239"/>
      <c r="V97" s="1234" t="s">
        <v>1286</v>
      </c>
      <c r="W97" s="1232">
        <v>8</v>
      </c>
      <c r="X97" s="1232"/>
      <c r="Y97" s="1232"/>
      <c r="Z97" s="1232"/>
      <c r="AA97" s="1232"/>
      <c r="AB97" s="1232"/>
      <c r="AC97" s="1233"/>
      <c r="AD97" s="1233"/>
      <c r="AE97" s="1232"/>
      <c r="AF97" s="1232"/>
      <c r="AG97" s="1232"/>
      <c r="AH97" s="1232"/>
      <c r="AI97" s="1232"/>
      <c r="AJ97" s="1232"/>
      <c r="AK97" s="1232"/>
      <c r="AL97" s="1232"/>
      <c r="AM97" s="1232"/>
      <c r="AN97" s="1232"/>
      <c r="AO97" s="1240"/>
    </row>
    <row r="98" spans="1:41">
      <c r="A98" s="1234" t="s">
        <v>745</v>
      </c>
      <c r="C98" s="1239"/>
      <c r="D98" s="1239"/>
      <c r="E98" s="1239"/>
      <c r="F98" s="1239"/>
      <c r="G98" s="1239"/>
      <c r="H98" s="1239"/>
      <c r="I98" s="1239"/>
      <c r="J98" s="1239"/>
      <c r="K98" s="1239"/>
      <c r="L98" s="1239"/>
      <c r="M98" s="1239"/>
      <c r="N98" s="1239"/>
      <c r="O98" s="1239"/>
      <c r="P98" s="1239"/>
      <c r="Q98" s="1239"/>
      <c r="R98" s="1239"/>
      <c r="S98" s="1239"/>
      <c r="V98" s="1234" t="s">
        <v>745</v>
      </c>
      <c r="W98" s="1232">
        <v>4</v>
      </c>
      <c r="X98" s="1232"/>
      <c r="Y98" s="1232"/>
      <c r="Z98" s="1232"/>
      <c r="AA98" s="1232"/>
      <c r="AB98" s="1232"/>
      <c r="AC98" s="1233"/>
      <c r="AD98" s="1233"/>
      <c r="AE98" s="1232"/>
      <c r="AF98" s="1232"/>
      <c r="AG98" s="1232"/>
      <c r="AH98" s="1232"/>
      <c r="AI98" s="1232"/>
      <c r="AJ98" s="1232"/>
      <c r="AK98" s="1232"/>
      <c r="AL98" s="1232"/>
      <c r="AM98" s="1232"/>
      <c r="AN98" s="1232"/>
      <c r="AO98" s="1240"/>
    </row>
    <row r="99" spans="1:41">
      <c r="A99" s="1234" t="s">
        <v>746</v>
      </c>
      <c r="C99" s="1239"/>
      <c r="D99" s="1239"/>
      <c r="E99" s="1239"/>
      <c r="F99" s="1239"/>
      <c r="G99" s="1239"/>
      <c r="H99" s="1239"/>
      <c r="I99" s="1239"/>
      <c r="J99" s="1239"/>
      <c r="K99" s="1239"/>
      <c r="L99" s="1239"/>
      <c r="M99" s="1239"/>
      <c r="N99" s="1239"/>
      <c r="O99" s="1239"/>
      <c r="P99" s="1239"/>
      <c r="Q99" s="1239"/>
      <c r="R99" s="1239"/>
      <c r="S99" s="1239"/>
      <c r="V99" s="1234" t="s">
        <v>1290</v>
      </c>
      <c r="W99" s="1232">
        <v>1</v>
      </c>
      <c r="X99" s="1232"/>
      <c r="Y99" s="1232"/>
      <c r="Z99" s="1232"/>
      <c r="AA99" s="1232"/>
      <c r="AB99" s="1232"/>
      <c r="AC99" s="1233"/>
      <c r="AD99" s="1233"/>
      <c r="AE99" s="1232"/>
      <c r="AF99" s="1232"/>
      <c r="AG99" s="1232"/>
      <c r="AH99" s="1232"/>
      <c r="AI99" s="1232"/>
      <c r="AJ99" s="1232"/>
      <c r="AK99" s="1232"/>
      <c r="AL99" s="1232"/>
      <c r="AM99" s="1232"/>
      <c r="AN99" s="1232"/>
      <c r="AO99" s="1240"/>
    </row>
    <row r="100" spans="1:41" ht="16.5" customHeight="1">
      <c r="A100" s="1230" t="s">
        <v>747</v>
      </c>
      <c r="C100" s="1239"/>
      <c r="D100" s="1239"/>
      <c r="E100" s="1239"/>
      <c r="F100" s="1239"/>
      <c r="G100" s="1239"/>
      <c r="H100" s="1239"/>
      <c r="I100" s="1239"/>
      <c r="J100" s="1239"/>
      <c r="K100" s="1239"/>
      <c r="L100" s="1239"/>
      <c r="M100" s="1239"/>
      <c r="N100" s="1239"/>
      <c r="O100" s="1239"/>
      <c r="P100" s="1239"/>
      <c r="Q100" s="1239"/>
      <c r="R100" s="1239"/>
      <c r="S100" s="1239"/>
      <c r="V100" s="1230" t="s">
        <v>747</v>
      </c>
      <c r="W100" s="1232"/>
      <c r="X100" s="1232"/>
      <c r="Y100" s="1232"/>
      <c r="Z100" s="1232"/>
      <c r="AA100" s="1232"/>
      <c r="AB100" s="1232"/>
      <c r="AC100" s="1233"/>
      <c r="AD100" s="1233"/>
      <c r="AE100" s="1232"/>
      <c r="AF100" s="1232"/>
      <c r="AG100" s="1232"/>
      <c r="AH100" s="1232"/>
      <c r="AI100" s="1232"/>
      <c r="AJ100" s="1232"/>
      <c r="AK100" s="1232"/>
      <c r="AL100" s="1232"/>
      <c r="AM100" s="1232"/>
      <c r="AN100" s="1232"/>
      <c r="AO100" s="1240"/>
    </row>
    <row r="101" spans="1:41">
      <c r="A101" s="1234" t="s">
        <v>748</v>
      </c>
      <c r="C101" s="1239"/>
      <c r="D101" s="1239"/>
      <c r="E101" s="1239"/>
      <c r="F101" s="1239"/>
      <c r="G101" s="1239"/>
      <c r="H101" s="1239"/>
      <c r="I101" s="1239"/>
      <c r="J101" s="1239"/>
      <c r="K101" s="1239"/>
      <c r="L101" s="1239"/>
      <c r="M101" s="1239"/>
      <c r="N101" s="1239"/>
      <c r="O101" s="1239"/>
      <c r="P101" s="1239"/>
      <c r="Q101" s="1239"/>
      <c r="R101" s="1239"/>
      <c r="S101" s="1241"/>
      <c r="V101" s="1234" t="s">
        <v>748</v>
      </c>
      <c r="W101" s="1232" t="s">
        <v>246</v>
      </c>
      <c r="X101" s="1232"/>
      <c r="Y101" s="1232"/>
      <c r="Z101" s="1232"/>
      <c r="AA101" s="1232"/>
      <c r="AB101" s="1232"/>
      <c r="AC101" s="1233"/>
      <c r="AD101" s="1233"/>
      <c r="AE101" s="1232"/>
      <c r="AF101" s="1232"/>
      <c r="AG101" s="1232"/>
      <c r="AH101" s="1232"/>
      <c r="AI101" s="1232"/>
      <c r="AJ101" s="1232"/>
      <c r="AK101" s="1232"/>
      <c r="AL101" s="1232"/>
      <c r="AM101" s="1233"/>
      <c r="AN101" s="1233"/>
    </row>
    <row r="102" spans="1:41">
      <c r="A102" s="1234" t="s">
        <v>749</v>
      </c>
      <c r="C102" s="1239"/>
      <c r="D102" s="1239"/>
      <c r="E102" s="1239"/>
      <c r="F102" s="1239"/>
      <c r="G102" s="1239"/>
      <c r="H102" s="1239"/>
      <c r="I102" s="1239"/>
      <c r="J102" s="1239"/>
      <c r="K102" s="1239"/>
      <c r="L102" s="1239"/>
      <c r="M102" s="1239"/>
      <c r="N102" s="1239"/>
      <c r="O102" s="1239"/>
      <c r="P102" s="1239"/>
      <c r="Q102" s="1239"/>
      <c r="R102" s="1239"/>
      <c r="S102" s="1239"/>
      <c r="V102" s="1234" t="s">
        <v>749</v>
      </c>
      <c r="W102" s="1232">
        <v>0</v>
      </c>
      <c r="X102" s="1232"/>
      <c r="Y102" s="1232"/>
      <c r="Z102" s="1232"/>
      <c r="AA102" s="1232"/>
      <c r="AB102" s="1232"/>
      <c r="AC102" s="1233"/>
      <c r="AD102" s="1233"/>
      <c r="AE102" s="1232"/>
      <c r="AF102" s="1232"/>
      <c r="AG102" s="1232"/>
      <c r="AH102" s="1232"/>
      <c r="AI102" s="1232"/>
      <c r="AJ102" s="1232"/>
      <c r="AK102" s="1232"/>
      <c r="AL102" s="1232"/>
      <c r="AM102" s="1232"/>
      <c r="AN102" s="1232"/>
    </row>
    <row r="103" spans="1:41" ht="16.5" customHeight="1">
      <c r="A103" s="1230" t="s">
        <v>221</v>
      </c>
      <c r="C103" s="1239"/>
      <c r="D103" s="1239"/>
      <c r="E103" s="1239"/>
      <c r="F103" s="1239"/>
      <c r="G103" s="1239"/>
      <c r="H103" s="1239"/>
      <c r="I103" s="1239"/>
      <c r="J103" s="1239"/>
      <c r="K103" s="1239"/>
      <c r="L103" s="1239"/>
      <c r="M103" s="1239"/>
      <c r="N103" s="1239"/>
      <c r="O103" s="1239"/>
      <c r="P103" s="1239"/>
      <c r="Q103" s="1239"/>
      <c r="R103" s="1239"/>
      <c r="S103" s="1239"/>
      <c r="V103" s="1230" t="s">
        <v>750</v>
      </c>
      <c r="W103" s="1232"/>
      <c r="X103" s="1232"/>
      <c r="Y103" s="1232"/>
      <c r="Z103" s="1232"/>
      <c r="AA103" s="1232"/>
      <c r="AB103" s="1232"/>
      <c r="AC103" s="1233"/>
      <c r="AD103" s="1233"/>
      <c r="AE103" s="1232"/>
      <c r="AF103" s="1232"/>
      <c r="AG103" s="1232"/>
      <c r="AH103" s="1232"/>
      <c r="AI103" s="1232"/>
      <c r="AJ103" s="1232"/>
      <c r="AK103" s="1232"/>
      <c r="AL103" s="1232"/>
      <c r="AM103" s="1232"/>
      <c r="AN103" s="1232"/>
    </row>
    <row r="104" spans="1:41">
      <c r="A104" s="1234" t="s">
        <v>12</v>
      </c>
      <c r="C104" s="1239"/>
      <c r="D104" s="1239"/>
      <c r="E104" s="1239"/>
      <c r="F104" s="1239"/>
      <c r="G104" s="1239"/>
      <c r="H104" s="1239"/>
      <c r="I104" s="1239"/>
      <c r="J104" s="1239"/>
      <c r="K104" s="1239"/>
      <c r="L104" s="1239"/>
      <c r="M104" s="1239"/>
      <c r="N104" s="1239"/>
      <c r="O104" s="1239"/>
      <c r="P104" s="1239"/>
      <c r="Q104" s="1239"/>
      <c r="R104" s="1239"/>
      <c r="S104" s="1239"/>
      <c r="V104" s="1234" t="s">
        <v>12</v>
      </c>
      <c r="W104" s="1232">
        <f>20-SUM(W97:W99)</f>
        <v>7</v>
      </c>
      <c r="X104" s="1232"/>
      <c r="Y104" s="1232"/>
      <c r="Z104" s="1232"/>
      <c r="AA104" s="1232"/>
      <c r="AB104" s="1232"/>
      <c r="AC104" s="1233"/>
      <c r="AD104" s="1233"/>
      <c r="AE104" s="1232"/>
      <c r="AF104" s="1232"/>
      <c r="AG104" s="1232"/>
      <c r="AH104" s="1232"/>
      <c r="AI104" s="1232"/>
      <c r="AJ104" s="1232"/>
      <c r="AK104" s="1232"/>
      <c r="AL104" s="1232"/>
      <c r="AM104" s="1232"/>
      <c r="AN104" s="1232"/>
    </row>
    <row r="105" spans="1:41" ht="16.5" customHeight="1">
      <c r="A105" s="1237" t="s">
        <v>16</v>
      </c>
      <c r="C105" s="1232"/>
      <c r="D105" s="1232"/>
      <c r="E105" s="1232"/>
      <c r="F105" s="1232"/>
      <c r="G105" s="1232"/>
      <c r="H105" s="1232"/>
      <c r="I105" s="1232"/>
      <c r="J105" s="1232"/>
      <c r="K105" s="1232"/>
      <c r="L105" s="1232"/>
      <c r="M105" s="1232"/>
      <c r="N105" s="1232"/>
      <c r="O105" s="1232"/>
      <c r="P105" s="1232"/>
      <c r="Q105" s="1232"/>
      <c r="R105" s="1232"/>
      <c r="S105" s="1239"/>
      <c r="V105" s="1235" t="s">
        <v>16</v>
      </c>
      <c r="W105" s="1235">
        <f>SUM(W87:W104)</f>
        <v>56</v>
      </c>
      <c r="X105" s="1235"/>
      <c r="Y105" s="1235"/>
      <c r="Z105" s="1235"/>
      <c r="AA105" s="1235"/>
      <c r="AB105" s="1235"/>
      <c r="AC105" s="1242"/>
      <c r="AD105" s="1242"/>
      <c r="AE105" s="1235"/>
      <c r="AF105" s="1235"/>
      <c r="AG105" s="1235"/>
      <c r="AH105" s="1235"/>
      <c r="AI105" s="1235"/>
      <c r="AJ105" s="1235"/>
      <c r="AK105" s="1235"/>
      <c r="AL105" s="1235"/>
      <c r="AM105" s="1235"/>
      <c r="AN105" s="1235"/>
    </row>
    <row r="106" spans="1:41">
      <c r="A106" s="1237"/>
      <c r="C106" s="1228"/>
      <c r="D106" s="1228"/>
      <c r="E106" s="1232"/>
      <c r="F106" s="1232"/>
      <c r="G106" s="1232"/>
      <c r="H106" s="1232"/>
      <c r="I106" s="1232"/>
      <c r="J106" s="1232"/>
      <c r="K106" s="1232"/>
      <c r="L106" s="1232"/>
      <c r="M106" s="1232"/>
      <c r="N106" s="1232"/>
      <c r="O106" s="1232"/>
      <c r="P106" s="1232"/>
      <c r="Q106" s="1232"/>
      <c r="R106" s="1232"/>
      <c r="S106" s="1232"/>
    </row>
    <row r="107" spans="1:41" ht="13.5" customHeight="1">
      <c r="A107" s="1237" t="s">
        <v>1289</v>
      </c>
      <c r="C107" s="1228"/>
      <c r="D107" s="1228"/>
      <c r="E107" s="1232"/>
      <c r="F107" s="1232"/>
      <c r="G107" s="1232"/>
      <c r="H107" s="1232"/>
      <c r="I107" s="1232"/>
      <c r="J107" s="1232"/>
      <c r="K107" s="1232"/>
      <c r="L107" s="1232"/>
      <c r="M107" s="1232"/>
      <c r="N107" s="1232"/>
      <c r="O107" s="1232"/>
      <c r="P107" s="1232"/>
      <c r="Q107" s="1232"/>
      <c r="R107" s="1232"/>
      <c r="S107" s="1232"/>
      <c r="V107" s="1235" t="s">
        <v>2713</v>
      </c>
    </row>
    <row r="108" spans="1:41" ht="21" customHeight="1">
      <c r="A108" s="1237"/>
      <c r="C108" s="1228"/>
      <c r="D108" s="1228"/>
      <c r="E108" s="1232"/>
      <c r="F108" s="1232"/>
      <c r="G108" s="1232"/>
      <c r="H108" s="1232"/>
      <c r="I108" s="1232"/>
      <c r="J108" s="1232"/>
      <c r="K108" s="1232"/>
      <c r="L108" s="1232"/>
      <c r="M108" s="1232"/>
      <c r="N108" s="1232"/>
      <c r="O108" s="1232"/>
      <c r="P108" s="1232"/>
      <c r="Q108" s="1232"/>
      <c r="R108" s="1232"/>
      <c r="S108" s="1232"/>
      <c r="V108" s="984" t="s">
        <v>2714</v>
      </c>
      <c r="W108" s="1249"/>
      <c r="X108" s="1249"/>
      <c r="Y108" s="1249"/>
      <c r="Z108" s="1249"/>
      <c r="AA108" s="1249"/>
      <c r="AB108" s="1249"/>
      <c r="AC108" s="1250"/>
      <c r="AD108" s="1250"/>
      <c r="AE108" s="1249"/>
      <c r="AF108" s="1249"/>
      <c r="AG108" s="1249"/>
      <c r="AH108" s="1249"/>
      <c r="AI108" s="1249"/>
      <c r="AJ108" s="1249"/>
      <c r="AK108" s="1249"/>
      <c r="AL108" s="1249"/>
      <c r="AM108" s="1249"/>
    </row>
    <row r="109" spans="1:41">
      <c r="I109" s="1227" t="s">
        <v>50</v>
      </c>
      <c r="J109" s="1227" t="s">
        <v>51</v>
      </c>
      <c r="V109" s="1246"/>
      <c r="W109" s="1246"/>
      <c r="X109" s="1246"/>
      <c r="Y109" s="1246"/>
      <c r="Z109" s="1246"/>
      <c r="AA109" s="1246"/>
      <c r="AB109" s="1246"/>
      <c r="AC109" s="1247" t="s">
        <v>50</v>
      </c>
      <c r="AD109" s="1247" t="s">
        <v>51</v>
      </c>
      <c r="AE109" s="1246"/>
      <c r="AF109" s="1246"/>
      <c r="AG109" s="1246"/>
      <c r="AH109" s="1246"/>
      <c r="AI109" s="1246"/>
      <c r="AJ109" s="1246"/>
      <c r="AK109" s="1246"/>
      <c r="AL109" s="1246"/>
      <c r="AM109" s="1246"/>
    </row>
    <row r="110" spans="1:41" ht="16">
      <c r="C110" s="1227">
        <v>51</v>
      </c>
      <c r="D110" s="1227">
        <v>55</v>
      </c>
      <c r="E110" s="1227">
        <v>59</v>
      </c>
      <c r="F110" s="1227">
        <v>64</v>
      </c>
      <c r="G110" s="1227">
        <v>66</v>
      </c>
      <c r="H110" s="1227">
        <v>70</v>
      </c>
      <c r="I110" s="1227">
        <v>74</v>
      </c>
      <c r="J110" s="1227">
        <v>74</v>
      </c>
      <c r="K110" s="1227">
        <v>79</v>
      </c>
      <c r="L110" s="1227">
        <v>83</v>
      </c>
      <c r="M110" s="1227">
        <v>87</v>
      </c>
      <c r="N110" s="1238">
        <v>92</v>
      </c>
      <c r="O110" s="1238">
        <v>97</v>
      </c>
      <c r="P110" s="1236">
        <v>1</v>
      </c>
      <c r="Q110" s="1236">
        <v>5</v>
      </c>
      <c r="R110" s="1236">
        <v>10</v>
      </c>
      <c r="S110" s="1236">
        <v>15</v>
      </c>
      <c r="V110" s="1246"/>
      <c r="W110" s="1246">
        <v>51</v>
      </c>
      <c r="X110" s="1246">
        <v>55</v>
      </c>
      <c r="Y110" s="1246">
        <v>59</v>
      </c>
      <c r="Z110" s="1246">
        <v>64</v>
      </c>
      <c r="AA110" s="1246">
        <v>66</v>
      </c>
      <c r="AB110" s="1246">
        <v>70</v>
      </c>
      <c r="AC110" s="1247">
        <v>74</v>
      </c>
      <c r="AD110" s="1247">
        <v>74</v>
      </c>
      <c r="AE110" s="1246">
        <v>79</v>
      </c>
      <c r="AF110" s="1246">
        <v>83</v>
      </c>
      <c r="AG110" s="1246">
        <v>87</v>
      </c>
      <c r="AH110" s="1246">
        <v>92</v>
      </c>
      <c r="AI110" s="1246">
        <v>97</v>
      </c>
      <c r="AJ110" s="1248" t="s">
        <v>173</v>
      </c>
      <c r="AK110" s="1248" t="s">
        <v>754</v>
      </c>
      <c r="AL110" s="1248" t="s">
        <v>977</v>
      </c>
      <c r="AM110" s="1248" t="s">
        <v>2315</v>
      </c>
      <c r="AN110" s="1229"/>
    </row>
    <row r="111" spans="1:41" ht="13.5" customHeight="1">
      <c r="A111" s="1230" t="s">
        <v>736</v>
      </c>
      <c r="V111" s="1231" t="s">
        <v>736</v>
      </c>
      <c r="W111" s="1232"/>
      <c r="X111" s="1232"/>
      <c r="Y111" s="1232"/>
      <c r="Z111" s="1232"/>
      <c r="AA111" s="1232"/>
      <c r="AB111" s="1232"/>
      <c r="AC111" s="1233"/>
      <c r="AD111" s="1233"/>
      <c r="AE111" s="1232"/>
      <c r="AF111" s="1232"/>
      <c r="AG111" s="1232"/>
      <c r="AH111" s="1232"/>
      <c r="AI111" s="1232"/>
      <c r="AJ111" s="1233"/>
      <c r="AL111" s="1233"/>
    </row>
    <row r="112" spans="1:41" ht="13.5" customHeight="1">
      <c r="A112" s="1234" t="s">
        <v>734</v>
      </c>
      <c r="C112" s="1239">
        <f>W112/W$130*100</f>
        <v>14.951768488745982</v>
      </c>
      <c r="D112" s="1239">
        <f t="shared" ref="D112:R112" si="61">X112/X$130*100</f>
        <v>15.445859872611464</v>
      </c>
      <c r="E112" s="1239">
        <f t="shared" si="61"/>
        <v>16.375198728139907</v>
      </c>
      <c r="F112" s="1239">
        <f t="shared" si="61"/>
        <v>15.873015873015872</v>
      </c>
      <c r="G112" s="1239">
        <f t="shared" si="61"/>
        <v>14.968152866242038</v>
      </c>
      <c r="H112" s="1239">
        <f t="shared" si="61"/>
        <v>15.569823434991974</v>
      </c>
      <c r="I112" s="1239">
        <f t="shared" si="61"/>
        <v>15.196078431372548</v>
      </c>
      <c r="J112" s="1239">
        <f t="shared" si="61"/>
        <v>14.77832512315271</v>
      </c>
      <c r="K112" s="1239">
        <f t="shared" si="61"/>
        <v>11.019736842105262</v>
      </c>
      <c r="L112" s="1239">
        <f t="shared" si="61"/>
        <v>10.969793322734498</v>
      </c>
      <c r="M112" s="1239">
        <f t="shared" si="61"/>
        <v>9.0909090909090917</v>
      </c>
      <c r="N112" s="1239">
        <f t="shared" si="61"/>
        <v>8.4529505582137165</v>
      </c>
      <c r="O112" s="1239">
        <f t="shared" si="61"/>
        <v>5.7233704292527827</v>
      </c>
      <c r="P112" s="1239">
        <f t="shared" si="61"/>
        <v>5.2380952380952381</v>
      </c>
      <c r="Q112" s="1239">
        <f t="shared" si="61"/>
        <v>5.5284552845528454</v>
      </c>
      <c r="R112" s="1239">
        <f t="shared" si="61"/>
        <v>6.1191626409017719</v>
      </c>
      <c r="S112" s="1239">
        <f>AM112/AM$130*100</f>
        <v>6.0702875399361016</v>
      </c>
      <c r="V112" s="1227" t="s">
        <v>734</v>
      </c>
      <c r="W112" s="1232">
        <f t="shared" ref="W112:AL112" si="62">W61+W35+W9</f>
        <v>93</v>
      </c>
      <c r="X112" s="1232">
        <f t="shared" si="62"/>
        <v>97</v>
      </c>
      <c r="Y112" s="1232">
        <f t="shared" si="62"/>
        <v>103</v>
      </c>
      <c r="Z112" s="1232">
        <f t="shared" si="62"/>
        <v>100</v>
      </c>
      <c r="AA112" s="1232">
        <f t="shared" si="62"/>
        <v>94</v>
      </c>
      <c r="AB112" s="1232">
        <f t="shared" si="62"/>
        <v>97</v>
      </c>
      <c r="AC112" s="1232">
        <f t="shared" si="62"/>
        <v>93</v>
      </c>
      <c r="AD112" s="1232">
        <f t="shared" si="62"/>
        <v>90</v>
      </c>
      <c r="AE112" s="1232">
        <f t="shared" si="62"/>
        <v>67</v>
      </c>
      <c r="AF112" s="1232">
        <f t="shared" si="62"/>
        <v>69</v>
      </c>
      <c r="AG112" s="1232">
        <f t="shared" si="62"/>
        <v>57</v>
      </c>
      <c r="AH112" s="1232">
        <f t="shared" si="62"/>
        <v>53</v>
      </c>
      <c r="AI112" s="1232">
        <f t="shared" si="62"/>
        <v>36</v>
      </c>
      <c r="AJ112" s="1232">
        <f t="shared" si="62"/>
        <v>33</v>
      </c>
      <c r="AK112" s="1232">
        <f t="shared" si="62"/>
        <v>34</v>
      </c>
      <c r="AL112" s="1232">
        <f t="shared" si="62"/>
        <v>38</v>
      </c>
      <c r="AM112" s="1232">
        <f>AM9+AM35+AM61+W87</f>
        <v>38</v>
      </c>
      <c r="AN112" s="1232"/>
      <c r="AO112" s="1240">
        <f t="shared" ref="AO112:AO117" si="63">AM112/$AM$130</f>
        <v>6.070287539936102E-2</v>
      </c>
    </row>
    <row r="113" spans="1:41" ht="13.5" customHeight="1">
      <c r="A113" s="1234" t="s">
        <v>735</v>
      </c>
      <c r="C113" s="1239">
        <f t="shared" ref="C113:C130" si="64">W113/W$130*100</f>
        <v>3.8585209003215439</v>
      </c>
      <c r="D113" s="1239">
        <f t="shared" ref="D113:D130" si="65">X113/X$130*100</f>
        <v>3.3439490445859872</v>
      </c>
      <c r="E113" s="1239">
        <f t="shared" ref="E113:E130" si="66">Y113/Y$130*100</f>
        <v>3.9745627980922098</v>
      </c>
      <c r="F113" s="1239">
        <f t="shared" ref="F113:F130" si="67">Z113/Z$130*100</f>
        <v>4.6031746031746037</v>
      </c>
      <c r="G113" s="1239">
        <f t="shared" ref="G113:G130" si="68">AA113/AA$130*100</f>
        <v>5.2547770700636942</v>
      </c>
      <c r="H113" s="1239">
        <f t="shared" ref="H113:H130" si="69">AB113/AB$130*100</f>
        <v>4.4943820224719104</v>
      </c>
      <c r="I113" s="1239">
        <f t="shared" ref="I113:I130" si="70">AC113/AC$130*100</f>
        <v>3.7581699346405228</v>
      </c>
      <c r="J113" s="1239">
        <f t="shared" ref="J113:J130" si="71">AD113/AD$130*100</f>
        <v>3.6124794745484397</v>
      </c>
      <c r="K113" s="1239">
        <f t="shared" ref="K113:K130" si="72">AE113/AE$130*100</f>
        <v>4.7697368421052637</v>
      </c>
      <c r="L113" s="1239">
        <f t="shared" ref="L113:L130" si="73">AF113/AF$130*100</f>
        <v>5.5643879173290935</v>
      </c>
      <c r="M113" s="1239">
        <f t="shared" ref="M113:M130" si="74">AG113/AG$130*100</f>
        <v>4.944178628389154</v>
      </c>
      <c r="N113" s="1239">
        <f t="shared" ref="N113:N130" si="75">AH113/AH$130*100</f>
        <v>4.7846889952153111</v>
      </c>
      <c r="O113" s="1239">
        <f t="shared" ref="O113:O130" si="76">AI113/AI$130*100</f>
        <v>4.4515103338632747</v>
      </c>
      <c r="P113" s="1239">
        <f t="shared" ref="P113:P130" si="77">AJ113/AJ$130*100</f>
        <v>5.5555555555555554</v>
      </c>
      <c r="Q113" s="1239">
        <f t="shared" ref="Q113:Q130" si="78">AK113/AK$130*100</f>
        <v>6.178861788617886</v>
      </c>
      <c r="R113" s="1239">
        <f t="shared" ref="R113:R130" si="79">AL113/AL$130*100</f>
        <v>7.7294685990338161</v>
      </c>
      <c r="S113" s="1239">
        <f t="shared" ref="S113:S130" si="80">AM113/AM$130*100</f>
        <v>8.1469648562300314</v>
      </c>
      <c r="V113" s="1227" t="s">
        <v>735</v>
      </c>
      <c r="W113" s="1232">
        <f t="shared" ref="W113:AL113" si="81">W62+W36+W10</f>
        <v>24</v>
      </c>
      <c r="X113" s="1232">
        <f t="shared" si="81"/>
        <v>21</v>
      </c>
      <c r="Y113" s="1232">
        <f t="shared" si="81"/>
        <v>25</v>
      </c>
      <c r="Z113" s="1232">
        <f t="shared" si="81"/>
        <v>29</v>
      </c>
      <c r="AA113" s="1232">
        <f t="shared" si="81"/>
        <v>33</v>
      </c>
      <c r="AB113" s="1232">
        <f t="shared" si="81"/>
        <v>28</v>
      </c>
      <c r="AC113" s="1232">
        <f t="shared" si="81"/>
        <v>23</v>
      </c>
      <c r="AD113" s="1232">
        <f t="shared" si="81"/>
        <v>22</v>
      </c>
      <c r="AE113" s="1232">
        <f t="shared" si="81"/>
        <v>29</v>
      </c>
      <c r="AF113" s="1232">
        <f t="shared" si="81"/>
        <v>35</v>
      </c>
      <c r="AG113" s="1232">
        <f t="shared" si="81"/>
        <v>31</v>
      </c>
      <c r="AH113" s="1232">
        <f t="shared" si="81"/>
        <v>30</v>
      </c>
      <c r="AI113" s="1232">
        <f t="shared" si="81"/>
        <v>28</v>
      </c>
      <c r="AJ113" s="1232">
        <f t="shared" si="81"/>
        <v>35</v>
      </c>
      <c r="AK113" s="1232">
        <f t="shared" si="81"/>
        <v>38</v>
      </c>
      <c r="AL113" s="1232">
        <f t="shared" si="81"/>
        <v>48</v>
      </c>
      <c r="AM113" s="1232">
        <f>AM10+AM36+AM62+W88</f>
        <v>51</v>
      </c>
      <c r="AN113" s="1232"/>
      <c r="AO113" s="1240">
        <f t="shared" si="63"/>
        <v>8.1469648562300323E-2</v>
      </c>
    </row>
    <row r="114" spans="1:41" ht="13.5" customHeight="1">
      <c r="A114" s="1234" t="s">
        <v>737</v>
      </c>
      <c r="C114" s="1239">
        <f t="shared" si="64"/>
        <v>2.8938906752411575</v>
      </c>
      <c r="D114" s="1239">
        <f t="shared" si="65"/>
        <v>3.3439490445859872</v>
      </c>
      <c r="E114" s="1239">
        <f t="shared" si="66"/>
        <v>3.4976152623211445</v>
      </c>
      <c r="F114" s="1239">
        <f t="shared" si="67"/>
        <v>3.9682539682539679</v>
      </c>
      <c r="G114" s="1239">
        <f t="shared" si="68"/>
        <v>3.5031847133757963</v>
      </c>
      <c r="H114" s="1239">
        <f t="shared" si="69"/>
        <v>2.4077046548956664</v>
      </c>
      <c r="I114" s="1239">
        <f t="shared" si="70"/>
        <v>2.1241830065359477</v>
      </c>
      <c r="J114" s="1239">
        <f t="shared" si="71"/>
        <v>2.2988505747126435</v>
      </c>
      <c r="K114" s="1239">
        <f t="shared" si="72"/>
        <v>4.9342105263157894</v>
      </c>
      <c r="L114" s="1239">
        <f t="shared" si="73"/>
        <v>4.2925278219395864</v>
      </c>
      <c r="M114" s="1239">
        <f t="shared" si="74"/>
        <v>3.5087719298245612</v>
      </c>
      <c r="N114" s="1239">
        <f t="shared" si="75"/>
        <v>3.0303030303030303</v>
      </c>
      <c r="O114" s="1239">
        <f t="shared" si="76"/>
        <v>5.8823529411764701</v>
      </c>
      <c r="P114" s="1239">
        <f t="shared" si="77"/>
        <v>5.5555555555555554</v>
      </c>
      <c r="Q114" s="1239">
        <f t="shared" si="78"/>
        <v>4.5528455284552845</v>
      </c>
      <c r="R114" s="1239">
        <f t="shared" si="79"/>
        <v>2.8985507246376812</v>
      </c>
      <c r="S114" s="1239">
        <f t="shared" si="80"/>
        <v>2.3961661341853033</v>
      </c>
      <c r="V114" s="1227" t="s">
        <v>1287</v>
      </c>
      <c r="W114" s="1232">
        <f t="shared" ref="W114:AB117" si="82">W63+W37+W11</f>
        <v>18</v>
      </c>
      <c r="X114" s="1232">
        <f t="shared" si="82"/>
        <v>21</v>
      </c>
      <c r="Y114" s="1232">
        <f t="shared" si="82"/>
        <v>22</v>
      </c>
      <c r="Z114" s="1232">
        <f t="shared" si="82"/>
        <v>25</v>
      </c>
      <c r="AA114" s="1232">
        <f t="shared" si="82"/>
        <v>22</v>
      </c>
      <c r="AB114" s="1232">
        <f t="shared" si="82"/>
        <v>15</v>
      </c>
      <c r="AC114" s="1232">
        <f t="shared" ref="AC114:AL114" si="83">AC63+AC37+AC11</f>
        <v>13</v>
      </c>
      <c r="AD114" s="1232">
        <f t="shared" si="83"/>
        <v>14</v>
      </c>
      <c r="AE114" s="1232">
        <f t="shared" si="83"/>
        <v>30</v>
      </c>
      <c r="AF114" s="1232">
        <f t="shared" si="83"/>
        <v>27</v>
      </c>
      <c r="AG114" s="1232">
        <f t="shared" si="83"/>
        <v>22</v>
      </c>
      <c r="AH114" s="1232">
        <f t="shared" si="83"/>
        <v>19</v>
      </c>
      <c r="AI114" s="1232">
        <f t="shared" si="83"/>
        <v>37</v>
      </c>
      <c r="AJ114" s="1232">
        <f t="shared" si="83"/>
        <v>35</v>
      </c>
      <c r="AK114" s="1232">
        <f t="shared" si="83"/>
        <v>28</v>
      </c>
      <c r="AL114" s="1232">
        <f t="shared" si="83"/>
        <v>18</v>
      </c>
      <c r="AM114" s="1232">
        <f t="shared" ref="AM114:AM129" si="84">AM11+AM37+AM63+W89</f>
        <v>15</v>
      </c>
      <c r="AN114" s="1232"/>
      <c r="AO114" s="1240">
        <f t="shared" si="63"/>
        <v>2.3961661341853034E-2</v>
      </c>
    </row>
    <row r="115" spans="1:41" ht="13.5" customHeight="1">
      <c r="A115" s="1234" t="s">
        <v>738</v>
      </c>
      <c r="C115" s="1239">
        <f t="shared" si="64"/>
        <v>7.5562700964630221</v>
      </c>
      <c r="D115" s="1239">
        <f t="shared" si="65"/>
        <v>6.8471337579617835</v>
      </c>
      <c r="E115" s="1239">
        <f t="shared" si="66"/>
        <v>6.5182829888712241</v>
      </c>
      <c r="F115" s="1239">
        <f t="shared" si="67"/>
        <v>9.0476190476190474</v>
      </c>
      <c r="G115" s="1239">
        <f t="shared" si="68"/>
        <v>12.261146496815286</v>
      </c>
      <c r="H115" s="1239">
        <f t="shared" si="69"/>
        <v>10.593900481540931</v>
      </c>
      <c r="I115" s="1239">
        <f t="shared" si="70"/>
        <v>12.581699346405228</v>
      </c>
      <c r="J115" s="1239">
        <f t="shared" si="71"/>
        <v>15.10673234811166</v>
      </c>
      <c r="K115" s="1239">
        <f t="shared" si="72"/>
        <v>12.664473684210526</v>
      </c>
      <c r="L115" s="1239">
        <f t="shared" si="73"/>
        <v>11.923688394276629</v>
      </c>
      <c r="M115" s="1239">
        <f t="shared" si="74"/>
        <v>13.397129186602871</v>
      </c>
      <c r="N115" s="1239">
        <f t="shared" si="75"/>
        <v>16.267942583732058</v>
      </c>
      <c r="O115" s="1239">
        <f t="shared" si="76"/>
        <v>20.03179650238474</v>
      </c>
      <c r="P115" s="1239">
        <f t="shared" si="77"/>
        <v>18.571428571428573</v>
      </c>
      <c r="Q115" s="1239">
        <f t="shared" si="78"/>
        <v>14.796747967479677</v>
      </c>
      <c r="R115" s="1239">
        <f t="shared" si="79"/>
        <v>7.8904991948470213</v>
      </c>
      <c r="S115" s="1239">
        <f t="shared" si="80"/>
        <v>5.1118210862619806</v>
      </c>
      <c r="V115" s="1227" t="s">
        <v>738</v>
      </c>
      <c r="W115" s="1232">
        <f t="shared" si="82"/>
        <v>47</v>
      </c>
      <c r="X115" s="1232">
        <f t="shared" si="82"/>
        <v>43</v>
      </c>
      <c r="Y115" s="1232">
        <f t="shared" si="82"/>
        <v>41</v>
      </c>
      <c r="Z115" s="1232">
        <f t="shared" si="82"/>
        <v>57</v>
      </c>
      <c r="AA115" s="1232">
        <f t="shared" si="82"/>
        <v>77</v>
      </c>
      <c r="AB115" s="1232">
        <f t="shared" si="82"/>
        <v>66</v>
      </c>
      <c r="AC115" s="1232">
        <f t="shared" ref="AC115:AL115" si="85">AC64+AC38+AC12</f>
        <v>77</v>
      </c>
      <c r="AD115" s="1232">
        <f t="shared" si="85"/>
        <v>92</v>
      </c>
      <c r="AE115" s="1232">
        <f t="shared" si="85"/>
        <v>77</v>
      </c>
      <c r="AF115" s="1232">
        <f t="shared" si="85"/>
        <v>75</v>
      </c>
      <c r="AG115" s="1232">
        <f t="shared" si="85"/>
        <v>84</v>
      </c>
      <c r="AH115" s="1232">
        <f t="shared" si="85"/>
        <v>102</v>
      </c>
      <c r="AI115" s="1232">
        <f t="shared" si="85"/>
        <v>126</v>
      </c>
      <c r="AJ115" s="1232">
        <f t="shared" si="85"/>
        <v>117</v>
      </c>
      <c r="AK115" s="1232">
        <f t="shared" si="85"/>
        <v>91</v>
      </c>
      <c r="AL115" s="1232">
        <f t="shared" si="85"/>
        <v>49</v>
      </c>
      <c r="AM115" s="1232">
        <f t="shared" si="84"/>
        <v>32</v>
      </c>
      <c r="AN115" s="1232"/>
      <c r="AO115" s="1240">
        <f t="shared" si="63"/>
        <v>5.1118210862619806E-2</v>
      </c>
    </row>
    <row r="116" spans="1:41" ht="13.5" customHeight="1">
      <c r="A116" s="1234" t="s">
        <v>739</v>
      </c>
      <c r="C116" s="1239">
        <f t="shared" si="64"/>
        <v>5.4662379421221869</v>
      </c>
      <c r="D116" s="1239">
        <f t="shared" si="65"/>
        <v>7.9617834394904454</v>
      </c>
      <c r="E116" s="1239">
        <f t="shared" si="66"/>
        <v>6.359300476947535</v>
      </c>
      <c r="F116" s="1239">
        <f t="shared" si="67"/>
        <v>4.7619047619047619</v>
      </c>
      <c r="G116" s="1239">
        <f t="shared" si="68"/>
        <v>3.5031847133757963</v>
      </c>
      <c r="H116" s="1239">
        <f t="shared" si="69"/>
        <v>3.8523274478330656</v>
      </c>
      <c r="I116" s="1239">
        <f t="shared" si="70"/>
        <v>1.4705882352941175</v>
      </c>
      <c r="J116" s="1239">
        <f t="shared" si="71"/>
        <v>1.3136288998357963</v>
      </c>
      <c r="K116" s="1239">
        <f t="shared" si="72"/>
        <v>3.2894736842105261</v>
      </c>
      <c r="L116" s="1239">
        <f t="shared" si="73"/>
        <v>3.0206677265500796</v>
      </c>
      <c r="M116" s="1239">
        <f t="shared" si="74"/>
        <v>2.5518341307814993</v>
      </c>
      <c r="N116" s="1239">
        <f t="shared" si="75"/>
        <v>2.3923444976076556</v>
      </c>
      <c r="O116" s="1239">
        <f t="shared" si="76"/>
        <v>1.5898251192368837</v>
      </c>
      <c r="P116" s="1239">
        <f t="shared" si="77"/>
        <v>1.9047619047619049</v>
      </c>
      <c r="Q116" s="1239">
        <f t="shared" si="78"/>
        <v>2.2764227642276422</v>
      </c>
      <c r="R116" s="1239">
        <f t="shared" si="79"/>
        <v>2.576489533011272</v>
      </c>
      <c r="S116" s="1239">
        <f t="shared" si="80"/>
        <v>2.0766773162939298</v>
      </c>
      <c r="V116" s="1234" t="s">
        <v>739</v>
      </c>
      <c r="W116" s="1232">
        <f t="shared" si="82"/>
        <v>34</v>
      </c>
      <c r="X116" s="1232">
        <f t="shared" si="82"/>
        <v>50</v>
      </c>
      <c r="Y116" s="1232">
        <f t="shared" si="82"/>
        <v>40</v>
      </c>
      <c r="Z116" s="1232">
        <f t="shared" si="82"/>
        <v>30</v>
      </c>
      <c r="AA116" s="1232">
        <f t="shared" si="82"/>
        <v>22</v>
      </c>
      <c r="AB116" s="1232">
        <f t="shared" si="82"/>
        <v>24</v>
      </c>
      <c r="AC116" s="1232">
        <f t="shared" ref="AC116:AL116" si="86">AC65+AC39+AC13</f>
        <v>9</v>
      </c>
      <c r="AD116" s="1232">
        <f t="shared" si="86"/>
        <v>8</v>
      </c>
      <c r="AE116" s="1232">
        <f t="shared" si="86"/>
        <v>20</v>
      </c>
      <c r="AF116" s="1232">
        <f t="shared" si="86"/>
        <v>19</v>
      </c>
      <c r="AG116" s="1232">
        <f t="shared" si="86"/>
        <v>16</v>
      </c>
      <c r="AH116" s="1232">
        <f t="shared" si="86"/>
        <v>15</v>
      </c>
      <c r="AI116" s="1232">
        <f t="shared" si="86"/>
        <v>10</v>
      </c>
      <c r="AJ116" s="1232">
        <f t="shared" si="86"/>
        <v>12</v>
      </c>
      <c r="AK116" s="1232">
        <f t="shared" si="86"/>
        <v>14</v>
      </c>
      <c r="AL116" s="1232">
        <f t="shared" si="86"/>
        <v>16</v>
      </c>
      <c r="AM116" s="1232">
        <f t="shared" si="84"/>
        <v>13</v>
      </c>
      <c r="AN116" s="1232"/>
      <c r="AO116" s="1240">
        <f t="shared" si="63"/>
        <v>2.0766773162939296E-2</v>
      </c>
    </row>
    <row r="117" spans="1:41" ht="13.5" customHeight="1">
      <c r="A117" s="1234" t="s">
        <v>740</v>
      </c>
      <c r="C117" s="1239">
        <f t="shared" si="64"/>
        <v>3.8585209003215439</v>
      </c>
      <c r="D117" s="1239">
        <f t="shared" si="65"/>
        <v>5.095541401273886</v>
      </c>
      <c r="E117" s="1239">
        <f t="shared" si="66"/>
        <v>6.2003179650238476</v>
      </c>
      <c r="F117" s="1239">
        <f t="shared" si="67"/>
        <v>6.1904761904761907</v>
      </c>
      <c r="G117" s="1239">
        <f t="shared" si="68"/>
        <v>4.9363057324840769</v>
      </c>
      <c r="H117" s="1239">
        <f t="shared" si="69"/>
        <v>9.7913322632423743</v>
      </c>
      <c r="I117" s="1239">
        <f t="shared" si="70"/>
        <v>10.784313725490197</v>
      </c>
      <c r="J117" s="1239">
        <f t="shared" si="71"/>
        <v>10.83743842364532</v>
      </c>
      <c r="K117" s="1239">
        <f t="shared" si="72"/>
        <v>9.0460526315789469</v>
      </c>
      <c r="L117" s="1239">
        <f t="shared" si="73"/>
        <v>8.4260731319554854</v>
      </c>
      <c r="M117" s="1239">
        <f t="shared" si="74"/>
        <v>8.2934609250398719</v>
      </c>
      <c r="N117" s="1239">
        <f t="shared" si="75"/>
        <v>6.2200956937799043</v>
      </c>
      <c r="O117" s="1239">
        <f t="shared" si="76"/>
        <v>5.5643879173290935</v>
      </c>
      <c r="P117" s="1239">
        <f t="shared" si="77"/>
        <v>6.0317460317460316</v>
      </c>
      <c r="Q117" s="1239">
        <f t="shared" si="78"/>
        <v>6.0162601626016263</v>
      </c>
      <c r="R117" s="1239">
        <f t="shared" si="79"/>
        <v>7.8904991948470213</v>
      </c>
      <c r="S117" s="1239">
        <f t="shared" si="80"/>
        <v>7.1884984025559113</v>
      </c>
      <c r="V117" s="1234" t="s">
        <v>740</v>
      </c>
      <c r="W117" s="1232">
        <f t="shared" si="82"/>
        <v>24</v>
      </c>
      <c r="X117" s="1232">
        <f t="shared" si="82"/>
        <v>32</v>
      </c>
      <c r="Y117" s="1232">
        <f t="shared" si="82"/>
        <v>39</v>
      </c>
      <c r="Z117" s="1232">
        <f t="shared" si="82"/>
        <v>39</v>
      </c>
      <c r="AA117" s="1232">
        <f t="shared" si="82"/>
        <v>31</v>
      </c>
      <c r="AB117" s="1232">
        <f t="shared" si="82"/>
        <v>61</v>
      </c>
      <c r="AC117" s="1232">
        <f t="shared" ref="AC117:AL117" si="87">AC66+AC40+AC14</f>
        <v>66</v>
      </c>
      <c r="AD117" s="1232">
        <f t="shared" si="87"/>
        <v>66</v>
      </c>
      <c r="AE117" s="1232">
        <f t="shared" si="87"/>
        <v>55</v>
      </c>
      <c r="AF117" s="1232">
        <f t="shared" si="87"/>
        <v>53</v>
      </c>
      <c r="AG117" s="1232">
        <f t="shared" si="87"/>
        <v>52</v>
      </c>
      <c r="AH117" s="1232">
        <f t="shared" si="87"/>
        <v>39</v>
      </c>
      <c r="AI117" s="1232">
        <f t="shared" si="87"/>
        <v>35</v>
      </c>
      <c r="AJ117" s="1232">
        <f t="shared" si="87"/>
        <v>38</v>
      </c>
      <c r="AK117" s="1232">
        <f t="shared" si="87"/>
        <v>37</v>
      </c>
      <c r="AL117" s="1232">
        <f t="shared" si="87"/>
        <v>49</v>
      </c>
      <c r="AM117" s="1232">
        <f t="shared" si="84"/>
        <v>45</v>
      </c>
      <c r="AN117" s="1232"/>
      <c r="AO117" s="1240">
        <f t="shared" si="63"/>
        <v>7.1884984025559109E-2</v>
      </c>
    </row>
    <row r="118" spans="1:41" ht="13.5" customHeight="1">
      <c r="A118" s="1230" t="s">
        <v>174</v>
      </c>
      <c r="C118" s="1239">
        <f t="shared" si="64"/>
        <v>0</v>
      </c>
      <c r="D118" s="1239">
        <f t="shared" si="65"/>
        <v>0</v>
      </c>
      <c r="E118" s="1239">
        <f t="shared" si="66"/>
        <v>0</v>
      </c>
      <c r="F118" s="1239">
        <f t="shared" si="67"/>
        <v>0</v>
      </c>
      <c r="G118" s="1239">
        <f t="shared" si="68"/>
        <v>0</v>
      </c>
      <c r="H118" s="1239">
        <f t="shared" si="69"/>
        <v>0</v>
      </c>
      <c r="I118" s="1239">
        <f t="shared" si="70"/>
        <v>0</v>
      </c>
      <c r="J118" s="1239">
        <f t="shared" si="71"/>
        <v>0</v>
      </c>
      <c r="K118" s="1239">
        <f t="shared" si="72"/>
        <v>0</v>
      </c>
      <c r="L118" s="1239">
        <f t="shared" si="73"/>
        <v>0</v>
      </c>
      <c r="M118" s="1239">
        <f t="shared" si="74"/>
        <v>0</v>
      </c>
      <c r="N118" s="1239">
        <f t="shared" si="75"/>
        <v>0</v>
      </c>
      <c r="O118" s="1239">
        <f t="shared" si="76"/>
        <v>0</v>
      </c>
      <c r="P118" s="1239">
        <f t="shared" si="77"/>
        <v>0</v>
      </c>
      <c r="Q118" s="1239">
        <f t="shared" si="78"/>
        <v>0</v>
      </c>
      <c r="R118" s="1239">
        <f t="shared" si="79"/>
        <v>0</v>
      </c>
      <c r="S118" s="1239">
        <f t="shared" si="80"/>
        <v>0</v>
      </c>
      <c r="V118" s="1230" t="s">
        <v>174</v>
      </c>
      <c r="W118" s="1232"/>
      <c r="X118" s="1232"/>
      <c r="Y118" s="1232"/>
      <c r="Z118" s="1232"/>
      <c r="AA118" s="1232"/>
      <c r="AB118" s="1232"/>
      <c r="AC118" s="1232"/>
      <c r="AD118" s="1232"/>
      <c r="AE118" s="1232"/>
      <c r="AF118" s="1232"/>
      <c r="AG118" s="1232"/>
      <c r="AH118" s="1232"/>
      <c r="AI118" s="1232"/>
      <c r="AJ118" s="1232"/>
      <c r="AK118" s="1232"/>
      <c r="AL118" s="1232"/>
      <c r="AM118" s="1232"/>
      <c r="AN118" s="1232"/>
      <c r="AO118" s="1240"/>
    </row>
    <row r="119" spans="1:41" ht="13.5" customHeight="1">
      <c r="A119" s="1234" t="s">
        <v>741</v>
      </c>
      <c r="C119" s="1239">
        <f t="shared" si="64"/>
        <v>12.861736334405144</v>
      </c>
      <c r="D119" s="1239">
        <f t="shared" si="65"/>
        <v>10.191082802547772</v>
      </c>
      <c r="E119" s="1239">
        <f t="shared" si="66"/>
        <v>14.944356120826709</v>
      </c>
      <c r="F119" s="1239">
        <f t="shared" si="67"/>
        <v>10.476190476190476</v>
      </c>
      <c r="G119" s="1239">
        <f t="shared" si="68"/>
        <v>10.987261146496815</v>
      </c>
      <c r="H119" s="1239">
        <f t="shared" si="69"/>
        <v>17.335473515248793</v>
      </c>
      <c r="I119" s="1239">
        <f t="shared" si="70"/>
        <v>13.398692810457517</v>
      </c>
      <c r="J119" s="1239">
        <f t="shared" si="71"/>
        <v>12.97208538587849</v>
      </c>
      <c r="K119" s="1239">
        <f t="shared" si="72"/>
        <v>11.677631578947368</v>
      </c>
      <c r="L119" s="1239">
        <f t="shared" si="73"/>
        <v>16.693163751987282</v>
      </c>
      <c r="M119" s="1239">
        <f t="shared" si="74"/>
        <v>19.617224880382775</v>
      </c>
      <c r="N119" s="1239">
        <f t="shared" si="75"/>
        <v>19.617224880382775</v>
      </c>
      <c r="O119" s="1239">
        <f t="shared" si="76"/>
        <v>12.400635930047695</v>
      </c>
      <c r="P119" s="1239">
        <f t="shared" si="77"/>
        <v>12.222222222222221</v>
      </c>
      <c r="Q119" s="1239">
        <f t="shared" si="78"/>
        <v>14.146341463414632</v>
      </c>
      <c r="R119" s="1239">
        <f t="shared" si="79"/>
        <v>18.518518518518519</v>
      </c>
      <c r="S119" s="1239">
        <f t="shared" si="80"/>
        <v>21.56549520766773</v>
      </c>
      <c r="V119" s="1234" t="s">
        <v>741</v>
      </c>
      <c r="W119" s="1232">
        <f t="shared" ref="W119:AB120" si="88">W68+W42+W16</f>
        <v>80</v>
      </c>
      <c r="X119" s="1232">
        <f t="shared" si="88"/>
        <v>64</v>
      </c>
      <c r="Y119" s="1232">
        <f t="shared" si="88"/>
        <v>94</v>
      </c>
      <c r="Z119" s="1232">
        <f t="shared" si="88"/>
        <v>66</v>
      </c>
      <c r="AA119" s="1232">
        <f t="shared" si="88"/>
        <v>69</v>
      </c>
      <c r="AB119" s="1232">
        <f t="shared" si="88"/>
        <v>108</v>
      </c>
      <c r="AC119" s="1232">
        <f t="shared" ref="AC119:AL119" si="89">AC68+AC42+AC16</f>
        <v>82</v>
      </c>
      <c r="AD119" s="1232">
        <f t="shared" si="89"/>
        <v>79</v>
      </c>
      <c r="AE119" s="1232">
        <f t="shared" si="89"/>
        <v>71</v>
      </c>
      <c r="AF119" s="1232">
        <f t="shared" si="89"/>
        <v>105</v>
      </c>
      <c r="AG119" s="1232">
        <f t="shared" si="89"/>
        <v>123</v>
      </c>
      <c r="AH119" s="1232">
        <f t="shared" si="89"/>
        <v>123</v>
      </c>
      <c r="AI119" s="1232">
        <f t="shared" si="89"/>
        <v>78</v>
      </c>
      <c r="AJ119" s="1232">
        <f t="shared" si="89"/>
        <v>77</v>
      </c>
      <c r="AK119" s="1232">
        <f t="shared" si="89"/>
        <v>87</v>
      </c>
      <c r="AL119" s="1232">
        <f t="shared" si="89"/>
        <v>115</v>
      </c>
      <c r="AM119" s="1232">
        <f t="shared" si="84"/>
        <v>135</v>
      </c>
      <c r="AN119" s="1232"/>
      <c r="AO119" s="1240">
        <f>AM119/$AM$130</f>
        <v>0.21565495207667731</v>
      </c>
    </row>
    <row r="120" spans="1:41" ht="13.5" customHeight="1">
      <c r="A120" s="1234" t="s">
        <v>742</v>
      </c>
      <c r="C120" s="1239">
        <f t="shared" si="64"/>
        <v>10.610932475884244</v>
      </c>
      <c r="D120" s="1239">
        <f t="shared" si="65"/>
        <v>11.624203821656051</v>
      </c>
      <c r="E120" s="1239">
        <f t="shared" si="66"/>
        <v>7.3131955484896665</v>
      </c>
      <c r="F120" s="1239">
        <f t="shared" si="67"/>
        <v>7.9365079365079358</v>
      </c>
      <c r="G120" s="1239">
        <f t="shared" si="68"/>
        <v>6.5286624203821653</v>
      </c>
      <c r="H120" s="1239">
        <f t="shared" si="69"/>
        <v>3.3707865168539324</v>
      </c>
      <c r="I120" s="1239">
        <f t="shared" si="70"/>
        <v>7.18954248366013</v>
      </c>
      <c r="J120" s="1239">
        <f t="shared" si="71"/>
        <v>6.7323481116584567</v>
      </c>
      <c r="K120" s="1239">
        <f t="shared" si="72"/>
        <v>11.019736842105262</v>
      </c>
      <c r="L120" s="1239">
        <f t="shared" si="73"/>
        <v>9.0620031796502385</v>
      </c>
      <c r="M120" s="1239">
        <f t="shared" si="74"/>
        <v>6.0606060606060606</v>
      </c>
      <c r="N120" s="1239">
        <f t="shared" si="75"/>
        <v>4.6251993620414673</v>
      </c>
      <c r="O120" s="1239">
        <f t="shared" si="76"/>
        <v>5.5643879173290935</v>
      </c>
      <c r="P120" s="1239">
        <f t="shared" si="77"/>
        <v>4.7619047619047619</v>
      </c>
      <c r="Q120" s="1239">
        <f t="shared" si="78"/>
        <v>5.0406504065040654</v>
      </c>
      <c r="R120" s="1239">
        <f t="shared" si="79"/>
        <v>6.6022544283413849</v>
      </c>
      <c r="S120" s="1239">
        <f t="shared" si="80"/>
        <v>9.1054313099041533</v>
      </c>
      <c r="V120" s="1234" t="s">
        <v>742</v>
      </c>
      <c r="W120" s="1232">
        <f t="shared" si="88"/>
        <v>66</v>
      </c>
      <c r="X120" s="1232">
        <f t="shared" si="88"/>
        <v>73</v>
      </c>
      <c r="Y120" s="1232">
        <f t="shared" si="88"/>
        <v>46</v>
      </c>
      <c r="Z120" s="1232">
        <f t="shared" si="88"/>
        <v>50</v>
      </c>
      <c r="AA120" s="1232">
        <f t="shared" si="88"/>
        <v>41</v>
      </c>
      <c r="AB120" s="1232">
        <f t="shared" si="88"/>
        <v>21</v>
      </c>
      <c r="AC120" s="1232">
        <f t="shared" ref="AC120:AL120" si="90">AC69+AC43+AC17</f>
        <v>44</v>
      </c>
      <c r="AD120" s="1232">
        <f t="shared" si="90"/>
        <v>41</v>
      </c>
      <c r="AE120" s="1232">
        <f t="shared" si="90"/>
        <v>67</v>
      </c>
      <c r="AF120" s="1232">
        <f t="shared" si="90"/>
        <v>57</v>
      </c>
      <c r="AG120" s="1232">
        <f t="shared" si="90"/>
        <v>38</v>
      </c>
      <c r="AH120" s="1232">
        <f t="shared" si="90"/>
        <v>29</v>
      </c>
      <c r="AI120" s="1232">
        <f t="shared" si="90"/>
        <v>35</v>
      </c>
      <c r="AJ120" s="1232">
        <f t="shared" si="90"/>
        <v>30</v>
      </c>
      <c r="AK120" s="1232">
        <f t="shared" si="90"/>
        <v>31</v>
      </c>
      <c r="AL120" s="1232">
        <f t="shared" si="90"/>
        <v>41</v>
      </c>
      <c r="AM120" s="1232">
        <f t="shared" si="84"/>
        <v>57</v>
      </c>
      <c r="AN120" s="1232"/>
      <c r="AO120" s="1240">
        <f>AM120/$AM$130</f>
        <v>9.1054313099041537E-2</v>
      </c>
    </row>
    <row r="121" spans="1:41" ht="13.5" customHeight="1">
      <c r="A121" s="1230" t="s">
        <v>211</v>
      </c>
      <c r="C121" s="1239">
        <f t="shared" si="64"/>
        <v>0</v>
      </c>
      <c r="D121" s="1239">
        <f t="shared" si="65"/>
        <v>0</v>
      </c>
      <c r="E121" s="1239">
        <f t="shared" si="66"/>
        <v>0</v>
      </c>
      <c r="F121" s="1239">
        <f t="shared" si="67"/>
        <v>0</v>
      </c>
      <c r="G121" s="1239">
        <f t="shared" si="68"/>
        <v>0</v>
      </c>
      <c r="H121" s="1239">
        <f t="shared" si="69"/>
        <v>0</v>
      </c>
      <c r="I121" s="1239">
        <f t="shared" si="70"/>
        <v>0</v>
      </c>
      <c r="J121" s="1239">
        <f t="shared" si="71"/>
        <v>0</v>
      </c>
      <c r="K121" s="1239">
        <f t="shared" si="72"/>
        <v>0</v>
      </c>
      <c r="L121" s="1239">
        <f t="shared" si="73"/>
        <v>0</v>
      </c>
      <c r="M121" s="1239">
        <f t="shared" si="74"/>
        <v>0</v>
      </c>
      <c r="N121" s="1239">
        <f t="shared" si="75"/>
        <v>0</v>
      </c>
      <c r="O121" s="1239">
        <f t="shared" si="76"/>
        <v>0</v>
      </c>
      <c r="P121" s="1239">
        <f t="shared" si="77"/>
        <v>0</v>
      </c>
      <c r="Q121" s="1239">
        <f t="shared" si="78"/>
        <v>0</v>
      </c>
      <c r="R121" s="1239">
        <f t="shared" si="79"/>
        <v>0</v>
      </c>
      <c r="S121" s="1239">
        <f t="shared" si="80"/>
        <v>0</v>
      </c>
      <c r="V121" s="1230" t="s">
        <v>743</v>
      </c>
      <c r="W121" s="1232"/>
      <c r="X121" s="1232"/>
      <c r="Y121" s="1232"/>
      <c r="Z121" s="1232"/>
      <c r="AA121" s="1232"/>
      <c r="AB121" s="1232"/>
      <c r="AC121" s="1232"/>
      <c r="AD121" s="1232"/>
      <c r="AE121" s="1232"/>
      <c r="AF121" s="1232"/>
      <c r="AG121" s="1232"/>
      <c r="AH121" s="1232"/>
      <c r="AI121" s="1232"/>
      <c r="AJ121" s="1232"/>
      <c r="AK121" s="1232"/>
      <c r="AL121" s="1232"/>
      <c r="AM121" s="1232"/>
      <c r="AN121" s="1232"/>
      <c r="AO121" s="1240"/>
    </row>
    <row r="122" spans="1:41" ht="13.5" customHeight="1">
      <c r="A122" s="1234" t="s">
        <v>744</v>
      </c>
      <c r="C122" s="1239">
        <f t="shared" si="64"/>
        <v>2.8938906752411575</v>
      </c>
      <c r="D122" s="1239">
        <f t="shared" si="65"/>
        <v>3.8216560509554141</v>
      </c>
      <c r="E122" s="1239">
        <f t="shared" si="66"/>
        <v>2.8616852146263914</v>
      </c>
      <c r="F122" s="1239">
        <f t="shared" si="67"/>
        <v>2.8571428571428572</v>
      </c>
      <c r="G122" s="1239">
        <f t="shared" si="68"/>
        <v>1.910828025477707</v>
      </c>
      <c r="H122" s="1239">
        <f t="shared" si="69"/>
        <v>3.3707865168539324</v>
      </c>
      <c r="I122" s="1239">
        <f t="shared" si="70"/>
        <v>2.1241830065359477</v>
      </c>
      <c r="J122" s="1239">
        <f t="shared" si="71"/>
        <v>1.9704433497536946</v>
      </c>
      <c r="K122" s="1239">
        <f t="shared" si="72"/>
        <v>3.4539473684210531</v>
      </c>
      <c r="L122" s="1239">
        <f t="shared" si="73"/>
        <v>3.1796502384737675</v>
      </c>
      <c r="M122" s="1239">
        <f t="shared" si="74"/>
        <v>5.4226475279106863</v>
      </c>
      <c r="N122" s="1239">
        <f t="shared" si="75"/>
        <v>7.3365231259968109</v>
      </c>
      <c r="O122" s="1239">
        <f t="shared" si="76"/>
        <v>9.5389507154213042</v>
      </c>
      <c r="P122" s="1239">
        <f t="shared" si="77"/>
        <v>10.476190476190476</v>
      </c>
      <c r="Q122" s="1239">
        <f t="shared" si="78"/>
        <v>14.146341463414632</v>
      </c>
      <c r="R122" s="1239">
        <f t="shared" si="79"/>
        <v>14.492753623188406</v>
      </c>
      <c r="S122" s="1239">
        <f t="shared" si="80"/>
        <v>17.092651757188499</v>
      </c>
      <c r="V122" s="1234" t="s">
        <v>1286</v>
      </c>
      <c r="W122" s="1232">
        <f t="shared" ref="W122:AB124" si="91">W71+W45+W19</f>
        <v>18</v>
      </c>
      <c r="X122" s="1232">
        <f t="shared" si="91"/>
        <v>24</v>
      </c>
      <c r="Y122" s="1232">
        <f t="shared" si="91"/>
        <v>18</v>
      </c>
      <c r="Z122" s="1232">
        <f t="shared" si="91"/>
        <v>18</v>
      </c>
      <c r="AA122" s="1232">
        <f t="shared" si="91"/>
        <v>12</v>
      </c>
      <c r="AB122" s="1232">
        <f t="shared" si="91"/>
        <v>21</v>
      </c>
      <c r="AC122" s="1232">
        <f t="shared" ref="AC122:AL122" si="92">AC71+AC45+AC19</f>
        <v>13</v>
      </c>
      <c r="AD122" s="1232">
        <f t="shared" si="92"/>
        <v>12</v>
      </c>
      <c r="AE122" s="1232">
        <f t="shared" si="92"/>
        <v>21</v>
      </c>
      <c r="AF122" s="1232">
        <f t="shared" si="92"/>
        <v>20</v>
      </c>
      <c r="AG122" s="1232">
        <f t="shared" si="92"/>
        <v>34</v>
      </c>
      <c r="AH122" s="1232">
        <f t="shared" si="92"/>
        <v>46</v>
      </c>
      <c r="AI122" s="1232">
        <f t="shared" si="92"/>
        <v>60</v>
      </c>
      <c r="AJ122" s="1232">
        <f t="shared" si="92"/>
        <v>66</v>
      </c>
      <c r="AK122" s="1232">
        <f t="shared" si="92"/>
        <v>87</v>
      </c>
      <c r="AL122" s="1232">
        <f t="shared" si="92"/>
        <v>90</v>
      </c>
      <c r="AM122" s="1232">
        <f>AM19+AM45+AM71+W97</f>
        <v>107</v>
      </c>
      <c r="AN122" s="1232"/>
      <c r="AO122" s="1240">
        <f>AM122/$AM$130</f>
        <v>0.17092651757188498</v>
      </c>
    </row>
    <row r="123" spans="1:41" ht="13.5" customHeight="1">
      <c r="A123" s="1234" t="s">
        <v>745</v>
      </c>
      <c r="C123" s="1239">
        <f t="shared" si="64"/>
        <v>7.395498392282958</v>
      </c>
      <c r="D123" s="1239">
        <f t="shared" si="65"/>
        <v>7.3248407643312099</v>
      </c>
      <c r="E123" s="1239">
        <f t="shared" si="66"/>
        <v>8.1081081081081088</v>
      </c>
      <c r="F123" s="1239">
        <f t="shared" si="67"/>
        <v>7.4603174603174605</v>
      </c>
      <c r="G123" s="1239">
        <f t="shared" si="68"/>
        <v>7.3248407643312099</v>
      </c>
      <c r="H123" s="1239">
        <f t="shared" si="69"/>
        <v>9.3097913322632433</v>
      </c>
      <c r="I123" s="1239">
        <f t="shared" si="70"/>
        <v>9.1503267973856204</v>
      </c>
      <c r="J123" s="1239">
        <f t="shared" si="71"/>
        <v>8.2101806239737272</v>
      </c>
      <c r="K123" s="1239">
        <f t="shared" si="72"/>
        <v>7.5657894736842106</v>
      </c>
      <c r="L123" s="1239">
        <f t="shared" si="73"/>
        <v>7.1542130365659773</v>
      </c>
      <c r="M123" s="1239">
        <f t="shared" si="74"/>
        <v>6.8580542264752795</v>
      </c>
      <c r="N123" s="1239">
        <f t="shared" si="75"/>
        <v>7.0175438596491224</v>
      </c>
      <c r="O123" s="1239">
        <f t="shared" si="76"/>
        <v>7.4721780604133547</v>
      </c>
      <c r="P123" s="1239">
        <f t="shared" si="77"/>
        <v>7.9365079365079358</v>
      </c>
      <c r="Q123" s="1239">
        <f t="shared" si="78"/>
        <v>6.9918699186991864</v>
      </c>
      <c r="R123" s="1239">
        <f t="shared" si="79"/>
        <v>6.1191626409017719</v>
      </c>
      <c r="S123" s="1239">
        <f t="shared" si="80"/>
        <v>5.4313099041533546</v>
      </c>
      <c r="V123" s="1234" t="s">
        <v>745</v>
      </c>
      <c r="W123" s="1232">
        <f t="shared" si="91"/>
        <v>46</v>
      </c>
      <c r="X123" s="1232">
        <f t="shared" si="91"/>
        <v>46</v>
      </c>
      <c r="Y123" s="1232">
        <f t="shared" si="91"/>
        <v>51</v>
      </c>
      <c r="Z123" s="1232">
        <f t="shared" si="91"/>
        <v>47</v>
      </c>
      <c r="AA123" s="1232">
        <f t="shared" si="91"/>
        <v>46</v>
      </c>
      <c r="AB123" s="1232">
        <f t="shared" si="91"/>
        <v>58</v>
      </c>
      <c r="AC123" s="1232">
        <f t="shared" ref="AC123:AL123" si="93">AC72+AC46+AC20</f>
        <v>56</v>
      </c>
      <c r="AD123" s="1232">
        <f t="shared" si="93"/>
        <v>50</v>
      </c>
      <c r="AE123" s="1232">
        <f t="shared" si="93"/>
        <v>46</v>
      </c>
      <c r="AF123" s="1232">
        <f t="shared" si="93"/>
        <v>45</v>
      </c>
      <c r="AG123" s="1232">
        <f t="shared" si="93"/>
        <v>43</v>
      </c>
      <c r="AH123" s="1232">
        <f t="shared" si="93"/>
        <v>44</v>
      </c>
      <c r="AI123" s="1232">
        <f t="shared" si="93"/>
        <v>47</v>
      </c>
      <c r="AJ123" s="1232">
        <f t="shared" si="93"/>
        <v>50</v>
      </c>
      <c r="AK123" s="1232">
        <f t="shared" si="93"/>
        <v>43</v>
      </c>
      <c r="AL123" s="1232">
        <f t="shared" si="93"/>
        <v>38</v>
      </c>
      <c r="AM123" s="1232">
        <f t="shared" si="84"/>
        <v>34</v>
      </c>
      <c r="AN123" s="1232"/>
      <c r="AO123" s="1240">
        <f>AM123/$AM$130</f>
        <v>5.4313099041533544E-2</v>
      </c>
    </row>
    <row r="124" spans="1:41" ht="13.5" customHeight="1">
      <c r="A124" s="1234" t="s">
        <v>746</v>
      </c>
      <c r="C124" s="1239">
        <f t="shared" si="64"/>
        <v>2.572347266881029</v>
      </c>
      <c r="D124" s="1239">
        <f t="shared" si="65"/>
        <v>1.4331210191082804</v>
      </c>
      <c r="E124" s="1239">
        <f t="shared" si="66"/>
        <v>1.5898251192368837</v>
      </c>
      <c r="F124" s="1239">
        <f t="shared" si="67"/>
        <v>2.6984126984126986</v>
      </c>
      <c r="G124" s="1239">
        <f t="shared" si="68"/>
        <v>4.6178343949044587</v>
      </c>
      <c r="H124" s="1239">
        <f t="shared" si="69"/>
        <v>0.6420545746388443</v>
      </c>
      <c r="I124" s="1239">
        <f t="shared" si="70"/>
        <v>1.1437908496732025</v>
      </c>
      <c r="J124" s="1239">
        <f t="shared" si="71"/>
        <v>1.6420361247947455</v>
      </c>
      <c r="K124" s="1239">
        <f t="shared" si="72"/>
        <v>1.4802631578947367</v>
      </c>
      <c r="L124" s="1239">
        <f t="shared" si="73"/>
        <v>3.3386327503974562</v>
      </c>
      <c r="M124" s="1239">
        <f t="shared" si="74"/>
        <v>4.4657097288676235</v>
      </c>
      <c r="N124" s="1239">
        <f t="shared" si="75"/>
        <v>7.3365231259968109</v>
      </c>
      <c r="O124" s="1239">
        <f t="shared" si="76"/>
        <v>11.446740858505565</v>
      </c>
      <c r="P124" s="1239">
        <f t="shared" si="77"/>
        <v>12.063492063492063</v>
      </c>
      <c r="Q124" s="1239">
        <f t="shared" si="78"/>
        <v>13.008130081300814</v>
      </c>
      <c r="R124" s="1239">
        <f t="shared" si="79"/>
        <v>15.136876006441224</v>
      </c>
      <c r="S124" s="1239">
        <f t="shared" si="80"/>
        <v>3.6741214057507987</v>
      </c>
      <c r="V124" s="1234" t="s">
        <v>1290</v>
      </c>
      <c r="W124" s="1232">
        <f t="shared" si="91"/>
        <v>16</v>
      </c>
      <c r="X124" s="1232">
        <f t="shared" si="91"/>
        <v>9</v>
      </c>
      <c r="Y124" s="1232">
        <f t="shared" si="91"/>
        <v>10</v>
      </c>
      <c r="Z124" s="1232">
        <f t="shared" si="91"/>
        <v>17</v>
      </c>
      <c r="AA124" s="1232">
        <f t="shared" si="91"/>
        <v>29</v>
      </c>
      <c r="AB124" s="1232">
        <f t="shared" si="91"/>
        <v>4</v>
      </c>
      <c r="AC124" s="1232">
        <f t="shared" ref="AC124:AL124" si="94">AC73+AC47+AC21</f>
        <v>7</v>
      </c>
      <c r="AD124" s="1232">
        <f t="shared" si="94"/>
        <v>10</v>
      </c>
      <c r="AE124" s="1232">
        <f t="shared" si="94"/>
        <v>9</v>
      </c>
      <c r="AF124" s="1232">
        <f t="shared" si="94"/>
        <v>21</v>
      </c>
      <c r="AG124" s="1232">
        <f t="shared" si="94"/>
        <v>28</v>
      </c>
      <c r="AH124" s="1232">
        <f t="shared" si="94"/>
        <v>46</v>
      </c>
      <c r="AI124" s="1232">
        <f t="shared" si="94"/>
        <v>72</v>
      </c>
      <c r="AJ124" s="1232">
        <f t="shared" si="94"/>
        <v>76</v>
      </c>
      <c r="AK124" s="1232">
        <f t="shared" si="94"/>
        <v>80</v>
      </c>
      <c r="AL124" s="1232">
        <f t="shared" si="94"/>
        <v>94</v>
      </c>
      <c r="AM124" s="1232">
        <f t="shared" si="84"/>
        <v>23</v>
      </c>
      <c r="AN124" s="1232"/>
      <c r="AO124" s="1240">
        <f>AM124/$AM$130</f>
        <v>3.6741214057507986E-2</v>
      </c>
    </row>
    <row r="125" spans="1:41" ht="13.5" customHeight="1">
      <c r="A125" s="1230" t="s">
        <v>747</v>
      </c>
      <c r="C125" s="1239">
        <f t="shared" si="64"/>
        <v>0</v>
      </c>
      <c r="D125" s="1239">
        <f t="shared" si="65"/>
        <v>0</v>
      </c>
      <c r="E125" s="1239">
        <f t="shared" si="66"/>
        <v>0</v>
      </c>
      <c r="F125" s="1239">
        <f t="shared" si="67"/>
        <v>0</v>
      </c>
      <c r="G125" s="1239">
        <f t="shared" si="68"/>
        <v>0</v>
      </c>
      <c r="H125" s="1239">
        <f t="shared" si="69"/>
        <v>0</v>
      </c>
      <c r="I125" s="1239">
        <f t="shared" si="70"/>
        <v>0</v>
      </c>
      <c r="J125" s="1239">
        <f t="shared" si="71"/>
        <v>0</v>
      </c>
      <c r="K125" s="1239">
        <f t="shared" si="72"/>
        <v>0</v>
      </c>
      <c r="L125" s="1239">
        <f t="shared" si="73"/>
        <v>0</v>
      </c>
      <c r="M125" s="1239">
        <f t="shared" si="74"/>
        <v>0</v>
      </c>
      <c r="N125" s="1239">
        <f t="shared" si="75"/>
        <v>0</v>
      </c>
      <c r="O125" s="1239">
        <f t="shared" si="76"/>
        <v>0</v>
      </c>
      <c r="P125" s="1239">
        <f t="shared" si="77"/>
        <v>0</v>
      </c>
      <c r="Q125" s="1239">
        <f t="shared" si="78"/>
        <v>0</v>
      </c>
      <c r="R125" s="1239">
        <f t="shared" si="79"/>
        <v>0</v>
      </c>
      <c r="S125" s="1239">
        <f t="shared" si="80"/>
        <v>0</v>
      </c>
      <c r="V125" s="1230" t="s">
        <v>747</v>
      </c>
      <c r="W125" s="1232"/>
      <c r="X125" s="1232"/>
      <c r="Y125" s="1232"/>
      <c r="Z125" s="1232"/>
      <c r="AA125" s="1232"/>
      <c r="AB125" s="1232"/>
      <c r="AC125" s="1232"/>
      <c r="AD125" s="1232"/>
      <c r="AE125" s="1232"/>
      <c r="AF125" s="1232"/>
      <c r="AG125" s="1232"/>
      <c r="AH125" s="1232"/>
      <c r="AI125" s="1232"/>
      <c r="AJ125" s="1232"/>
      <c r="AK125" s="1232"/>
      <c r="AL125" s="1232"/>
      <c r="AM125" s="1232"/>
      <c r="AN125" s="1232"/>
      <c r="AO125" s="1240"/>
    </row>
    <row r="126" spans="1:41" ht="16">
      <c r="A126" s="1234" t="s">
        <v>748</v>
      </c>
      <c r="C126" s="1239">
        <f t="shared" si="64"/>
        <v>5.627009646302251</v>
      </c>
      <c r="D126" s="1239">
        <f t="shared" si="65"/>
        <v>5.2547770700636942</v>
      </c>
      <c r="E126" s="1239">
        <f t="shared" si="66"/>
        <v>5.4054054054054053</v>
      </c>
      <c r="F126" s="1239">
        <f t="shared" si="67"/>
        <v>4.9206349206349209</v>
      </c>
      <c r="G126" s="1239">
        <f t="shared" si="68"/>
        <v>5.095541401273886</v>
      </c>
      <c r="H126" s="1239">
        <f t="shared" si="69"/>
        <v>3.5313001605136436</v>
      </c>
      <c r="I126" s="1239">
        <f t="shared" si="70"/>
        <v>3.1045751633986929</v>
      </c>
      <c r="J126" s="1239">
        <f t="shared" si="71"/>
        <v>3.1198686371100166</v>
      </c>
      <c r="K126" s="1239">
        <f t="shared" si="72"/>
        <v>3.4539473684210531</v>
      </c>
      <c r="L126" s="1239">
        <f t="shared" si="73"/>
        <v>3.1796502384737675</v>
      </c>
      <c r="M126" s="1239">
        <f t="shared" si="74"/>
        <v>2.7113237639553431</v>
      </c>
      <c r="N126" s="1239">
        <f t="shared" si="75"/>
        <v>2.073365231259968</v>
      </c>
      <c r="O126" s="1239">
        <f t="shared" si="76"/>
        <v>2.066772655007949</v>
      </c>
      <c r="P126" s="1239">
        <f t="shared" si="77"/>
        <v>1.9047619047619049</v>
      </c>
      <c r="Q126" s="1239">
        <f t="shared" si="78"/>
        <v>1.788617886178862</v>
      </c>
      <c r="R126" s="1239">
        <f t="shared" si="79"/>
        <v>1.1272141706924315</v>
      </c>
      <c r="S126" s="1241" t="s">
        <v>246</v>
      </c>
      <c r="V126" s="1234" t="s">
        <v>748</v>
      </c>
      <c r="W126" s="1232">
        <f t="shared" ref="W126:AB127" si="95">W75+W49+W23</f>
        <v>35</v>
      </c>
      <c r="X126" s="1232">
        <f t="shared" si="95"/>
        <v>33</v>
      </c>
      <c r="Y126" s="1232">
        <f t="shared" si="95"/>
        <v>34</v>
      </c>
      <c r="Z126" s="1232">
        <f t="shared" si="95"/>
        <v>31</v>
      </c>
      <c r="AA126" s="1232">
        <f t="shared" si="95"/>
        <v>32</v>
      </c>
      <c r="AB126" s="1232">
        <f t="shared" si="95"/>
        <v>22</v>
      </c>
      <c r="AC126" s="1232">
        <f t="shared" ref="AC126:AK126" si="96">AC75+AC49+AC23</f>
        <v>19</v>
      </c>
      <c r="AD126" s="1232">
        <f t="shared" si="96"/>
        <v>19</v>
      </c>
      <c r="AE126" s="1232">
        <f>AE75+AE49+AE23</f>
        <v>21</v>
      </c>
      <c r="AF126" s="1232">
        <f t="shared" si="96"/>
        <v>20</v>
      </c>
      <c r="AG126" s="1232">
        <f t="shared" si="96"/>
        <v>17</v>
      </c>
      <c r="AH126" s="1232">
        <f t="shared" si="96"/>
        <v>13</v>
      </c>
      <c r="AI126" s="1232">
        <f t="shared" si="96"/>
        <v>13</v>
      </c>
      <c r="AJ126" s="1232">
        <f t="shared" si="96"/>
        <v>12</v>
      </c>
      <c r="AK126" s="1232">
        <f t="shared" si="96"/>
        <v>11</v>
      </c>
      <c r="AL126" s="1233">
        <v>7</v>
      </c>
      <c r="AM126" s="1233" t="s">
        <v>2316</v>
      </c>
      <c r="AN126" s="1233"/>
      <c r="AO126" s="1240"/>
    </row>
    <row r="127" spans="1:41" ht="13.5" customHeight="1">
      <c r="A127" s="1234" t="s">
        <v>749</v>
      </c>
      <c r="C127" s="1239">
        <f t="shared" si="64"/>
        <v>11.89710610932476</v>
      </c>
      <c r="D127" s="1239">
        <f t="shared" si="65"/>
        <v>10.35031847133758</v>
      </c>
      <c r="E127" s="1239">
        <f t="shared" si="66"/>
        <v>9.0620031796502385</v>
      </c>
      <c r="F127" s="1239">
        <f t="shared" si="67"/>
        <v>11.746031746031745</v>
      </c>
      <c r="G127" s="1239">
        <f t="shared" si="68"/>
        <v>12.579617834394904</v>
      </c>
      <c r="H127" s="1239">
        <f t="shared" si="69"/>
        <v>8.9887640449438209</v>
      </c>
      <c r="I127" s="1239">
        <f t="shared" si="70"/>
        <v>11.601307189542483</v>
      </c>
      <c r="J127" s="1239">
        <f t="shared" si="71"/>
        <v>11.822660098522167</v>
      </c>
      <c r="K127" s="1239">
        <f t="shared" si="72"/>
        <v>10.690789473684211</v>
      </c>
      <c r="L127" s="1239">
        <f t="shared" si="73"/>
        <v>8.5850556438791727</v>
      </c>
      <c r="M127" s="1239">
        <f t="shared" si="74"/>
        <v>8.2934609250398719</v>
      </c>
      <c r="N127" s="1239">
        <f t="shared" si="75"/>
        <v>7.9744816586921852</v>
      </c>
      <c r="O127" s="1239">
        <f t="shared" si="76"/>
        <v>6.8362480127186016</v>
      </c>
      <c r="P127" s="1239">
        <f t="shared" si="77"/>
        <v>6.5079365079365088</v>
      </c>
      <c r="Q127" s="1239">
        <f t="shared" si="78"/>
        <v>4.3902439024390238</v>
      </c>
      <c r="R127" s="1239">
        <f t="shared" si="79"/>
        <v>3.8647342995169081</v>
      </c>
      <c r="S127" s="1239">
        <f t="shared" si="80"/>
        <v>3.0351437699680508</v>
      </c>
      <c r="V127" s="1234" t="s">
        <v>749</v>
      </c>
      <c r="W127" s="1232">
        <f t="shared" si="95"/>
        <v>74</v>
      </c>
      <c r="X127" s="1232">
        <f t="shared" si="95"/>
        <v>65</v>
      </c>
      <c r="Y127" s="1232">
        <f t="shared" si="95"/>
        <v>57</v>
      </c>
      <c r="Z127" s="1232">
        <f t="shared" si="95"/>
        <v>74</v>
      </c>
      <c r="AA127" s="1232">
        <f t="shared" si="95"/>
        <v>79</v>
      </c>
      <c r="AB127" s="1232">
        <f t="shared" si="95"/>
        <v>56</v>
      </c>
      <c r="AC127" s="1232">
        <f t="shared" ref="AC127:AK127" si="97">AC76+AC50+AC24</f>
        <v>71</v>
      </c>
      <c r="AD127" s="1232">
        <f t="shared" si="97"/>
        <v>72</v>
      </c>
      <c r="AE127" s="1232">
        <f t="shared" si="97"/>
        <v>65</v>
      </c>
      <c r="AF127" s="1232">
        <f t="shared" si="97"/>
        <v>54</v>
      </c>
      <c r="AG127" s="1232">
        <f t="shared" si="97"/>
        <v>52</v>
      </c>
      <c r="AH127" s="1232">
        <f t="shared" si="97"/>
        <v>50</v>
      </c>
      <c r="AI127" s="1232">
        <f t="shared" si="97"/>
        <v>43</v>
      </c>
      <c r="AJ127" s="1232">
        <f t="shared" si="97"/>
        <v>41</v>
      </c>
      <c r="AK127" s="1232">
        <f t="shared" si="97"/>
        <v>27</v>
      </c>
      <c r="AL127" s="1232">
        <f>AL76+AL50+AL24</f>
        <v>24</v>
      </c>
      <c r="AM127" s="1232">
        <f>AM24+AM50+AM76+W102</f>
        <v>19</v>
      </c>
      <c r="AN127" s="1232"/>
      <c r="AO127" s="1240">
        <f>AM127/$AM$130</f>
        <v>3.035143769968051E-2</v>
      </c>
    </row>
    <row r="128" spans="1:41" ht="13.5" customHeight="1">
      <c r="A128" s="1230" t="s">
        <v>221</v>
      </c>
      <c r="C128" s="1239">
        <f t="shared" si="64"/>
        <v>0</v>
      </c>
      <c r="D128" s="1239">
        <f t="shared" si="65"/>
        <v>0</v>
      </c>
      <c r="E128" s="1239">
        <f t="shared" si="66"/>
        <v>0</v>
      </c>
      <c r="F128" s="1239">
        <f t="shared" si="67"/>
        <v>0</v>
      </c>
      <c r="G128" s="1239">
        <f t="shared" si="68"/>
        <v>0</v>
      </c>
      <c r="H128" s="1239">
        <f t="shared" si="69"/>
        <v>0</v>
      </c>
      <c r="I128" s="1239">
        <f t="shared" si="70"/>
        <v>0</v>
      </c>
      <c r="J128" s="1239">
        <f t="shared" si="71"/>
        <v>0</v>
      </c>
      <c r="K128" s="1239">
        <f t="shared" si="72"/>
        <v>0</v>
      </c>
      <c r="L128" s="1239">
        <f t="shared" si="73"/>
        <v>0</v>
      </c>
      <c r="M128" s="1239">
        <f t="shared" si="74"/>
        <v>0</v>
      </c>
      <c r="N128" s="1239">
        <f t="shared" si="75"/>
        <v>0</v>
      </c>
      <c r="O128" s="1239">
        <f t="shared" si="76"/>
        <v>0</v>
      </c>
      <c r="P128" s="1239">
        <f t="shared" si="77"/>
        <v>0</v>
      </c>
      <c r="Q128" s="1239">
        <f t="shared" si="78"/>
        <v>0</v>
      </c>
      <c r="R128" s="1239">
        <f t="shared" si="79"/>
        <v>0</v>
      </c>
      <c r="S128" s="1239">
        <f t="shared" si="80"/>
        <v>0</v>
      </c>
      <c r="V128" s="1230" t="s">
        <v>750</v>
      </c>
      <c r="W128" s="1232"/>
      <c r="X128" s="1232"/>
      <c r="Y128" s="1232"/>
      <c r="Z128" s="1232"/>
      <c r="AA128" s="1232"/>
      <c r="AB128" s="1232"/>
      <c r="AC128" s="1232"/>
      <c r="AD128" s="1232"/>
      <c r="AE128" s="1232"/>
      <c r="AF128" s="1232"/>
      <c r="AG128" s="1232"/>
      <c r="AH128" s="1232"/>
      <c r="AI128" s="1232"/>
      <c r="AJ128" s="1232"/>
      <c r="AK128" s="1232"/>
      <c r="AL128" s="1232"/>
      <c r="AM128" s="1232"/>
      <c r="AN128" s="1232"/>
      <c r="AO128" s="1240"/>
    </row>
    <row r="129" spans="1:42" ht="13.5" customHeight="1">
      <c r="A129" s="1234" t="s">
        <v>12</v>
      </c>
      <c r="C129" s="1239">
        <f t="shared" si="64"/>
        <v>7.5562700964630221</v>
      </c>
      <c r="D129" s="1239">
        <f t="shared" si="65"/>
        <v>7.9617834394904454</v>
      </c>
      <c r="E129" s="1239">
        <f t="shared" si="66"/>
        <v>7.7901430842607313</v>
      </c>
      <c r="F129" s="1239">
        <f t="shared" si="67"/>
        <v>7.4603174603174605</v>
      </c>
      <c r="G129" s="1239">
        <f t="shared" si="68"/>
        <v>6.5286624203821653</v>
      </c>
      <c r="H129" s="1239">
        <f t="shared" si="69"/>
        <v>6.7415730337078648</v>
      </c>
      <c r="I129" s="1239">
        <f t="shared" si="70"/>
        <v>6.3725490196078427</v>
      </c>
      <c r="J129" s="1239">
        <f t="shared" si="71"/>
        <v>5.5829228243021349</v>
      </c>
      <c r="K129" s="1239">
        <f t="shared" si="72"/>
        <v>4.9342105263157894</v>
      </c>
      <c r="L129" s="1239">
        <f t="shared" si="73"/>
        <v>4.6104928457869638</v>
      </c>
      <c r="M129" s="1239">
        <f t="shared" si="74"/>
        <v>4.7846889952153111</v>
      </c>
      <c r="N129" s="1239">
        <f t="shared" si="75"/>
        <v>2.8708133971291865</v>
      </c>
      <c r="O129" s="1239">
        <f t="shared" si="76"/>
        <v>1.4308426073131957</v>
      </c>
      <c r="P129" s="1239">
        <f t="shared" si="77"/>
        <v>1.2698412698412698</v>
      </c>
      <c r="Q129" s="1239">
        <f t="shared" si="78"/>
        <v>1.1382113821138211</v>
      </c>
      <c r="R129" s="1239">
        <f t="shared" si="79"/>
        <v>0</v>
      </c>
      <c r="S129" s="1239">
        <f t="shared" si="80"/>
        <v>9.1054313099041533</v>
      </c>
      <c r="V129" s="1234" t="s">
        <v>12</v>
      </c>
      <c r="W129" s="1232">
        <f t="shared" ref="W129:AB129" si="98">W78+W52+W26</f>
        <v>47</v>
      </c>
      <c r="X129" s="1232">
        <f t="shared" si="98"/>
        <v>50</v>
      </c>
      <c r="Y129" s="1232">
        <f t="shared" si="98"/>
        <v>49</v>
      </c>
      <c r="Z129" s="1232">
        <f t="shared" si="98"/>
        <v>47</v>
      </c>
      <c r="AA129" s="1232">
        <f t="shared" si="98"/>
        <v>41</v>
      </c>
      <c r="AB129" s="1232">
        <f t="shared" si="98"/>
        <v>42</v>
      </c>
      <c r="AC129" s="1232">
        <f t="shared" ref="AC129:AL129" si="99">AC78+AC52+AC26</f>
        <v>39</v>
      </c>
      <c r="AD129" s="1232">
        <f t="shared" si="99"/>
        <v>34</v>
      </c>
      <c r="AE129" s="1232">
        <f t="shared" si="99"/>
        <v>30</v>
      </c>
      <c r="AF129" s="1232">
        <f t="shared" si="99"/>
        <v>29</v>
      </c>
      <c r="AG129" s="1232">
        <f t="shared" si="99"/>
        <v>30</v>
      </c>
      <c r="AH129" s="1232">
        <f t="shared" si="99"/>
        <v>18</v>
      </c>
      <c r="AI129" s="1232">
        <f t="shared" si="99"/>
        <v>9</v>
      </c>
      <c r="AJ129" s="1232">
        <f t="shared" si="99"/>
        <v>8</v>
      </c>
      <c r="AK129" s="1232">
        <f t="shared" si="99"/>
        <v>7</v>
      </c>
      <c r="AL129" s="1232">
        <f t="shared" si="99"/>
        <v>0</v>
      </c>
      <c r="AM129" s="1232">
        <f t="shared" si="84"/>
        <v>57</v>
      </c>
      <c r="AN129" s="1232"/>
      <c r="AO129" s="1240">
        <f>AM129/$AM$130</f>
        <v>9.1054313099041537E-2</v>
      </c>
    </row>
    <row r="130" spans="1:42" ht="13.5" customHeight="1">
      <c r="A130" s="1237" t="s">
        <v>16</v>
      </c>
      <c r="C130" s="1232">
        <f t="shared" si="64"/>
        <v>100</v>
      </c>
      <c r="D130" s="1232">
        <f t="shared" si="65"/>
        <v>100</v>
      </c>
      <c r="E130" s="1232">
        <f t="shared" si="66"/>
        <v>100</v>
      </c>
      <c r="F130" s="1232">
        <f t="shared" si="67"/>
        <v>100</v>
      </c>
      <c r="G130" s="1232">
        <f t="shared" si="68"/>
        <v>100</v>
      </c>
      <c r="H130" s="1232">
        <f t="shared" si="69"/>
        <v>100</v>
      </c>
      <c r="I130" s="1232">
        <f t="shared" si="70"/>
        <v>100</v>
      </c>
      <c r="J130" s="1232">
        <f t="shared" si="71"/>
        <v>100</v>
      </c>
      <c r="K130" s="1232">
        <f t="shared" si="72"/>
        <v>100</v>
      </c>
      <c r="L130" s="1232">
        <f t="shared" si="73"/>
        <v>100</v>
      </c>
      <c r="M130" s="1232">
        <f t="shared" si="74"/>
        <v>100</v>
      </c>
      <c r="N130" s="1232">
        <f t="shared" si="75"/>
        <v>100</v>
      </c>
      <c r="O130" s="1232">
        <f t="shared" si="76"/>
        <v>100</v>
      </c>
      <c r="P130" s="1232">
        <f t="shared" si="77"/>
        <v>100</v>
      </c>
      <c r="Q130" s="1232">
        <f t="shared" si="78"/>
        <v>100</v>
      </c>
      <c r="R130" s="1232">
        <f t="shared" si="79"/>
        <v>100</v>
      </c>
      <c r="S130" s="1239">
        <f t="shared" si="80"/>
        <v>100</v>
      </c>
      <c r="V130" s="1235" t="s">
        <v>16</v>
      </c>
      <c r="W130" s="1243">
        <f t="shared" ref="W130:AB130" si="100">W27+W53+W79</f>
        <v>622</v>
      </c>
      <c r="X130" s="1243">
        <f t="shared" si="100"/>
        <v>628</v>
      </c>
      <c r="Y130" s="1243">
        <f t="shared" si="100"/>
        <v>629</v>
      </c>
      <c r="Z130" s="1243">
        <f t="shared" si="100"/>
        <v>630</v>
      </c>
      <c r="AA130" s="1243">
        <f t="shared" si="100"/>
        <v>628</v>
      </c>
      <c r="AB130" s="1243">
        <f t="shared" si="100"/>
        <v>623</v>
      </c>
      <c r="AC130" s="1243">
        <f t="shared" ref="AC130:AK130" si="101">AC27+AC53+AC79</f>
        <v>612</v>
      </c>
      <c r="AD130" s="1243">
        <f t="shared" si="101"/>
        <v>609</v>
      </c>
      <c r="AE130" s="1243">
        <f t="shared" si="101"/>
        <v>608</v>
      </c>
      <c r="AF130" s="1243">
        <f t="shared" si="101"/>
        <v>629</v>
      </c>
      <c r="AG130" s="1243">
        <f t="shared" si="101"/>
        <v>627</v>
      </c>
      <c r="AH130" s="1243">
        <f t="shared" si="101"/>
        <v>627</v>
      </c>
      <c r="AI130" s="1243">
        <f t="shared" si="101"/>
        <v>629</v>
      </c>
      <c r="AJ130" s="1243">
        <f t="shared" si="101"/>
        <v>630</v>
      </c>
      <c r="AK130" s="1243">
        <f t="shared" si="101"/>
        <v>615</v>
      </c>
      <c r="AL130" s="1243">
        <f>AL27+AL53+AL79</f>
        <v>621</v>
      </c>
      <c r="AM130" s="1243">
        <f>AM27+AM53+AM79+W105</f>
        <v>626</v>
      </c>
      <c r="AN130" s="1243"/>
      <c r="AO130" s="1240">
        <f>AM130/$AM$130</f>
        <v>1</v>
      </c>
      <c r="AP130" s="1240">
        <f>SUM(AO112:AO129)</f>
        <v>1</v>
      </c>
    </row>
    <row r="131" spans="1:42" ht="5.25" customHeight="1">
      <c r="A131" s="1237"/>
      <c r="C131" s="1228"/>
      <c r="D131" s="1228"/>
      <c r="E131" s="1232"/>
      <c r="F131" s="1232"/>
      <c r="G131" s="1232"/>
      <c r="H131" s="1232"/>
      <c r="I131" s="1232"/>
      <c r="J131" s="1232"/>
      <c r="K131" s="1232"/>
      <c r="L131" s="1232"/>
      <c r="M131" s="1232"/>
      <c r="N131" s="1232"/>
      <c r="O131" s="1232"/>
      <c r="P131" s="1232"/>
      <c r="Q131" s="1232"/>
      <c r="R131" s="1232"/>
      <c r="S131" s="1232"/>
      <c r="V131" s="1246"/>
      <c r="W131" s="1246"/>
      <c r="X131" s="1246"/>
      <c r="Y131" s="1246"/>
      <c r="Z131" s="1246"/>
      <c r="AA131" s="1246"/>
      <c r="AB131" s="1246"/>
      <c r="AC131" s="1246"/>
      <c r="AD131" s="1246"/>
      <c r="AE131" s="1246"/>
      <c r="AF131" s="1246"/>
      <c r="AG131" s="1246"/>
      <c r="AH131" s="1246"/>
      <c r="AI131" s="1246"/>
      <c r="AJ131" s="1246"/>
      <c r="AK131" s="1246"/>
      <c r="AL131" s="1246"/>
      <c r="AM131" s="1246"/>
    </row>
    <row r="132" spans="1:42">
      <c r="A132" s="1237"/>
      <c r="C132" s="1228"/>
      <c r="D132" s="1228"/>
      <c r="E132" s="1232"/>
      <c r="F132" s="1232"/>
      <c r="G132" s="1232"/>
      <c r="H132" s="1232"/>
      <c r="I132" s="1232"/>
      <c r="J132" s="1232"/>
      <c r="K132" s="1232"/>
      <c r="L132" s="1232"/>
      <c r="M132" s="1232"/>
      <c r="N132" s="1232"/>
      <c r="O132" s="1232"/>
      <c r="P132" s="1232"/>
      <c r="Q132" s="1232"/>
      <c r="R132" s="1232"/>
      <c r="S132" s="1232"/>
      <c r="AC132" s="1228" t="s">
        <v>50</v>
      </c>
      <c r="AD132" s="1228" t="s">
        <v>51</v>
      </c>
    </row>
    <row r="133" spans="1:42">
      <c r="A133" s="1237"/>
      <c r="C133" s="1228"/>
      <c r="D133" s="1228"/>
      <c r="E133" s="1232"/>
      <c r="F133" s="1232"/>
      <c r="G133" s="1232"/>
      <c r="H133" s="1232"/>
      <c r="I133" s="1232"/>
      <c r="J133" s="1232"/>
      <c r="K133" s="1232"/>
      <c r="L133" s="1232"/>
      <c r="M133" s="1232"/>
      <c r="N133" s="1232"/>
      <c r="O133" s="1232"/>
      <c r="P133" s="1232"/>
      <c r="Q133" s="1232"/>
      <c r="R133" s="1232"/>
      <c r="S133" s="1232"/>
      <c r="W133" s="1227">
        <v>51</v>
      </c>
      <c r="X133" s="1227">
        <v>55</v>
      </c>
      <c r="Y133" s="1227">
        <v>59</v>
      </c>
      <c r="Z133" s="1227">
        <v>64</v>
      </c>
      <c r="AA133" s="1227">
        <v>66</v>
      </c>
      <c r="AB133" s="1227">
        <v>70</v>
      </c>
      <c r="AC133" s="1228">
        <v>74</v>
      </c>
      <c r="AD133" s="1228">
        <v>74</v>
      </c>
      <c r="AE133" s="1227">
        <v>79</v>
      </c>
      <c r="AF133" s="1227">
        <v>83</v>
      </c>
      <c r="AG133" s="1227">
        <v>87</v>
      </c>
      <c r="AH133" s="1227">
        <v>92</v>
      </c>
      <c r="AI133" s="1227">
        <v>97</v>
      </c>
      <c r="AJ133" s="1236">
        <v>1</v>
      </c>
      <c r="AK133" s="1236">
        <v>5</v>
      </c>
      <c r="AL133" s="1236">
        <v>10</v>
      </c>
      <c r="AM133" s="1236">
        <v>15</v>
      </c>
      <c r="AN133" s="1236"/>
      <c r="AO133" s="1227">
        <v>15</v>
      </c>
    </row>
    <row r="134" spans="1:42">
      <c r="A134" s="1234" t="s">
        <v>21</v>
      </c>
      <c r="B134" s="1227" t="s">
        <v>2317</v>
      </c>
      <c r="V134" s="1227" t="s">
        <v>734</v>
      </c>
    </row>
    <row r="135" spans="1:42">
      <c r="B135" s="1227" t="s">
        <v>2318</v>
      </c>
      <c r="V135" s="1227" t="s">
        <v>698</v>
      </c>
      <c r="W135" s="1232">
        <v>61</v>
      </c>
      <c r="X135" s="1232">
        <v>66</v>
      </c>
      <c r="Y135" s="1232">
        <v>72</v>
      </c>
      <c r="Z135" s="1232">
        <v>65</v>
      </c>
      <c r="AA135" s="1232">
        <v>55</v>
      </c>
      <c r="AB135" s="1232">
        <v>60</v>
      </c>
      <c r="AC135" s="1233">
        <v>59</v>
      </c>
      <c r="AD135" s="1233">
        <v>55</v>
      </c>
      <c r="AE135" s="1232">
        <v>51</v>
      </c>
      <c r="AF135" s="1232">
        <v>56</v>
      </c>
      <c r="AG135" s="1232">
        <v>43</v>
      </c>
      <c r="AH135" s="1232">
        <v>39</v>
      </c>
      <c r="AI135" s="1227">
        <v>20</v>
      </c>
      <c r="AJ135" s="1232">
        <v>18</v>
      </c>
      <c r="AK135" s="1227">
        <v>22</v>
      </c>
      <c r="AL135" s="1232">
        <v>27</v>
      </c>
      <c r="AM135" s="1227">
        <v>28</v>
      </c>
    </row>
    <row r="136" spans="1:42">
      <c r="B136" s="2382" t="s">
        <v>1090</v>
      </c>
      <c r="C136" s="1232"/>
      <c r="D136" s="1232"/>
      <c r="E136" s="1232"/>
      <c r="F136" s="1232"/>
      <c r="G136" s="1232"/>
      <c r="H136" s="1232"/>
      <c r="I136" s="1232"/>
      <c r="J136" s="1232"/>
      <c r="K136" s="1232"/>
      <c r="L136" s="1232"/>
      <c r="M136" s="1232"/>
      <c r="N136" s="1232"/>
      <c r="O136" s="1232"/>
      <c r="P136" s="1232"/>
      <c r="Q136" s="1232"/>
      <c r="R136" s="1232"/>
      <c r="S136" s="1232"/>
      <c r="V136" s="1227" t="s">
        <v>699</v>
      </c>
      <c r="W136" s="1232">
        <v>28</v>
      </c>
      <c r="X136" s="1232">
        <v>27</v>
      </c>
      <c r="Y136" s="1232">
        <v>27</v>
      </c>
      <c r="Z136" s="1232">
        <v>31</v>
      </c>
      <c r="AA136" s="1232">
        <v>36</v>
      </c>
      <c r="AB136" s="1232">
        <v>34</v>
      </c>
      <c r="AC136" s="1233">
        <v>31</v>
      </c>
      <c r="AD136" s="1233">
        <v>32</v>
      </c>
      <c r="AE136" s="1232">
        <v>15</v>
      </c>
      <c r="AF136" s="1232">
        <v>9</v>
      </c>
      <c r="AG136" s="1232">
        <v>9</v>
      </c>
      <c r="AH136" s="1232">
        <v>9</v>
      </c>
      <c r="AI136" s="1232">
        <v>12</v>
      </c>
      <c r="AJ136" s="1232">
        <v>13</v>
      </c>
      <c r="AK136" s="1227">
        <v>10</v>
      </c>
      <c r="AL136" s="1232">
        <v>9</v>
      </c>
      <c r="AM136" s="1227">
        <v>9</v>
      </c>
    </row>
    <row r="137" spans="1:42">
      <c r="V137" s="1227" t="s">
        <v>827</v>
      </c>
      <c r="W137" s="1244">
        <v>4</v>
      </c>
      <c r="X137" s="1244">
        <v>4</v>
      </c>
      <c r="Y137" s="1232">
        <v>4</v>
      </c>
      <c r="Z137" s="1232">
        <v>4</v>
      </c>
      <c r="AA137" s="1232">
        <v>3</v>
      </c>
      <c r="AB137" s="1232">
        <v>3</v>
      </c>
      <c r="AC137" s="1233">
        <v>3</v>
      </c>
      <c r="AD137" s="1233">
        <v>3</v>
      </c>
      <c r="AE137" s="1232">
        <v>1</v>
      </c>
      <c r="AF137" s="1232">
        <v>4</v>
      </c>
      <c r="AG137" s="1232">
        <v>5</v>
      </c>
      <c r="AH137" s="1232">
        <v>5</v>
      </c>
      <c r="AI137" s="1232">
        <v>4</v>
      </c>
      <c r="AJ137" s="1232">
        <v>2</v>
      </c>
      <c r="AK137" s="1227">
        <v>2</v>
      </c>
      <c r="AL137" s="1232">
        <v>2</v>
      </c>
      <c r="AM137" s="1227">
        <v>0</v>
      </c>
    </row>
    <row r="138" spans="1:42">
      <c r="V138" s="1227" t="s">
        <v>738</v>
      </c>
    </row>
    <row r="139" spans="1:42">
      <c r="V139" s="1227" t="s">
        <v>698</v>
      </c>
      <c r="W139" s="1232">
        <v>5</v>
      </c>
      <c r="X139" s="1232">
        <v>4</v>
      </c>
      <c r="Y139" s="1232">
        <v>5</v>
      </c>
      <c r="Z139" s="1232">
        <v>5</v>
      </c>
      <c r="AA139" s="1232">
        <v>4</v>
      </c>
      <c r="AB139" s="1232">
        <v>9</v>
      </c>
      <c r="AC139" s="1233">
        <v>10</v>
      </c>
      <c r="AD139" s="1233">
        <v>12</v>
      </c>
      <c r="AE139" s="1232">
        <v>18</v>
      </c>
      <c r="AF139" s="1232">
        <v>20</v>
      </c>
      <c r="AG139" s="1232">
        <v>25</v>
      </c>
      <c r="AH139" s="1232">
        <v>22</v>
      </c>
      <c r="AI139" s="1227">
        <v>8</v>
      </c>
      <c r="AJ139" s="1232">
        <f>1+6</f>
        <v>7</v>
      </c>
      <c r="AK139" s="1227">
        <v>6</v>
      </c>
      <c r="AL139" s="1232">
        <v>4</v>
      </c>
      <c r="AM139" s="1227">
        <v>6</v>
      </c>
    </row>
    <row r="140" spans="1:42">
      <c r="V140" s="1227" t="s">
        <v>699</v>
      </c>
      <c r="W140" s="1232">
        <v>42</v>
      </c>
      <c r="X140" s="1232">
        <v>39</v>
      </c>
      <c r="Y140" s="1232">
        <v>36</v>
      </c>
      <c r="Z140" s="1232">
        <v>51</v>
      </c>
      <c r="AA140" s="1232">
        <v>72</v>
      </c>
      <c r="AB140" s="1232">
        <v>56</v>
      </c>
      <c r="AC140" s="1233">
        <v>65</v>
      </c>
      <c r="AD140" s="1233">
        <v>78</v>
      </c>
      <c r="AE140" s="1232">
        <v>56</v>
      </c>
      <c r="AF140" s="1232">
        <v>52</v>
      </c>
      <c r="AG140" s="1232">
        <f>11+15+29</f>
        <v>55</v>
      </c>
      <c r="AH140" s="1232">
        <f>14+24+38</f>
        <v>76</v>
      </c>
      <c r="AI140" s="1232">
        <f>22+35+54</f>
        <v>111</v>
      </c>
      <c r="AJ140" s="1232">
        <f>18+31+49</f>
        <v>98</v>
      </c>
      <c r="AK140" s="1227">
        <v>73</v>
      </c>
      <c r="AL140" s="1232">
        <v>35</v>
      </c>
      <c r="AM140" s="1227">
        <v>19</v>
      </c>
    </row>
    <row r="141" spans="1:42">
      <c r="V141" s="1227" t="s">
        <v>827</v>
      </c>
      <c r="W141" s="1232">
        <v>0</v>
      </c>
      <c r="X141" s="1232">
        <v>0</v>
      </c>
      <c r="Y141" s="1232">
        <v>0</v>
      </c>
      <c r="Z141" s="1232">
        <v>1</v>
      </c>
      <c r="AA141" s="1232">
        <v>1</v>
      </c>
      <c r="AB141" s="1232">
        <v>1</v>
      </c>
      <c r="AC141" s="1233">
        <v>2</v>
      </c>
      <c r="AD141" s="1233">
        <v>2</v>
      </c>
      <c r="AE141" s="1232">
        <v>3</v>
      </c>
      <c r="AF141" s="1232">
        <v>3</v>
      </c>
      <c r="AG141" s="1232">
        <v>4</v>
      </c>
      <c r="AH141" s="1232">
        <v>4</v>
      </c>
      <c r="AI141" s="1232">
        <v>7</v>
      </c>
      <c r="AJ141" s="1232">
        <v>12</v>
      </c>
      <c r="AK141" s="1227">
        <v>12</v>
      </c>
      <c r="AL141" s="1232">
        <v>10</v>
      </c>
      <c r="AM141" s="1227">
        <v>2</v>
      </c>
    </row>
    <row r="142" spans="1:42">
      <c r="V142" s="1227" t="s">
        <v>1286</v>
      </c>
    </row>
    <row r="143" spans="1:42">
      <c r="V143" s="1234" t="s">
        <v>698</v>
      </c>
      <c r="W143" s="1232">
        <v>12</v>
      </c>
      <c r="X143" s="1232">
        <v>17</v>
      </c>
      <c r="Y143" s="1232">
        <v>11</v>
      </c>
      <c r="Z143" s="1232">
        <v>11</v>
      </c>
      <c r="AA143" s="1232">
        <v>2</v>
      </c>
      <c r="AB143" s="1232">
        <v>10</v>
      </c>
      <c r="AC143" s="1233">
        <v>5</v>
      </c>
      <c r="AD143" s="1233">
        <v>4</v>
      </c>
      <c r="AE143" s="1232">
        <v>8</v>
      </c>
      <c r="AF143" s="1232">
        <v>12</v>
      </c>
      <c r="AG143" s="1232">
        <v>21</v>
      </c>
      <c r="AH143" s="1232">
        <v>20</v>
      </c>
      <c r="AI143" s="1232">
        <v>15</v>
      </c>
      <c r="AJ143" s="1232">
        <v>18</v>
      </c>
      <c r="AK143" s="1227">
        <v>20</v>
      </c>
      <c r="AL143" s="1232">
        <v>31</v>
      </c>
      <c r="AM143" s="1232">
        <v>40</v>
      </c>
      <c r="AN143" s="1232"/>
    </row>
    <row r="144" spans="1:42">
      <c r="V144" s="1234" t="s">
        <v>699</v>
      </c>
      <c r="W144" s="1232">
        <v>6</v>
      </c>
      <c r="X144" s="1232">
        <v>7</v>
      </c>
      <c r="Y144" s="1232">
        <v>7</v>
      </c>
      <c r="Z144" s="1232">
        <v>7</v>
      </c>
      <c r="AA144" s="1232">
        <v>9</v>
      </c>
      <c r="AB144" s="1232">
        <v>11</v>
      </c>
      <c r="AC144" s="1233">
        <v>8</v>
      </c>
      <c r="AD144" s="1233">
        <v>8</v>
      </c>
      <c r="AE144" s="1232">
        <v>13</v>
      </c>
      <c r="AF144" s="1232">
        <v>7</v>
      </c>
      <c r="AG144" s="1232">
        <v>12</v>
      </c>
      <c r="AH144" s="1232">
        <v>24</v>
      </c>
      <c r="AI144" s="1232">
        <v>40</v>
      </c>
      <c r="AJ144" s="1232">
        <v>44</v>
      </c>
      <c r="AK144" s="1227">
        <v>60</v>
      </c>
      <c r="AL144" s="1232">
        <v>52</v>
      </c>
      <c r="AM144" s="1227">
        <v>59</v>
      </c>
    </row>
    <row r="145" spans="22:40">
      <c r="V145" s="1234" t="s">
        <v>827</v>
      </c>
      <c r="W145" s="1232">
        <v>0</v>
      </c>
      <c r="X145" s="1232">
        <v>0</v>
      </c>
      <c r="Y145" s="1232">
        <v>0</v>
      </c>
      <c r="Z145" s="1232">
        <v>0</v>
      </c>
      <c r="AA145" s="1232">
        <v>1</v>
      </c>
      <c r="AB145" s="1232">
        <v>0</v>
      </c>
      <c r="AC145" s="1233">
        <v>0</v>
      </c>
      <c r="AD145" s="1233">
        <v>0</v>
      </c>
      <c r="AE145" s="1232">
        <v>0</v>
      </c>
      <c r="AF145" s="1232">
        <v>1</v>
      </c>
      <c r="AG145" s="1232">
        <v>1</v>
      </c>
      <c r="AH145" s="1232">
        <v>2</v>
      </c>
      <c r="AI145" s="1232">
        <v>5</v>
      </c>
      <c r="AJ145" s="1232">
        <v>4</v>
      </c>
      <c r="AK145" s="1227">
        <v>7</v>
      </c>
      <c r="AL145" s="1232">
        <v>7</v>
      </c>
      <c r="AM145" s="1227">
        <v>0</v>
      </c>
    </row>
    <row r="146" spans="22:40">
      <c r="V146" s="1227" t="s">
        <v>748</v>
      </c>
    </row>
    <row r="147" spans="22:40">
      <c r="V147" s="1234" t="s">
        <v>698</v>
      </c>
      <c r="W147" s="1232">
        <v>0</v>
      </c>
      <c r="X147" s="1232">
        <v>0</v>
      </c>
      <c r="Y147" s="1232">
        <v>0</v>
      </c>
      <c r="Z147" s="1232">
        <v>0</v>
      </c>
      <c r="AA147" s="1232">
        <v>0</v>
      </c>
      <c r="AB147" s="1232">
        <v>0</v>
      </c>
      <c r="AC147" s="1233">
        <v>0</v>
      </c>
      <c r="AD147" s="1233">
        <v>0</v>
      </c>
      <c r="AE147" s="1232">
        <v>0</v>
      </c>
      <c r="AF147" s="1232">
        <v>0</v>
      </c>
      <c r="AG147" s="1232">
        <v>1</v>
      </c>
      <c r="AH147" s="1232">
        <v>1</v>
      </c>
      <c r="AI147" s="1232">
        <v>1</v>
      </c>
      <c r="AJ147" s="1232">
        <v>1</v>
      </c>
      <c r="AK147" s="1227">
        <v>1</v>
      </c>
      <c r="AL147" s="1233">
        <v>1</v>
      </c>
      <c r="AM147" s="1228" t="s">
        <v>246</v>
      </c>
      <c r="AN147" s="1228"/>
    </row>
    <row r="148" spans="22:40">
      <c r="V148" s="1234" t="s">
        <v>699</v>
      </c>
      <c r="W148" s="1232">
        <v>35</v>
      </c>
      <c r="X148" s="1232">
        <v>33</v>
      </c>
      <c r="Y148" s="1232">
        <v>34</v>
      </c>
      <c r="Z148" s="1232">
        <v>31</v>
      </c>
      <c r="AA148" s="1232">
        <v>32</v>
      </c>
      <c r="AB148" s="1232">
        <v>22</v>
      </c>
      <c r="AC148" s="1233">
        <v>19</v>
      </c>
      <c r="AD148" s="1233">
        <v>19</v>
      </c>
      <c r="AE148" s="1232">
        <v>21</v>
      </c>
      <c r="AF148" s="1232">
        <v>20</v>
      </c>
      <c r="AG148" s="1232">
        <v>16</v>
      </c>
      <c r="AH148" s="1232">
        <v>12</v>
      </c>
      <c r="AI148" s="1232">
        <v>12</v>
      </c>
      <c r="AJ148" s="1232">
        <v>11</v>
      </c>
      <c r="AK148" s="1227">
        <v>10</v>
      </c>
      <c r="AL148" s="1233">
        <v>7</v>
      </c>
      <c r="AM148" s="1228" t="s">
        <v>246</v>
      </c>
      <c r="AN148" s="1228"/>
    </row>
    <row r="149" spans="22:40">
      <c r="V149" s="1234" t="s">
        <v>827</v>
      </c>
      <c r="W149" s="1232">
        <v>0</v>
      </c>
      <c r="X149" s="1232">
        <v>0</v>
      </c>
      <c r="Y149" s="1232">
        <v>0</v>
      </c>
      <c r="Z149" s="1232">
        <v>0</v>
      </c>
      <c r="AA149" s="1232">
        <v>0</v>
      </c>
      <c r="AB149" s="1232">
        <v>0</v>
      </c>
      <c r="AC149" s="1233">
        <v>0</v>
      </c>
      <c r="AD149" s="1233">
        <v>0</v>
      </c>
      <c r="AE149" s="1232">
        <v>0</v>
      </c>
      <c r="AF149" s="1232">
        <v>0</v>
      </c>
      <c r="AG149" s="1232">
        <v>0</v>
      </c>
      <c r="AH149" s="1232">
        <v>0</v>
      </c>
      <c r="AI149" s="1232">
        <v>0</v>
      </c>
      <c r="AJ149" s="1232">
        <v>0</v>
      </c>
      <c r="AK149" s="1227">
        <v>0</v>
      </c>
      <c r="AL149" s="1233">
        <v>0</v>
      </c>
      <c r="AM149" s="1228" t="s">
        <v>246</v>
      </c>
      <c r="AN149" s="1228"/>
    </row>
    <row r="150" spans="22:40">
      <c r="V150" s="1227" t="s">
        <v>747</v>
      </c>
    </row>
    <row r="151" spans="22:40">
      <c r="V151" s="1227" t="s">
        <v>698</v>
      </c>
      <c r="W151" s="1227">
        <f t="shared" ref="W151:AJ151" si="102">SUM(W23:W24)</f>
        <v>1</v>
      </c>
      <c r="X151" s="1227">
        <f t="shared" si="102"/>
        <v>1</v>
      </c>
      <c r="Y151" s="1227">
        <f t="shared" si="102"/>
        <v>1</v>
      </c>
      <c r="Z151" s="1227">
        <f t="shared" si="102"/>
        <v>2</v>
      </c>
      <c r="AA151" s="1227">
        <f t="shared" si="102"/>
        <v>2</v>
      </c>
      <c r="AB151" s="1227">
        <f t="shared" si="102"/>
        <v>2</v>
      </c>
      <c r="AC151" s="1228">
        <f t="shared" si="102"/>
        <v>1</v>
      </c>
      <c r="AD151" s="1228">
        <f t="shared" si="102"/>
        <v>2</v>
      </c>
      <c r="AE151" s="1227">
        <f t="shared" si="102"/>
        <v>3</v>
      </c>
      <c r="AF151" s="1227">
        <f t="shared" si="102"/>
        <v>4</v>
      </c>
      <c r="AG151" s="1227">
        <f t="shared" si="102"/>
        <v>3</v>
      </c>
      <c r="AH151" s="1227">
        <f t="shared" si="102"/>
        <v>4</v>
      </c>
      <c r="AI151" s="1227">
        <f t="shared" si="102"/>
        <v>1</v>
      </c>
      <c r="AJ151" s="1227">
        <f t="shared" si="102"/>
        <v>1</v>
      </c>
      <c r="AK151" s="1227">
        <v>1</v>
      </c>
      <c r="AL151" s="1227">
        <v>1</v>
      </c>
      <c r="AM151" s="1227">
        <v>3</v>
      </c>
    </row>
    <row r="152" spans="22:40">
      <c r="V152" s="1227" t="s">
        <v>699</v>
      </c>
      <c r="W152" s="1227">
        <f t="shared" ref="W152:AJ152" si="103">SUM(W49:W50)</f>
        <v>108</v>
      </c>
      <c r="X152" s="1227">
        <f t="shared" si="103"/>
        <v>97</v>
      </c>
      <c r="Y152" s="1227">
        <f t="shared" si="103"/>
        <v>90</v>
      </c>
      <c r="Z152" s="1227">
        <f t="shared" si="103"/>
        <v>103</v>
      </c>
      <c r="AA152" s="1227">
        <f t="shared" si="103"/>
        <v>109</v>
      </c>
      <c r="AB152" s="1227">
        <f t="shared" si="103"/>
        <v>76</v>
      </c>
      <c r="AC152" s="1228">
        <f t="shared" si="103"/>
        <v>89</v>
      </c>
      <c r="AD152" s="1228">
        <f t="shared" si="103"/>
        <v>89</v>
      </c>
      <c r="AE152" s="1227">
        <f t="shared" si="103"/>
        <v>83</v>
      </c>
      <c r="AF152" s="1227">
        <f t="shared" si="103"/>
        <v>70</v>
      </c>
      <c r="AG152" s="1227">
        <f t="shared" si="103"/>
        <v>66</v>
      </c>
      <c r="AH152" s="1227">
        <f t="shared" si="103"/>
        <v>59</v>
      </c>
      <c r="AI152" s="1227">
        <f t="shared" si="103"/>
        <v>54</v>
      </c>
      <c r="AJ152" s="1227">
        <f t="shared" si="103"/>
        <v>51</v>
      </c>
      <c r="AK152" s="1227">
        <v>25</v>
      </c>
      <c r="AL152" s="1227">
        <v>15</v>
      </c>
      <c r="AM152" s="1227">
        <v>16</v>
      </c>
    </row>
    <row r="153" spans="22:40">
      <c r="V153" s="1227" t="s">
        <v>827</v>
      </c>
      <c r="W153" s="1227">
        <f>SUM(W75:W76)</f>
        <v>0</v>
      </c>
      <c r="X153" s="1227">
        <f>SUM(X75:X76)</f>
        <v>0</v>
      </c>
      <c r="Y153" s="1227">
        <f>SUM(Y75:Y76)</f>
        <v>0</v>
      </c>
      <c r="Z153" s="1227">
        <f>SUM(Z75:Z76)</f>
        <v>0</v>
      </c>
      <c r="AA153" s="1227">
        <f>SUM(AA75:AA76)</f>
        <v>0</v>
      </c>
      <c r="AB153" s="1227">
        <v>0</v>
      </c>
      <c r="AC153" s="1228">
        <f>SUM(AC75:AC76)</f>
        <v>0</v>
      </c>
      <c r="AD153" s="1228">
        <f>SUM(AD75:AD76)</f>
        <v>0</v>
      </c>
      <c r="AE153" s="1227">
        <v>0</v>
      </c>
      <c r="AF153" s="1227">
        <f>SUM(AF75:AF76)</f>
        <v>0</v>
      </c>
      <c r="AG153" s="1227">
        <f>SUM(AG75:AG76)</f>
        <v>0</v>
      </c>
      <c r="AH153" s="1227">
        <f>SUM(AH75:AH76)</f>
        <v>0</v>
      </c>
      <c r="AI153" s="1227">
        <f>SUM(AI75:AI76)</f>
        <v>1</v>
      </c>
      <c r="AJ153" s="1227">
        <f>SUM(AJ75:AJ76)</f>
        <v>1</v>
      </c>
      <c r="AK153" s="1227">
        <v>1</v>
      </c>
      <c r="AL153" s="1227">
        <v>1</v>
      </c>
      <c r="AM153" s="1227">
        <v>0</v>
      </c>
    </row>
    <row r="154" spans="22:40">
      <c r="V154" s="1227" t="s">
        <v>739</v>
      </c>
    </row>
    <row r="155" spans="22:40">
      <c r="V155" s="1227" t="s">
        <v>107</v>
      </c>
      <c r="W155" s="1227">
        <f t="shared" ref="W155:AL155" si="104">W13</f>
        <v>32</v>
      </c>
      <c r="X155" s="1227">
        <f t="shared" si="104"/>
        <v>47</v>
      </c>
      <c r="Y155" s="1227">
        <f t="shared" si="104"/>
        <v>37</v>
      </c>
      <c r="Z155" s="1227">
        <f t="shared" si="104"/>
        <v>28</v>
      </c>
      <c r="AA155" s="1227">
        <f t="shared" si="104"/>
        <v>19</v>
      </c>
      <c r="AB155" s="1227">
        <f t="shared" si="104"/>
        <v>24</v>
      </c>
      <c r="AC155" s="1227">
        <f t="shared" si="104"/>
        <v>9</v>
      </c>
      <c r="AD155" s="1227">
        <f t="shared" si="104"/>
        <v>8</v>
      </c>
      <c r="AE155" s="1227">
        <f t="shared" si="104"/>
        <v>20</v>
      </c>
      <c r="AF155" s="1227">
        <f t="shared" si="104"/>
        <v>18</v>
      </c>
      <c r="AG155" s="1227">
        <f t="shared" si="104"/>
        <v>15</v>
      </c>
      <c r="AH155" s="1227">
        <f t="shared" si="104"/>
        <v>14</v>
      </c>
      <c r="AI155" s="1227">
        <f t="shared" si="104"/>
        <v>9</v>
      </c>
      <c r="AJ155" s="1227">
        <f t="shared" si="104"/>
        <v>11</v>
      </c>
      <c r="AK155" s="1227">
        <f t="shared" si="104"/>
        <v>13</v>
      </c>
      <c r="AL155" s="1227">
        <f t="shared" si="104"/>
        <v>15</v>
      </c>
      <c r="AM155" s="1227">
        <v>12</v>
      </c>
    </row>
    <row r="156" spans="22:40">
      <c r="V156" s="1227" t="s">
        <v>53</v>
      </c>
      <c r="W156" s="1227">
        <f t="shared" ref="W156:AL156" si="105">W39</f>
        <v>2</v>
      </c>
      <c r="X156" s="1227">
        <f t="shared" si="105"/>
        <v>3</v>
      </c>
      <c r="Y156" s="1227">
        <f t="shared" si="105"/>
        <v>3</v>
      </c>
      <c r="Z156" s="1227">
        <f t="shared" si="105"/>
        <v>2</v>
      </c>
      <c r="AA156" s="1227">
        <f t="shared" si="105"/>
        <v>3</v>
      </c>
      <c r="AB156" s="1227">
        <f t="shared" si="105"/>
        <v>0</v>
      </c>
      <c r="AC156" s="1227">
        <f t="shared" si="105"/>
        <v>0</v>
      </c>
      <c r="AD156" s="1227">
        <f t="shared" si="105"/>
        <v>0</v>
      </c>
      <c r="AE156" s="1227">
        <f t="shared" si="105"/>
        <v>0</v>
      </c>
      <c r="AF156" s="1227">
        <f t="shared" si="105"/>
        <v>0</v>
      </c>
      <c r="AG156" s="1227">
        <f t="shared" si="105"/>
        <v>0</v>
      </c>
      <c r="AH156" s="1227">
        <f t="shared" si="105"/>
        <v>0</v>
      </c>
      <c r="AI156" s="1227">
        <f t="shared" si="105"/>
        <v>0</v>
      </c>
      <c r="AJ156" s="1227">
        <f t="shared" si="105"/>
        <v>1</v>
      </c>
      <c r="AK156" s="1227">
        <f t="shared" si="105"/>
        <v>1</v>
      </c>
      <c r="AL156" s="1227">
        <f t="shared" si="105"/>
        <v>1</v>
      </c>
      <c r="AM156" s="1227">
        <v>1</v>
      </c>
    </row>
    <row r="157" spans="22:40">
      <c r="V157" s="1227" t="s">
        <v>827</v>
      </c>
      <c r="W157" s="1227">
        <f t="shared" ref="W157:AB157" si="106">W65</f>
        <v>0</v>
      </c>
      <c r="X157" s="1227">
        <f t="shared" si="106"/>
        <v>0</v>
      </c>
      <c r="Y157" s="1227">
        <f t="shared" si="106"/>
        <v>0</v>
      </c>
      <c r="Z157" s="1227">
        <f t="shared" si="106"/>
        <v>0</v>
      </c>
      <c r="AA157" s="1227">
        <f t="shared" si="106"/>
        <v>0</v>
      </c>
      <c r="AB157" s="1227">
        <f t="shared" si="106"/>
        <v>0</v>
      </c>
      <c r="AC157" s="1227">
        <f t="shared" ref="AC157:AL157" si="107">AC65</f>
        <v>0</v>
      </c>
      <c r="AD157" s="1227">
        <f t="shared" si="107"/>
        <v>0</v>
      </c>
      <c r="AE157" s="1227">
        <f t="shared" si="107"/>
        <v>0</v>
      </c>
      <c r="AF157" s="1227">
        <f t="shared" si="107"/>
        <v>1</v>
      </c>
      <c r="AG157" s="1227">
        <f t="shared" si="107"/>
        <v>1</v>
      </c>
      <c r="AH157" s="1227">
        <f t="shared" si="107"/>
        <v>1</v>
      </c>
      <c r="AI157" s="1227">
        <f t="shared" si="107"/>
        <v>1</v>
      </c>
      <c r="AJ157" s="1227">
        <f t="shared" si="107"/>
        <v>0</v>
      </c>
      <c r="AK157" s="1227">
        <f t="shared" si="107"/>
        <v>0</v>
      </c>
      <c r="AL157" s="1227">
        <f t="shared" si="107"/>
        <v>0</v>
      </c>
      <c r="AM157" s="1227">
        <v>0</v>
      </c>
    </row>
    <row r="158" spans="22:40">
      <c r="V158" s="1245" t="s">
        <v>737</v>
      </c>
    </row>
    <row r="159" spans="22:40">
      <c r="V159" s="1227" t="s">
        <v>698</v>
      </c>
      <c r="W159" s="1232">
        <v>9</v>
      </c>
      <c r="X159" s="1232">
        <v>12</v>
      </c>
      <c r="Y159" s="1232">
        <v>14</v>
      </c>
      <c r="Z159" s="1232">
        <v>18</v>
      </c>
      <c r="AA159" s="1232">
        <v>13</v>
      </c>
      <c r="AB159" s="1232">
        <v>12</v>
      </c>
      <c r="AC159" s="1233">
        <v>8</v>
      </c>
      <c r="AD159" s="1233">
        <v>7</v>
      </c>
      <c r="AE159" s="1232">
        <v>14</v>
      </c>
      <c r="AF159" s="1232">
        <v>16</v>
      </c>
      <c r="AG159" s="1232">
        <v>13</v>
      </c>
      <c r="AH159" s="1232">
        <v>3</v>
      </c>
      <c r="AI159" s="1227">
        <v>5</v>
      </c>
      <c r="AJ159" s="1232">
        <v>2</v>
      </c>
      <c r="AK159" s="1227">
        <v>3</v>
      </c>
      <c r="AL159" s="1232">
        <v>2</v>
      </c>
      <c r="AM159" s="1227">
        <v>2</v>
      </c>
    </row>
    <row r="160" spans="22:40">
      <c r="V160" s="1227" t="s">
        <v>699</v>
      </c>
      <c r="W160" s="1232">
        <v>9</v>
      </c>
      <c r="X160" s="1232">
        <v>9</v>
      </c>
      <c r="Y160" s="1232">
        <v>8</v>
      </c>
      <c r="Z160" s="1232">
        <v>7</v>
      </c>
      <c r="AA160" s="1232">
        <v>9</v>
      </c>
      <c r="AB160" s="1232">
        <v>3</v>
      </c>
      <c r="AC160" s="1233">
        <v>5</v>
      </c>
      <c r="AD160" s="1233">
        <v>7</v>
      </c>
      <c r="AE160" s="1232">
        <v>16</v>
      </c>
      <c r="AF160" s="1232">
        <v>10</v>
      </c>
      <c r="AG160" s="1232">
        <v>8</v>
      </c>
      <c r="AH160" s="1232">
        <v>16</v>
      </c>
      <c r="AI160" s="1232">
        <v>30</v>
      </c>
      <c r="AJ160" s="1232">
        <v>30</v>
      </c>
      <c r="AK160" s="1227">
        <v>22</v>
      </c>
      <c r="AL160" s="1232">
        <v>13</v>
      </c>
      <c r="AM160" s="1227">
        <v>10</v>
      </c>
    </row>
    <row r="161" spans="22:40">
      <c r="V161" s="1227" t="s">
        <v>827</v>
      </c>
      <c r="W161" s="1232">
        <v>0</v>
      </c>
      <c r="X161" s="1232">
        <v>0</v>
      </c>
      <c r="Y161" s="1232">
        <v>0</v>
      </c>
      <c r="Z161" s="1232">
        <v>0</v>
      </c>
      <c r="AA161" s="1232">
        <v>0</v>
      </c>
      <c r="AB161" s="1232">
        <v>0</v>
      </c>
      <c r="AC161" s="1233">
        <v>0</v>
      </c>
      <c r="AD161" s="1233">
        <v>0</v>
      </c>
      <c r="AE161" s="1232">
        <v>0</v>
      </c>
      <c r="AF161" s="1232">
        <v>1</v>
      </c>
      <c r="AG161" s="1232">
        <v>1</v>
      </c>
      <c r="AH161" s="1232">
        <v>0</v>
      </c>
      <c r="AI161" s="1232">
        <v>2</v>
      </c>
      <c r="AJ161" s="1232">
        <v>3</v>
      </c>
      <c r="AK161" s="1227">
        <v>3</v>
      </c>
      <c r="AL161" s="1232">
        <v>3</v>
      </c>
      <c r="AM161" s="1227">
        <v>2</v>
      </c>
    </row>
    <row r="162" spans="22:40">
      <c r="V162" s="1234" t="s">
        <v>1290</v>
      </c>
    </row>
    <row r="163" spans="22:40">
      <c r="V163" s="1227" t="s">
        <v>698</v>
      </c>
      <c r="W163" s="1232">
        <v>4</v>
      </c>
      <c r="X163" s="1232">
        <v>4</v>
      </c>
      <c r="Y163" s="1232">
        <v>4</v>
      </c>
      <c r="Z163" s="1232">
        <v>5</v>
      </c>
      <c r="AA163" s="1232">
        <v>7</v>
      </c>
      <c r="AB163" s="1232">
        <v>1</v>
      </c>
      <c r="AC163" s="1233">
        <v>0</v>
      </c>
      <c r="AD163" s="1233">
        <v>0</v>
      </c>
      <c r="AE163" s="1232">
        <v>4</v>
      </c>
      <c r="AF163" s="1232">
        <v>6</v>
      </c>
      <c r="AG163" s="1232">
        <v>8</v>
      </c>
      <c r="AH163" s="1232">
        <v>9</v>
      </c>
      <c r="AI163" s="1232">
        <v>2</v>
      </c>
      <c r="AJ163" s="1232">
        <v>2</v>
      </c>
      <c r="AK163" s="1227">
        <v>4</v>
      </c>
      <c r="AL163" s="1232">
        <v>23</v>
      </c>
      <c r="AM163" s="1232">
        <v>4</v>
      </c>
      <c r="AN163" s="1232"/>
    </row>
    <row r="164" spans="22:40">
      <c r="V164" s="1234" t="s">
        <v>699</v>
      </c>
      <c r="W164" s="1232">
        <v>12</v>
      </c>
      <c r="X164" s="1232">
        <v>5</v>
      </c>
      <c r="Y164" s="1232">
        <v>6</v>
      </c>
      <c r="Z164" s="1232">
        <v>11</v>
      </c>
      <c r="AA164" s="1232">
        <v>22</v>
      </c>
      <c r="AB164" s="1232">
        <v>3</v>
      </c>
      <c r="AC164" s="1233">
        <v>7</v>
      </c>
      <c r="AD164" s="1233">
        <v>10</v>
      </c>
      <c r="AE164" s="1232">
        <v>5</v>
      </c>
      <c r="AF164" s="1232">
        <v>14</v>
      </c>
      <c r="AG164" s="1232">
        <v>18</v>
      </c>
      <c r="AH164" s="1232">
        <v>36</v>
      </c>
      <c r="AI164" s="1232">
        <v>69</v>
      </c>
      <c r="AJ164" s="1232">
        <v>73</v>
      </c>
      <c r="AK164" s="1227">
        <v>70</v>
      </c>
      <c r="AL164" s="1232">
        <v>60</v>
      </c>
      <c r="AM164" s="1227">
        <v>18</v>
      </c>
    </row>
    <row r="165" spans="22:40">
      <c r="V165" s="1234" t="s">
        <v>827</v>
      </c>
      <c r="W165" s="1232">
        <v>0</v>
      </c>
      <c r="X165" s="1232">
        <v>0</v>
      </c>
      <c r="Y165" s="1232">
        <v>0</v>
      </c>
      <c r="Z165" s="1232">
        <v>1</v>
      </c>
      <c r="AA165" s="1232">
        <v>0</v>
      </c>
      <c r="AB165" s="1232">
        <v>0</v>
      </c>
      <c r="AC165" s="1233">
        <v>0</v>
      </c>
      <c r="AD165" s="1233">
        <v>0</v>
      </c>
      <c r="AE165" s="1232">
        <v>0</v>
      </c>
      <c r="AF165" s="1232">
        <v>1</v>
      </c>
      <c r="AG165" s="1232">
        <v>2</v>
      </c>
      <c r="AH165" s="1232">
        <v>1</v>
      </c>
      <c r="AI165" s="1232">
        <v>1</v>
      </c>
      <c r="AJ165" s="1232">
        <v>1</v>
      </c>
      <c r="AK165" s="1227">
        <v>6</v>
      </c>
      <c r="AL165" s="1232">
        <v>11</v>
      </c>
      <c r="AM165" s="1227">
        <v>0</v>
      </c>
    </row>
    <row r="166" spans="22:40">
      <c r="V166" s="1234" t="s">
        <v>741</v>
      </c>
      <c r="W166" s="1232"/>
      <c r="X166" s="1232"/>
      <c r="Y166" s="1232"/>
      <c r="Z166" s="1232"/>
      <c r="AA166" s="1232"/>
      <c r="AB166" s="1232"/>
      <c r="AC166" s="1233"/>
      <c r="AD166" s="1233"/>
      <c r="AE166" s="1232"/>
      <c r="AF166" s="1232"/>
      <c r="AG166" s="1232"/>
      <c r="AH166" s="1232"/>
      <c r="AI166" s="1232"/>
      <c r="AJ166" s="1232"/>
      <c r="AL166" s="1232"/>
    </row>
    <row r="167" spans="22:40">
      <c r="V167" s="1227" t="s">
        <v>698</v>
      </c>
      <c r="W167" s="1232">
        <v>76</v>
      </c>
      <c r="X167" s="1232">
        <v>62</v>
      </c>
      <c r="Y167" s="1232">
        <v>88</v>
      </c>
      <c r="Z167" s="1232">
        <v>58</v>
      </c>
      <c r="AA167" s="1232">
        <v>52</v>
      </c>
      <c r="AB167" s="1232">
        <v>94</v>
      </c>
      <c r="AC167" s="1233">
        <v>62</v>
      </c>
      <c r="AD167" s="1233">
        <v>61</v>
      </c>
      <c r="AE167" s="1232">
        <v>59</v>
      </c>
      <c r="AF167" s="1232">
        <v>100</v>
      </c>
      <c r="AG167" s="1232">
        <f>39+75</f>
        <v>114</v>
      </c>
      <c r="AH167" s="1232">
        <v>112</v>
      </c>
      <c r="AI167" s="1232">
        <v>53</v>
      </c>
      <c r="AJ167" s="1232">
        <v>49</v>
      </c>
      <c r="AK167" s="1227">
        <v>64</v>
      </c>
      <c r="AL167" s="1232">
        <v>100</v>
      </c>
      <c r="AM167" s="1232">
        <v>111</v>
      </c>
      <c r="AN167" s="1232"/>
    </row>
    <row r="168" spans="22:40">
      <c r="V168" s="1234" t="s">
        <v>699</v>
      </c>
      <c r="W168" s="1232">
        <v>4</v>
      </c>
      <c r="X168" s="1232">
        <v>2</v>
      </c>
      <c r="Y168" s="1232">
        <v>6</v>
      </c>
      <c r="Z168" s="1232">
        <v>6</v>
      </c>
      <c r="AA168" s="1232">
        <v>14</v>
      </c>
      <c r="AB168" s="1232">
        <v>14</v>
      </c>
      <c r="AC168" s="1233">
        <v>19</v>
      </c>
      <c r="AD168" s="1233">
        <v>17</v>
      </c>
      <c r="AE168" s="1232">
        <v>12</v>
      </c>
      <c r="AF168" s="1232">
        <v>5</v>
      </c>
      <c r="AG168" s="1232">
        <v>9</v>
      </c>
      <c r="AH168" s="1232">
        <v>9</v>
      </c>
      <c r="AI168" s="1232">
        <v>16</v>
      </c>
      <c r="AJ168" s="1232">
        <v>15</v>
      </c>
      <c r="AK168" s="1227">
        <v>10</v>
      </c>
      <c r="AL168" s="1232">
        <v>8</v>
      </c>
      <c r="AM168" s="1227">
        <v>14</v>
      </c>
    </row>
    <row r="169" spans="22:40">
      <c r="V169" s="1234" t="s">
        <v>827</v>
      </c>
      <c r="W169" s="1232">
        <v>0</v>
      </c>
      <c r="X169" s="1232">
        <v>0</v>
      </c>
      <c r="Y169" s="1232">
        <v>0</v>
      </c>
      <c r="Z169" s="1232">
        <v>2</v>
      </c>
      <c r="AA169" s="1232">
        <v>3</v>
      </c>
      <c r="AB169" s="1232">
        <v>0</v>
      </c>
      <c r="AC169" s="1233">
        <v>1</v>
      </c>
      <c r="AD169" s="1233">
        <v>1</v>
      </c>
      <c r="AE169" s="1232">
        <v>0</v>
      </c>
      <c r="AF169" s="1232">
        <v>0</v>
      </c>
      <c r="AG169" s="1232">
        <v>0</v>
      </c>
      <c r="AH169" s="1232">
        <v>2</v>
      </c>
      <c r="AI169" s="1232">
        <v>9</v>
      </c>
      <c r="AJ169" s="1232">
        <v>13</v>
      </c>
      <c r="AK169" s="1227">
        <v>13</v>
      </c>
      <c r="AL169" s="1232">
        <v>7</v>
      </c>
      <c r="AM169" s="1227">
        <v>2</v>
      </c>
    </row>
    <row r="170" spans="22:40">
      <c r="V170" s="1234" t="s">
        <v>745</v>
      </c>
      <c r="W170" s="1232"/>
      <c r="X170" s="1232"/>
      <c r="Y170" s="1232"/>
      <c r="Z170" s="1232"/>
      <c r="AA170" s="1232"/>
      <c r="AB170" s="1233"/>
      <c r="AC170" s="1233"/>
      <c r="AD170" s="1232"/>
      <c r="AE170" s="1232"/>
      <c r="AF170" s="1232"/>
      <c r="AG170" s="1232"/>
      <c r="AH170" s="1232"/>
      <c r="AI170" s="1232"/>
      <c r="AK170" s="1232"/>
    </row>
    <row r="171" spans="22:40">
      <c r="V171" s="1234" t="s">
        <v>698</v>
      </c>
      <c r="W171" s="1232">
        <v>13</v>
      </c>
      <c r="X171" s="1232">
        <v>19</v>
      </c>
      <c r="Y171" s="1232">
        <v>26</v>
      </c>
      <c r="Z171" s="1232">
        <v>20</v>
      </c>
      <c r="AA171" s="1232">
        <v>17</v>
      </c>
      <c r="AB171" s="1232">
        <v>30</v>
      </c>
      <c r="AC171" s="1233">
        <v>32</v>
      </c>
      <c r="AD171" s="1233">
        <v>27</v>
      </c>
      <c r="AE171" s="1232">
        <v>31</v>
      </c>
      <c r="AF171" s="1232">
        <v>31</v>
      </c>
      <c r="AG171" s="1232">
        <v>26</v>
      </c>
      <c r="AH171" s="1232">
        <v>28</v>
      </c>
      <c r="AI171" s="1232">
        <v>14</v>
      </c>
      <c r="AJ171" s="1232">
        <v>14</v>
      </c>
      <c r="AK171" s="1227">
        <v>14</v>
      </c>
      <c r="AL171" s="1232">
        <v>18</v>
      </c>
      <c r="AM171" s="1232">
        <v>16</v>
      </c>
      <c r="AN171" s="1232"/>
    </row>
    <row r="172" spans="22:40">
      <c r="V172" s="1234" t="s">
        <v>699</v>
      </c>
      <c r="W172" s="1232">
        <v>33</v>
      </c>
      <c r="X172" s="1232">
        <v>27</v>
      </c>
      <c r="Y172" s="1232">
        <v>25</v>
      </c>
      <c r="Z172" s="1232">
        <v>27</v>
      </c>
      <c r="AA172" s="1232">
        <v>29</v>
      </c>
      <c r="AB172" s="1232">
        <v>27</v>
      </c>
      <c r="AC172" s="1233">
        <v>23</v>
      </c>
      <c r="AD172" s="1233">
        <v>22</v>
      </c>
      <c r="AE172" s="1232">
        <v>13</v>
      </c>
      <c r="AF172" s="1232">
        <v>9</v>
      </c>
      <c r="AG172" s="1232">
        <v>14</v>
      </c>
      <c r="AH172" s="1232">
        <v>13</v>
      </c>
      <c r="AI172" s="1232">
        <v>29</v>
      </c>
      <c r="AJ172" s="1232">
        <v>32</v>
      </c>
      <c r="AK172" s="1227">
        <v>24</v>
      </c>
      <c r="AL172" s="1232">
        <v>15</v>
      </c>
      <c r="AM172" s="1227">
        <v>14</v>
      </c>
    </row>
    <row r="173" spans="22:40">
      <c r="V173" s="1234" t="s">
        <v>827</v>
      </c>
      <c r="W173" s="1232">
        <v>0</v>
      </c>
      <c r="X173" s="1232">
        <v>0</v>
      </c>
      <c r="Y173" s="1232">
        <v>0</v>
      </c>
      <c r="Z173" s="1232">
        <v>0</v>
      </c>
      <c r="AA173" s="1232">
        <v>0</v>
      </c>
      <c r="AB173" s="1232">
        <v>1</v>
      </c>
      <c r="AC173" s="1233">
        <v>1</v>
      </c>
      <c r="AD173" s="1233">
        <v>1</v>
      </c>
      <c r="AE173" s="1232">
        <v>2</v>
      </c>
      <c r="AF173" s="1232">
        <v>5</v>
      </c>
      <c r="AG173" s="1232">
        <v>3</v>
      </c>
      <c r="AH173" s="1232">
        <v>3</v>
      </c>
      <c r="AI173" s="1232">
        <v>4</v>
      </c>
      <c r="AJ173" s="1232">
        <v>4</v>
      </c>
      <c r="AK173" s="1227">
        <v>5</v>
      </c>
      <c r="AL173" s="1232">
        <v>5</v>
      </c>
      <c r="AM173" s="1227">
        <v>0</v>
      </c>
    </row>
  </sheetData>
  <hyperlinks>
    <hyperlink ref="B136" r:id="rId1" xr:uid="{A2DB286E-1933-4DF0-9CCF-E0A85A5A3A22}"/>
  </hyperlinks>
  <pageMargins left="0.75" right="0.75" top="1" bottom="1" header="0.5" footer="0.5"/>
  <pageSetup paperSize="9" orientation="portrait" r:id="rId2"/>
  <headerFooter alignWithMargins="0"/>
  <ignoredErrors>
    <ignoredError sqref="AI7:AM7 AL110 AI110:AK110 AJ33 AJ59" numberStoredAsText="1"/>
    <ignoredError sqref="Y113:AL113 AL53" formula="1"/>
  </ignoredErrors>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4"/>
  </sheetPr>
  <dimension ref="A1:Z10"/>
  <sheetViews>
    <sheetView showGridLines="0" zoomScaleNormal="100" workbookViewId="0">
      <selection activeCell="O68" sqref="O68"/>
    </sheetView>
  </sheetViews>
  <sheetFormatPr baseColWidth="10" defaultColWidth="9.3984375" defaultRowHeight="14"/>
  <cols>
    <col min="1" max="1" width="32.59765625" style="850" bestFit="1" customWidth="1"/>
    <col min="2" max="2" width="6.796875" style="850" customWidth="1"/>
    <col min="3" max="3" width="1.796875" style="850" customWidth="1"/>
    <col min="4" max="4" width="30.796875" style="850" bestFit="1" customWidth="1"/>
    <col min="5" max="5" width="6.796875" style="850" customWidth="1"/>
    <col min="6" max="6" width="1.796875" style="850" customWidth="1"/>
    <col min="7" max="7" width="19.59765625" style="850" bestFit="1" customWidth="1"/>
    <col min="8" max="8" width="6.796875" style="850" customWidth="1"/>
    <col min="9" max="9" width="9.3984375" style="850"/>
    <col min="10" max="10" width="13.796875" style="850" bestFit="1" customWidth="1"/>
    <col min="11" max="11" width="10.19921875" style="850" customWidth="1"/>
    <col min="12" max="12" width="9.3984375" style="850"/>
    <col min="13" max="13" width="6.59765625" style="850" customWidth="1"/>
    <col min="14" max="14" width="9.3984375" style="850"/>
    <col min="15" max="15" width="10.796875" style="850" bestFit="1" customWidth="1"/>
    <col min="16" max="16384" width="9.3984375" style="850"/>
  </cols>
  <sheetData>
    <row r="1" spans="1:26">
      <c r="B1" s="1227"/>
    </row>
    <row r="2" spans="1:26" ht="15.75" customHeight="1">
      <c r="A2" s="1235" t="s">
        <v>1669</v>
      </c>
      <c r="B2" s="1227"/>
    </row>
    <row r="3" spans="1:26">
      <c r="A3" s="1254" t="s">
        <v>736</v>
      </c>
      <c r="B3" s="1255"/>
      <c r="C3" s="871"/>
      <c r="D3" s="1254" t="s">
        <v>174</v>
      </c>
      <c r="E3" s="1255"/>
      <c r="F3" s="1246"/>
      <c r="G3" s="1254" t="s">
        <v>747</v>
      </c>
      <c r="H3" s="1255"/>
      <c r="I3" s="1232"/>
      <c r="J3" s="1232"/>
      <c r="K3" s="1232"/>
      <c r="L3" s="1232"/>
      <c r="M3" s="1232"/>
      <c r="N3" s="1232"/>
      <c r="O3" s="1232"/>
      <c r="P3" s="1232"/>
      <c r="Q3" s="1232"/>
      <c r="R3" s="1232"/>
      <c r="S3" s="1232"/>
      <c r="T3" s="1232"/>
      <c r="U3" s="1232"/>
      <c r="V3" s="1232" t="s">
        <v>246</v>
      </c>
      <c r="W3" s="1232">
        <v>0</v>
      </c>
      <c r="X3" s="1232"/>
      <c r="Y3" s="1232">
        <f>20-SUM(R3:T3)</f>
        <v>20</v>
      </c>
      <c r="Z3" s="1235">
        <f>SUM(H3:Y3)</f>
        <v>20</v>
      </c>
    </row>
    <row r="4" spans="1:26">
      <c r="A4" s="1227" t="s">
        <v>734</v>
      </c>
      <c r="B4" s="1232">
        <v>1</v>
      </c>
      <c r="D4" s="1234" t="s">
        <v>741</v>
      </c>
      <c r="E4" s="1232">
        <v>8</v>
      </c>
      <c r="G4" s="1234" t="s">
        <v>748</v>
      </c>
      <c r="H4" s="1233" t="s">
        <v>246</v>
      </c>
    </row>
    <row r="5" spans="1:26">
      <c r="A5" s="1227" t="s">
        <v>735</v>
      </c>
      <c r="B5" s="1232">
        <v>4</v>
      </c>
      <c r="D5" s="1234" t="s">
        <v>742</v>
      </c>
      <c r="E5" s="1232">
        <v>11</v>
      </c>
      <c r="G5" s="1234" t="s">
        <v>749</v>
      </c>
      <c r="H5" s="1232">
        <v>0</v>
      </c>
    </row>
    <row r="6" spans="1:26">
      <c r="A6" s="1227" t="s">
        <v>1287</v>
      </c>
      <c r="B6" s="1232">
        <v>1</v>
      </c>
      <c r="D6" s="1254" t="s">
        <v>743</v>
      </c>
      <c r="E6" s="1255"/>
      <c r="F6" s="871"/>
      <c r="G6" s="1254" t="s">
        <v>750</v>
      </c>
      <c r="H6" s="1255"/>
    </row>
    <row r="7" spans="1:26">
      <c r="A7" s="1227" t="s">
        <v>738</v>
      </c>
      <c r="B7" s="1232">
        <v>5</v>
      </c>
      <c r="D7" s="1234" t="s">
        <v>1286</v>
      </c>
      <c r="E7" s="1232">
        <v>8</v>
      </c>
      <c r="G7" s="1234" t="s">
        <v>12</v>
      </c>
      <c r="H7" s="1232">
        <v>7</v>
      </c>
    </row>
    <row r="8" spans="1:26">
      <c r="A8" s="1234" t="s">
        <v>739</v>
      </c>
      <c r="B8" s="1232">
        <v>0</v>
      </c>
      <c r="D8" s="1234" t="s">
        <v>745</v>
      </c>
      <c r="E8" s="1232">
        <v>4</v>
      </c>
    </row>
    <row r="9" spans="1:26">
      <c r="A9" s="1234" t="s">
        <v>740</v>
      </c>
      <c r="B9" s="1232">
        <f>17-SUM(B4:B8)</f>
        <v>6</v>
      </c>
      <c r="D9" s="1234" t="s">
        <v>1290</v>
      </c>
      <c r="E9" s="1232">
        <v>1</v>
      </c>
      <c r="G9" s="1242" t="s">
        <v>16</v>
      </c>
      <c r="H9" s="1235">
        <v>56</v>
      </c>
    </row>
    <row r="10" spans="1:26" ht="4" customHeight="1">
      <c r="A10" s="871"/>
      <c r="B10" s="871"/>
      <c r="C10" s="871"/>
      <c r="D10" s="871"/>
      <c r="E10" s="871"/>
      <c r="F10" s="871"/>
      <c r="G10" s="871"/>
      <c r="H10" s="871"/>
    </row>
  </sheetData>
  <pageMargins left="0.7" right="0.7" top="0.75" bottom="0.75" header="0.3" footer="0.3"/>
  <pageSetup paperSize="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tabColor theme="4"/>
  </sheetPr>
  <dimension ref="A1:T48"/>
  <sheetViews>
    <sheetView showGridLines="0" topLeftCell="B4" zoomScale="85" zoomScaleNormal="85" zoomScaleSheetLayoutView="190" workbookViewId="0">
      <selection activeCell="O68" sqref="O68"/>
    </sheetView>
  </sheetViews>
  <sheetFormatPr baseColWidth="10" defaultColWidth="9.3984375" defaultRowHeight="13"/>
  <cols>
    <col min="1" max="1" width="9.3984375" style="196"/>
    <col min="2" max="2" width="33" style="196" customWidth="1"/>
    <col min="3" max="8" width="6.796875" style="196" customWidth="1"/>
    <col min="9" max="10" width="6.796875" style="195" customWidth="1"/>
    <col min="11" max="19" width="6.796875" style="196" customWidth="1"/>
    <col min="20" max="21" width="9.3984375" style="196"/>
    <col min="22" max="22" width="19.3984375" style="196" customWidth="1"/>
    <col min="23" max="16384" width="9.3984375" style="196"/>
  </cols>
  <sheetData>
    <row r="1" spans="1:20" ht="33.75" customHeight="1">
      <c r="A1" s="3429" t="s">
        <v>1524</v>
      </c>
      <c r="B1" s="3429"/>
      <c r="C1" s="3429"/>
      <c r="D1" s="3429"/>
      <c r="E1" s="3429"/>
      <c r="F1" s="3429"/>
      <c r="G1" s="3429"/>
      <c r="H1" s="3429"/>
      <c r="I1" s="3429"/>
    </row>
    <row r="2" spans="1:20">
      <c r="C2" s="197"/>
      <c r="D2" s="197"/>
      <c r="E2" s="197"/>
      <c r="F2" s="197"/>
      <c r="G2" s="197"/>
      <c r="H2" s="197"/>
      <c r="I2" s="198" t="s">
        <v>50</v>
      </c>
      <c r="J2" s="198" t="s">
        <v>51</v>
      </c>
      <c r="K2" s="197"/>
      <c r="L2" s="197"/>
      <c r="M2" s="197"/>
      <c r="N2" s="197"/>
      <c r="O2" s="197"/>
      <c r="P2" s="197"/>
      <c r="Q2" s="197"/>
      <c r="R2" s="197"/>
      <c r="S2" s="197"/>
    </row>
    <row r="3" spans="1:20">
      <c r="C3" s="199">
        <v>1951</v>
      </c>
      <c r="D3" s="199">
        <v>1955</v>
      </c>
      <c r="E3" s="199">
        <v>1959</v>
      </c>
      <c r="F3" s="199">
        <v>1964</v>
      </c>
      <c r="G3" s="199">
        <v>1966</v>
      </c>
      <c r="H3" s="199">
        <v>1970</v>
      </c>
      <c r="I3" s="200">
        <v>1974</v>
      </c>
      <c r="J3" s="200">
        <v>1974</v>
      </c>
      <c r="K3" s="199">
        <v>1979</v>
      </c>
      <c r="L3" s="199">
        <v>1983</v>
      </c>
      <c r="M3" s="199">
        <v>1987</v>
      </c>
      <c r="N3" s="199">
        <v>1992</v>
      </c>
      <c r="O3" s="199">
        <v>1997</v>
      </c>
      <c r="P3" s="200">
        <v>2001</v>
      </c>
      <c r="Q3" s="200">
        <v>2005</v>
      </c>
      <c r="R3" s="200">
        <v>2010</v>
      </c>
      <c r="S3" s="200">
        <v>2015</v>
      </c>
      <c r="T3" s="196">
        <v>15</v>
      </c>
    </row>
    <row r="4" spans="1:20">
      <c r="B4" s="196" t="s">
        <v>734</v>
      </c>
    </row>
    <row r="5" spans="1:20">
      <c r="B5" s="196" t="s">
        <v>698</v>
      </c>
      <c r="C5" s="201">
        <v>61</v>
      </c>
      <c r="D5" s="201">
        <v>66</v>
      </c>
      <c r="E5" s="201">
        <v>72</v>
      </c>
      <c r="F5" s="201">
        <v>65</v>
      </c>
      <c r="G5" s="201">
        <v>55</v>
      </c>
      <c r="H5" s="201">
        <v>60</v>
      </c>
      <c r="I5" s="202">
        <v>59</v>
      </c>
      <c r="J5" s="202">
        <v>55</v>
      </c>
      <c r="K5" s="201">
        <v>51</v>
      </c>
      <c r="L5" s="201">
        <v>56</v>
      </c>
      <c r="M5" s="201">
        <v>43</v>
      </c>
      <c r="N5" s="201">
        <v>39</v>
      </c>
      <c r="O5" s="196">
        <v>20</v>
      </c>
      <c r="P5" s="201">
        <v>18</v>
      </c>
      <c r="Q5" s="196">
        <v>22</v>
      </c>
      <c r="R5" s="201">
        <v>27</v>
      </c>
      <c r="S5" s="196">
        <v>28</v>
      </c>
    </row>
    <row r="6" spans="1:20">
      <c r="B6" s="196" t="s">
        <v>699</v>
      </c>
      <c r="C6" s="201">
        <v>28</v>
      </c>
      <c r="D6" s="201">
        <v>27</v>
      </c>
      <c r="E6" s="201">
        <v>27</v>
      </c>
      <c r="F6" s="201">
        <v>31</v>
      </c>
      <c r="G6" s="201">
        <v>36</v>
      </c>
      <c r="H6" s="201">
        <v>34</v>
      </c>
      <c r="I6" s="202">
        <v>31</v>
      </c>
      <c r="J6" s="202">
        <v>32</v>
      </c>
      <c r="K6" s="201">
        <v>15</v>
      </c>
      <c r="L6" s="201">
        <v>9</v>
      </c>
      <c r="M6" s="201">
        <v>9</v>
      </c>
      <c r="N6" s="201">
        <v>9</v>
      </c>
      <c r="O6" s="201">
        <v>12</v>
      </c>
      <c r="P6" s="201">
        <v>13</v>
      </c>
      <c r="Q6" s="196">
        <v>10</v>
      </c>
      <c r="R6" s="201">
        <v>9</v>
      </c>
      <c r="S6" s="196">
        <v>9</v>
      </c>
    </row>
    <row r="7" spans="1:20">
      <c r="B7" s="196" t="s">
        <v>827</v>
      </c>
      <c r="C7" s="203">
        <v>4</v>
      </c>
      <c r="D7" s="203">
        <v>4</v>
      </c>
      <c r="E7" s="201">
        <v>4</v>
      </c>
      <c r="F7" s="201">
        <v>4</v>
      </c>
      <c r="G7" s="201">
        <v>3</v>
      </c>
      <c r="H7" s="201">
        <v>3</v>
      </c>
      <c r="I7" s="202">
        <v>3</v>
      </c>
      <c r="J7" s="202">
        <v>3</v>
      </c>
      <c r="K7" s="201">
        <v>1</v>
      </c>
      <c r="L7" s="201">
        <v>4</v>
      </c>
      <c r="M7" s="201">
        <v>5</v>
      </c>
      <c r="N7" s="201">
        <v>5</v>
      </c>
      <c r="O7" s="201">
        <v>4</v>
      </c>
      <c r="P7" s="201">
        <v>2</v>
      </c>
      <c r="Q7" s="196">
        <v>2</v>
      </c>
      <c r="R7" s="201">
        <v>2</v>
      </c>
      <c r="S7" s="196">
        <v>0</v>
      </c>
    </row>
    <row r="8" spans="1:20">
      <c r="B8" s="196" t="s">
        <v>738</v>
      </c>
    </row>
    <row r="9" spans="1:20">
      <c r="B9" s="204" t="s">
        <v>698</v>
      </c>
      <c r="C9" s="201">
        <v>5</v>
      </c>
      <c r="D9" s="201">
        <v>4</v>
      </c>
      <c r="E9" s="201">
        <v>5</v>
      </c>
      <c r="F9" s="201">
        <v>5</v>
      </c>
      <c r="G9" s="201">
        <v>4</v>
      </c>
      <c r="H9" s="201">
        <v>9</v>
      </c>
      <c r="I9" s="202">
        <v>10</v>
      </c>
      <c r="J9" s="202">
        <v>12</v>
      </c>
      <c r="K9" s="201">
        <v>18</v>
      </c>
      <c r="L9" s="201">
        <v>20</v>
      </c>
      <c r="M9" s="201">
        <v>25</v>
      </c>
      <c r="N9" s="201">
        <v>22</v>
      </c>
      <c r="O9" s="196">
        <v>8</v>
      </c>
      <c r="P9" s="201">
        <v>7</v>
      </c>
      <c r="Q9" s="196">
        <v>6</v>
      </c>
      <c r="R9" s="201">
        <v>4</v>
      </c>
      <c r="S9" s="196">
        <v>6</v>
      </c>
    </row>
    <row r="10" spans="1:20">
      <c r="B10" s="204" t="s">
        <v>699</v>
      </c>
      <c r="C10" s="201">
        <v>42</v>
      </c>
      <c r="D10" s="201">
        <v>39</v>
      </c>
      <c r="E10" s="201">
        <v>36</v>
      </c>
      <c r="F10" s="201">
        <v>51</v>
      </c>
      <c r="G10" s="201">
        <v>72</v>
      </c>
      <c r="H10" s="201">
        <v>56</v>
      </c>
      <c r="I10" s="202">
        <v>65</v>
      </c>
      <c r="J10" s="202">
        <v>78</v>
      </c>
      <c r="K10" s="201">
        <v>56</v>
      </c>
      <c r="L10" s="201">
        <v>52</v>
      </c>
      <c r="M10" s="201">
        <v>55</v>
      </c>
      <c r="N10" s="201">
        <v>76</v>
      </c>
      <c r="O10" s="201">
        <v>111</v>
      </c>
      <c r="P10" s="201">
        <v>98</v>
      </c>
      <c r="Q10" s="196">
        <v>73</v>
      </c>
      <c r="R10" s="201">
        <v>35</v>
      </c>
      <c r="S10" s="196">
        <v>19</v>
      </c>
    </row>
    <row r="11" spans="1:20">
      <c r="B11" s="204" t="s">
        <v>827</v>
      </c>
      <c r="C11" s="201">
        <v>0</v>
      </c>
      <c r="D11" s="201">
        <v>0</v>
      </c>
      <c r="E11" s="201">
        <v>0</v>
      </c>
      <c r="F11" s="201">
        <v>1</v>
      </c>
      <c r="G11" s="201">
        <v>1</v>
      </c>
      <c r="H11" s="201">
        <v>1</v>
      </c>
      <c r="I11" s="202">
        <v>2</v>
      </c>
      <c r="J11" s="202">
        <v>2</v>
      </c>
      <c r="K11" s="201">
        <v>3</v>
      </c>
      <c r="L11" s="201">
        <v>3</v>
      </c>
      <c r="M11" s="201">
        <v>4</v>
      </c>
      <c r="N11" s="201">
        <v>4</v>
      </c>
      <c r="O11" s="201">
        <v>7</v>
      </c>
      <c r="P11" s="201">
        <v>12</v>
      </c>
      <c r="Q11" s="196">
        <v>12</v>
      </c>
      <c r="R11" s="201">
        <v>10</v>
      </c>
      <c r="S11" s="196">
        <v>2</v>
      </c>
    </row>
    <row r="12" spans="1:20">
      <c r="B12" s="196" t="s">
        <v>1286</v>
      </c>
    </row>
    <row r="13" spans="1:20">
      <c r="B13" s="205" t="s">
        <v>698</v>
      </c>
      <c r="C13" s="206">
        <v>12</v>
      </c>
      <c r="D13" s="206">
        <v>17</v>
      </c>
      <c r="E13" s="206">
        <v>11</v>
      </c>
      <c r="F13" s="206">
        <v>11</v>
      </c>
      <c r="G13" s="206">
        <v>2</v>
      </c>
      <c r="H13" s="206">
        <v>10</v>
      </c>
      <c r="I13" s="207">
        <v>5</v>
      </c>
      <c r="J13" s="207">
        <v>4</v>
      </c>
      <c r="K13" s="206">
        <v>8</v>
      </c>
      <c r="L13" s="206">
        <v>12</v>
      </c>
      <c r="M13" s="206">
        <v>21</v>
      </c>
      <c r="N13" s="206">
        <v>20</v>
      </c>
      <c r="O13" s="206">
        <v>15</v>
      </c>
      <c r="P13" s="206">
        <v>18</v>
      </c>
      <c r="Q13" s="196">
        <v>20</v>
      </c>
      <c r="R13" s="206">
        <v>31</v>
      </c>
      <c r="S13" s="196">
        <v>40</v>
      </c>
    </row>
    <row r="14" spans="1:20">
      <c r="B14" s="205" t="s">
        <v>699</v>
      </c>
      <c r="C14" s="206">
        <v>6</v>
      </c>
      <c r="D14" s="206">
        <v>7</v>
      </c>
      <c r="E14" s="206">
        <v>7</v>
      </c>
      <c r="F14" s="206">
        <v>7</v>
      </c>
      <c r="G14" s="206">
        <v>9</v>
      </c>
      <c r="H14" s="206">
        <v>11</v>
      </c>
      <c r="I14" s="207">
        <v>8</v>
      </c>
      <c r="J14" s="207">
        <v>8</v>
      </c>
      <c r="K14" s="206">
        <v>13</v>
      </c>
      <c r="L14" s="206">
        <v>7</v>
      </c>
      <c r="M14" s="206">
        <v>12</v>
      </c>
      <c r="N14" s="206">
        <v>24</v>
      </c>
      <c r="O14" s="206">
        <v>40</v>
      </c>
      <c r="P14" s="206">
        <v>44</v>
      </c>
      <c r="Q14" s="196">
        <v>60</v>
      </c>
      <c r="R14" s="206">
        <v>52</v>
      </c>
      <c r="S14" s="196">
        <v>59</v>
      </c>
    </row>
    <row r="15" spans="1:20">
      <c r="B15" s="205" t="s">
        <v>827</v>
      </c>
      <c r="C15" s="206">
        <v>0</v>
      </c>
      <c r="D15" s="206">
        <v>0</v>
      </c>
      <c r="E15" s="206">
        <v>0</v>
      </c>
      <c r="F15" s="206">
        <v>0</v>
      </c>
      <c r="G15" s="206">
        <v>1</v>
      </c>
      <c r="H15" s="206">
        <v>0</v>
      </c>
      <c r="I15" s="207">
        <v>0</v>
      </c>
      <c r="J15" s="207">
        <v>0</v>
      </c>
      <c r="K15" s="206">
        <v>0</v>
      </c>
      <c r="L15" s="206">
        <v>1</v>
      </c>
      <c r="M15" s="206">
        <v>1</v>
      </c>
      <c r="N15" s="206">
        <v>2</v>
      </c>
      <c r="O15" s="206">
        <v>5</v>
      </c>
      <c r="P15" s="206">
        <v>4</v>
      </c>
      <c r="Q15" s="196">
        <v>7</v>
      </c>
      <c r="R15" s="206">
        <v>7</v>
      </c>
      <c r="S15" s="196">
        <v>0</v>
      </c>
    </row>
    <row r="16" spans="1:20">
      <c r="B16" s="196" t="s">
        <v>748</v>
      </c>
    </row>
    <row r="17" spans="2:19">
      <c r="B17" s="205" t="s">
        <v>698</v>
      </c>
      <c r="C17" s="206">
        <v>0</v>
      </c>
      <c r="D17" s="206">
        <v>0</v>
      </c>
      <c r="E17" s="206">
        <v>0</v>
      </c>
      <c r="F17" s="206">
        <v>0</v>
      </c>
      <c r="G17" s="206">
        <v>0</v>
      </c>
      <c r="H17" s="206">
        <v>0</v>
      </c>
      <c r="I17" s="207">
        <v>0</v>
      </c>
      <c r="J17" s="207">
        <v>0</v>
      </c>
      <c r="K17" s="206">
        <v>0</v>
      </c>
      <c r="L17" s="206">
        <v>0</v>
      </c>
      <c r="M17" s="206">
        <v>1</v>
      </c>
      <c r="N17" s="206">
        <v>1</v>
      </c>
      <c r="O17" s="206">
        <v>1</v>
      </c>
      <c r="P17" s="206">
        <v>1</v>
      </c>
      <c r="Q17" s="196">
        <v>1</v>
      </c>
      <c r="R17" s="207">
        <v>1</v>
      </c>
      <c r="S17" s="196">
        <v>1</v>
      </c>
    </row>
    <row r="18" spans="2:19">
      <c r="B18" s="205" t="s">
        <v>699</v>
      </c>
      <c r="C18" s="206">
        <v>35</v>
      </c>
      <c r="D18" s="206">
        <v>33</v>
      </c>
      <c r="E18" s="206">
        <v>34</v>
      </c>
      <c r="F18" s="206">
        <v>31</v>
      </c>
      <c r="G18" s="206">
        <v>32</v>
      </c>
      <c r="H18" s="206">
        <v>22</v>
      </c>
      <c r="I18" s="207">
        <v>19</v>
      </c>
      <c r="J18" s="207">
        <v>19</v>
      </c>
      <c r="K18" s="206">
        <v>21</v>
      </c>
      <c r="L18" s="206">
        <v>20</v>
      </c>
      <c r="M18" s="206">
        <v>16</v>
      </c>
      <c r="N18" s="206">
        <v>12</v>
      </c>
      <c r="O18" s="206">
        <v>12</v>
      </c>
      <c r="P18" s="206">
        <v>11</v>
      </c>
      <c r="Q18" s="196">
        <v>10</v>
      </c>
      <c r="R18" s="207">
        <v>7</v>
      </c>
      <c r="S18" s="196">
        <v>6</v>
      </c>
    </row>
    <row r="19" spans="2:19">
      <c r="B19" s="205" t="s">
        <v>827</v>
      </c>
      <c r="C19" s="206">
        <v>0</v>
      </c>
      <c r="D19" s="206">
        <v>0</v>
      </c>
      <c r="E19" s="206">
        <v>0</v>
      </c>
      <c r="F19" s="206">
        <v>0</v>
      </c>
      <c r="G19" s="206">
        <v>0</v>
      </c>
      <c r="H19" s="206">
        <v>0</v>
      </c>
      <c r="I19" s="207">
        <v>0</v>
      </c>
      <c r="J19" s="207">
        <v>0</v>
      </c>
      <c r="K19" s="206">
        <v>0</v>
      </c>
      <c r="L19" s="206">
        <v>0</v>
      </c>
      <c r="M19" s="206">
        <v>0</v>
      </c>
      <c r="N19" s="206">
        <v>0</v>
      </c>
      <c r="O19" s="206">
        <v>0</v>
      </c>
      <c r="P19" s="206">
        <v>0</v>
      </c>
      <c r="Q19" s="196">
        <v>0</v>
      </c>
      <c r="R19" s="207">
        <v>0</v>
      </c>
      <c r="S19" s="196">
        <v>0</v>
      </c>
    </row>
    <row r="20" spans="2:19">
      <c r="B20" s="196" t="s">
        <v>747</v>
      </c>
    </row>
    <row r="21" spans="2:19">
      <c r="B21" s="196" t="s">
        <v>698</v>
      </c>
      <c r="C21" s="196">
        <v>1</v>
      </c>
      <c r="D21" s="196">
        <v>1</v>
      </c>
      <c r="E21" s="196">
        <v>1</v>
      </c>
      <c r="F21" s="196">
        <v>2</v>
      </c>
      <c r="G21" s="196">
        <v>2</v>
      </c>
      <c r="H21" s="196">
        <v>2</v>
      </c>
      <c r="I21" s="195">
        <v>1</v>
      </c>
      <c r="J21" s="195">
        <v>2</v>
      </c>
      <c r="K21" s="196">
        <v>3</v>
      </c>
      <c r="L21" s="196">
        <v>4</v>
      </c>
      <c r="M21" s="196">
        <v>3</v>
      </c>
      <c r="N21" s="196">
        <v>4</v>
      </c>
      <c r="O21" s="196">
        <v>1</v>
      </c>
      <c r="P21" s="196">
        <v>1</v>
      </c>
      <c r="Q21" s="196">
        <v>1</v>
      </c>
      <c r="R21" s="196">
        <v>1</v>
      </c>
      <c r="S21" s="196">
        <v>3</v>
      </c>
    </row>
    <row r="22" spans="2:19">
      <c r="B22" s="196" t="s">
        <v>699</v>
      </c>
      <c r="C22" s="196">
        <v>108</v>
      </c>
      <c r="D22" s="196">
        <v>97</v>
      </c>
      <c r="E22" s="196">
        <v>90</v>
      </c>
      <c r="F22" s="196">
        <v>103</v>
      </c>
      <c r="G22" s="196">
        <v>109</v>
      </c>
      <c r="H22" s="196">
        <v>76</v>
      </c>
      <c r="I22" s="195">
        <v>89</v>
      </c>
      <c r="J22" s="195">
        <v>89</v>
      </c>
      <c r="K22" s="196">
        <v>83</v>
      </c>
      <c r="L22" s="196">
        <v>70</v>
      </c>
      <c r="M22" s="196">
        <v>66</v>
      </c>
      <c r="N22" s="196">
        <v>59</v>
      </c>
      <c r="O22" s="196">
        <v>54</v>
      </c>
      <c r="P22" s="196">
        <v>51</v>
      </c>
      <c r="Q22" s="196">
        <v>25</v>
      </c>
      <c r="R22" s="196">
        <v>15</v>
      </c>
      <c r="S22" s="196">
        <v>16</v>
      </c>
    </row>
    <row r="23" spans="2:19">
      <c r="B23" s="196" t="s">
        <v>827</v>
      </c>
      <c r="C23" s="196">
        <v>0</v>
      </c>
      <c r="D23" s="196">
        <v>0</v>
      </c>
      <c r="E23" s="196">
        <v>0</v>
      </c>
      <c r="F23" s="196">
        <v>0</v>
      </c>
      <c r="G23" s="196">
        <v>0</v>
      </c>
      <c r="H23" s="196">
        <v>0</v>
      </c>
      <c r="I23" s="195">
        <v>0</v>
      </c>
      <c r="J23" s="195">
        <v>0</v>
      </c>
      <c r="K23" s="196">
        <v>0</v>
      </c>
      <c r="L23" s="196">
        <v>0</v>
      </c>
      <c r="M23" s="196">
        <v>0</v>
      </c>
      <c r="N23" s="196">
        <v>0</v>
      </c>
      <c r="O23" s="196">
        <v>1</v>
      </c>
      <c r="P23" s="196">
        <v>1</v>
      </c>
      <c r="Q23" s="196">
        <v>1</v>
      </c>
      <c r="R23" s="196">
        <v>1</v>
      </c>
      <c r="S23" s="196">
        <v>0</v>
      </c>
    </row>
    <row r="24" spans="2:19">
      <c r="B24" s="196" t="s">
        <v>739</v>
      </c>
    </row>
    <row r="25" spans="2:19">
      <c r="B25" s="196" t="s">
        <v>107</v>
      </c>
      <c r="C25" s="196">
        <v>32</v>
      </c>
      <c r="D25" s="196">
        <v>47</v>
      </c>
      <c r="E25" s="196">
        <v>37</v>
      </c>
      <c r="F25" s="196">
        <v>28</v>
      </c>
      <c r="G25" s="196">
        <v>19</v>
      </c>
      <c r="H25" s="196">
        <v>24</v>
      </c>
      <c r="I25" s="196">
        <v>9</v>
      </c>
      <c r="J25" s="196">
        <v>8</v>
      </c>
      <c r="K25" s="196">
        <v>20</v>
      </c>
      <c r="L25" s="196">
        <v>18</v>
      </c>
      <c r="M25" s="196">
        <v>15</v>
      </c>
      <c r="N25" s="196">
        <v>14</v>
      </c>
      <c r="O25" s="196">
        <v>9</v>
      </c>
      <c r="P25" s="196">
        <v>11</v>
      </c>
      <c r="Q25" s="196">
        <v>13</v>
      </c>
      <c r="R25" s="196">
        <v>15</v>
      </c>
      <c r="S25" s="196">
        <v>12</v>
      </c>
    </row>
    <row r="26" spans="2:19">
      <c r="B26" s="196" t="s">
        <v>53</v>
      </c>
      <c r="C26" s="196">
        <v>2</v>
      </c>
      <c r="D26" s="196">
        <v>3</v>
      </c>
      <c r="E26" s="196">
        <v>3</v>
      </c>
      <c r="F26" s="196">
        <v>2</v>
      </c>
      <c r="G26" s="196">
        <v>3</v>
      </c>
      <c r="H26" s="196">
        <v>0</v>
      </c>
      <c r="I26" s="196">
        <v>0</v>
      </c>
      <c r="J26" s="196">
        <v>0</v>
      </c>
      <c r="K26" s="196">
        <v>0</v>
      </c>
      <c r="L26" s="196">
        <v>0</v>
      </c>
      <c r="M26" s="196">
        <v>0</v>
      </c>
      <c r="N26" s="196">
        <v>0</v>
      </c>
      <c r="O26" s="196">
        <v>0</v>
      </c>
      <c r="P26" s="196">
        <v>1</v>
      </c>
      <c r="Q26" s="196">
        <v>1</v>
      </c>
      <c r="R26" s="196">
        <v>1</v>
      </c>
      <c r="S26" s="196">
        <v>1</v>
      </c>
    </row>
    <row r="27" spans="2:19">
      <c r="B27" s="196" t="s">
        <v>827</v>
      </c>
      <c r="C27" s="196">
        <v>0</v>
      </c>
      <c r="D27" s="196">
        <v>0</v>
      </c>
      <c r="E27" s="196">
        <v>0</v>
      </c>
      <c r="F27" s="196">
        <v>0</v>
      </c>
      <c r="G27" s="196">
        <v>0</v>
      </c>
      <c r="H27" s="196">
        <v>0</v>
      </c>
      <c r="I27" s="196">
        <v>0</v>
      </c>
      <c r="J27" s="196">
        <v>0</v>
      </c>
      <c r="K27" s="196">
        <v>0</v>
      </c>
      <c r="L27" s="196">
        <v>1</v>
      </c>
      <c r="M27" s="196">
        <v>1</v>
      </c>
      <c r="N27" s="196">
        <v>1</v>
      </c>
      <c r="O27" s="196">
        <v>1</v>
      </c>
      <c r="P27" s="196">
        <v>0</v>
      </c>
      <c r="Q27" s="196">
        <v>0</v>
      </c>
      <c r="R27" s="196">
        <v>0</v>
      </c>
      <c r="S27" s="196">
        <v>0</v>
      </c>
    </row>
    <row r="28" spans="2:19">
      <c r="B28" s="208" t="s">
        <v>737</v>
      </c>
    </row>
    <row r="29" spans="2:19">
      <c r="B29" s="196" t="s">
        <v>698</v>
      </c>
      <c r="C29" s="201">
        <v>9</v>
      </c>
      <c r="D29" s="201">
        <v>12</v>
      </c>
      <c r="E29" s="201">
        <v>14</v>
      </c>
      <c r="F29" s="201">
        <v>18</v>
      </c>
      <c r="G29" s="201">
        <v>13</v>
      </c>
      <c r="H29" s="201">
        <v>12</v>
      </c>
      <c r="I29" s="202">
        <v>8</v>
      </c>
      <c r="J29" s="202">
        <v>7</v>
      </c>
      <c r="K29" s="201">
        <v>14</v>
      </c>
      <c r="L29" s="201">
        <v>16</v>
      </c>
      <c r="M29" s="201">
        <v>13</v>
      </c>
      <c r="N29" s="201">
        <v>3</v>
      </c>
      <c r="O29" s="196">
        <v>5</v>
      </c>
      <c r="P29" s="201">
        <v>2</v>
      </c>
      <c r="Q29" s="196">
        <v>3</v>
      </c>
      <c r="R29" s="201">
        <v>2</v>
      </c>
      <c r="S29" s="196">
        <v>2</v>
      </c>
    </row>
    <row r="30" spans="2:19">
      <c r="B30" s="196" t="s">
        <v>699</v>
      </c>
      <c r="C30" s="201">
        <v>9</v>
      </c>
      <c r="D30" s="201">
        <v>9</v>
      </c>
      <c r="E30" s="201">
        <v>8</v>
      </c>
      <c r="F30" s="201">
        <v>7</v>
      </c>
      <c r="G30" s="201">
        <v>9</v>
      </c>
      <c r="H30" s="201">
        <v>3</v>
      </c>
      <c r="I30" s="202">
        <v>5</v>
      </c>
      <c r="J30" s="202">
        <v>7</v>
      </c>
      <c r="K30" s="201">
        <v>16</v>
      </c>
      <c r="L30" s="201">
        <v>10</v>
      </c>
      <c r="M30" s="201">
        <v>8</v>
      </c>
      <c r="N30" s="201">
        <v>16</v>
      </c>
      <c r="O30" s="201">
        <v>30</v>
      </c>
      <c r="P30" s="201">
        <v>30</v>
      </c>
      <c r="Q30" s="196">
        <v>22</v>
      </c>
      <c r="R30" s="201">
        <v>13</v>
      </c>
      <c r="S30" s="196">
        <v>10</v>
      </c>
    </row>
    <row r="31" spans="2:19">
      <c r="B31" s="196" t="s">
        <v>827</v>
      </c>
      <c r="C31" s="201">
        <v>0</v>
      </c>
      <c r="D31" s="201">
        <v>0</v>
      </c>
      <c r="E31" s="201">
        <v>0</v>
      </c>
      <c r="F31" s="201">
        <v>0</v>
      </c>
      <c r="G31" s="201">
        <v>0</v>
      </c>
      <c r="H31" s="201">
        <v>0</v>
      </c>
      <c r="I31" s="202">
        <v>0</v>
      </c>
      <c r="J31" s="202">
        <v>0</v>
      </c>
      <c r="K31" s="201">
        <v>0</v>
      </c>
      <c r="L31" s="201">
        <v>1</v>
      </c>
      <c r="M31" s="201">
        <v>1</v>
      </c>
      <c r="N31" s="201">
        <v>0</v>
      </c>
      <c r="O31" s="201">
        <v>2</v>
      </c>
      <c r="P31" s="201">
        <v>3</v>
      </c>
      <c r="Q31" s="196">
        <v>3</v>
      </c>
      <c r="R31" s="201">
        <v>3</v>
      </c>
      <c r="S31" s="196">
        <v>2</v>
      </c>
    </row>
    <row r="32" spans="2:19">
      <c r="B32" s="205" t="s">
        <v>1290</v>
      </c>
    </row>
    <row r="33" spans="2:19">
      <c r="B33" s="196" t="s">
        <v>698</v>
      </c>
      <c r="C33" s="206">
        <v>4</v>
      </c>
      <c r="D33" s="206">
        <v>4</v>
      </c>
      <c r="E33" s="206">
        <v>4</v>
      </c>
      <c r="F33" s="206">
        <v>5</v>
      </c>
      <c r="G33" s="206">
        <v>7</v>
      </c>
      <c r="H33" s="206">
        <v>1</v>
      </c>
      <c r="I33" s="207">
        <v>0</v>
      </c>
      <c r="J33" s="207">
        <v>0</v>
      </c>
      <c r="K33" s="206">
        <v>4</v>
      </c>
      <c r="L33" s="206">
        <v>6</v>
      </c>
      <c r="M33" s="206">
        <v>8</v>
      </c>
      <c r="N33" s="206">
        <v>9</v>
      </c>
      <c r="O33" s="206">
        <v>2</v>
      </c>
      <c r="P33" s="206">
        <v>2</v>
      </c>
      <c r="Q33" s="196">
        <v>4</v>
      </c>
      <c r="R33" s="206">
        <v>23</v>
      </c>
      <c r="S33" s="196">
        <v>4</v>
      </c>
    </row>
    <row r="34" spans="2:19">
      <c r="B34" s="205" t="s">
        <v>699</v>
      </c>
      <c r="C34" s="206">
        <v>12</v>
      </c>
      <c r="D34" s="206">
        <v>5</v>
      </c>
      <c r="E34" s="206">
        <v>6</v>
      </c>
      <c r="F34" s="206">
        <v>11</v>
      </c>
      <c r="G34" s="206">
        <v>22</v>
      </c>
      <c r="H34" s="206">
        <v>3</v>
      </c>
      <c r="I34" s="207">
        <v>7</v>
      </c>
      <c r="J34" s="207">
        <v>10</v>
      </c>
      <c r="K34" s="206">
        <v>5</v>
      </c>
      <c r="L34" s="206">
        <v>14</v>
      </c>
      <c r="M34" s="206">
        <v>18</v>
      </c>
      <c r="N34" s="206">
        <v>36</v>
      </c>
      <c r="O34" s="206">
        <v>69</v>
      </c>
      <c r="P34" s="206">
        <v>73</v>
      </c>
      <c r="Q34" s="196">
        <v>70</v>
      </c>
      <c r="R34" s="206">
        <v>60</v>
      </c>
      <c r="S34" s="196">
        <v>18</v>
      </c>
    </row>
    <row r="35" spans="2:19">
      <c r="B35" s="205" t="s">
        <v>827</v>
      </c>
      <c r="C35" s="206">
        <v>0</v>
      </c>
      <c r="D35" s="206">
        <v>0</v>
      </c>
      <c r="E35" s="206">
        <v>0</v>
      </c>
      <c r="F35" s="206">
        <v>1</v>
      </c>
      <c r="G35" s="206">
        <v>0</v>
      </c>
      <c r="H35" s="206">
        <v>0</v>
      </c>
      <c r="I35" s="207">
        <v>0</v>
      </c>
      <c r="J35" s="207">
        <v>0</v>
      </c>
      <c r="K35" s="206">
        <v>0</v>
      </c>
      <c r="L35" s="206">
        <v>1</v>
      </c>
      <c r="M35" s="206">
        <v>2</v>
      </c>
      <c r="N35" s="206">
        <v>1</v>
      </c>
      <c r="O35" s="206">
        <v>1</v>
      </c>
      <c r="P35" s="206">
        <v>1</v>
      </c>
      <c r="Q35" s="196">
        <v>6</v>
      </c>
      <c r="R35" s="206">
        <v>11</v>
      </c>
      <c r="S35" s="196">
        <v>0</v>
      </c>
    </row>
    <row r="36" spans="2:19">
      <c r="B36" s="205" t="s">
        <v>741</v>
      </c>
      <c r="C36" s="206"/>
      <c r="D36" s="206"/>
      <c r="E36" s="206"/>
      <c r="F36" s="206"/>
      <c r="G36" s="206"/>
      <c r="H36" s="206"/>
      <c r="I36" s="207"/>
      <c r="J36" s="207"/>
      <c r="K36" s="206"/>
      <c r="L36" s="206"/>
      <c r="M36" s="206"/>
      <c r="N36" s="206"/>
      <c r="O36" s="206"/>
      <c r="P36" s="206"/>
      <c r="R36" s="206"/>
    </row>
    <row r="37" spans="2:19">
      <c r="B37" s="196" t="s">
        <v>698</v>
      </c>
      <c r="C37" s="206">
        <v>76</v>
      </c>
      <c r="D37" s="206">
        <v>62</v>
      </c>
      <c r="E37" s="206">
        <v>88</v>
      </c>
      <c r="F37" s="206">
        <v>58</v>
      </c>
      <c r="G37" s="206">
        <v>52</v>
      </c>
      <c r="H37" s="207">
        <v>94</v>
      </c>
      <c r="I37" s="207">
        <v>62</v>
      </c>
      <c r="J37" s="206">
        <v>61</v>
      </c>
      <c r="K37" s="206">
        <v>59</v>
      </c>
      <c r="L37" s="206">
        <v>100</v>
      </c>
      <c r="M37" s="206">
        <v>114</v>
      </c>
      <c r="N37" s="206">
        <v>112</v>
      </c>
      <c r="O37" s="206">
        <v>53</v>
      </c>
      <c r="P37" s="196">
        <v>49</v>
      </c>
      <c r="Q37" s="206">
        <v>64</v>
      </c>
      <c r="R37" s="196">
        <v>100</v>
      </c>
      <c r="S37" s="196">
        <v>111</v>
      </c>
    </row>
    <row r="38" spans="2:19">
      <c r="B38" s="205" t="s">
        <v>699</v>
      </c>
      <c r="C38" s="206">
        <v>4</v>
      </c>
      <c r="D38" s="206">
        <v>2</v>
      </c>
      <c r="E38" s="206">
        <v>6</v>
      </c>
      <c r="F38" s="206">
        <v>6</v>
      </c>
      <c r="G38" s="206">
        <v>14</v>
      </c>
      <c r="H38" s="207">
        <v>14</v>
      </c>
      <c r="I38" s="207">
        <v>19</v>
      </c>
      <c r="J38" s="206">
        <v>17</v>
      </c>
      <c r="K38" s="206">
        <v>12</v>
      </c>
      <c r="L38" s="206">
        <v>5</v>
      </c>
      <c r="M38" s="206">
        <v>9</v>
      </c>
      <c r="N38" s="206">
        <v>9</v>
      </c>
      <c r="O38" s="206">
        <v>16</v>
      </c>
      <c r="P38" s="196">
        <v>15</v>
      </c>
      <c r="Q38" s="206">
        <v>10</v>
      </c>
      <c r="R38" s="196">
        <v>8</v>
      </c>
      <c r="S38" s="196">
        <v>14</v>
      </c>
    </row>
    <row r="39" spans="2:19">
      <c r="B39" s="205" t="s">
        <v>827</v>
      </c>
      <c r="C39" s="206">
        <v>0</v>
      </c>
      <c r="D39" s="206">
        <v>0</v>
      </c>
      <c r="E39" s="206">
        <v>0</v>
      </c>
      <c r="F39" s="206">
        <v>2</v>
      </c>
      <c r="G39" s="206">
        <v>3</v>
      </c>
      <c r="H39" s="207">
        <v>0</v>
      </c>
      <c r="I39" s="207">
        <v>1</v>
      </c>
      <c r="J39" s="206">
        <v>1</v>
      </c>
      <c r="K39" s="206">
        <v>0</v>
      </c>
      <c r="L39" s="206">
        <v>0</v>
      </c>
      <c r="M39" s="206">
        <v>0</v>
      </c>
      <c r="N39" s="206">
        <v>2</v>
      </c>
      <c r="O39" s="206">
        <v>9</v>
      </c>
      <c r="P39" s="196">
        <v>13</v>
      </c>
      <c r="Q39" s="206">
        <v>13</v>
      </c>
      <c r="R39" s="196">
        <v>7</v>
      </c>
      <c r="S39" s="196">
        <v>2</v>
      </c>
    </row>
    <row r="40" spans="2:19">
      <c r="B40" s="205" t="s">
        <v>745</v>
      </c>
      <c r="C40" s="206"/>
      <c r="D40" s="206"/>
      <c r="E40" s="206"/>
      <c r="F40" s="206"/>
      <c r="G40" s="206"/>
      <c r="H40" s="207"/>
      <c r="I40" s="207"/>
      <c r="J40" s="206"/>
      <c r="K40" s="206"/>
      <c r="L40" s="206"/>
      <c r="M40" s="206"/>
      <c r="N40" s="206"/>
      <c r="O40" s="206"/>
      <c r="Q40" s="206"/>
    </row>
    <row r="41" spans="2:19">
      <c r="B41" s="205" t="s">
        <v>698</v>
      </c>
      <c r="C41" s="206">
        <v>13</v>
      </c>
      <c r="D41" s="206">
        <v>19</v>
      </c>
      <c r="E41" s="206">
        <v>26</v>
      </c>
      <c r="F41" s="206">
        <v>20</v>
      </c>
      <c r="G41" s="206">
        <v>17</v>
      </c>
      <c r="H41" s="207">
        <v>30</v>
      </c>
      <c r="I41" s="207">
        <v>32</v>
      </c>
      <c r="J41" s="206">
        <v>27</v>
      </c>
      <c r="K41" s="206">
        <v>31</v>
      </c>
      <c r="L41" s="206">
        <v>31</v>
      </c>
      <c r="M41" s="206">
        <v>26</v>
      </c>
      <c r="N41" s="206">
        <v>28</v>
      </c>
      <c r="O41" s="206">
        <v>14</v>
      </c>
      <c r="P41" s="196">
        <v>14</v>
      </c>
      <c r="Q41" s="206">
        <v>14</v>
      </c>
      <c r="R41" s="196">
        <v>18</v>
      </c>
      <c r="S41" s="196">
        <v>16</v>
      </c>
    </row>
    <row r="42" spans="2:19">
      <c r="B42" s="205" t="s">
        <v>699</v>
      </c>
      <c r="C42" s="206">
        <v>33</v>
      </c>
      <c r="D42" s="206">
        <v>27</v>
      </c>
      <c r="E42" s="206">
        <v>25</v>
      </c>
      <c r="F42" s="206">
        <v>27</v>
      </c>
      <c r="G42" s="206">
        <v>29</v>
      </c>
      <c r="H42" s="207">
        <v>27</v>
      </c>
      <c r="I42" s="207">
        <v>23</v>
      </c>
      <c r="J42" s="206">
        <v>22</v>
      </c>
      <c r="K42" s="206">
        <v>13</v>
      </c>
      <c r="L42" s="206">
        <v>9</v>
      </c>
      <c r="M42" s="206">
        <v>14</v>
      </c>
      <c r="N42" s="206">
        <v>13</v>
      </c>
      <c r="O42" s="206">
        <v>29</v>
      </c>
      <c r="P42" s="196">
        <v>32</v>
      </c>
      <c r="Q42" s="206">
        <v>24</v>
      </c>
      <c r="R42" s="196">
        <v>15</v>
      </c>
      <c r="S42" s="196">
        <v>14</v>
      </c>
    </row>
    <row r="43" spans="2:19">
      <c r="B43" s="205" t="s">
        <v>827</v>
      </c>
      <c r="C43" s="206">
        <v>0</v>
      </c>
      <c r="D43" s="206">
        <v>0</v>
      </c>
      <c r="E43" s="206">
        <v>0</v>
      </c>
      <c r="F43" s="206">
        <v>0</v>
      </c>
      <c r="G43" s="206">
        <v>0</v>
      </c>
      <c r="H43" s="207">
        <v>1</v>
      </c>
      <c r="I43" s="207">
        <v>1</v>
      </c>
      <c r="J43" s="206">
        <v>1</v>
      </c>
      <c r="K43" s="206">
        <v>2</v>
      </c>
      <c r="L43" s="206">
        <v>5</v>
      </c>
      <c r="M43" s="206">
        <v>3</v>
      </c>
      <c r="N43" s="206">
        <v>3</v>
      </c>
      <c r="O43" s="206">
        <v>4</v>
      </c>
      <c r="P43" s="196">
        <v>4</v>
      </c>
      <c r="Q43" s="206">
        <v>5</v>
      </c>
      <c r="R43" s="196">
        <v>5</v>
      </c>
      <c r="S43" s="196">
        <v>0</v>
      </c>
    </row>
    <row r="44" spans="2:19">
      <c r="B44" s="205"/>
      <c r="C44" s="206"/>
      <c r="D44" s="206"/>
      <c r="E44" s="206"/>
      <c r="F44" s="206"/>
      <c r="G44" s="206"/>
      <c r="H44" s="206"/>
      <c r="I44" s="207"/>
      <c r="J44" s="207"/>
      <c r="K44" s="206"/>
      <c r="L44" s="206"/>
      <c r="M44" s="206"/>
      <c r="N44" s="206"/>
      <c r="O44" s="206"/>
      <c r="P44" s="206"/>
      <c r="R44" s="206"/>
    </row>
    <row r="46" spans="2:19">
      <c r="B46" s="196" t="s">
        <v>21</v>
      </c>
      <c r="C46" s="196" t="s">
        <v>1526</v>
      </c>
      <c r="I46" s="196"/>
      <c r="J46" s="196"/>
    </row>
    <row r="47" spans="2:19">
      <c r="C47" s="196" t="s">
        <v>1527</v>
      </c>
      <c r="I47" s="196"/>
      <c r="J47" s="196"/>
    </row>
    <row r="48" spans="2:19">
      <c r="C48" s="196" t="s">
        <v>1090</v>
      </c>
      <c r="D48" s="201"/>
      <c r="E48" s="201"/>
      <c r="F48" s="201"/>
      <c r="G48" s="201"/>
      <c r="H48" s="201"/>
      <c r="I48" s="201"/>
      <c r="J48" s="201"/>
      <c r="K48" s="201"/>
      <c r="L48" s="201"/>
      <c r="M48" s="201"/>
      <c r="N48" s="201"/>
      <c r="O48" s="201"/>
      <c r="P48" s="201"/>
      <c r="Q48" s="201"/>
    </row>
  </sheetData>
  <mergeCells count="1">
    <mergeCell ref="A1:I1"/>
  </mergeCells>
  <pageMargins left="0.75" right="0.75" top="1" bottom="1" header="0.5" footer="0.5"/>
  <pageSetup paperSize="9"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4"/>
  </sheetPr>
  <dimension ref="B1:L133"/>
  <sheetViews>
    <sheetView showGridLines="0" topLeftCell="A67" zoomScale="85" zoomScaleNormal="85" workbookViewId="0">
      <selection activeCell="F80" sqref="F80"/>
    </sheetView>
  </sheetViews>
  <sheetFormatPr baseColWidth="10" defaultColWidth="10.59765625" defaultRowHeight="14"/>
  <cols>
    <col min="1" max="1" width="3.19921875" style="896" customWidth="1"/>
    <col min="2" max="2" width="36.3984375" style="896" customWidth="1"/>
    <col min="3" max="6" width="9" style="896" customWidth="1"/>
    <col min="7" max="7" width="2" style="896" customWidth="1"/>
    <col min="8" max="11" width="9" style="896" customWidth="1"/>
    <col min="12" max="16384" width="10.59765625" style="896"/>
  </cols>
  <sheetData>
    <row r="1" spans="2:11">
      <c r="B1" s="896" t="s">
        <v>109</v>
      </c>
    </row>
    <row r="2" spans="2:11" ht="4.5" customHeight="1">
      <c r="B2" s="895"/>
    </row>
    <row r="3" spans="2:11">
      <c r="B3" s="895" t="s">
        <v>2174</v>
      </c>
    </row>
    <row r="4" spans="2:11" ht="3.5" customHeight="1" thickBot="1">
      <c r="B4" s="922"/>
      <c r="C4" s="923"/>
      <c r="D4" s="923"/>
      <c r="E4" s="923"/>
      <c r="F4" s="923"/>
      <c r="G4" s="923"/>
      <c r="H4" s="923"/>
      <c r="I4" s="923"/>
      <c r="J4" s="923"/>
      <c r="K4" s="850"/>
    </row>
    <row r="5" spans="2:11" ht="4.5" customHeight="1">
      <c r="B5" s="895"/>
    </row>
    <row r="6" spans="2:11" s="924" customFormat="1">
      <c r="B6" s="925"/>
      <c r="C6" s="859" t="s">
        <v>142</v>
      </c>
      <c r="D6" s="859"/>
      <c r="E6" s="859"/>
      <c r="F6" s="859"/>
      <c r="H6" s="859" t="s">
        <v>2175</v>
      </c>
      <c r="I6" s="859"/>
      <c r="J6" s="859"/>
      <c r="K6" s="859"/>
    </row>
    <row r="7" spans="2:11" ht="15">
      <c r="C7" s="926" t="s">
        <v>53</v>
      </c>
      <c r="D7" s="927" t="s">
        <v>107</v>
      </c>
      <c r="E7" s="928" t="s">
        <v>2176</v>
      </c>
      <c r="F7" s="928"/>
      <c r="G7" s="929"/>
      <c r="H7" s="926" t="s">
        <v>53</v>
      </c>
      <c r="I7" s="927" t="s">
        <v>107</v>
      </c>
      <c r="J7" s="928" t="s">
        <v>2176</v>
      </c>
      <c r="K7" s="928"/>
    </row>
    <row r="8" spans="2:11" ht="4.5" customHeight="1">
      <c r="B8" s="930"/>
      <c r="C8" s="930"/>
      <c r="D8" s="930"/>
      <c r="E8" s="930"/>
      <c r="F8" s="930"/>
      <c r="G8" s="930"/>
      <c r="H8" s="930"/>
      <c r="I8" s="930"/>
      <c r="J8" s="930"/>
      <c r="K8" s="850"/>
    </row>
    <row r="9" spans="2:11">
      <c r="B9" s="895" t="s">
        <v>736</v>
      </c>
      <c r="C9" s="895">
        <v>141</v>
      </c>
      <c r="D9" s="895">
        <v>76</v>
      </c>
      <c r="E9" s="895">
        <v>25</v>
      </c>
      <c r="F9" s="895"/>
      <c r="G9" s="895"/>
      <c r="H9" s="931">
        <f t="shared" ref="H9:J23" si="0">+C9/C$23</f>
        <v>0.39718309859154932</v>
      </c>
      <c r="I9" s="931">
        <f t="shared" si="0"/>
        <v>0.38383838383838381</v>
      </c>
      <c r="J9" s="931">
        <f t="shared" si="0"/>
        <v>0.40322580645161288</v>
      </c>
      <c r="K9" s="931"/>
    </row>
    <row r="10" spans="2:11">
      <c r="B10" s="896" t="s">
        <v>2177</v>
      </c>
      <c r="C10" s="896">
        <v>10</v>
      </c>
      <c r="D10" s="896">
        <v>22</v>
      </c>
      <c r="E10" s="896">
        <v>2</v>
      </c>
      <c r="H10" s="904">
        <f t="shared" si="0"/>
        <v>2.8169014084507043E-2</v>
      </c>
      <c r="I10" s="904">
        <f t="shared" si="0"/>
        <v>0.1111111111111111</v>
      </c>
      <c r="J10" s="904">
        <f t="shared" si="0"/>
        <v>3.2258064516129031E-2</v>
      </c>
      <c r="K10" s="904"/>
    </row>
    <row r="11" spans="2:11">
      <c r="B11" s="896" t="s">
        <v>2178</v>
      </c>
      <c r="C11" s="896">
        <v>18</v>
      </c>
      <c r="D11" s="896">
        <v>18</v>
      </c>
      <c r="E11" s="896">
        <v>2</v>
      </c>
      <c r="H11" s="904">
        <f t="shared" si="0"/>
        <v>5.0704225352112678E-2</v>
      </c>
      <c r="I11" s="904">
        <f t="shared" si="0"/>
        <v>9.0909090909090912E-2</v>
      </c>
      <c r="J11" s="904">
        <f t="shared" si="0"/>
        <v>3.2258064516129031E-2</v>
      </c>
      <c r="K11" s="904"/>
    </row>
    <row r="12" spans="2:11">
      <c r="B12" s="896" t="s">
        <v>2179</v>
      </c>
      <c r="C12" s="896">
        <v>1</v>
      </c>
      <c r="D12" s="896">
        <v>3</v>
      </c>
      <c r="E12" s="896">
        <v>2</v>
      </c>
      <c r="H12" s="904">
        <f t="shared" si="0"/>
        <v>2.8169014084507044E-3</v>
      </c>
      <c r="I12" s="904">
        <f t="shared" si="0"/>
        <v>1.5151515151515152E-2</v>
      </c>
      <c r="J12" s="904">
        <f t="shared" si="0"/>
        <v>3.2258064516129031E-2</v>
      </c>
      <c r="K12" s="904"/>
    </row>
    <row r="13" spans="2:11">
      <c r="B13" s="896" t="s">
        <v>2180</v>
      </c>
      <c r="C13" s="896">
        <v>22</v>
      </c>
      <c r="D13" s="896">
        <v>3</v>
      </c>
      <c r="E13" s="896">
        <v>3</v>
      </c>
      <c r="H13" s="904">
        <f t="shared" si="0"/>
        <v>6.1971830985915494E-2</v>
      </c>
      <c r="I13" s="904">
        <f t="shared" si="0"/>
        <v>1.5151515151515152E-2</v>
      </c>
      <c r="J13" s="904">
        <f t="shared" si="0"/>
        <v>4.8387096774193547E-2</v>
      </c>
      <c r="K13" s="904"/>
    </row>
    <row r="14" spans="2:11">
      <c r="B14" s="896" t="s">
        <v>2181</v>
      </c>
      <c r="C14" s="896">
        <f>16+25</f>
        <v>41</v>
      </c>
      <c r="D14" s="896">
        <v>0</v>
      </c>
      <c r="E14" s="896">
        <v>3</v>
      </c>
      <c r="H14" s="904">
        <f t="shared" si="0"/>
        <v>0.11549295774647887</v>
      </c>
      <c r="I14" s="904">
        <f t="shared" si="0"/>
        <v>0</v>
      </c>
      <c r="J14" s="904">
        <f t="shared" si="0"/>
        <v>4.8387096774193547E-2</v>
      </c>
      <c r="K14" s="904"/>
    </row>
    <row r="15" spans="2:11">
      <c r="B15" s="896" t="s">
        <v>2182</v>
      </c>
      <c r="C15" s="896">
        <v>32</v>
      </c>
      <c r="D15" s="896">
        <v>6</v>
      </c>
      <c r="E15" s="896">
        <v>9</v>
      </c>
      <c r="H15" s="904">
        <f t="shared" si="0"/>
        <v>9.014084507042254E-2</v>
      </c>
      <c r="I15" s="904">
        <f t="shared" si="0"/>
        <v>3.0303030303030304E-2</v>
      </c>
      <c r="J15" s="904">
        <f t="shared" si="0"/>
        <v>0.14516129032258066</v>
      </c>
      <c r="K15" s="904"/>
    </row>
    <row r="16" spans="2:11">
      <c r="B16" s="895" t="s">
        <v>174</v>
      </c>
      <c r="C16" s="895">
        <v>25</v>
      </c>
      <c r="D16" s="895">
        <v>75</v>
      </c>
      <c r="E16" s="895">
        <v>18</v>
      </c>
      <c r="F16" s="895"/>
      <c r="G16" s="895"/>
      <c r="H16" s="931">
        <f t="shared" si="0"/>
        <v>7.0422535211267609E-2</v>
      </c>
      <c r="I16" s="931">
        <f t="shared" si="0"/>
        <v>0.37878787878787878</v>
      </c>
      <c r="J16" s="931">
        <f t="shared" si="0"/>
        <v>0.29032258064516131</v>
      </c>
      <c r="K16" s="931"/>
    </row>
    <row r="17" spans="2:12">
      <c r="B17" s="895" t="s">
        <v>750</v>
      </c>
      <c r="C17" s="895">
        <v>154</v>
      </c>
      <c r="D17" s="895">
        <v>45</v>
      </c>
      <c r="E17" s="895">
        <v>18</v>
      </c>
      <c r="F17" s="895"/>
      <c r="G17" s="895"/>
      <c r="H17" s="931">
        <f t="shared" si="0"/>
        <v>0.43380281690140843</v>
      </c>
      <c r="I17" s="931">
        <f t="shared" si="0"/>
        <v>0.22727272727272727</v>
      </c>
      <c r="J17" s="931">
        <f t="shared" si="0"/>
        <v>0.29032258064516131</v>
      </c>
      <c r="K17" s="931"/>
    </row>
    <row r="18" spans="2:12">
      <c r="B18" s="896" t="s">
        <v>2183</v>
      </c>
      <c r="C18" s="896">
        <v>70</v>
      </c>
      <c r="D18" s="896">
        <v>4</v>
      </c>
      <c r="E18" s="896">
        <v>4</v>
      </c>
      <c r="H18" s="904">
        <f t="shared" si="0"/>
        <v>0.19718309859154928</v>
      </c>
      <c r="I18" s="904">
        <f t="shared" si="0"/>
        <v>2.0202020202020204E-2</v>
      </c>
      <c r="J18" s="904">
        <f t="shared" si="0"/>
        <v>6.4516129032258063E-2</v>
      </c>
      <c r="K18" s="904"/>
    </row>
    <row r="19" spans="2:12">
      <c r="B19" s="896" t="s">
        <v>2184</v>
      </c>
      <c r="C19" s="896">
        <v>60</v>
      </c>
      <c r="D19" s="896">
        <v>20</v>
      </c>
      <c r="E19" s="896">
        <v>7</v>
      </c>
      <c r="H19" s="904">
        <f t="shared" si="0"/>
        <v>0.16901408450704225</v>
      </c>
      <c r="I19" s="904">
        <f t="shared" si="0"/>
        <v>0.10101010101010101</v>
      </c>
      <c r="J19" s="904">
        <f t="shared" si="0"/>
        <v>0.11290322580645161</v>
      </c>
      <c r="K19" s="904"/>
    </row>
    <row r="20" spans="2:12">
      <c r="B20" s="896" t="s">
        <v>2185</v>
      </c>
      <c r="C20" s="896">
        <v>24</v>
      </c>
      <c r="D20" s="896">
        <v>14</v>
      </c>
      <c r="E20" s="896">
        <v>5</v>
      </c>
      <c r="H20" s="904">
        <f t="shared" si="0"/>
        <v>6.7605633802816895E-2</v>
      </c>
      <c r="I20" s="904">
        <f t="shared" si="0"/>
        <v>7.0707070707070704E-2</v>
      </c>
      <c r="J20" s="904">
        <f t="shared" si="0"/>
        <v>8.0645161290322578E-2</v>
      </c>
      <c r="K20" s="904"/>
    </row>
    <row r="21" spans="2:12">
      <c r="B21" s="880" t="s">
        <v>747</v>
      </c>
      <c r="C21" s="880">
        <v>35</v>
      </c>
      <c r="D21" s="880">
        <v>2</v>
      </c>
      <c r="E21" s="880">
        <v>1</v>
      </c>
      <c r="F21" s="880"/>
      <c r="G21" s="880"/>
      <c r="H21" s="931">
        <f t="shared" si="0"/>
        <v>9.8591549295774641E-2</v>
      </c>
      <c r="I21" s="931">
        <f t="shared" si="0"/>
        <v>1.0101010101010102E-2</v>
      </c>
      <c r="J21" s="931">
        <f t="shared" si="0"/>
        <v>1.6129032258064516E-2</v>
      </c>
      <c r="K21" s="931"/>
    </row>
    <row r="22" spans="2:12">
      <c r="B22" s="896" t="s">
        <v>2186</v>
      </c>
      <c r="C22" s="867">
        <v>10</v>
      </c>
      <c r="D22" s="867">
        <v>1</v>
      </c>
      <c r="E22" s="867">
        <v>0</v>
      </c>
      <c r="F22" s="867"/>
      <c r="H22" s="904">
        <f t="shared" si="0"/>
        <v>2.8169014084507043E-2</v>
      </c>
      <c r="I22" s="904">
        <f t="shared" si="0"/>
        <v>5.0505050505050509E-3</v>
      </c>
      <c r="J22" s="904">
        <f t="shared" si="0"/>
        <v>0</v>
      </c>
      <c r="K22" s="904"/>
    </row>
    <row r="23" spans="2:12">
      <c r="B23" s="880" t="s">
        <v>16</v>
      </c>
      <c r="C23" s="880">
        <v>355</v>
      </c>
      <c r="D23" s="880">
        <v>198</v>
      </c>
      <c r="E23" s="880">
        <v>62</v>
      </c>
      <c r="F23" s="880"/>
      <c r="G23" s="895"/>
      <c r="H23" s="931">
        <f t="shared" si="0"/>
        <v>1</v>
      </c>
      <c r="I23" s="931">
        <f t="shared" si="0"/>
        <v>1</v>
      </c>
      <c r="J23" s="931">
        <f t="shared" si="0"/>
        <v>1</v>
      </c>
      <c r="K23" s="931"/>
      <c r="L23" s="896">
        <f>SUM(C23:E23)</f>
        <v>615</v>
      </c>
    </row>
    <row r="24" spans="2:12" ht="4.5" customHeight="1">
      <c r="B24" s="930"/>
      <c r="C24" s="930"/>
      <c r="D24" s="930"/>
      <c r="E24" s="930"/>
      <c r="F24" s="930"/>
      <c r="G24" s="930"/>
      <c r="H24" s="930"/>
      <c r="I24" s="930"/>
      <c r="J24" s="930"/>
      <c r="K24" s="850"/>
    </row>
    <row r="26" spans="2:12">
      <c r="C26" s="932"/>
      <c r="D26" s="932"/>
      <c r="E26" s="932"/>
      <c r="F26" s="932"/>
      <c r="G26" s="932"/>
      <c r="H26" s="932"/>
      <c r="I26" s="932"/>
      <c r="J26" s="932"/>
      <c r="K26" s="932"/>
    </row>
    <row r="27" spans="2:12">
      <c r="B27" s="895" t="s">
        <v>2187</v>
      </c>
    </row>
    <row r="28" spans="2:12" s="919" customFormat="1" ht="4.5" customHeight="1" thickBot="1">
      <c r="B28" s="933"/>
      <c r="C28" s="934"/>
      <c r="D28" s="934"/>
      <c r="E28" s="934"/>
      <c r="F28" s="934"/>
      <c r="G28" s="934"/>
      <c r="H28" s="934"/>
      <c r="I28" s="934"/>
      <c r="J28" s="934"/>
      <c r="K28" s="934"/>
    </row>
    <row r="29" spans="2:12" s="919" customFormat="1" ht="4.5" customHeight="1">
      <c r="B29" s="935"/>
    </row>
    <row r="30" spans="2:12" s="919" customFormat="1" ht="13">
      <c r="B30" s="936"/>
      <c r="C30" s="3430" t="s">
        <v>142</v>
      </c>
      <c r="D30" s="3430"/>
      <c r="E30" s="3430"/>
      <c r="F30" s="3430"/>
      <c r="G30" s="937"/>
      <c r="H30" s="3430" t="s">
        <v>2175</v>
      </c>
      <c r="I30" s="3430"/>
      <c r="J30" s="3430"/>
      <c r="K30" s="3430"/>
    </row>
    <row r="31" spans="2:12" s="919" customFormat="1">
      <c r="C31" s="938" t="s">
        <v>698</v>
      </c>
      <c r="D31" s="939" t="s">
        <v>699</v>
      </c>
      <c r="E31" s="940" t="s">
        <v>827</v>
      </c>
      <c r="F31" s="941" t="s">
        <v>101</v>
      </c>
      <c r="G31" s="942"/>
      <c r="H31" s="938" t="s">
        <v>698</v>
      </c>
      <c r="I31" s="939" t="s">
        <v>699</v>
      </c>
      <c r="J31" s="940" t="s">
        <v>827</v>
      </c>
      <c r="K31" s="941" t="s">
        <v>101</v>
      </c>
    </row>
    <row r="32" spans="2:12" s="919" customFormat="1" ht="4.5" customHeight="1">
      <c r="B32" s="943"/>
      <c r="C32" s="943"/>
      <c r="D32" s="943"/>
      <c r="E32" s="943"/>
      <c r="F32" s="943"/>
      <c r="G32" s="944"/>
      <c r="H32" s="943"/>
      <c r="I32" s="943"/>
      <c r="J32" s="943"/>
      <c r="K32" s="943"/>
    </row>
    <row r="33" spans="2:11" s="919" customFormat="1" ht="4.5" customHeight="1">
      <c r="B33" s="944"/>
      <c r="C33" s="944"/>
      <c r="D33" s="944"/>
      <c r="E33" s="944"/>
      <c r="F33" s="944"/>
      <c r="G33" s="944"/>
      <c r="H33" s="944"/>
      <c r="I33" s="944"/>
      <c r="J33" s="944"/>
      <c r="K33" s="944"/>
    </row>
    <row r="34" spans="2:11" s="919" customFormat="1" ht="13">
      <c r="B34" s="935" t="s">
        <v>736</v>
      </c>
      <c r="C34" s="935">
        <v>107</v>
      </c>
      <c r="D34" s="935">
        <v>64</v>
      </c>
      <c r="E34" s="935">
        <v>6</v>
      </c>
      <c r="F34" s="935">
        <v>17</v>
      </c>
      <c r="G34" s="935"/>
      <c r="H34" s="945">
        <f>C34/C$50</f>
        <v>0.32424242424242422</v>
      </c>
      <c r="I34" s="945">
        <f t="shared" ref="I34:K48" si="1">D34/D$50</f>
        <v>0.27586206896551724</v>
      </c>
      <c r="J34" s="945">
        <f>E34/E$50</f>
        <v>0.75</v>
      </c>
      <c r="K34" s="945">
        <f>F34/F$50</f>
        <v>0.30357142857142855</v>
      </c>
    </row>
    <row r="35" spans="2:11" s="919" customFormat="1" ht="13">
      <c r="B35" s="919" t="s">
        <v>2178</v>
      </c>
      <c r="C35" s="919">
        <v>28</v>
      </c>
      <c r="D35" s="919">
        <v>17</v>
      </c>
      <c r="E35" s="919">
        <v>2</v>
      </c>
      <c r="F35" s="919">
        <v>4</v>
      </c>
      <c r="H35" s="946">
        <f t="shared" ref="H35:H48" si="2">C35/C$50</f>
        <v>8.4848484848484854E-2</v>
      </c>
      <c r="I35" s="946">
        <f t="shared" si="1"/>
        <v>7.3275862068965511E-2</v>
      </c>
      <c r="J35" s="946">
        <f t="shared" si="1"/>
        <v>0.25</v>
      </c>
      <c r="K35" s="946">
        <f t="shared" si="1"/>
        <v>7.1428571428571425E-2</v>
      </c>
    </row>
    <row r="36" spans="2:11" s="919" customFormat="1" ht="13">
      <c r="B36" s="919" t="s">
        <v>2177</v>
      </c>
      <c r="C36" s="919">
        <v>28</v>
      </c>
      <c r="D36" s="919">
        <v>9</v>
      </c>
      <c r="E36" s="919">
        <v>0</v>
      </c>
      <c r="F36" s="919">
        <v>1</v>
      </c>
      <c r="H36" s="946">
        <f t="shared" si="2"/>
        <v>8.4848484848484854E-2</v>
      </c>
      <c r="I36" s="946">
        <f t="shared" si="1"/>
        <v>3.8793103448275863E-2</v>
      </c>
      <c r="J36" s="946">
        <f t="shared" si="1"/>
        <v>0</v>
      </c>
      <c r="K36" s="946">
        <f t="shared" si="1"/>
        <v>1.7857142857142856E-2</v>
      </c>
    </row>
    <row r="37" spans="2:11" s="919" customFormat="1" ht="13">
      <c r="B37" s="919" t="s">
        <v>2181</v>
      </c>
      <c r="C37" s="919">
        <v>1</v>
      </c>
      <c r="D37" s="919">
        <v>12</v>
      </c>
      <c r="E37" s="919">
        <v>0</v>
      </c>
      <c r="F37" s="919">
        <v>3</v>
      </c>
      <c r="H37" s="946">
        <f t="shared" si="2"/>
        <v>3.0303030303030303E-3</v>
      </c>
      <c r="I37" s="946">
        <f t="shared" si="1"/>
        <v>5.1724137931034482E-2</v>
      </c>
      <c r="J37" s="946">
        <f t="shared" si="1"/>
        <v>0</v>
      </c>
      <c r="K37" s="946">
        <f t="shared" si="1"/>
        <v>5.3571428571428568E-2</v>
      </c>
    </row>
    <row r="38" spans="2:11" s="919" customFormat="1" ht="13">
      <c r="B38" s="919" t="s">
        <v>2182</v>
      </c>
      <c r="C38" s="919">
        <v>5</v>
      </c>
      <c r="D38" s="919">
        <v>7</v>
      </c>
      <c r="E38" s="919">
        <v>2</v>
      </c>
      <c r="F38" s="919">
        <v>2</v>
      </c>
      <c r="H38" s="946">
        <f t="shared" si="2"/>
        <v>1.5151515151515152E-2</v>
      </c>
      <c r="I38" s="946">
        <f t="shared" si="1"/>
        <v>3.017241379310345E-2</v>
      </c>
      <c r="J38" s="946">
        <f t="shared" si="1"/>
        <v>0.25</v>
      </c>
      <c r="K38" s="946">
        <f t="shared" si="1"/>
        <v>3.5714285714285712E-2</v>
      </c>
    </row>
    <row r="39" spans="2:11" s="919" customFormat="1" ht="13">
      <c r="B39" s="919" t="s">
        <v>2180</v>
      </c>
      <c r="C39" s="919">
        <v>2</v>
      </c>
      <c r="D39" s="919">
        <v>10</v>
      </c>
      <c r="E39" s="919">
        <v>2</v>
      </c>
      <c r="F39" s="919">
        <v>2</v>
      </c>
      <c r="H39" s="946">
        <f t="shared" si="2"/>
        <v>6.0606060606060606E-3</v>
      </c>
      <c r="I39" s="946">
        <f t="shared" si="1"/>
        <v>4.3103448275862072E-2</v>
      </c>
      <c r="J39" s="946">
        <f t="shared" si="1"/>
        <v>0.25</v>
      </c>
      <c r="K39" s="946">
        <f t="shared" si="1"/>
        <v>3.5714285714285712E-2</v>
      </c>
    </row>
    <row r="40" spans="2:11" s="919" customFormat="1" ht="13">
      <c r="B40" s="919" t="s">
        <v>2188</v>
      </c>
      <c r="C40" s="919">
        <v>14</v>
      </c>
      <c r="D40" s="919">
        <v>1</v>
      </c>
      <c r="E40" s="919">
        <v>0</v>
      </c>
      <c r="F40" s="919">
        <v>1</v>
      </c>
      <c r="H40" s="946">
        <f t="shared" si="2"/>
        <v>4.2424242424242427E-2</v>
      </c>
      <c r="I40" s="946">
        <f t="shared" si="1"/>
        <v>4.3103448275862068E-3</v>
      </c>
      <c r="J40" s="946">
        <f t="shared" si="1"/>
        <v>0</v>
      </c>
      <c r="K40" s="946">
        <f t="shared" si="1"/>
        <v>1.7857142857142856E-2</v>
      </c>
    </row>
    <row r="41" spans="2:11" s="919" customFormat="1" ht="13">
      <c r="B41" s="919" t="s">
        <v>2189</v>
      </c>
      <c r="C41" s="919">
        <v>12</v>
      </c>
      <c r="D41" s="919">
        <v>1</v>
      </c>
      <c r="E41" s="919">
        <v>0</v>
      </c>
      <c r="F41" s="919">
        <v>0</v>
      </c>
      <c r="H41" s="946">
        <f t="shared" si="2"/>
        <v>3.6363636363636362E-2</v>
      </c>
      <c r="I41" s="946">
        <f t="shared" si="1"/>
        <v>4.3103448275862068E-3</v>
      </c>
      <c r="J41" s="946">
        <f t="shared" si="1"/>
        <v>0</v>
      </c>
      <c r="K41" s="946">
        <f t="shared" si="1"/>
        <v>0</v>
      </c>
    </row>
    <row r="42" spans="2:11" s="919" customFormat="1" ht="13">
      <c r="B42" s="919" t="s">
        <v>2190</v>
      </c>
      <c r="C42" s="919">
        <v>8</v>
      </c>
      <c r="D42" s="919">
        <v>0</v>
      </c>
      <c r="E42" s="919">
        <v>0</v>
      </c>
      <c r="F42" s="919">
        <v>2</v>
      </c>
      <c r="H42" s="946">
        <f t="shared" si="2"/>
        <v>2.4242424242424242E-2</v>
      </c>
      <c r="I42" s="946">
        <f t="shared" si="1"/>
        <v>0</v>
      </c>
      <c r="J42" s="946">
        <f t="shared" si="1"/>
        <v>0</v>
      </c>
      <c r="K42" s="946">
        <f t="shared" si="1"/>
        <v>3.5714285714285712E-2</v>
      </c>
    </row>
    <row r="43" spans="2:11" s="919" customFormat="1" ht="13">
      <c r="B43" s="935" t="s">
        <v>174</v>
      </c>
      <c r="C43" s="935">
        <v>145</v>
      </c>
      <c r="D43" s="935">
        <v>26</v>
      </c>
      <c r="E43" s="935">
        <v>2</v>
      </c>
      <c r="F43" s="935">
        <v>19</v>
      </c>
      <c r="G43" s="935"/>
      <c r="H43" s="945">
        <f t="shared" si="2"/>
        <v>0.43939393939393939</v>
      </c>
      <c r="I43" s="945">
        <f t="shared" si="1"/>
        <v>0.11206896551724138</v>
      </c>
      <c r="J43" s="945">
        <f t="shared" si="1"/>
        <v>0.25</v>
      </c>
      <c r="K43" s="945">
        <f t="shared" si="1"/>
        <v>0.3392857142857143</v>
      </c>
    </row>
    <row r="44" spans="2:11" s="919" customFormat="1" ht="13">
      <c r="B44" s="935" t="s">
        <v>750</v>
      </c>
      <c r="C44" s="935">
        <v>75</v>
      </c>
      <c r="D44" s="935">
        <v>126</v>
      </c>
      <c r="E44" s="935">
        <v>0</v>
      </c>
      <c r="F44" s="935">
        <v>20</v>
      </c>
      <c r="G44" s="935"/>
      <c r="H44" s="945">
        <f t="shared" si="2"/>
        <v>0.22727272727272727</v>
      </c>
      <c r="I44" s="945">
        <f t="shared" si="1"/>
        <v>0.5431034482758621</v>
      </c>
      <c r="J44" s="945">
        <f t="shared" si="1"/>
        <v>0</v>
      </c>
      <c r="K44" s="945">
        <f t="shared" si="1"/>
        <v>0.35714285714285715</v>
      </c>
    </row>
    <row r="45" spans="2:11" s="919" customFormat="1" ht="13">
      <c r="B45" s="919" t="s">
        <v>2184</v>
      </c>
      <c r="C45" s="919">
        <v>40</v>
      </c>
      <c r="D45" s="919">
        <v>59</v>
      </c>
      <c r="E45" s="919">
        <v>0</v>
      </c>
      <c r="F45" s="919">
        <v>8</v>
      </c>
      <c r="H45" s="946">
        <f t="shared" si="2"/>
        <v>0.12121212121212122</v>
      </c>
      <c r="I45" s="946">
        <f t="shared" si="1"/>
        <v>0.25431034482758619</v>
      </c>
      <c r="J45" s="946">
        <f t="shared" si="1"/>
        <v>0</v>
      </c>
      <c r="K45" s="946">
        <f t="shared" si="1"/>
        <v>0.14285714285714285</v>
      </c>
    </row>
    <row r="46" spans="2:11" s="919" customFormat="1" ht="13">
      <c r="B46" s="919" t="s">
        <v>2185</v>
      </c>
      <c r="C46" s="919">
        <v>16</v>
      </c>
      <c r="D46" s="919">
        <v>14</v>
      </c>
      <c r="E46" s="919">
        <v>0</v>
      </c>
      <c r="F46" s="919">
        <v>4</v>
      </c>
      <c r="H46" s="946">
        <f t="shared" si="2"/>
        <v>4.8484848484848485E-2</v>
      </c>
      <c r="I46" s="946">
        <f t="shared" si="1"/>
        <v>6.0344827586206899E-2</v>
      </c>
      <c r="J46" s="946">
        <f t="shared" si="1"/>
        <v>0</v>
      </c>
      <c r="K46" s="946">
        <f t="shared" si="1"/>
        <v>7.1428571428571425E-2</v>
      </c>
    </row>
    <row r="47" spans="2:11" s="919" customFormat="1" ht="13">
      <c r="B47" s="919" t="s">
        <v>2191</v>
      </c>
      <c r="C47" s="919">
        <v>6</v>
      </c>
      <c r="D47" s="919">
        <v>3</v>
      </c>
      <c r="E47" s="919">
        <v>0</v>
      </c>
      <c r="F47" s="919">
        <v>1</v>
      </c>
      <c r="H47" s="946">
        <f t="shared" si="2"/>
        <v>1.8181818181818181E-2</v>
      </c>
      <c r="I47" s="946">
        <f t="shared" si="1"/>
        <v>1.2931034482758621E-2</v>
      </c>
      <c r="J47" s="946">
        <f t="shared" si="1"/>
        <v>0</v>
      </c>
      <c r="K47" s="946">
        <f t="shared" si="1"/>
        <v>1.7857142857142856E-2</v>
      </c>
    </row>
    <row r="48" spans="2:11" s="919" customFormat="1" ht="13">
      <c r="B48" s="947" t="s">
        <v>747</v>
      </c>
      <c r="C48" s="947">
        <v>3</v>
      </c>
      <c r="D48" s="947">
        <v>16</v>
      </c>
      <c r="E48" s="947">
        <v>0</v>
      </c>
      <c r="F48" s="947">
        <v>0</v>
      </c>
      <c r="G48" s="947"/>
      <c r="H48" s="945">
        <f t="shared" si="2"/>
        <v>9.0909090909090905E-3</v>
      </c>
      <c r="I48" s="945">
        <f t="shared" si="1"/>
        <v>6.8965517241379309E-2</v>
      </c>
      <c r="J48" s="945">
        <f t="shared" si="1"/>
        <v>0</v>
      </c>
      <c r="K48" s="945">
        <f t="shared" si="1"/>
        <v>0</v>
      </c>
    </row>
    <row r="49" spans="2:11" s="919" customFormat="1" ht="4.5" customHeight="1">
      <c r="C49" s="948"/>
      <c r="D49" s="948"/>
      <c r="E49" s="948"/>
      <c r="F49" s="948"/>
      <c r="H49" s="946"/>
      <c r="I49" s="946"/>
      <c r="J49" s="946"/>
      <c r="K49" s="946"/>
    </row>
    <row r="50" spans="2:11" s="919" customFormat="1" ht="13">
      <c r="B50" s="947" t="s">
        <v>16</v>
      </c>
      <c r="C50" s="947">
        <f>C34+C43+C44+C48</f>
        <v>330</v>
      </c>
      <c r="D50" s="947">
        <f>D34+D43+D44+D48</f>
        <v>232</v>
      </c>
      <c r="E50" s="947">
        <f>E34+E43+E44+E48</f>
        <v>8</v>
      </c>
      <c r="F50" s="947">
        <f>F34+F43+F44+F48</f>
        <v>56</v>
      </c>
      <c r="G50" s="935"/>
      <c r="H50" s="945">
        <f>C50/C$50</f>
        <v>1</v>
      </c>
      <c r="I50" s="945">
        <f>D50/D$50</f>
        <v>1</v>
      </c>
      <c r="J50" s="945">
        <f>E50/E$50</f>
        <v>1</v>
      </c>
      <c r="K50" s="945">
        <f>F50/F$50</f>
        <v>1</v>
      </c>
    </row>
    <row r="51" spans="2:11" s="919" customFormat="1" ht="4.5" customHeight="1" thickBot="1">
      <c r="B51" s="934"/>
      <c r="C51" s="934"/>
      <c r="D51" s="934"/>
      <c r="E51" s="934"/>
      <c r="F51" s="934"/>
      <c r="G51" s="934"/>
      <c r="H51" s="934"/>
      <c r="I51" s="934"/>
      <c r="J51" s="934"/>
      <c r="K51" s="934"/>
    </row>
    <row r="52" spans="2:11" s="919" customFormat="1" ht="4.5" customHeight="1"/>
    <row r="53" spans="2:11" s="919" customFormat="1" ht="13">
      <c r="B53" s="949" t="s">
        <v>2192</v>
      </c>
    </row>
    <row r="56" spans="2:11">
      <c r="B56" s="896" t="s">
        <v>2193</v>
      </c>
    </row>
    <row r="58" spans="2:11" ht="20">
      <c r="B58" s="950" t="s">
        <v>2873</v>
      </c>
      <c r="C58" s="951"/>
      <c r="D58" s="951"/>
      <c r="E58" s="951"/>
      <c r="F58" s="951"/>
      <c r="G58" s="951"/>
      <c r="H58" s="951"/>
      <c r="I58" s="951"/>
      <c r="J58" s="951"/>
      <c r="K58" s="951"/>
    </row>
    <row r="59" spans="2:11" s="952" customFormat="1" ht="3" customHeight="1">
      <c r="B59" s="953"/>
      <c r="C59" s="954"/>
      <c r="D59" s="954"/>
      <c r="E59" s="954"/>
      <c r="F59" s="954"/>
      <c r="G59" s="954"/>
      <c r="H59" s="954"/>
      <c r="I59" s="954"/>
      <c r="J59" s="954"/>
      <c r="K59" s="954"/>
    </row>
    <row r="60" spans="2:11">
      <c r="B60" s="955"/>
      <c r="C60" s="2240" t="s">
        <v>698</v>
      </c>
      <c r="D60" s="2241" t="s">
        <v>699</v>
      </c>
      <c r="E60" s="956" t="s">
        <v>101</v>
      </c>
      <c r="F60" s="2242" t="s">
        <v>827</v>
      </c>
      <c r="G60" s="955"/>
      <c r="H60" s="2240" t="s">
        <v>698</v>
      </c>
      <c r="I60" s="2241" t="s">
        <v>699</v>
      </c>
      <c r="J60" s="956" t="s">
        <v>101</v>
      </c>
      <c r="K60" s="2242" t="s">
        <v>827</v>
      </c>
    </row>
    <row r="61" spans="2:11" ht="2.25" customHeight="1">
      <c r="B61" s="955"/>
      <c r="C61" s="957"/>
      <c r="D61" s="957"/>
      <c r="E61" s="958"/>
      <c r="F61" s="957"/>
      <c r="G61" s="955"/>
      <c r="H61" s="957"/>
      <c r="I61" s="957"/>
      <c r="J61" s="958"/>
      <c r="K61" s="957"/>
    </row>
    <row r="62" spans="2:11" s="895" customFormat="1" ht="16">
      <c r="B62" s="959" t="s">
        <v>2195</v>
      </c>
      <c r="C62" s="895">
        <v>55</v>
      </c>
      <c r="D62" s="895">
        <v>50</v>
      </c>
      <c r="E62" s="895">
        <v>7</v>
      </c>
      <c r="F62" s="895">
        <v>4</v>
      </c>
      <c r="H62" s="960">
        <f t="shared" ref="H62:K66" si="3">C62/C$93</f>
        <v>0.17350157728706625</v>
      </c>
      <c r="I62" s="960">
        <f t="shared" si="3"/>
        <v>0.19083969465648856</v>
      </c>
      <c r="J62" s="960">
        <f t="shared" si="3"/>
        <v>0.2</v>
      </c>
      <c r="K62" s="960">
        <f>F62/F$93</f>
        <v>0.33333333333333331</v>
      </c>
    </row>
    <row r="63" spans="2:11" ht="15">
      <c r="B63" s="961" t="s">
        <v>2196</v>
      </c>
      <c r="C63" s="896">
        <v>38</v>
      </c>
      <c r="D63" s="896">
        <v>25</v>
      </c>
      <c r="E63" s="896">
        <v>1</v>
      </c>
      <c r="F63" s="896">
        <v>2</v>
      </c>
      <c r="H63" s="962">
        <f t="shared" si="3"/>
        <v>0.11987381703470032</v>
      </c>
      <c r="I63" s="962">
        <f t="shared" si="3"/>
        <v>9.5419847328244281E-2</v>
      </c>
      <c r="J63" s="962">
        <f t="shared" si="3"/>
        <v>2.8571428571428571E-2</v>
      </c>
      <c r="K63" s="962">
        <f t="shared" si="3"/>
        <v>0.16666666666666666</v>
      </c>
    </row>
    <row r="64" spans="2:11" ht="15">
      <c r="B64" s="961" t="s">
        <v>2197</v>
      </c>
      <c r="C64" s="896">
        <v>6</v>
      </c>
      <c r="D64" s="896">
        <v>20</v>
      </c>
      <c r="E64" s="896">
        <v>3</v>
      </c>
      <c r="F64" s="896">
        <v>2</v>
      </c>
      <c r="H64" s="962">
        <f t="shared" si="3"/>
        <v>1.8927444794952682E-2</v>
      </c>
      <c r="I64" s="962">
        <f t="shared" si="3"/>
        <v>7.6335877862595422E-2</v>
      </c>
      <c r="J64" s="962">
        <f t="shared" si="3"/>
        <v>8.5714285714285715E-2</v>
      </c>
      <c r="K64" s="962">
        <f t="shared" si="3"/>
        <v>0.16666666666666666</v>
      </c>
    </row>
    <row r="65" spans="2:11" ht="15">
      <c r="B65" s="961" t="s">
        <v>2198</v>
      </c>
      <c r="C65" s="896">
        <v>7</v>
      </c>
      <c r="D65" s="896">
        <v>3</v>
      </c>
      <c r="E65" s="896">
        <v>2</v>
      </c>
      <c r="H65" s="962">
        <f t="shared" si="3"/>
        <v>2.2082018927444796E-2</v>
      </c>
      <c r="I65" s="962">
        <f t="shared" si="3"/>
        <v>1.1450381679389313E-2</v>
      </c>
      <c r="J65" s="962">
        <f t="shared" si="3"/>
        <v>5.7142857142857141E-2</v>
      </c>
      <c r="K65" s="962"/>
    </row>
    <row r="66" spans="2:11" ht="15">
      <c r="B66" s="961" t="s">
        <v>2199</v>
      </c>
      <c r="C66" s="896">
        <v>4</v>
      </c>
      <c r="D66" s="896">
        <v>2</v>
      </c>
      <c r="E66" s="896">
        <v>1</v>
      </c>
      <c r="H66" s="962">
        <f t="shared" si="3"/>
        <v>1.2618296529968454E-2</v>
      </c>
      <c r="I66" s="962">
        <f t="shared" si="3"/>
        <v>7.6335877862595417E-3</v>
      </c>
      <c r="J66" s="962">
        <f t="shared" si="3"/>
        <v>2.8571428571428571E-2</v>
      </c>
      <c r="K66" s="962"/>
    </row>
    <row r="67" spans="2:11" ht="6.75" customHeight="1">
      <c r="B67" s="961"/>
      <c r="H67" s="960"/>
      <c r="I67" s="960"/>
      <c r="J67" s="960"/>
      <c r="K67" s="960"/>
    </row>
    <row r="68" spans="2:11" s="895" customFormat="1" ht="16">
      <c r="B68" s="959" t="s">
        <v>2200</v>
      </c>
      <c r="C68" s="895">
        <v>101</v>
      </c>
      <c r="D68" s="895">
        <v>129</v>
      </c>
      <c r="E68" s="895">
        <v>13</v>
      </c>
      <c r="F68" s="895">
        <v>3</v>
      </c>
      <c r="H68" s="960">
        <f t="shared" ref="H68:K72" si="4">C68/C$93</f>
        <v>0.31861198738170349</v>
      </c>
      <c r="I68" s="960">
        <f t="shared" si="4"/>
        <v>0.49236641221374045</v>
      </c>
      <c r="J68" s="960">
        <f t="shared" si="4"/>
        <v>0.37142857142857144</v>
      </c>
      <c r="K68" s="960">
        <f t="shared" si="4"/>
        <v>0.25</v>
      </c>
    </row>
    <row r="69" spans="2:11" ht="15">
      <c r="B69" s="961" t="s">
        <v>2201</v>
      </c>
      <c r="C69" s="896">
        <v>28</v>
      </c>
      <c r="D69" s="896">
        <v>47</v>
      </c>
      <c r="E69" s="896">
        <v>5</v>
      </c>
      <c r="F69" s="896">
        <v>2</v>
      </c>
      <c r="H69" s="962">
        <f t="shared" si="4"/>
        <v>8.8328075709779186E-2</v>
      </c>
      <c r="I69" s="962">
        <f t="shared" si="4"/>
        <v>0.17938931297709923</v>
      </c>
      <c r="J69" s="962">
        <f t="shared" si="4"/>
        <v>0.14285714285714285</v>
      </c>
      <c r="K69" s="962">
        <f t="shared" si="4"/>
        <v>0.16666666666666666</v>
      </c>
    </row>
    <row r="70" spans="2:11" ht="15">
      <c r="B70" s="961" t="s">
        <v>2202</v>
      </c>
      <c r="C70" s="896">
        <v>30</v>
      </c>
      <c r="D70" s="896">
        <v>27</v>
      </c>
      <c r="E70" s="896">
        <v>5</v>
      </c>
      <c r="H70" s="962">
        <f t="shared" si="4"/>
        <v>9.4637223974763401E-2</v>
      </c>
      <c r="I70" s="962">
        <f t="shared" si="4"/>
        <v>0.10305343511450382</v>
      </c>
      <c r="J70" s="962">
        <f t="shared" si="4"/>
        <v>0.14285714285714285</v>
      </c>
      <c r="K70" s="962"/>
    </row>
    <row r="71" spans="2:11" ht="15">
      <c r="B71" s="961" t="s">
        <v>2203</v>
      </c>
      <c r="C71" s="896">
        <v>14</v>
      </c>
      <c r="D71" s="896">
        <v>14</v>
      </c>
      <c r="E71" s="896">
        <v>2</v>
      </c>
      <c r="H71" s="962">
        <f t="shared" si="4"/>
        <v>4.4164037854889593E-2</v>
      </c>
      <c r="I71" s="962">
        <f t="shared" si="4"/>
        <v>5.3435114503816793E-2</v>
      </c>
      <c r="J71" s="962">
        <f t="shared" si="4"/>
        <v>5.7142857142857141E-2</v>
      </c>
      <c r="K71" s="962"/>
    </row>
    <row r="72" spans="2:11" ht="15">
      <c r="B72" s="961" t="s">
        <v>2204</v>
      </c>
      <c r="C72" s="896">
        <v>10</v>
      </c>
      <c r="D72" s="896">
        <v>6</v>
      </c>
      <c r="E72" s="896">
        <v>1</v>
      </c>
      <c r="F72" s="896">
        <v>1</v>
      </c>
      <c r="H72" s="962">
        <f t="shared" si="4"/>
        <v>3.1545741324921134E-2</v>
      </c>
      <c r="I72" s="962">
        <f t="shared" si="4"/>
        <v>2.2900763358778626E-2</v>
      </c>
      <c r="J72" s="962">
        <f t="shared" si="4"/>
        <v>2.8571428571428571E-2</v>
      </c>
      <c r="K72" s="962">
        <f>F72/F$93</f>
        <v>8.3333333333333329E-2</v>
      </c>
    </row>
    <row r="73" spans="2:11" ht="15">
      <c r="B73" s="961" t="s">
        <v>2205</v>
      </c>
      <c r="D73" s="896">
        <v>30</v>
      </c>
      <c r="H73" s="962"/>
      <c r="I73" s="962">
        <f>D73/D$93</f>
        <v>0.11450381679389313</v>
      </c>
      <c r="J73" s="962"/>
      <c r="K73" s="962"/>
    </row>
    <row r="74" spans="2:11" ht="15">
      <c r="B74" s="961" t="s">
        <v>2206</v>
      </c>
      <c r="C74" s="896">
        <v>19</v>
      </c>
      <c r="D74" s="896">
        <v>5</v>
      </c>
      <c r="H74" s="962">
        <f>C74/C$93</f>
        <v>5.993690851735016E-2</v>
      </c>
      <c r="I74" s="962">
        <f>D74/D$93</f>
        <v>1.9083969465648856E-2</v>
      </c>
      <c r="J74" s="962"/>
      <c r="K74" s="962"/>
    </row>
    <row r="75" spans="2:11" ht="6.75" customHeight="1">
      <c r="B75" s="961"/>
      <c r="H75" s="960"/>
      <c r="I75" s="960"/>
      <c r="J75" s="960"/>
      <c r="K75" s="960"/>
    </row>
    <row r="76" spans="2:11" s="895" customFormat="1" ht="16">
      <c r="B76" s="959" t="s">
        <v>2207</v>
      </c>
      <c r="C76" s="895">
        <v>130</v>
      </c>
      <c r="D76" s="895">
        <v>15</v>
      </c>
      <c r="E76" s="895">
        <v>6</v>
      </c>
      <c r="F76" s="895">
        <v>4</v>
      </c>
      <c r="H76" s="960">
        <f>C76/C$93</f>
        <v>0.41009463722397477</v>
      </c>
      <c r="I76" s="960">
        <f>D76/D$93</f>
        <v>5.7251908396946563E-2</v>
      </c>
      <c r="J76" s="960">
        <f>E76/E$93</f>
        <v>0.17142857142857143</v>
      </c>
      <c r="K76" s="960">
        <f>F76/F$93</f>
        <v>0.33333333333333331</v>
      </c>
    </row>
    <row r="77" spans="2:11" ht="7.5" customHeight="1">
      <c r="B77" s="961"/>
      <c r="H77" s="960"/>
      <c r="I77" s="960"/>
      <c r="J77" s="960"/>
      <c r="K77" s="960"/>
    </row>
    <row r="78" spans="2:11" s="895" customFormat="1" ht="16">
      <c r="B78" s="959" t="s">
        <v>1972</v>
      </c>
      <c r="C78" s="895">
        <v>29</v>
      </c>
      <c r="D78" s="895">
        <v>64</v>
      </c>
      <c r="E78" s="895">
        <v>8</v>
      </c>
      <c r="F78" s="895">
        <v>1</v>
      </c>
      <c r="H78" s="960">
        <f>C78/C$93</f>
        <v>9.1482649842271294E-2</v>
      </c>
      <c r="I78" s="960">
        <f>D78/D$93</f>
        <v>0.24427480916030533</v>
      </c>
      <c r="J78" s="960">
        <f>E78/E$93</f>
        <v>0.22857142857142856</v>
      </c>
      <c r="K78" s="960">
        <f>F78/F$93</f>
        <v>8.3333333333333329E-2</v>
      </c>
    </row>
    <row r="79" spans="2:11" ht="15">
      <c r="B79" s="961" t="s">
        <v>2208</v>
      </c>
      <c r="C79" s="896">
        <v>6</v>
      </c>
      <c r="H79" s="962">
        <f>C79/C$93</f>
        <v>1.8927444794952682E-2</v>
      </c>
      <c r="I79" s="962"/>
      <c r="J79" s="962"/>
      <c r="K79" s="962"/>
    </row>
    <row r="80" spans="2:11" ht="15">
      <c r="B80" s="961" t="s">
        <v>2209</v>
      </c>
      <c r="C80" s="896">
        <v>2</v>
      </c>
      <c r="D80" s="896">
        <v>2</v>
      </c>
      <c r="H80" s="962">
        <f>C80/C$93</f>
        <v>6.3091482649842269E-3</v>
      </c>
      <c r="I80" s="962">
        <f t="shared" ref="I80:I85" si="5">D80/D$93</f>
        <v>7.6335877862595417E-3</v>
      </c>
      <c r="J80" s="962"/>
      <c r="K80" s="962"/>
    </row>
    <row r="81" spans="2:11" ht="15">
      <c r="B81" s="961" t="s">
        <v>2210</v>
      </c>
      <c r="C81" s="896">
        <v>5</v>
      </c>
      <c r="D81" s="896">
        <v>3</v>
      </c>
      <c r="E81" s="896">
        <v>1</v>
      </c>
      <c r="H81" s="962">
        <f>C81/C$93</f>
        <v>1.5772870662460567E-2</v>
      </c>
      <c r="I81" s="962">
        <f t="shared" si="5"/>
        <v>1.1450381679389313E-2</v>
      </c>
      <c r="J81" s="962">
        <f>E81/E$93</f>
        <v>2.8571428571428571E-2</v>
      </c>
      <c r="K81" s="962"/>
    </row>
    <row r="82" spans="2:11" ht="15">
      <c r="B82" s="961" t="s">
        <v>2211</v>
      </c>
      <c r="D82" s="896">
        <v>1</v>
      </c>
      <c r="H82" s="962"/>
      <c r="I82" s="962">
        <f t="shared" si="5"/>
        <v>3.8167938931297708E-3</v>
      </c>
      <c r="J82" s="962"/>
      <c r="K82" s="962"/>
    </row>
    <row r="83" spans="2:11" ht="15">
      <c r="B83" s="961" t="s">
        <v>2212</v>
      </c>
      <c r="C83" s="896">
        <v>2</v>
      </c>
      <c r="D83" s="896">
        <v>7</v>
      </c>
      <c r="H83" s="962">
        <f>C83/C$93</f>
        <v>6.3091482649842269E-3</v>
      </c>
      <c r="I83" s="962">
        <f t="shared" si="5"/>
        <v>2.6717557251908396E-2</v>
      </c>
      <c r="J83" s="962"/>
      <c r="K83" s="962"/>
    </row>
    <row r="84" spans="2:11" ht="15">
      <c r="B84" s="961" t="s">
        <v>12</v>
      </c>
      <c r="D84" s="896">
        <v>4</v>
      </c>
      <c r="E84" s="896">
        <v>2</v>
      </c>
      <c r="F84" s="896">
        <v>1</v>
      </c>
      <c r="H84" s="962"/>
      <c r="I84" s="962">
        <f t="shared" si="5"/>
        <v>1.5267175572519083E-2</v>
      </c>
      <c r="J84" s="962">
        <f>E84/E$93</f>
        <v>5.7142857142857141E-2</v>
      </c>
      <c r="K84" s="962">
        <f>F84/F$93</f>
        <v>8.3333333333333329E-2</v>
      </c>
    </row>
    <row r="85" spans="2:11" ht="15">
      <c r="B85" s="961" t="s">
        <v>2213</v>
      </c>
      <c r="C85" s="896">
        <v>6</v>
      </c>
      <c r="D85" s="896">
        <v>8</v>
      </c>
      <c r="E85" s="896">
        <v>2</v>
      </c>
      <c r="H85" s="962">
        <f>C85/C$93</f>
        <v>1.8927444794952682E-2</v>
      </c>
      <c r="I85" s="962">
        <f t="shared" si="5"/>
        <v>3.0534351145038167E-2</v>
      </c>
      <c r="J85" s="962">
        <f>E85/E$93</f>
        <v>5.7142857142857141E-2</v>
      </c>
      <c r="K85" s="962"/>
    </row>
    <row r="86" spans="2:11" ht="15">
      <c r="B86" s="961" t="s">
        <v>2214</v>
      </c>
      <c r="C86" s="896">
        <v>2</v>
      </c>
      <c r="E86" s="896">
        <v>1</v>
      </c>
      <c r="H86" s="962">
        <f>C86/C$93</f>
        <v>6.3091482649842269E-3</v>
      </c>
      <c r="I86" s="962"/>
      <c r="J86" s="962">
        <f>E86/E$93</f>
        <v>2.8571428571428571E-2</v>
      </c>
      <c r="K86" s="962"/>
    </row>
    <row r="87" spans="2:11" ht="15">
      <c r="B87" s="961" t="s">
        <v>2215</v>
      </c>
      <c r="D87" s="896">
        <v>5</v>
      </c>
      <c r="H87" s="962"/>
      <c r="I87" s="962">
        <f>D87/D$93</f>
        <v>1.9083969465648856E-2</v>
      </c>
      <c r="J87" s="962"/>
      <c r="K87" s="962"/>
    </row>
    <row r="88" spans="2:11" ht="15">
      <c r="B88" s="961" t="s">
        <v>2216</v>
      </c>
      <c r="C88" s="896">
        <v>5</v>
      </c>
      <c r="D88" s="896">
        <v>32</v>
      </c>
      <c r="E88" s="896">
        <v>2</v>
      </c>
      <c r="H88" s="962">
        <f>C88/C$93</f>
        <v>1.5772870662460567E-2</v>
      </c>
      <c r="I88" s="962">
        <f>D88/D$93</f>
        <v>0.12213740458015267</v>
      </c>
      <c r="J88" s="962">
        <f>E88/E$93</f>
        <v>5.7142857142857141E-2</v>
      </c>
      <c r="K88" s="962"/>
    </row>
    <row r="89" spans="2:11" ht="15">
      <c r="B89" s="961" t="s">
        <v>2217</v>
      </c>
      <c r="C89" s="896">
        <v>1</v>
      </c>
      <c r="D89" s="896">
        <v>2</v>
      </c>
      <c r="H89" s="962">
        <f>C89/C$93</f>
        <v>3.1545741324921135E-3</v>
      </c>
      <c r="I89" s="962">
        <f>D89/D$93</f>
        <v>7.6335877862595417E-3</v>
      </c>
      <c r="J89" s="962"/>
      <c r="K89" s="962"/>
    </row>
    <row r="90" spans="2:11" ht="5.25" customHeight="1">
      <c r="B90" s="961"/>
      <c r="H90" s="962"/>
      <c r="I90" s="962"/>
      <c r="J90" s="962"/>
      <c r="K90" s="962"/>
    </row>
    <row r="91" spans="2:11" s="895" customFormat="1" ht="16">
      <c r="B91" s="959" t="s">
        <v>2218</v>
      </c>
      <c r="C91" s="895">
        <v>2</v>
      </c>
      <c r="D91" s="895">
        <v>4</v>
      </c>
      <c r="E91" s="895">
        <v>1</v>
      </c>
      <c r="H91" s="962">
        <f>C91/C$93</f>
        <v>6.3091482649842269E-3</v>
      </c>
      <c r="I91" s="962">
        <f>D91/D$93</f>
        <v>1.5267175572519083E-2</v>
      </c>
      <c r="J91" s="962">
        <f>E91/E$93</f>
        <v>2.8571428571428571E-2</v>
      </c>
      <c r="K91" s="962"/>
    </row>
    <row r="92" spans="2:11" ht="3.75" customHeight="1">
      <c r="H92" s="904"/>
      <c r="I92" s="904"/>
      <c r="J92" s="904"/>
      <c r="K92" s="904"/>
    </row>
    <row r="93" spans="2:11" s="895" customFormat="1">
      <c r="B93" s="895" t="s">
        <v>16</v>
      </c>
      <c r="C93" s="895">
        <f>C62+C68+C76+C78+C91</f>
        <v>317</v>
      </c>
      <c r="D93" s="895">
        <f>D62+D68+D76+D78+D91</f>
        <v>262</v>
      </c>
      <c r="E93" s="895">
        <f>E62+E68+E76+E78+E91</f>
        <v>35</v>
      </c>
      <c r="F93" s="895">
        <f>F62+F68+F76+F78+F91</f>
        <v>12</v>
      </c>
      <c r="H93" s="931">
        <f>C93/C$93</f>
        <v>1</v>
      </c>
      <c r="I93" s="931">
        <f>D93/D$93</f>
        <v>1</v>
      </c>
      <c r="J93" s="931">
        <f>E93/E$93</f>
        <v>1</v>
      </c>
      <c r="K93" s="931">
        <f>F93/F$93</f>
        <v>1</v>
      </c>
    </row>
    <row r="94" spans="2:11" ht="3.75" customHeight="1">
      <c r="B94" s="955"/>
      <c r="C94" s="955"/>
      <c r="D94" s="955"/>
      <c r="E94" s="955"/>
      <c r="F94" s="955"/>
      <c r="G94" s="955"/>
      <c r="H94" s="955"/>
      <c r="I94" s="955"/>
      <c r="J94" s="955"/>
      <c r="K94" s="955"/>
    </row>
    <row r="95" spans="2:11">
      <c r="B95" s="919" t="s">
        <v>2219</v>
      </c>
    </row>
    <row r="97" spans="2:11" ht="20">
      <c r="B97" s="967" t="s">
        <v>2194</v>
      </c>
      <c r="C97" s="968"/>
      <c r="D97" s="968"/>
      <c r="E97" s="968"/>
      <c r="F97" s="968"/>
      <c r="G97" s="968"/>
      <c r="H97" s="968"/>
      <c r="I97" s="968"/>
      <c r="J97" s="968"/>
      <c r="K97" s="968"/>
    </row>
    <row r="98" spans="2:11" s="952" customFormat="1" ht="3" customHeight="1">
      <c r="B98" s="963"/>
      <c r="C98" s="964"/>
      <c r="D98" s="964"/>
      <c r="E98" s="964"/>
      <c r="F98" s="964"/>
      <c r="G98" s="964"/>
      <c r="H98" s="964"/>
      <c r="I98" s="964"/>
      <c r="J98" s="964"/>
      <c r="K98" s="964"/>
    </row>
    <row r="99" spans="2:11">
      <c r="B99" s="952"/>
      <c r="C99" s="938" t="s">
        <v>698</v>
      </c>
      <c r="D99" s="939" t="s">
        <v>699</v>
      </c>
      <c r="E99" s="956" t="s">
        <v>101</v>
      </c>
      <c r="F99" s="940" t="s">
        <v>827</v>
      </c>
      <c r="G99" s="952"/>
      <c r="H99" s="938" t="s">
        <v>698</v>
      </c>
      <c r="I99" s="939" t="s">
        <v>699</v>
      </c>
      <c r="J99" s="956" t="s">
        <v>101</v>
      </c>
      <c r="K99" s="940" t="s">
        <v>827</v>
      </c>
    </row>
    <row r="100" spans="2:11" ht="2.25" customHeight="1">
      <c r="B100" s="894"/>
      <c r="C100" s="969"/>
      <c r="D100" s="969"/>
      <c r="E100" s="970"/>
      <c r="F100" s="969"/>
      <c r="G100" s="894"/>
      <c r="H100" s="969"/>
      <c r="I100" s="969"/>
      <c r="J100" s="970"/>
      <c r="K100" s="969"/>
    </row>
    <row r="101" spans="2:11" s="895" customFormat="1" ht="16">
      <c r="B101" s="959" t="s">
        <v>2195</v>
      </c>
      <c r="C101" s="895">
        <v>55</v>
      </c>
      <c r="D101" s="895">
        <v>50</v>
      </c>
      <c r="E101" s="895">
        <v>7</v>
      </c>
      <c r="F101" s="895">
        <v>4</v>
      </c>
      <c r="H101" s="960">
        <f t="shared" ref="H101:K103" si="6">C101/C$93</f>
        <v>0.17350157728706625</v>
      </c>
      <c r="I101" s="960">
        <f t="shared" si="6"/>
        <v>0.19083969465648856</v>
      </c>
      <c r="J101" s="960">
        <f t="shared" si="6"/>
        <v>0.2</v>
      </c>
      <c r="K101" s="960">
        <f t="shared" si="6"/>
        <v>0.33333333333333331</v>
      </c>
    </row>
    <row r="102" spans="2:11" ht="15">
      <c r="B102" s="961" t="s">
        <v>2196</v>
      </c>
      <c r="C102" s="896">
        <v>38</v>
      </c>
      <c r="D102" s="896">
        <v>25</v>
      </c>
      <c r="E102" s="896">
        <v>1</v>
      </c>
      <c r="F102" s="896">
        <v>2</v>
      </c>
      <c r="H102" s="962">
        <f t="shared" si="6"/>
        <v>0.11987381703470032</v>
      </c>
      <c r="I102" s="962">
        <f t="shared" si="6"/>
        <v>9.5419847328244281E-2</v>
      </c>
      <c r="J102" s="962">
        <f t="shared" si="6"/>
        <v>2.8571428571428571E-2</v>
      </c>
      <c r="K102" s="962">
        <f t="shared" si="6"/>
        <v>0.16666666666666666</v>
      </c>
    </row>
    <row r="103" spans="2:11" ht="15">
      <c r="B103" s="961" t="s">
        <v>2197</v>
      </c>
      <c r="C103" s="896">
        <v>6</v>
      </c>
      <c r="D103" s="896">
        <v>20</v>
      </c>
      <c r="E103" s="896">
        <v>3</v>
      </c>
      <c r="F103" s="896">
        <v>2</v>
      </c>
      <c r="H103" s="962">
        <f t="shared" si="6"/>
        <v>1.8927444794952682E-2</v>
      </c>
      <c r="I103" s="962">
        <f t="shared" si="6"/>
        <v>7.6335877862595422E-2</v>
      </c>
      <c r="J103" s="962">
        <f t="shared" si="6"/>
        <v>8.5714285714285715E-2</v>
      </c>
      <c r="K103" s="962">
        <f t="shared" si="6"/>
        <v>0.16666666666666666</v>
      </c>
    </row>
    <row r="104" spans="2:11" ht="15">
      <c r="B104" s="961" t="s">
        <v>2198</v>
      </c>
      <c r="C104" s="896">
        <v>7</v>
      </c>
      <c r="D104" s="896">
        <v>3</v>
      </c>
      <c r="E104" s="896">
        <v>2</v>
      </c>
      <c r="H104" s="962">
        <f t="shared" ref="H104:J105" si="7">C104/C$93</f>
        <v>2.2082018927444796E-2</v>
      </c>
      <c r="I104" s="962">
        <f t="shared" si="7"/>
        <v>1.1450381679389313E-2</v>
      </c>
      <c r="J104" s="962">
        <f t="shared" si="7"/>
        <v>5.7142857142857141E-2</v>
      </c>
      <c r="K104" s="962"/>
    </row>
    <row r="105" spans="2:11" ht="15">
      <c r="B105" s="961" t="s">
        <v>2199</v>
      </c>
      <c r="C105" s="896">
        <v>4</v>
      </c>
      <c r="D105" s="896">
        <v>2</v>
      </c>
      <c r="E105" s="896">
        <v>1</v>
      </c>
      <c r="H105" s="962">
        <f t="shared" si="7"/>
        <v>1.2618296529968454E-2</v>
      </c>
      <c r="I105" s="962">
        <f t="shared" si="7"/>
        <v>7.6335877862595417E-3</v>
      </c>
      <c r="J105" s="962">
        <f t="shared" si="7"/>
        <v>2.8571428571428571E-2</v>
      </c>
      <c r="K105" s="962"/>
    </row>
    <row r="106" spans="2:11" ht="6.75" customHeight="1">
      <c r="B106" s="961"/>
      <c r="H106" s="960"/>
      <c r="I106" s="960"/>
      <c r="J106" s="960"/>
      <c r="K106" s="960"/>
    </row>
    <row r="107" spans="2:11" s="895" customFormat="1" ht="16">
      <c r="B107" s="959" t="s">
        <v>2200</v>
      </c>
      <c r="C107" s="895">
        <v>101</v>
      </c>
      <c r="D107" s="895">
        <v>129</v>
      </c>
      <c r="E107" s="895">
        <v>13</v>
      </c>
      <c r="F107" s="895">
        <v>3</v>
      </c>
      <c r="H107" s="960">
        <f t="shared" ref="H107:K108" si="8">C107/C$93</f>
        <v>0.31861198738170349</v>
      </c>
      <c r="I107" s="960">
        <f t="shared" si="8"/>
        <v>0.49236641221374045</v>
      </c>
      <c r="J107" s="960">
        <f t="shared" si="8"/>
        <v>0.37142857142857144</v>
      </c>
      <c r="K107" s="960">
        <f t="shared" si="8"/>
        <v>0.25</v>
      </c>
    </row>
    <row r="108" spans="2:11" ht="15">
      <c r="B108" s="961" t="s">
        <v>2201</v>
      </c>
      <c r="C108" s="896">
        <v>28</v>
      </c>
      <c r="D108" s="896">
        <v>47</v>
      </c>
      <c r="E108" s="896">
        <v>5</v>
      </c>
      <c r="F108" s="896">
        <v>2</v>
      </c>
      <c r="H108" s="962">
        <f t="shared" si="8"/>
        <v>8.8328075709779186E-2</v>
      </c>
      <c r="I108" s="962">
        <f t="shared" si="8"/>
        <v>0.17938931297709923</v>
      </c>
      <c r="J108" s="962">
        <f t="shared" si="8"/>
        <v>0.14285714285714285</v>
      </c>
      <c r="K108" s="962">
        <f t="shared" si="8"/>
        <v>0.16666666666666666</v>
      </c>
    </row>
    <row r="109" spans="2:11" ht="15">
      <c r="B109" s="961" t="s">
        <v>2202</v>
      </c>
      <c r="C109" s="896">
        <v>30</v>
      </c>
      <c r="D109" s="896">
        <v>27</v>
      </c>
      <c r="E109" s="896">
        <v>5</v>
      </c>
      <c r="H109" s="962">
        <f t="shared" ref="H109:J111" si="9">C109/C$93</f>
        <v>9.4637223974763401E-2</v>
      </c>
      <c r="I109" s="962">
        <f t="shared" si="9"/>
        <v>0.10305343511450382</v>
      </c>
      <c r="J109" s="962">
        <f t="shared" si="9"/>
        <v>0.14285714285714285</v>
      </c>
      <c r="K109" s="962"/>
    </row>
    <row r="110" spans="2:11" ht="15">
      <c r="B110" s="961" t="s">
        <v>2203</v>
      </c>
      <c r="C110" s="896">
        <v>14</v>
      </c>
      <c r="D110" s="896">
        <v>14</v>
      </c>
      <c r="E110" s="896">
        <v>2</v>
      </c>
      <c r="H110" s="962">
        <f t="shared" si="9"/>
        <v>4.4164037854889593E-2</v>
      </c>
      <c r="I110" s="962">
        <f t="shared" si="9"/>
        <v>5.3435114503816793E-2</v>
      </c>
      <c r="J110" s="962">
        <f t="shared" si="9"/>
        <v>5.7142857142857141E-2</v>
      </c>
      <c r="K110" s="962"/>
    </row>
    <row r="111" spans="2:11" ht="15">
      <c r="B111" s="961" t="s">
        <v>2204</v>
      </c>
      <c r="C111" s="896">
        <v>10</v>
      </c>
      <c r="D111" s="896">
        <v>6</v>
      </c>
      <c r="E111" s="896">
        <v>1</v>
      </c>
      <c r="F111" s="896">
        <v>1</v>
      </c>
      <c r="H111" s="962">
        <f t="shared" si="9"/>
        <v>3.1545741324921134E-2</v>
      </c>
      <c r="I111" s="962">
        <f t="shared" si="9"/>
        <v>2.2900763358778626E-2</v>
      </c>
      <c r="J111" s="962">
        <f t="shared" si="9"/>
        <v>2.8571428571428571E-2</v>
      </c>
      <c r="K111" s="962">
        <f>F111/F$93</f>
        <v>8.3333333333333329E-2</v>
      </c>
    </row>
    <row r="112" spans="2:11" ht="15">
      <c r="B112" s="961" t="s">
        <v>2205</v>
      </c>
      <c r="D112" s="896">
        <v>30</v>
      </c>
      <c r="H112" s="962"/>
      <c r="I112" s="962">
        <f>D112/D$93</f>
        <v>0.11450381679389313</v>
      </c>
      <c r="J112" s="962"/>
      <c r="K112" s="962"/>
    </row>
    <row r="113" spans="2:11" ht="15">
      <c r="B113" s="961" t="s">
        <v>2206</v>
      </c>
      <c r="C113" s="896">
        <v>19</v>
      </c>
      <c r="D113" s="896">
        <v>5</v>
      </c>
      <c r="H113" s="962">
        <f>C113/C$93</f>
        <v>5.993690851735016E-2</v>
      </c>
      <c r="I113" s="962">
        <f>D113/D$93</f>
        <v>1.9083969465648856E-2</v>
      </c>
      <c r="J113" s="962"/>
      <c r="K113" s="962"/>
    </row>
    <row r="114" spans="2:11" ht="6.75" customHeight="1">
      <c r="B114" s="961"/>
      <c r="H114" s="960"/>
      <c r="I114" s="960"/>
      <c r="J114" s="960"/>
      <c r="K114" s="960"/>
    </row>
    <row r="115" spans="2:11" s="895" customFormat="1" ht="16">
      <c r="B115" s="959" t="s">
        <v>2207</v>
      </c>
      <c r="C115" s="895">
        <v>130</v>
      </c>
      <c r="D115" s="895">
        <v>15</v>
      </c>
      <c r="E115" s="895">
        <v>6</v>
      </c>
      <c r="F115" s="895">
        <v>4</v>
      </c>
      <c r="H115" s="960">
        <f>C115/C$93</f>
        <v>0.41009463722397477</v>
      </c>
      <c r="I115" s="960">
        <f>D115/D$93</f>
        <v>5.7251908396946563E-2</v>
      </c>
      <c r="J115" s="960">
        <f>E115/E$93</f>
        <v>0.17142857142857143</v>
      </c>
      <c r="K115" s="960">
        <f>F115/F$93</f>
        <v>0.33333333333333331</v>
      </c>
    </row>
    <row r="116" spans="2:11" ht="7.5" customHeight="1">
      <c r="B116" s="961"/>
      <c r="H116" s="960"/>
      <c r="I116" s="960"/>
      <c r="J116" s="960"/>
      <c r="K116" s="960"/>
    </row>
    <row r="117" spans="2:11" s="895" customFormat="1" ht="16">
      <c r="B117" s="959" t="s">
        <v>1972</v>
      </c>
      <c r="C117" s="895">
        <v>29</v>
      </c>
      <c r="D117" s="895">
        <v>64</v>
      </c>
      <c r="E117" s="895">
        <v>8</v>
      </c>
      <c r="F117" s="895">
        <v>1</v>
      </c>
      <c r="H117" s="960">
        <f>C117/C$93</f>
        <v>9.1482649842271294E-2</v>
      </c>
      <c r="I117" s="960">
        <f>D117/D$93</f>
        <v>0.24427480916030533</v>
      </c>
      <c r="J117" s="960">
        <f>E117/E$93</f>
        <v>0.22857142857142856</v>
      </c>
      <c r="K117" s="960">
        <f>F117/F$93</f>
        <v>8.3333333333333329E-2</v>
      </c>
    </row>
    <row r="118" spans="2:11" ht="15">
      <c r="B118" s="961" t="s">
        <v>2208</v>
      </c>
      <c r="C118" s="896">
        <v>6</v>
      </c>
      <c r="H118" s="962">
        <f>C118/C$93</f>
        <v>1.8927444794952682E-2</v>
      </c>
      <c r="I118" s="962"/>
      <c r="J118" s="962"/>
      <c r="K118" s="962"/>
    </row>
    <row r="119" spans="2:11" ht="15">
      <c r="B119" s="961" t="s">
        <v>2209</v>
      </c>
      <c r="C119" s="896">
        <v>2</v>
      </c>
      <c r="D119" s="896">
        <v>2</v>
      </c>
      <c r="H119" s="962">
        <f>C119/C$93</f>
        <v>6.3091482649842269E-3</v>
      </c>
      <c r="I119" s="962">
        <f t="shared" ref="I119:I124" si="10">D119/D$93</f>
        <v>7.6335877862595417E-3</v>
      </c>
      <c r="J119" s="962"/>
      <c r="K119" s="962"/>
    </row>
    <row r="120" spans="2:11" ht="15">
      <c r="B120" s="961" t="s">
        <v>2210</v>
      </c>
      <c r="C120" s="896">
        <v>5</v>
      </c>
      <c r="D120" s="896">
        <v>3</v>
      </c>
      <c r="E120" s="896">
        <v>1</v>
      </c>
      <c r="H120" s="962">
        <f>C120/C$93</f>
        <v>1.5772870662460567E-2</v>
      </c>
      <c r="I120" s="962">
        <f t="shared" si="10"/>
        <v>1.1450381679389313E-2</v>
      </c>
      <c r="J120" s="962">
        <f>E120/E$93</f>
        <v>2.8571428571428571E-2</v>
      </c>
      <c r="K120" s="962"/>
    </row>
    <row r="121" spans="2:11" ht="15">
      <c r="B121" s="961" t="s">
        <v>2211</v>
      </c>
      <c r="D121" s="896">
        <v>1</v>
      </c>
      <c r="H121" s="962"/>
      <c r="I121" s="962">
        <f t="shared" si="10"/>
        <v>3.8167938931297708E-3</v>
      </c>
      <c r="J121" s="962"/>
      <c r="K121" s="962"/>
    </row>
    <row r="122" spans="2:11" ht="15">
      <c r="B122" s="961" t="s">
        <v>2212</v>
      </c>
      <c r="C122" s="896">
        <v>2</v>
      </c>
      <c r="D122" s="896">
        <v>7</v>
      </c>
      <c r="H122" s="962">
        <f>C122/C$93</f>
        <v>6.3091482649842269E-3</v>
      </c>
      <c r="I122" s="962">
        <f t="shared" si="10"/>
        <v>2.6717557251908396E-2</v>
      </c>
      <c r="J122" s="962"/>
      <c r="K122" s="962"/>
    </row>
    <row r="123" spans="2:11" ht="15">
      <c r="B123" s="961" t="s">
        <v>12</v>
      </c>
      <c r="D123" s="896">
        <v>4</v>
      </c>
      <c r="E123" s="896">
        <v>2</v>
      </c>
      <c r="F123" s="896">
        <v>1</v>
      </c>
      <c r="H123" s="962"/>
      <c r="I123" s="962">
        <f t="shared" si="10"/>
        <v>1.5267175572519083E-2</v>
      </c>
      <c r="J123" s="962">
        <f>E123/E$93</f>
        <v>5.7142857142857141E-2</v>
      </c>
      <c r="K123" s="962">
        <f>F123/F$93</f>
        <v>8.3333333333333329E-2</v>
      </c>
    </row>
    <row r="124" spans="2:11" ht="15">
      <c r="B124" s="961" t="s">
        <v>2213</v>
      </c>
      <c r="C124" s="896">
        <v>6</v>
      </c>
      <c r="D124" s="896">
        <v>8</v>
      </c>
      <c r="E124" s="896">
        <v>2</v>
      </c>
      <c r="H124" s="962">
        <f>C124/C$93</f>
        <v>1.8927444794952682E-2</v>
      </c>
      <c r="I124" s="962">
        <f t="shared" si="10"/>
        <v>3.0534351145038167E-2</v>
      </c>
      <c r="J124" s="962">
        <f>E124/E$93</f>
        <v>5.7142857142857141E-2</v>
      </c>
      <c r="K124" s="962"/>
    </row>
    <row r="125" spans="2:11" ht="15">
      <c r="B125" s="961" t="s">
        <v>2214</v>
      </c>
      <c r="C125" s="896">
        <v>2</v>
      </c>
      <c r="E125" s="896">
        <v>1</v>
      </c>
      <c r="H125" s="962">
        <f>C125/C$93</f>
        <v>6.3091482649842269E-3</v>
      </c>
      <c r="I125" s="962"/>
      <c r="J125" s="962">
        <f>E125/E$93</f>
        <v>2.8571428571428571E-2</v>
      </c>
      <c r="K125" s="962"/>
    </row>
    <row r="126" spans="2:11" ht="15">
      <c r="B126" s="961" t="s">
        <v>2215</v>
      </c>
      <c r="D126" s="896">
        <v>5</v>
      </c>
      <c r="H126" s="962"/>
      <c r="I126" s="962">
        <f>D126/D$93</f>
        <v>1.9083969465648856E-2</v>
      </c>
      <c r="J126" s="962"/>
      <c r="K126" s="962"/>
    </row>
    <row r="127" spans="2:11" ht="15">
      <c r="B127" s="961" t="s">
        <v>2216</v>
      </c>
      <c r="C127" s="896">
        <v>5</v>
      </c>
      <c r="D127" s="896">
        <v>32</v>
      </c>
      <c r="E127" s="896">
        <v>2</v>
      </c>
      <c r="H127" s="962">
        <f>C127/C$93</f>
        <v>1.5772870662460567E-2</v>
      </c>
      <c r="I127" s="962">
        <f>D127/D$93</f>
        <v>0.12213740458015267</v>
      </c>
      <c r="J127" s="962">
        <f>E127/E$93</f>
        <v>5.7142857142857141E-2</v>
      </c>
      <c r="K127" s="962"/>
    </row>
    <row r="128" spans="2:11" ht="15">
      <c r="B128" s="961" t="s">
        <v>2217</v>
      </c>
      <c r="C128" s="896">
        <v>1</v>
      </c>
      <c r="D128" s="896">
        <v>2</v>
      </c>
      <c r="H128" s="962">
        <f>C128/C$93</f>
        <v>3.1545741324921135E-3</v>
      </c>
      <c r="I128" s="962">
        <f>D128/D$93</f>
        <v>7.6335877862595417E-3</v>
      </c>
      <c r="J128" s="962"/>
      <c r="K128" s="962"/>
    </row>
    <row r="129" spans="2:11" ht="5.25" customHeight="1">
      <c r="B129" s="961"/>
      <c r="H129" s="962"/>
      <c r="I129" s="962"/>
      <c r="J129" s="962"/>
      <c r="K129" s="962"/>
    </row>
    <row r="130" spans="2:11" s="895" customFormat="1" ht="16">
      <c r="B130" s="959" t="s">
        <v>2218</v>
      </c>
      <c r="C130" s="895">
        <v>2</v>
      </c>
      <c r="D130" s="895">
        <v>4</v>
      </c>
      <c r="E130" s="895">
        <v>1</v>
      </c>
      <c r="H130" s="962">
        <f>C130/C$93</f>
        <v>6.3091482649842269E-3</v>
      </c>
      <c r="I130" s="962">
        <f>D130/D$93</f>
        <v>1.5267175572519083E-2</v>
      </c>
      <c r="J130" s="962">
        <f>E130/E$93</f>
        <v>2.8571428571428571E-2</v>
      </c>
      <c r="K130" s="962"/>
    </row>
    <row r="131" spans="2:11" ht="3.75" customHeight="1">
      <c r="H131" s="904"/>
      <c r="I131" s="904"/>
      <c r="J131" s="904"/>
      <c r="K131" s="904"/>
    </row>
    <row r="132" spans="2:11" s="895" customFormat="1">
      <c r="B132" s="965" t="s">
        <v>16</v>
      </c>
      <c r="C132" s="965">
        <f>C101+C107+C115+C117+C130</f>
        <v>317</v>
      </c>
      <c r="D132" s="965">
        <f>D101+D107+D115+D117+D130</f>
        <v>262</v>
      </c>
      <c r="E132" s="965">
        <f>E101+E107+E115+E117+E130</f>
        <v>35</v>
      </c>
      <c r="F132" s="965">
        <f>F101+F107+F115+F117+F130</f>
        <v>12</v>
      </c>
      <c r="G132" s="965"/>
      <c r="H132" s="966">
        <f>C132/C$93</f>
        <v>1</v>
      </c>
      <c r="I132" s="966">
        <f>D132/D$93</f>
        <v>1</v>
      </c>
      <c r="J132" s="966">
        <f>E132/E$93</f>
        <v>1</v>
      </c>
      <c r="K132" s="966">
        <f>F132/F$93</f>
        <v>1</v>
      </c>
    </row>
    <row r="133" spans="2:11" ht="3.75" customHeight="1">
      <c r="B133" s="952"/>
      <c r="C133" s="952"/>
      <c r="D133" s="952"/>
      <c r="E133" s="952"/>
      <c r="F133" s="952"/>
      <c r="G133" s="952"/>
      <c r="H133" s="952"/>
      <c r="I133" s="952"/>
      <c r="J133" s="952"/>
      <c r="K133" s="952"/>
    </row>
  </sheetData>
  <mergeCells count="2">
    <mergeCell ref="C30:F30"/>
    <mergeCell ref="H30:K30"/>
  </mergeCells>
  <pageMargins left="0.7" right="0.7" top="0.75" bottom="0.75" header="0.3" footer="0.3"/>
  <pageSetup paperSize="9"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tabColor theme="4"/>
  </sheetPr>
  <dimension ref="A1:W48"/>
  <sheetViews>
    <sheetView showGridLines="0" zoomScale="70" zoomScaleNormal="70" workbookViewId="0">
      <selection activeCell="A3" sqref="A3:Q29"/>
    </sheetView>
  </sheetViews>
  <sheetFormatPr baseColWidth="10" defaultColWidth="9.3984375" defaultRowHeight="13"/>
  <cols>
    <col min="1" max="1" width="14" style="944" customWidth="1"/>
    <col min="2" max="2" width="5.796875" style="944" customWidth="1"/>
    <col min="3" max="3" width="1" style="944" customWidth="1"/>
    <col min="4" max="6" width="7.59765625" style="944" customWidth="1"/>
    <col min="7" max="7" width="8.19921875" style="944" customWidth="1"/>
    <col min="8" max="8" width="7.59765625" style="944" customWidth="1"/>
    <col min="9" max="9" width="10.796875" style="944" customWidth="1"/>
    <col min="10" max="10" width="1.3984375" style="944" customWidth="1"/>
    <col min="11" max="15" width="8.796875" style="944" customWidth="1"/>
    <col min="16" max="16" width="1" style="944" customWidth="1"/>
    <col min="17" max="17" width="9.3984375" style="944" bestFit="1" customWidth="1"/>
    <col min="18" max="16384" width="9.3984375" style="944"/>
  </cols>
  <sheetData>
    <row r="1" spans="1:23">
      <c r="A1" s="944" t="s">
        <v>824</v>
      </c>
    </row>
    <row r="3" spans="1:23" ht="21" customHeight="1">
      <c r="A3" s="2247" t="s">
        <v>2752</v>
      </c>
      <c r="B3" s="1147"/>
      <c r="C3" s="1147"/>
      <c r="D3" s="1147"/>
      <c r="E3" s="1147"/>
      <c r="F3" s="1147"/>
      <c r="G3" s="1147"/>
      <c r="H3" s="1147"/>
      <c r="I3" s="1147"/>
      <c r="J3" s="1147"/>
      <c r="K3" s="1147"/>
      <c r="L3" s="1147"/>
      <c r="M3" s="1147"/>
      <c r="N3" s="1147"/>
      <c r="O3" s="1147"/>
      <c r="P3" s="1147"/>
      <c r="Q3" s="1147"/>
    </row>
    <row r="4" spans="1:23" ht="14" thickBot="1">
      <c r="A4" s="3411" t="s">
        <v>2220</v>
      </c>
      <c r="B4" s="3411"/>
      <c r="C4" s="1120"/>
      <c r="D4" s="3431" t="s">
        <v>692</v>
      </c>
      <c r="E4" s="3431"/>
      <c r="F4" s="3431"/>
      <c r="G4" s="3431"/>
      <c r="H4" s="3431"/>
      <c r="I4" s="3431"/>
      <c r="J4" s="1270"/>
      <c r="K4" s="3409" t="s">
        <v>757</v>
      </c>
      <c r="L4" s="3409"/>
      <c r="M4" s="3409"/>
      <c r="N4" s="3409"/>
      <c r="O4" s="3409"/>
      <c r="P4" s="1271"/>
      <c r="Q4" s="3432" t="s">
        <v>1183</v>
      </c>
    </row>
    <row r="5" spans="1:23" ht="2.25" customHeight="1">
      <c r="A5" s="3411"/>
      <c r="B5" s="3411"/>
      <c r="C5" s="1120"/>
      <c r="D5" s="1270"/>
      <c r="E5" s="1270"/>
      <c r="F5" s="1270"/>
      <c r="G5" s="1270"/>
      <c r="H5" s="1270"/>
      <c r="I5" s="1270"/>
      <c r="J5" s="1270"/>
      <c r="K5" s="1271"/>
      <c r="L5" s="1271"/>
      <c r="M5" s="1271"/>
      <c r="N5" s="1271"/>
      <c r="O5" s="1271"/>
      <c r="P5" s="1271"/>
      <c r="Q5" s="3432"/>
    </row>
    <row r="6" spans="1:23">
      <c r="A6" s="3411"/>
      <c r="B6" s="3411"/>
      <c r="C6" s="1039"/>
      <c r="D6" s="2243" t="s">
        <v>806</v>
      </c>
      <c r="E6" s="2244" t="s">
        <v>807</v>
      </c>
      <c r="F6" s="2245" t="s">
        <v>808</v>
      </c>
      <c r="G6" s="1363" t="s">
        <v>95</v>
      </c>
      <c r="H6" s="2246" t="s">
        <v>12</v>
      </c>
      <c r="I6" s="1039" t="s">
        <v>1168</v>
      </c>
      <c r="J6" s="1039"/>
      <c r="K6" s="2243" t="s">
        <v>806</v>
      </c>
      <c r="L6" s="2244" t="s">
        <v>807</v>
      </c>
      <c r="M6" s="2245" t="s">
        <v>808</v>
      </c>
      <c r="N6" s="1363" t="s">
        <v>95</v>
      </c>
      <c r="O6" s="2246" t="s">
        <v>12</v>
      </c>
      <c r="P6" s="1039"/>
      <c r="Q6" s="3432"/>
    </row>
    <row r="7" spans="1:23" ht="1.5" customHeight="1">
      <c r="A7" s="2219"/>
      <c r="B7" s="2219"/>
      <c r="C7" s="2219"/>
      <c r="D7" s="2219"/>
      <c r="E7" s="2219"/>
      <c r="F7" s="2219"/>
      <c r="G7" s="2219"/>
      <c r="H7" s="2219"/>
      <c r="I7" s="2219"/>
      <c r="J7" s="2219"/>
      <c r="K7" s="2219"/>
      <c r="L7" s="2219"/>
      <c r="M7" s="2219"/>
      <c r="N7" s="2219"/>
      <c r="O7" s="2219"/>
      <c r="P7" s="2219"/>
      <c r="Q7" s="2220"/>
    </row>
    <row r="8" spans="1:23">
      <c r="A8" s="1256" t="s">
        <v>222</v>
      </c>
      <c r="B8" s="1257">
        <v>50</v>
      </c>
      <c r="C8" s="1257"/>
      <c r="D8" s="1258">
        <v>4</v>
      </c>
      <c r="E8" s="1258">
        <v>-1</v>
      </c>
      <c r="F8" s="1043" t="s">
        <v>246</v>
      </c>
      <c r="G8" s="1043" t="s">
        <v>246</v>
      </c>
      <c r="H8" s="1258">
        <v>-3</v>
      </c>
      <c r="I8" s="1041">
        <v>45</v>
      </c>
      <c r="J8" s="1041"/>
      <c r="K8" s="1259">
        <f>SUM('13 by-elections list OLD'!E10:E59)/45</f>
        <v>3.6647101319465629E-2</v>
      </c>
      <c r="L8" s="1259">
        <f>SUM('13 by-elections list OLD'!F10:F59)/45</f>
        <v>-2.335555555555556E-2</v>
      </c>
      <c r="M8" s="1259">
        <f>SUM('13 by-elections list OLD'!G10:G59)/45</f>
        <v>-1.1188189835281732E-2</v>
      </c>
      <c r="N8" s="1259">
        <f>SUM('13 by-elections list OLD'!H10:H59)/45</f>
        <v>1.3911111111111108E-2</v>
      </c>
      <c r="O8" s="1259">
        <f>SUM('13 by-elections list OLD'!I10:I59)/45</f>
        <v>-9.977571524417226E-3</v>
      </c>
      <c r="P8" s="1259"/>
      <c r="Q8" s="1259">
        <f>SUM('13 by-elections list OLD'!K10:K59)/45</f>
        <v>0.67331111111111108</v>
      </c>
      <c r="S8" s="1140"/>
      <c r="T8" s="1140"/>
      <c r="U8" s="1140"/>
      <c r="V8" s="1140"/>
      <c r="W8" s="1140"/>
    </row>
    <row r="9" spans="1:23">
      <c r="A9" s="1256" t="s">
        <v>223</v>
      </c>
      <c r="B9" s="1257">
        <v>14</v>
      </c>
      <c r="C9" s="1257"/>
      <c r="D9" s="1043" t="s">
        <v>246</v>
      </c>
      <c r="E9" s="1043" t="s">
        <v>246</v>
      </c>
      <c r="F9" s="1043" t="s">
        <v>246</v>
      </c>
      <c r="G9" s="1043" t="s">
        <v>246</v>
      </c>
      <c r="H9" s="1043" t="s">
        <v>246</v>
      </c>
      <c r="I9" s="1041">
        <v>14</v>
      </c>
      <c r="J9" s="1041"/>
      <c r="K9" s="1261">
        <f>SUM('13 by-elections list OLD'!E63:E76)/14</f>
        <v>6.8071428571428574E-2</v>
      </c>
      <c r="L9" s="1261">
        <f>SUM('13 by-elections list OLD'!F63:F76)/14</f>
        <v>-2.0285714285714289E-2</v>
      </c>
      <c r="M9" s="1261">
        <f>SUM('13 by-elections list OLD'!G63:G76)/14</f>
        <v>-4.585714285714286E-2</v>
      </c>
      <c r="N9" s="1261">
        <f>SUM('13 by-elections list OLD'!H63:H76)/14</f>
        <v>0</v>
      </c>
      <c r="O9" s="1261">
        <f>SUM('13 by-elections list OLD'!I63:I76)/14</f>
        <v>-1.9285714285714286E-3</v>
      </c>
      <c r="P9" s="1261"/>
      <c r="Q9" s="1259">
        <f>SUM('13 by-elections list OLD'!K63:K76)/14</f>
        <v>0.68764285714285711</v>
      </c>
    </row>
    <row r="10" spans="1:23">
      <c r="A10" s="1256" t="s">
        <v>224</v>
      </c>
      <c r="B10" s="1257">
        <v>44</v>
      </c>
      <c r="C10" s="1257"/>
      <c r="D10" s="1258">
        <v>1</v>
      </c>
      <c r="E10" s="1258">
        <v>-1</v>
      </c>
      <c r="F10" s="1043" t="s">
        <v>246</v>
      </c>
      <c r="G10" s="1043" t="s">
        <v>246</v>
      </c>
      <c r="H10" s="1043" t="s">
        <v>246</v>
      </c>
      <c r="I10" s="1041">
        <v>43</v>
      </c>
      <c r="J10" s="1041"/>
      <c r="K10" s="1261">
        <f>SUM('13 by-elections list OLD'!E80:E123)/44</f>
        <v>-5.5000000000000005E-3</v>
      </c>
      <c r="L10" s="1261">
        <f>SUM('13 by-elections list OLD'!F80:F123)/44</f>
        <v>3.1136363636363627E-3</v>
      </c>
      <c r="M10" s="1261">
        <f>SUM('13 by-elections list OLD'!G80:G123)/44</f>
        <v>-6.0000000000000001E-3</v>
      </c>
      <c r="N10" s="1261">
        <f>SUM('13 by-elections list OLD'!H80:H123)/44</f>
        <v>5.681818181818182E-3</v>
      </c>
      <c r="O10" s="1261">
        <f>SUM('13 by-elections list OLD'!I80:I123)/44</f>
        <v>3.3863636363636361E-3</v>
      </c>
      <c r="P10" s="1261"/>
      <c r="Q10" s="1259">
        <f>SUM('13 by-elections list OLD'!K80:K123)/44</f>
        <v>0.58572727272727265</v>
      </c>
    </row>
    <row r="11" spans="1:23">
      <c r="A11" s="1256" t="s">
        <v>225</v>
      </c>
      <c r="B11" s="1257">
        <v>49</v>
      </c>
      <c r="C11" s="1257"/>
      <c r="D11" s="1258">
        <v>-2</v>
      </c>
      <c r="E11" s="1258">
        <v>4</v>
      </c>
      <c r="F11" s="1043" t="s">
        <v>246</v>
      </c>
      <c r="G11" s="1043" t="s">
        <v>246</v>
      </c>
      <c r="H11" s="1258">
        <v>-2</v>
      </c>
      <c r="I11" s="1041">
        <v>34</v>
      </c>
      <c r="J11" s="1041"/>
      <c r="K11" s="1261">
        <f>SUM('13 by-elections list OLD'!E127:E175)/49</f>
        <v>-8.6904081632653077E-2</v>
      </c>
      <c r="L11" s="1261">
        <f>SUM('13 by-elections list OLD'!F127:F175)/49</f>
        <v>1.291836734693878E-2</v>
      </c>
      <c r="M11" s="1261">
        <f>SUM('13 by-elections list OLD'!G127:G175)/49</f>
        <v>6.2367346938775513E-2</v>
      </c>
      <c r="N11" s="1261">
        <f>SUM('13 by-elections list OLD'!H127:H175)/49</f>
        <v>2.795918367346939E-3</v>
      </c>
      <c r="O11" s="1261">
        <f>SUM('13 by-elections list OLD'!I127:I175)/49</f>
        <v>8.6122448979591842E-3</v>
      </c>
      <c r="P11" s="1261"/>
      <c r="Q11" s="1259">
        <f>SUM('13 by-elections list OLD'!K127:K175)/49</f>
        <v>0.6348571428571429</v>
      </c>
    </row>
    <row r="12" spans="1:23">
      <c r="A12" s="1256" t="s">
        <v>226</v>
      </c>
      <c r="B12" s="1257">
        <v>61</v>
      </c>
      <c r="C12" s="1257"/>
      <c r="D12" s="1258">
        <v>-5</v>
      </c>
      <c r="E12" s="1258">
        <v>4</v>
      </c>
      <c r="F12" s="1258">
        <v>1</v>
      </c>
      <c r="G12" s="1043" t="s">
        <v>246</v>
      </c>
      <c r="H12" s="1043" t="s">
        <v>246</v>
      </c>
      <c r="I12" s="1041">
        <v>54</v>
      </c>
      <c r="J12" s="1041"/>
      <c r="K12" s="1261">
        <f>SUM('13 by-elections list OLD'!E179:E239)/61</f>
        <v>-0.14118032786885246</v>
      </c>
      <c r="L12" s="1261">
        <f>SUM('13 by-elections list OLD'!F179:F239)/61</f>
        <v>-2.0721311475409843E-2</v>
      </c>
      <c r="M12" s="1261">
        <f>SUM('13 by-elections list OLD'!G179:G239)/61</f>
        <v>0.13698360655737701</v>
      </c>
      <c r="N12" s="1261">
        <f>SUM('13 by-elections list OLD'!H179:H239)/61</f>
        <v>1.1540983606557377E-2</v>
      </c>
      <c r="O12" s="1261">
        <f>SUM('13 by-elections list OLD'!I179:I239)/61</f>
        <v>1.5213114754098363E-2</v>
      </c>
      <c r="P12" s="1261"/>
      <c r="Q12" s="1259">
        <f>SUM('13 by-elections list OLD'!K179:K239)/61</f>
        <v>0.62852459016393436</v>
      </c>
    </row>
    <row r="13" spans="1:23">
      <c r="A13" s="1256" t="s">
        <v>227</v>
      </c>
      <c r="B13" s="1257">
        <v>13</v>
      </c>
      <c r="C13" s="1257"/>
      <c r="D13" s="1043" t="s">
        <v>246</v>
      </c>
      <c r="E13" s="1258">
        <v>-1</v>
      </c>
      <c r="F13" s="1258">
        <v>1</v>
      </c>
      <c r="G13" s="1043" t="s">
        <v>246</v>
      </c>
      <c r="H13" s="1043" t="s">
        <v>246</v>
      </c>
      <c r="I13" s="1041">
        <v>11</v>
      </c>
      <c r="J13" s="1041"/>
      <c r="K13" s="1261">
        <f>SUM('13 by-elections list OLD'!E243:E255)/13</f>
        <v>1.3307692307692305E-2</v>
      </c>
      <c r="L13" s="1261">
        <f>SUM('13 by-elections list OLD'!F243:F255)/13</f>
        <v>-1.8307692307692306E-2</v>
      </c>
      <c r="M13" s="1261">
        <f>SUM('13 by-elections list OLD'!G243:G255)/13</f>
        <v>5.2307692307692333E-3</v>
      </c>
      <c r="N13" s="1261">
        <f>SUM('13 by-elections list OLD'!H243:H255)/13</f>
        <v>3.2307692307692311E-3</v>
      </c>
      <c r="O13" s="1261">
        <f>SUM('13 by-elections list OLD'!I243:I255)/13</f>
        <v>4.4615384615384621E-3</v>
      </c>
      <c r="P13" s="1261"/>
      <c r="Q13" s="1259">
        <f>SUM('13 by-elections list OLD'!K243:K255)/13</f>
        <v>0.5823076923076923</v>
      </c>
    </row>
    <row r="14" spans="1:23">
      <c r="A14" s="1256" t="s">
        <v>228</v>
      </c>
      <c r="B14" s="1257">
        <v>37</v>
      </c>
      <c r="C14" s="1257"/>
      <c r="D14" s="1258">
        <v>11</v>
      </c>
      <c r="E14" s="1258">
        <v>-15</v>
      </c>
      <c r="F14" s="1258">
        <v>1</v>
      </c>
      <c r="G14" s="1258">
        <v>2</v>
      </c>
      <c r="H14" s="1258">
        <v>1</v>
      </c>
      <c r="I14" s="1041">
        <v>22</v>
      </c>
      <c r="J14" s="1041"/>
      <c r="K14" s="1261">
        <f>SUM('13 by-elections list OLD'!E259:E295)/37</f>
        <v>6.8189189189189203E-2</v>
      </c>
      <c r="L14" s="1261">
        <f>SUM('13 by-elections list OLD'!F259:F295)/37</f>
        <v>-0.17262162162162165</v>
      </c>
      <c r="M14" s="1261">
        <f>SUM('13 by-elections list OLD'!G259:G295)/37</f>
        <v>3.2540540540540543E-2</v>
      </c>
      <c r="N14" s="1261">
        <f>SUM('13 by-elections list OLD'!H259:H295)/37</f>
        <v>5.486486486486486E-2</v>
      </c>
      <c r="O14" s="1261">
        <f>SUM('13 by-elections list OLD'!I259:I295)/37</f>
        <v>1.7027027027027034E-2</v>
      </c>
      <c r="P14" s="1261"/>
      <c r="Q14" s="1259">
        <f>SUM('13 by-elections list OLD'!K259:K295)/37</f>
        <v>0.62067567567567572</v>
      </c>
    </row>
    <row r="15" spans="1:23">
      <c r="A15" s="1256" t="s">
        <v>1179</v>
      </c>
      <c r="B15" s="1257">
        <v>30</v>
      </c>
      <c r="C15" s="1257"/>
      <c r="D15" s="1258">
        <v>-5</v>
      </c>
      <c r="E15" s="1043" t="s">
        <v>246</v>
      </c>
      <c r="F15" s="1258">
        <v>5</v>
      </c>
      <c r="G15" s="1258">
        <v>1</v>
      </c>
      <c r="H15" s="1258">
        <v>-1</v>
      </c>
      <c r="I15" s="1041">
        <v>20</v>
      </c>
      <c r="J15" s="1041"/>
      <c r="K15" s="1261">
        <f>SUM('13 by-elections list OLD'!E299:E328)/30</f>
        <v>-0.10676666666666666</v>
      </c>
      <c r="L15" s="1261">
        <f>SUM('13 by-elections list OLD'!F299:F328)/30</f>
        <v>-4.1499999999999988E-2</v>
      </c>
      <c r="M15" s="1261">
        <f>SUM('13 by-elections list OLD'!G299:G328)/30</f>
        <v>8.9566666666666669E-2</v>
      </c>
      <c r="N15" s="1261">
        <f>SUM('13 by-elections list OLD'!H299:H328)/30</f>
        <v>3.9766666666666665E-2</v>
      </c>
      <c r="O15" s="1261">
        <f>SUM('13 by-elections list OLD'!I299:I328)/30</f>
        <v>1.8933333333333333E-2</v>
      </c>
      <c r="P15" s="1261"/>
      <c r="Q15" s="1259">
        <f>SUM('13 by-elections list OLD'!K299:K328)/30</f>
        <v>0.56536666666666668</v>
      </c>
    </row>
    <row r="16" spans="1:23">
      <c r="A16" s="1103">
        <v>1974</v>
      </c>
      <c r="B16" s="1257">
        <v>1</v>
      </c>
      <c r="C16" s="1257"/>
      <c r="D16" s="1043" t="s">
        <v>246</v>
      </c>
      <c r="E16" s="1043" t="s">
        <v>246</v>
      </c>
      <c r="F16" s="1043" t="s">
        <v>246</v>
      </c>
      <c r="G16" s="1043" t="s">
        <v>246</v>
      </c>
      <c r="H16" s="1043" t="s">
        <v>246</v>
      </c>
      <c r="I16" s="1041">
        <v>1</v>
      </c>
      <c r="J16" s="1041"/>
      <c r="K16" s="1261">
        <f>SUM('13 by-elections list OLD'!E332)</f>
        <v>-1.0999999999999999E-2</v>
      </c>
      <c r="L16" s="1261">
        <f>SUM('13 by-elections list OLD'!F332)</f>
        <v>-3.4000000000000002E-2</v>
      </c>
      <c r="M16" s="1261">
        <f>SUM('13 by-elections list OLD'!G332)</f>
        <v>-2.3E-2</v>
      </c>
      <c r="N16" s="1262" t="s">
        <v>396</v>
      </c>
      <c r="O16" s="1261">
        <f>SUM('13 by-elections list OLD'!I332)</f>
        <v>6.8000000000000005E-2</v>
      </c>
      <c r="P16" s="1261"/>
      <c r="Q16" s="1259">
        <f>SUM('13 by-elections list OLD'!K332)</f>
        <v>0.25900000000000001</v>
      </c>
    </row>
    <row r="17" spans="1:19">
      <c r="A17" s="1256" t="s">
        <v>1180</v>
      </c>
      <c r="B17" s="1257">
        <v>30</v>
      </c>
      <c r="C17" s="1257"/>
      <c r="D17" s="1258">
        <v>6</v>
      </c>
      <c r="E17" s="1258">
        <v>-6</v>
      </c>
      <c r="F17" s="1258">
        <v>1</v>
      </c>
      <c r="G17" s="1043" t="s">
        <v>246</v>
      </c>
      <c r="H17" s="1258">
        <v>-1</v>
      </c>
      <c r="I17" s="1041">
        <v>23</v>
      </c>
      <c r="J17" s="1041"/>
      <c r="K17" s="1261">
        <f>SUM('13 by-elections list OLD'!E336:E365)/30</f>
        <v>9.8733333333333353E-2</v>
      </c>
      <c r="L17" s="1261">
        <f>SUM('13 by-elections list OLD'!F336:F365)/30</f>
        <v>-9.2700000000000032E-2</v>
      </c>
      <c r="M17" s="1261">
        <f>SUM('13 by-elections list OLD'!G336:G365)/30</f>
        <v>-4.893333333333335E-2</v>
      </c>
      <c r="N17" s="1261">
        <f>SUM('13 by-elections list OLD'!H336:H365)/30</f>
        <v>-2.7666666666666664E-3</v>
      </c>
      <c r="O17" s="1261">
        <f>SUM('13 by-elections list OLD'!I336:I365)/30</f>
        <v>4.5666666666666661E-2</v>
      </c>
      <c r="P17" s="1261"/>
      <c r="Q17" s="1259">
        <f>SUM('13 by-elections list OLD'!K336:K365)/30</f>
        <v>0.57456666666666656</v>
      </c>
    </row>
    <row r="18" spans="1:19">
      <c r="A18" s="1256" t="s">
        <v>229</v>
      </c>
      <c r="B18" s="1257">
        <v>17</v>
      </c>
      <c r="C18" s="1257"/>
      <c r="D18" s="1258">
        <v>-3</v>
      </c>
      <c r="E18" s="1258">
        <v>1</v>
      </c>
      <c r="F18" s="1258">
        <v>4</v>
      </c>
      <c r="G18" s="1043" t="s">
        <v>246</v>
      </c>
      <c r="H18" s="1258">
        <v>-2</v>
      </c>
      <c r="I18" s="1041">
        <v>11</v>
      </c>
      <c r="J18" s="1041"/>
      <c r="K18" s="1261">
        <f>SUM('13 by-elections list OLD'!E369:E385)/17</f>
        <v>-0.11388235294117646</v>
      </c>
      <c r="L18" s="1261">
        <f>SUM('13 by-elections list OLD'!F369:F385)/17</f>
        <v>-0.10188235294117648</v>
      </c>
      <c r="M18" s="1261">
        <f>SUM('13 by-elections list OLD'!G369:G385)/17</f>
        <v>0.18594117647058825</v>
      </c>
      <c r="N18" s="1261">
        <f>SUM('13 by-elections list OLD'!H369:H385)/17</f>
        <v>1.5941176470588233E-2</v>
      </c>
      <c r="O18" s="1261">
        <f>SUM('13 by-elections list OLD'!I369:I385)/17</f>
        <v>1.3882352941176471E-2</v>
      </c>
      <c r="P18" s="1261"/>
      <c r="Q18" s="1259">
        <f>SUM('13 by-elections list OLD'!K369:K385)/17</f>
        <v>0.56735294117647062</v>
      </c>
    </row>
    <row r="19" spans="1:19">
      <c r="A19" s="1256" t="s">
        <v>230</v>
      </c>
      <c r="B19" s="1257">
        <v>16</v>
      </c>
      <c r="C19" s="1257"/>
      <c r="D19" s="1258">
        <v>-4</v>
      </c>
      <c r="E19" s="1043" t="s">
        <v>246</v>
      </c>
      <c r="F19" s="1258">
        <v>4</v>
      </c>
      <c r="G19" s="1043" t="s">
        <v>246</v>
      </c>
      <c r="H19" s="1043" t="s">
        <v>246</v>
      </c>
      <c r="I19" s="1041">
        <v>11</v>
      </c>
      <c r="J19" s="1041"/>
      <c r="K19" s="1261">
        <f>SUM('13 by-elections list OLD'!E389:E404)/16</f>
        <v>-0.13981249999999998</v>
      </c>
      <c r="L19" s="1261">
        <f>SUM('13 by-elections list OLD'!F389:F404)/16</f>
        <v>3.7499999999999986E-3</v>
      </c>
      <c r="M19" s="1261">
        <f>SUM('13 by-elections list OLD'!G389:G404)/16</f>
        <v>0.12343749999999999</v>
      </c>
      <c r="N19" s="1261">
        <f>SUM('13 by-elections list OLD'!H389:H404)/16</f>
        <v>7.4999999999999991E-4</v>
      </c>
      <c r="O19" s="1261">
        <f>SUM('13 by-elections list OLD'!I389:I404)/16</f>
        <v>1.1875000000000002E-2</v>
      </c>
      <c r="P19" s="1261"/>
      <c r="Q19" s="1259">
        <f>SUM('13 by-elections list OLD'!K389:K404)/16</f>
        <v>0.63512500000000016</v>
      </c>
    </row>
    <row r="20" spans="1:19">
      <c r="A20" s="1256" t="s">
        <v>231</v>
      </c>
      <c r="B20" s="1257">
        <v>23</v>
      </c>
      <c r="C20" s="1257"/>
      <c r="D20" s="1258">
        <v>-7</v>
      </c>
      <c r="E20" s="1258">
        <v>3</v>
      </c>
      <c r="F20" s="1258">
        <v>3</v>
      </c>
      <c r="G20" s="1258">
        <v>1</v>
      </c>
      <c r="H20" s="1043" t="s">
        <v>246</v>
      </c>
      <c r="I20" s="1041">
        <v>15</v>
      </c>
      <c r="J20" s="1041"/>
      <c r="K20" s="1261">
        <f>SUM('13 by-elections list OLD'!E408:E430)/23</f>
        <v>-0.10995652173913047</v>
      </c>
      <c r="L20" s="1261">
        <f>SUM('13 by-elections list OLD'!F408:F430)/23</f>
        <v>-7.6086956521739177E-3</v>
      </c>
      <c r="M20" s="1261">
        <f>SUM('13 by-elections list OLD'!G408:G430)/23</f>
        <v>-5.7391304347826199E-3</v>
      </c>
      <c r="N20" s="1261">
        <f>SUM('13 by-elections list OLD'!H408:H430)/23</f>
        <v>5.7304347826086961E-2</v>
      </c>
      <c r="O20" s="1261">
        <f>SUM('13 by-elections list OLD'!I408:I430)/23</f>
        <v>6.5956521739130414E-2</v>
      </c>
      <c r="P20" s="1261"/>
      <c r="Q20" s="1259">
        <f>SUM('13 by-elections list OLD'!K408:K430)/23</f>
        <v>0.57360869565217398</v>
      </c>
    </row>
    <row r="21" spans="1:19">
      <c r="A21" s="1256" t="s">
        <v>232</v>
      </c>
      <c r="B21" s="1257">
        <v>17</v>
      </c>
      <c r="C21" s="1257"/>
      <c r="D21" s="1258">
        <v>-8</v>
      </c>
      <c r="E21" s="1258">
        <v>3</v>
      </c>
      <c r="F21" s="1258">
        <v>4</v>
      </c>
      <c r="G21" s="1258">
        <v>1</v>
      </c>
      <c r="H21" s="1043" t="s">
        <v>246</v>
      </c>
      <c r="I21" s="1041">
        <v>9</v>
      </c>
      <c r="J21" s="1041"/>
      <c r="K21" s="1261">
        <f>SUM('13 by-elections list OLD'!E434:E450)/17</f>
        <v>-0.1985344908077171</v>
      </c>
      <c r="L21" s="1261">
        <f>SUM('13 by-elections list OLD'!F434:F450)/17</f>
        <v>7.3924179902948042E-2</v>
      </c>
      <c r="M21" s="1261">
        <f>SUM('13 by-elections list OLD'!G434:G450)/17</f>
        <v>5.2287888758262499E-2</v>
      </c>
      <c r="N21" s="1261">
        <f>SUM('13 by-elections list OLD'!H434:H450)/17</f>
        <v>2.3588235294117646E-2</v>
      </c>
      <c r="O21" s="1261">
        <f>SUM('13 by-elections list OLD'!I434:I450)/17</f>
        <v>4.8683801702092112E-2</v>
      </c>
      <c r="P21" s="1261"/>
      <c r="Q21" s="1259">
        <f>SUM('13 by-elections list OLD'!K434:K450)/17</f>
        <v>0.52733985948117001</v>
      </c>
    </row>
    <row r="22" spans="1:19">
      <c r="A22" s="3051" t="s">
        <v>2908</v>
      </c>
      <c r="B22" s="1257">
        <v>15</v>
      </c>
      <c r="C22" s="1257"/>
      <c r="D22" s="1258">
        <v>-2</v>
      </c>
      <c r="E22" s="1258">
        <v>1</v>
      </c>
      <c r="F22" s="1258">
        <v>2</v>
      </c>
      <c r="G22" s="1043" t="s">
        <v>246</v>
      </c>
      <c r="H22" s="1258">
        <v>-1</v>
      </c>
      <c r="I22" s="1041">
        <v>14</v>
      </c>
      <c r="J22" s="1041"/>
      <c r="K22" s="1261">
        <f>SUM('13 by-elections list OLD'!E454:E469)/15</f>
        <v>-5.9333333333333347E-3</v>
      </c>
      <c r="L22" s="1261">
        <f>SUM('13 by-elections list OLD'!F454:F469)/15</f>
        <v>-0.11119999999999998</v>
      </c>
      <c r="M22" s="1261">
        <f>SUM('13 by-elections list OLD'!G454:G469)/15</f>
        <v>4.9599999999999998E-2</v>
      </c>
      <c r="N22" s="1261">
        <f>SUM('13 by-elections list OLD'!H454:H469)/15</f>
        <v>3.1199999999999999E-2</v>
      </c>
      <c r="O22" s="1261">
        <f>SUM('13 by-elections list OLD'!I454:I469)/15</f>
        <v>3.6333333333333329E-2</v>
      </c>
      <c r="P22" s="1261"/>
      <c r="Q22" s="1259">
        <f>SUM('13 by-elections list OLD'!K454:K469)/15</f>
        <v>0.42413333333333342</v>
      </c>
    </row>
    <row r="23" spans="1:19">
      <c r="A23" s="1256" t="s">
        <v>1181</v>
      </c>
      <c r="B23" s="1257">
        <v>6</v>
      </c>
      <c r="C23" s="1257"/>
      <c r="D23" s="1043" t="s">
        <v>246</v>
      </c>
      <c r="E23" s="1043">
        <v>-2</v>
      </c>
      <c r="F23" s="1258">
        <v>2</v>
      </c>
      <c r="G23" s="1043" t="s">
        <v>246</v>
      </c>
      <c r="H23" s="1043" t="s">
        <v>246</v>
      </c>
      <c r="I23" s="1041">
        <v>4</v>
      </c>
      <c r="J23" s="1041"/>
      <c r="K23" s="1261">
        <f>SUM('13 by-elections list OLD'!E473:E478)/6</f>
        <v>-4.1500000000000002E-2</v>
      </c>
      <c r="L23" s="1261">
        <f>SUM('13 by-elections list OLD'!F473:F478)/6</f>
        <v>-0.19766666666666666</v>
      </c>
      <c r="M23" s="1261">
        <f>SUM('13 by-elections list OLD'!G473:G478)/6</f>
        <v>0.158</v>
      </c>
      <c r="N23" s="1261">
        <f>SUM('13 by-elections list OLD'!H473:H478)/6</f>
        <v>1.1333333333333334E-2</v>
      </c>
      <c r="O23" s="1261">
        <f>SUM('13 by-elections list OLD'!I473:I478)/6</f>
        <v>6.9833333333333344E-2</v>
      </c>
      <c r="P23" s="1261"/>
      <c r="Q23" s="1259">
        <f>SUM('13 by-elections list OLD'!K473:K478)/6</f>
        <v>0.39316666666666672</v>
      </c>
    </row>
    <row r="24" spans="1:19">
      <c r="A24" s="1256" t="s">
        <v>1182</v>
      </c>
      <c r="B24" s="1257">
        <v>14</v>
      </c>
      <c r="C24" s="1257"/>
      <c r="D24" s="1043" t="s">
        <v>246</v>
      </c>
      <c r="E24" s="1043">
        <v>-1</v>
      </c>
      <c r="F24" s="1258">
        <v>1</v>
      </c>
      <c r="G24" s="1043" t="s">
        <v>246</v>
      </c>
      <c r="H24" s="1043" t="s">
        <v>246</v>
      </c>
      <c r="I24" s="1041">
        <v>9</v>
      </c>
      <c r="J24" s="1041"/>
      <c r="K24" s="1261">
        <v>2.6473005909755605E-2</v>
      </c>
      <c r="L24" s="1261">
        <v>-0.10392307692307692</v>
      </c>
      <c r="M24" s="1261">
        <v>1.9615384615384614E-2</v>
      </c>
      <c r="N24" s="1261">
        <v>4.3461538461538468E-2</v>
      </c>
      <c r="O24" s="1261">
        <v>5.2536035102325233E-2</v>
      </c>
      <c r="P24" s="1261"/>
      <c r="Q24" s="1259">
        <v>0.48807692307692307</v>
      </c>
    </row>
    <row r="25" spans="1:19">
      <c r="A25" s="1256" t="s">
        <v>1528</v>
      </c>
      <c r="B25" s="1263">
        <v>19</v>
      </c>
      <c r="C25" s="1263"/>
      <c r="D25" s="1076">
        <v>-3</v>
      </c>
      <c r="E25" s="1076" t="s">
        <v>246</v>
      </c>
      <c r="F25" s="1076" t="s">
        <v>246</v>
      </c>
      <c r="G25" s="1076" t="s">
        <v>246</v>
      </c>
      <c r="H25" s="1264">
        <v>3</v>
      </c>
      <c r="I25" s="1076">
        <v>13</v>
      </c>
      <c r="J25" s="1076"/>
      <c r="K25" s="1265">
        <v>-6.3974756014585396E-2</v>
      </c>
      <c r="L25" s="1265">
        <v>5.3756201374032524E-2</v>
      </c>
      <c r="M25" s="1265">
        <v>-7.6364185838350446E-2</v>
      </c>
      <c r="N25" s="1265">
        <v>1.0999999999999999E-2</v>
      </c>
      <c r="O25" s="1265">
        <v>0.17901014180050576</v>
      </c>
      <c r="P25" s="1265"/>
      <c r="Q25" s="1266">
        <v>0.3964584875346418</v>
      </c>
    </row>
    <row r="26" spans="1:19">
      <c r="A26" s="1256" t="s">
        <v>2074</v>
      </c>
      <c r="B26" s="1263">
        <v>10</v>
      </c>
      <c r="C26" s="1263"/>
      <c r="D26" s="1076" t="s">
        <v>246</v>
      </c>
      <c r="E26" s="1267" t="s">
        <v>246</v>
      </c>
      <c r="F26" s="1268">
        <v>1</v>
      </c>
      <c r="G26" s="1076" t="s">
        <v>246</v>
      </c>
      <c r="H26" s="1267" t="s">
        <v>246</v>
      </c>
      <c r="I26" s="1076">
        <v>8</v>
      </c>
      <c r="J26" s="1076"/>
      <c r="K26" s="1265">
        <f>SUM('13 by-elections list Visual'!E559:E568)/9</f>
        <v>-4.6555555555555551E-2</v>
      </c>
      <c r="L26" s="1265">
        <f>SUM('13 by-elections list Visual'!F559:F568)/10</f>
        <v>3.9400000000000004E-2</v>
      </c>
      <c r="M26" s="1265">
        <f>SUM('13 by-elections list Visual'!G559:G568)/9</f>
        <v>7.6888911111111125E-2</v>
      </c>
      <c r="N26" s="1265">
        <v>5.7000000000000002E-2</v>
      </c>
      <c r="O26" s="1265">
        <f>SUM('13 by-elections list Visual'!I559:I568)/10</f>
        <v>-6.5899999999999986E-2</v>
      </c>
      <c r="P26" s="1265">
        <f>SUM('13 by-elections list Visual'!J559:J568)/10</f>
        <v>0</v>
      </c>
      <c r="Q26" s="1266">
        <f>SUM('13 by-elections list Visual'!K559:K568)/10</f>
        <v>0.44069999999999998</v>
      </c>
    </row>
    <row r="27" spans="1:19">
      <c r="A27" s="2584" t="s">
        <v>2716</v>
      </c>
      <c r="B27" s="944">
        <v>4</v>
      </c>
      <c r="D27" s="1043">
        <v>-1</v>
      </c>
      <c r="E27" s="1043" t="s">
        <v>246</v>
      </c>
      <c r="F27" s="1268">
        <v>1</v>
      </c>
      <c r="G27" s="1043" t="s">
        <v>246</v>
      </c>
      <c r="H27" s="1043" t="s">
        <v>246</v>
      </c>
      <c r="I27" s="944">
        <v>3</v>
      </c>
      <c r="K27" s="1265">
        <v>0.16300000000000001</v>
      </c>
      <c r="L27" s="1265">
        <v>-0.11600000000000001</v>
      </c>
      <c r="M27" s="1265">
        <v>0.11600000000000001</v>
      </c>
      <c r="N27" s="1269">
        <v>2.5000000000000001E-2</v>
      </c>
      <c r="O27" s="1265">
        <v>0.156</v>
      </c>
      <c r="P27" s="1265"/>
      <c r="Q27" s="1266">
        <v>0.443</v>
      </c>
      <c r="S27" s="2584" t="s">
        <v>2748</v>
      </c>
    </row>
    <row r="28" spans="1:19">
      <c r="A28" s="2584" t="s">
        <v>2751</v>
      </c>
      <c r="B28" s="944">
        <v>4</v>
      </c>
      <c r="D28" s="3377" t="s">
        <v>246</v>
      </c>
      <c r="E28" s="1043">
        <v>-1</v>
      </c>
      <c r="F28" s="1268">
        <v>1</v>
      </c>
      <c r="G28" s="3285" t="s">
        <v>246</v>
      </c>
      <c r="H28" s="3285" t="s">
        <v>246</v>
      </c>
      <c r="I28" s="944">
        <v>3</v>
      </c>
      <c r="K28" s="1265">
        <v>-8.0000000000000002E-3</v>
      </c>
      <c r="L28" s="1265">
        <v>-5.2999999999999999E-2</v>
      </c>
      <c r="M28" s="1265">
        <v>8.1000000000000003E-2</v>
      </c>
      <c r="N28" s="1269">
        <v>1.2999999999999999E-2</v>
      </c>
      <c r="O28" s="1265">
        <v>4.7000000000000002E-3</v>
      </c>
      <c r="P28" s="1265"/>
      <c r="Q28" s="1266">
        <v>0.65800000000000003</v>
      </c>
      <c r="S28" s="2584"/>
    </row>
    <row r="29" spans="1:19" ht="4" customHeight="1">
      <c r="A29" s="1023"/>
      <c r="B29" s="1023"/>
      <c r="C29" s="1023"/>
      <c r="D29" s="1023"/>
      <c r="E29" s="1023"/>
      <c r="F29" s="1023"/>
      <c r="G29" s="1023"/>
      <c r="H29" s="1023"/>
      <c r="I29" s="1023"/>
      <c r="J29" s="1023"/>
      <c r="K29" s="1023"/>
      <c r="L29" s="1023"/>
      <c r="M29" s="1023"/>
      <c r="N29" s="1023"/>
      <c r="O29" s="1023"/>
      <c r="P29" s="1023"/>
      <c r="Q29" s="1023"/>
    </row>
    <row r="33" spans="4:15">
      <c r="D33" s="2584"/>
      <c r="E33" s="2584"/>
      <c r="F33" s="2584"/>
      <c r="G33" s="2584"/>
      <c r="H33" s="2584"/>
    </row>
    <row r="37" spans="4:15">
      <c r="H37" s="2584"/>
    </row>
    <row r="38" spans="4:15">
      <c r="D38" s="1140"/>
      <c r="E38" s="1140"/>
      <c r="F38" s="1140"/>
      <c r="G38" s="1140"/>
      <c r="H38" s="1140"/>
    </row>
    <row r="48" spans="4:15">
      <c r="L48" s="2164"/>
      <c r="M48" s="2164"/>
      <c r="N48" s="2164"/>
      <c r="O48" s="2164"/>
    </row>
  </sheetData>
  <mergeCells count="4">
    <mergeCell ref="K4:O4"/>
    <mergeCell ref="D4:I4"/>
    <mergeCell ref="Q4:Q6"/>
    <mergeCell ref="A4:B6"/>
  </mergeCells>
  <phoneticPr fontId="10" type="noConversion"/>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AC143"/>
  <sheetViews>
    <sheetView showGridLines="0" topLeftCell="D88" zoomScale="70" zoomScaleNormal="70" workbookViewId="0">
      <selection activeCell="N118" sqref="N118"/>
    </sheetView>
  </sheetViews>
  <sheetFormatPr baseColWidth="10" defaultColWidth="9.3984375" defaultRowHeight="12"/>
  <cols>
    <col min="1" max="1" width="9.3984375" style="101"/>
    <col min="2" max="2" width="15.3984375" style="101" customWidth="1"/>
    <col min="3" max="5" width="8.19921875" style="101" customWidth="1"/>
    <col min="6" max="6" width="10.3984375" style="101" customWidth="1"/>
    <col min="7" max="7" width="8.19921875" style="101" customWidth="1"/>
    <col min="8" max="8" width="11.3984375" style="101" bestFit="1" customWidth="1"/>
    <col min="9" max="9" width="9.3984375" style="101" bestFit="1" customWidth="1"/>
    <col min="10" max="14" width="9.3984375" style="101"/>
    <col min="15" max="15" width="9.3984375" style="973"/>
    <col min="16" max="16384" width="9.3984375" style="101"/>
  </cols>
  <sheetData>
    <row r="1" spans="2:21">
      <c r="B1" s="101" t="s">
        <v>824</v>
      </c>
      <c r="G1" s="143"/>
      <c r="H1" s="143"/>
      <c r="O1" s="101"/>
    </row>
    <row r="2" spans="2:21">
      <c r="G2" s="143"/>
      <c r="H2" s="143"/>
      <c r="O2" s="101"/>
    </row>
    <row r="3" spans="2:21" ht="14">
      <c r="B3" s="129" t="s">
        <v>2752</v>
      </c>
      <c r="G3" s="143"/>
      <c r="H3" s="143"/>
      <c r="O3" s="379"/>
      <c r="P3" s="379"/>
      <c r="Q3" s="379"/>
    </row>
    <row r="4" spans="2:21" ht="6" customHeight="1">
      <c r="G4" s="143"/>
      <c r="H4" s="143"/>
      <c r="O4" s="379"/>
      <c r="P4" s="379"/>
      <c r="Q4" s="379"/>
    </row>
    <row r="5" spans="2:21" ht="24" customHeight="1">
      <c r="B5" s="143"/>
      <c r="C5" s="3433" t="s">
        <v>757</v>
      </c>
      <c r="D5" s="3433"/>
      <c r="E5" s="3433"/>
      <c r="F5" s="3433"/>
      <c r="G5" s="3433"/>
      <c r="H5" s="210"/>
      <c r="I5" s="209" t="s">
        <v>1183</v>
      </c>
      <c r="O5" s="379"/>
      <c r="P5" s="379"/>
      <c r="Q5" s="379"/>
      <c r="R5" s="379"/>
      <c r="S5" s="379"/>
      <c r="T5" s="379"/>
      <c r="U5" s="379"/>
    </row>
    <row r="6" spans="2:21">
      <c r="B6" s="143"/>
      <c r="C6" s="103" t="s">
        <v>698</v>
      </c>
      <c r="D6" s="103" t="s">
        <v>699</v>
      </c>
      <c r="E6" s="103" t="s">
        <v>827</v>
      </c>
      <c r="F6" s="103" t="s">
        <v>218</v>
      </c>
      <c r="G6" s="103" t="s">
        <v>12</v>
      </c>
      <c r="H6" s="110"/>
      <c r="I6" s="103"/>
      <c r="O6" s="379"/>
      <c r="P6" s="379"/>
      <c r="Q6" s="379"/>
      <c r="R6" s="379"/>
      <c r="S6" s="379"/>
      <c r="T6" s="379"/>
      <c r="U6" s="379"/>
    </row>
    <row r="7" spans="2:21">
      <c r="B7" s="212" t="s">
        <v>222</v>
      </c>
      <c r="C7" s="214">
        <f>SUM('13 by-elections list OLD'!E10:E59)/45</f>
        <v>3.6647101319465629E-2</v>
      </c>
      <c r="D7" s="214">
        <f>SUM('13 by-elections list OLD'!F10:F59)/45</f>
        <v>-2.335555555555556E-2</v>
      </c>
      <c r="E7" s="214">
        <f>SUM('13 by-elections list OLD'!G10:G59)/45</f>
        <v>-1.1188189835281732E-2</v>
      </c>
      <c r="F7" s="214">
        <f>SUM('13 by-elections list OLD'!H10:H59)/45</f>
        <v>1.3911111111111108E-2</v>
      </c>
      <c r="G7" s="214">
        <f>SUM('13 by-elections list OLD'!I10:I59)/45</f>
        <v>-9.977571524417226E-3</v>
      </c>
      <c r="H7" s="214"/>
      <c r="I7" s="214">
        <f>SUM('13 by-elections list OLD'!K10:K59)/45</f>
        <v>0.67331111111111108</v>
      </c>
      <c r="J7" s="101" t="s">
        <v>1626</v>
      </c>
      <c r="K7" s="215"/>
      <c r="L7" s="215"/>
      <c r="M7" s="215"/>
      <c r="N7" s="215"/>
      <c r="O7" s="2567"/>
      <c r="P7" s="379"/>
      <c r="Q7" s="379"/>
      <c r="R7" s="379"/>
      <c r="S7" s="379"/>
      <c r="T7" s="379"/>
      <c r="U7" s="379"/>
    </row>
    <row r="8" spans="2:21">
      <c r="B8" s="216" t="s">
        <v>223</v>
      </c>
      <c r="C8" s="217">
        <f>SUM('13 by-elections list OLD'!E63:E76)/14</f>
        <v>6.8071428571428574E-2</v>
      </c>
      <c r="D8" s="217">
        <f>SUM('13 by-elections list OLD'!F63:F76)/14</f>
        <v>-2.0285714285714289E-2</v>
      </c>
      <c r="E8" s="217">
        <f>SUM('13 by-elections list OLD'!G63:G76)/14</f>
        <v>-4.585714285714286E-2</v>
      </c>
      <c r="F8" s="217">
        <f>SUM('13 by-elections list OLD'!H63:H76)/14</f>
        <v>0</v>
      </c>
      <c r="G8" s="217">
        <f>SUM('13 by-elections list OLD'!I63:I76)/14</f>
        <v>-1.9285714285714286E-3</v>
      </c>
      <c r="H8" s="217"/>
      <c r="I8" s="214">
        <f>SUM('13 by-elections list OLD'!K63:K76)/14</f>
        <v>0.68764285714285711</v>
      </c>
      <c r="O8" s="379"/>
      <c r="P8" s="379"/>
      <c r="Q8" s="379"/>
      <c r="R8" s="379"/>
      <c r="S8" s="379"/>
      <c r="T8" s="379"/>
      <c r="U8" s="379"/>
    </row>
    <row r="9" spans="2:21">
      <c r="B9" s="216" t="s">
        <v>224</v>
      </c>
      <c r="C9" s="217">
        <f>SUM('13 by-elections list OLD'!E80:E123)/44</f>
        <v>-5.5000000000000005E-3</v>
      </c>
      <c r="D9" s="217">
        <f>SUM('13 by-elections list OLD'!F80:F123)/44</f>
        <v>3.1136363636363627E-3</v>
      </c>
      <c r="E9" s="217">
        <f>SUM('13 by-elections list OLD'!G80:G123)/44</f>
        <v>-6.0000000000000001E-3</v>
      </c>
      <c r="F9" s="217">
        <f>SUM('13 by-elections list OLD'!H80:H123)/44</f>
        <v>5.681818181818182E-3</v>
      </c>
      <c r="G9" s="217">
        <f>SUM('13 by-elections list OLD'!I80:I123)/44</f>
        <v>3.3863636363636361E-3</v>
      </c>
      <c r="H9" s="217"/>
      <c r="I9" s="214">
        <f>SUM('13 by-elections list OLD'!K80:K123)/44</f>
        <v>0.58572727272727265</v>
      </c>
      <c r="J9" s="101">
        <v>3</v>
      </c>
      <c r="O9" s="379"/>
      <c r="P9" s="379"/>
      <c r="Q9" s="379"/>
      <c r="R9" s="379"/>
      <c r="S9" s="379"/>
      <c r="T9" s="379"/>
      <c r="U9" s="379"/>
    </row>
    <row r="10" spans="2:21">
      <c r="B10" s="216" t="s">
        <v>225</v>
      </c>
      <c r="C10" s="217">
        <f>SUM('13 by-elections list OLD'!E127:E175)/49</f>
        <v>-8.6904081632653077E-2</v>
      </c>
      <c r="D10" s="217">
        <f>SUM('13 by-elections list OLD'!F127:F175)/49</f>
        <v>1.291836734693878E-2</v>
      </c>
      <c r="E10" s="217">
        <f>SUM('13 by-elections list OLD'!G127:G175)/49</f>
        <v>6.2367346938775513E-2</v>
      </c>
      <c r="F10" s="217">
        <f>SUM('13 by-elections list OLD'!H127:H175)/49</f>
        <v>2.795918367346939E-3</v>
      </c>
      <c r="G10" s="217">
        <f>SUM('13 by-elections list OLD'!I127:I175)/49</f>
        <v>8.6122448979591842E-3</v>
      </c>
      <c r="H10" s="217"/>
      <c r="I10" s="214">
        <f>SUM('13 by-elections list OLD'!K127:K175)/49</f>
        <v>0.6348571428571429</v>
      </c>
      <c r="J10" s="101">
        <v>4</v>
      </c>
      <c r="O10" s="379"/>
      <c r="P10" s="379"/>
      <c r="Q10" s="379"/>
      <c r="R10" s="379"/>
      <c r="S10" s="379"/>
      <c r="T10" s="379"/>
      <c r="U10" s="379"/>
    </row>
    <row r="11" spans="2:21">
      <c r="B11" s="216" t="s">
        <v>226</v>
      </c>
      <c r="C11" s="217">
        <f>SUM('13 by-elections list OLD'!E179:E239)/61</f>
        <v>-0.14118032786885246</v>
      </c>
      <c r="D11" s="217">
        <f>SUM('13 by-elections list OLD'!F179:F239)/61</f>
        <v>-2.0721311475409843E-2</v>
      </c>
      <c r="E11" s="217">
        <f>SUM('13 by-elections list OLD'!G179:G239)/61</f>
        <v>0.13698360655737701</v>
      </c>
      <c r="F11" s="217">
        <f>SUM('13 by-elections list OLD'!H179:H239)/61</f>
        <v>1.1540983606557377E-2</v>
      </c>
      <c r="G11" s="217">
        <f>SUM('13 by-elections list OLD'!I179:I239)/61</f>
        <v>1.5213114754098363E-2</v>
      </c>
      <c r="H11" s="217"/>
      <c r="I11" s="214">
        <f>SUM('13 by-elections list OLD'!K179:K239)/61</f>
        <v>0.62852459016393436</v>
      </c>
      <c r="J11" s="101">
        <v>5</v>
      </c>
      <c r="O11" s="379"/>
      <c r="P11" s="379"/>
      <c r="Q11" s="379"/>
      <c r="R11" s="379"/>
      <c r="S11" s="379"/>
      <c r="T11" s="379"/>
      <c r="U11" s="379"/>
    </row>
    <row r="12" spans="2:21">
      <c r="B12" s="216" t="s">
        <v>227</v>
      </c>
      <c r="C12" s="217">
        <f>SUM('13 by-elections list OLD'!E243:E255)/13</f>
        <v>1.3307692307692305E-2</v>
      </c>
      <c r="D12" s="217">
        <f>SUM('13 by-elections list OLD'!F243:F255)/13</f>
        <v>-1.8307692307692306E-2</v>
      </c>
      <c r="E12" s="217">
        <f>SUM('13 by-elections list OLD'!G243:G255)/13</f>
        <v>5.2307692307692333E-3</v>
      </c>
      <c r="F12" s="217">
        <f>SUM('13 by-elections list OLD'!H243:H255)/13</f>
        <v>3.2307692307692311E-3</v>
      </c>
      <c r="G12" s="217">
        <f>SUM('13 by-elections list OLD'!I243:I255)/13</f>
        <v>4.4615384615384621E-3</v>
      </c>
      <c r="H12" s="217"/>
      <c r="I12" s="214">
        <f>SUM('13 by-elections list OLD'!K243:K255)/13</f>
        <v>0.5823076923076923</v>
      </c>
      <c r="J12" s="101">
        <v>6</v>
      </c>
      <c r="O12" s="379"/>
      <c r="P12" s="379"/>
      <c r="Q12" s="379"/>
      <c r="R12" s="379"/>
      <c r="S12" s="379"/>
      <c r="T12" s="379"/>
      <c r="U12" s="379"/>
    </row>
    <row r="13" spans="2:21">
      <c r="B13" s="216" t="s">
        <v>228</v>
      </c>
      <c r="C13" s="217">
        <f>SUM('13 by-elections list OLD'!E259:E295)/37</f>
        <v>6.8189189189189203E-2</v>
      </c>
      <c r="D13" s="217">
        <f>SUM('13 by-elections list OLD'!F259:F295)/37</f>
        <v>-0.17262162162162165</v>
      </c>
      <c r="E13" s="217">
        <f>SUM('13 by-elections list OLD'!G259:G295)/37</f>
        <v>3.2540540540540543E-2</v>
      </c>
      <c r="F13" s="217">
        <f>SUM('13 by-elections list OLD'!H259:H295)/37</f>
        <v>5.486486486486486E-2</v>
      </c>
      <c r="G13" s="217">
        <f>SUM('13 by-elections list OLD'!I259:I295)/37</f>
        <v>1.7027027027027034E-2</v>
      </c>
      <c r="H13" s="217"/>
      <c r="I13" s="214">
        <f>SUM('13 by-elections list OLD'!K259:K295)/37</f>
        <v>0.62067567567567572</v>
      </c>
      <c r="J13" s="101">
        <v>7</v>
      </c>
      <c r="O13" s="379"/>
      <c r="P13" s="379"/>
      <c r="Q13" s="379"/>
      <c r="R13" s="379"/>
      <c r="S13" s="379"/>
      <c r="T13" s="379"/>
      <c r="U13" s="379"/>
    </row>
    <row r="14" spans="2:21">
      <c r="B14" s="216" t="s">
        <v>1179</v>
      </c>
      <c r="C14" s="217">
        <f>SUM('13 by-elections list OLD'!E299:E328)/30</f>
        <v>-0.10676666666666666</v>
      </c>
      <c r="D14" s="217">
        <f>SUM('13 by-elections list OLD'!F299:F328)/30</f>
        <v>-4.1499999999999988E-2</v>
      </c>
      <c r="E14" s="217">
        <f>SUM('13 by-elections list OLD'!G299:G328)/30</f>
        <v>8.9566666666666669E-2</v>
      </c>
      <c r="F14" s="217">
        <f>SUM('13 by-elections list OLD'!H299:H328)/30</f>
        <v>3.9766666666666665E-2</v>
      </c>
      <c r="G14" s="217">
        <f>SUM('13 by-elections list OLD'!I299:I328)/30</f>
        <v>1.8933333333333333E-2</v>
      </c>
      <c r="H14" s="217"/>
      <c r="I14" s="214">
        <f>SUM('13 by-elections list OLD'!K299:K328)/30</f>
        <v>0.56536666666666668</v>
      </c>
      <c r="J14" s="101">
        <v>8</v>
      </c>
      <c r="O14" s="379"/>
      <c r="P14" s="379"/>
      <c r="Q14" s="379"/>
      <c r="R14" s="379"/>
      <c r="S14" s="379"/>
      <c r="T14" s="379"/>
      <c r="U14" s="379"/>
    </row>
    <row r="15" spans="2:21">
      <c r="B15" s="174">
        <v>1974</v>
      </c>
      <c r="C15" s="217">
        <f>SUM('13 by-elections list OLD'!E332)</f>
        <v>-1.0999999999999999E-2</v>
      </c>
      <c r="D15" s="217">
        <f>SUM('13 by-elections list OLD'!F332)</f>
        <v>-3.4000000000000002E-2</v>
      </c>
      <c r="E15" s="217">
        <f>SUM('13 by-elections list OLD'!G332)</f>
        <v>-2.3E-2</v>
      </c>
      <c r="F15" s="218" t="s">
        <v>396</v>
      </c>
      <c r="G15" s="217">
        <f>SUM('13 by-elections list OLD'!I332)</f>
        <v>6.8000000000000005E-2</v>
      </c>
      <c r="H15" s="217"/>
      <c r="I15" s="214">
        <f>SUM('13 by-elections list OLD'!K332)</f>
        <v>0.25900000000000001</v>
      </c>
      <c r="J15" s="101">
        <v>9</v>
      </c>
      <c r="O15" s="379"/>
      <c r="P15" s="379"/>
      <c r="Q15" s="379"/>
      <c r="R15" s="379"/>
      <c r="S15" s="379"/>
      <c r="T15" s="379"/>
      <c r="U15" s="379"/>
    </row>
    <row r="16" spans="2:21">
      <c r="B16" s="216" t="s">
        <v>1180</v>
      </c>
      <c r="C16" s="217">
        <f>SUM('13 by-elections list OLD'!E336:E365)/30</f>
        <v>9.8733333333333353E-2</v>
      </c>
      <c r="D16" s="217">
        <f>SUM('13 by-elections list OLD'!F336:F365)/30</f>
        <v>-9.2700000000000032E-2</v>
      </c>
      <c r="E16" s="217">
        <f>SUM('13 by-elections list OLD'!G336:G365)/30</f>
        <v>-4.893333333333335E-2</v>
      </c>
      <c r="F16" s="217">
        <f>SUM('13 by-elections list OLD'!H336:H365)/30</f>
        <v>-2.7666666666666664E-3</v>
      </c>
      <c r="G16" s="217">
        <f>SUM('13 by-elections list OLD'!I336:I365)/30</f>
        <v>4.5666666666666661E-2</v>
      </c>
      <c r="H16" s="217"/>
      <c r="I16" s="214">
        <f>SUM('13 by-elections list OLD'!K336:K365)/30</f>
        <v>0.57456666666666656</v>
      </c>
      <c r="J16" s="101">
        <v>10</v>
      </c>
      <c r="O16" s="379"/>
      <c r="P16" s="379"/>
      <c r="Q16" s="379"/>
      <c r="R16" s="379"/>
      <c r="S16" s="379"/>
      <c r="T16" s="379"/>
      <c r="U16" s="379"/>
    </row>
    <row r="17" spans="2:21">
      <c r="B17" s="216" t="s">
        <v>229</v>
      </c>
      <c r="C17" s="217">
        <f>SUM('13 by-elections list OLD'!E369:E385)/17</f>
        <v>-0.11388235294117646</v>
      </c>
      <c r="D17" s="217">
        <f>SUM('13 by-elections list OLD'!F369:F385)/17</f>
        <v>-0.10188235294117648</v>
      </c>
      <c r="E17" s="217">
        <f>SUM('13 by-elections list OLD'!G369:G385)/17</f>
        <v>0.18594117647058825</v>
      </c>
      <c r="F17" s="217">
        <f>SUM('13 by-elections list OLD'!H369:H385)/17</f>
        <v>1.5941176470588233E-2</v>
      </c>
      <c r="G17" s="217">
        <f>SUM('13 by-elections list OLD'!I369:I385)/17</f>
        <v>1.3882352941176471E-2</v>
      </c>
      <c r="H17" s="217"/>
      <c r="I17" s="214">
        <f>SUM('13 by-elections list OLD'!K369:K385)/17</f>
        <v>0.56735294117647062</v>
      </c>
      <c r="J17" s="101">
        <v>11</v>
      </c>
      <c r="O17" s="379"/>
      <c r="P17" s="379"/>
      <c r="Q17" s="379"/>
      <c r="R17" s="379"/>
      <c r="S17" s="379"/>
      <c r="T17" s="379"/>
      <c r="U17" s="379"/>
    </row>
    <row r="18" spans="2:21">
      <c r="B18" s="216" t="s">
        <v>230</v>
      </c>
      <c r="C18" s="217">
        <f>SUM('13 by-elections list OLD'!E389:E404)/16</f>
        <v>-0.13981249999999998</v>
      </c>
      <c r="D18" s="217">
        <f>SUM('13 by-elections list OLD'!F389:F404)/16</f>
        <v>3.7499999999999986E-3</v>
      </c>
      <c r="E18" s="217">
        <f>SUM('13 by-elections list OLD'!G389:G404)/16</f>
        <v>0.12343749999999999</v>
      </c>
      <c r="F18" s="217">
        <f>SUM('13 by-elections list OLD'!H389:H404)/16</f>
        <v>7.4999999999999991E-4</v>
      </c>
      <c r="G18" s="217">
        <f>SUM('13 by-elections list OLD'!I389:I404)/16</f>
        <v>1.1875000000000002E-2</v>
      </c>
      <c r="H18" s="217"/>
      <c r="I18" s="214">
        <f>SUM('13 by-elections list OLD'!K389:K404)/16</f>
        <v>0.63512500000000016</v>
      </c>
      <c r="J18" s="101">
        <v>12</v>
      </c>
      <c r="O18" s="379"/>
      <c r="P18" s="379"/>
      <c r="Q18" s="379"/>
      <c r="R18" s="379"/>
      <c r="S18" s="379"/>
      <c r="T18" s="379"/>
      <c r="U18" s="379"/>
    </row>
    <row r="19" spans="2:21">
      <c r="B19" s="216" t="s">
        <v>231</v>
      </c>
      <c r="C19" s="217">
        <f>SUM('13 by-elections list OLD'!E408:E430)/23</f>
        <v>-0.10995652173913047</v>
      </c>
      <c r="D19" s="217">
        <f>SUM('13 by-elections list OLD'!F408:F430)/23</f>
        <v>-7.6086956521739177E-3</v>
      </c>
      <c r="E19" s="217">
        <f>SUM('13 by-elections list OLD'!G408:G430)/23</f>
        <v>-5.7391304347826199E-3</v>
      </c>
      <c r="F19" s="217">
        <f>SUM('13 by-elections list OLD'!H408:H430)/23</f>
        <v>5.7304347826086961E-2</v>
      </c>
      <c r="G19" s="217">
        <f>SUM('13 by-elections list OLD'!I408:I430)/23</f>
        <v>6.5956521739130414E-2</v>
      </c>
      <c r="H19" s="217"/>
      <c r="I19" s="214">
        <f>SUM('13 by-elections list OLD'!K408:K430)/23</f>
        <v>0.57360869565217398</v>
      </c>
      <c r="J19" s="101">
        <v>13</v>
      </c>
      <c r="O19" s="379"/>
      <c r="P19" s="379"/>
      <c r="Q19" s="379"/>
      <c r="R19" s="379"/>
      <c r="S19" s="379"/>
      <c r="T19" s="379"/>
      <c r="U19" s="379"/>
    </row>
    <row r="20" spans="2:21">
      <c r="B20" s="216" t="s">
        <v>232</v>
      </c>
      <c r="C20" s="217">
        <f>SUM('13 by-elections list OLD'!E434:E450)/17</f>
        <v>-0.1985344908077171</v>
      </c>
      <c r="D20" s="217">
        <f>SUM('13 by-elections list OLD'!F434:F450)/17</f>
        <v>7.3924179902948042E-2</v>
      </c>
      <c r="E20" s="217">
        <f>SUM('13 by-elections list OLD'!G434:G450)/17</f>
        <v>5.2287888758262499E-2</v>
      </c>
      <c r="F20" s="217">
        <f>SUM('13 by-elections list OLD'!H434:H450)/17</f>
        <v>2.3588235294117646E-2</v>
      </c>
      <c r="G20" s="217">
        <f>SUM('13 by-elections list OLD'!I434:I450)/17</f>
        <v>4.8683801702092112E-2</v>
      </c>
      <c r="H20" s="217"/>
      <c r="I20" s="214">
        <f>SUM('13 by-elections list OLD'!K434:K450)/17</f>
        <v>0.52733985948117001</v>
      </c>
      <c r="J20" s="101">
        <v>14</v>
      </c>
      <c r="O20" s="379"/>
      <c r="P20" s="379"/>
      <c r="Q20" s="379"/>
      <c r="R20" s="379"/>
      <c r="S20" s="379"/>
      <c r="T20" s="379"/>
      <c r="U20" s="379"/>
    </row>
    <row r="21" spans="2:21">
      <c r="B21" s="216" t="s">
        <v>233</v>
      </c>
      <c r="C21" s="217">
        <f>SUM('13 by-elections list OLD'!E454:E469)/15</f>
        <v>-5.9333333333333347E-3</v>
      </c>
      <c r="D21" s="217">
        <f>SUM('13 by-elections list OLD'!F454:F469)/15</f>
        <v>-0.11119999999999998</v>
      </c>
      <c r="E21" s="217">
        <f>SUM('13 by-elections list OLD'!G454:G469)/15</f>
        <v>4.9599999999999998E-2</v>
      </c>
      <c r="F21" s="217">
        <f>SUM('13 by-elections list OLD'!H454:H469)/15</f>
        <v>3.1199999999999999E-2</v>
      </c>
      <c r="G21" s="217">
        <f>SUM('13 by-elections list OLD'!I454:I469)/15</f>
        <v>3.6333333333333329E-2</v>
      </c>
      <c r="H21" s="217"/>
      <c r="I21" s="214">
        <f>SUM('13 by-elections list OLD'!K454:K469)/15</f>
        <v>0.42413333333333342</v>
      </c>
      <c r="J21" s="101">
        <v>15</v>
      </c>
      <c r="O21" s="379"/>
      <c r="P21" s="379"/>
      <c r="Q21" s="379"/>
      <c r="R21" s="379"/>
      <c r="S21" s="379"/>
      <c r="T21" s="379"/>
      <c r="U21" s="379"/>
    </row>
    <row r="22" spans="2:21">
      <c r="B22" s="216" t="s">
        <v>1181</v>
      </c>
      <c r="C22" s="217">
        <f>SUM('13 by-elections list OLD'!E473:E478)/6</f>
        <v>-4.1500000000000002E-2</v>
      </c>
      <c r="D22" s="217">
        <f>SUM('13 by-elections list OLD'!F473:F478)/6</f>
        <v>-0.19766666666666666</v>
      </c>
      <c r="E22" s="217">
        <f>SUM('13 by-elections list OLD'!G473:G478)/6</f>
        <v>0.158</v>
      </c>
      <c r="F22" s="217">
        <f>SUM('13 by-elections list OLD'!H473:H478)/6</f>
        <v>1.1333333333333334E-2</v>
      </c>
      <c r="G22" s="217">
        <f>SUM('13 by-elections list OLD'!I473:I478)/6</f>
        <v>6.9833333333333344E-2</v>
      </c>
      <c r="H22" s="217"/>
      <c r="I22" s="214">
        <f>SUM('13 by-elections list OLD'!K473:K478)/6</f>
        <v>0.39316666666666672</v>
      </c>
      <c r="J22" s="101">
        <v>16</v>
      </c>
      <c r="O22" s="379"/>
      <c r="P22" s="379"/>
      <c r="Q22" s="379"/>
      <c r="R22" s="379"/>
      <c r="S22" s="379"/>
      <c r="T22" s="379"/>
      <c r="U22" s="379"/>
    </row>
    <row r="23" spans="2:21">
      <c r="B23" s="216" t="s">
        <v>1182</v>
      </c>
      <c r="C23" s="217">
        <v>2.6473005909755605E-2</v>
      </c>
      <c r="D23" s="217">
        <v>-0.10392307692307692</v>
      </c>
      <c r="E23" s="217">
        <v>1.9615384615384614E-2</v>
      </c>
      <c r="F23" s="217">
        <v>4.3461538461538468E-2</v>
      </c>
      <c r="G23" s="217">
        <v>5.2536035102325233E-2</v>
      </c>
      <c r="H23" s="217"/>
      <c r="I23" s="214">
        <v>0.48807692307692307</v>
      </c>
      <c r="J23" s="101">
        <v>17</v>
      </c>
      <c r="O23" s="379"/>
      <c r="P23" s="379"/>
      <c r="Q23" s="379"/>
      <c r="R23" s="379"/>
      <c r="S23" s="379"/>
      <c r="T23" s="379"/>
      <c r="U23" s="379"/>
    </row>
    <row r="24" spans="2:21">
      <c r="B24" s="216" t="s">
        <v>1528</v>
      </c>
      <c r="C24" s="221">
        <v>-6.3974756014585396E-2</v>
      </c>
      <c r="D24" s="221">
        <v>5.3756201374032524E-2</v>
      </c>
      <c r="E24" s="221">
        <v>-7.6364185838350446E-2</v>
      </c>
      <c r="F24" s="221">
        <v>1.0999999999999999E-2</v>
      </c>
      <c r="G24" s="221">
        <v>0.17901014180050576</v>
      </c>
      <c r="H24" s="221"/>
      <c r="I24" s="222">
        <v>0.3964584875346418</v>
      </c>
      <c r="J24" s="101">
        <v>18</v>
      </c>
      <c r="O24" s="379"/>
      <c r="P24" s="379"/>
      <c r="Q24" s="379"/>
      <c r="R24" s="379"/>
      <c r="S24" s="379"/>
      <c r="T24" s="379"/>
      <c r="U24" s="379"/>
    </row>
    <row r="25" spans="2:21">
      <c r="B25" s="216" t="s">
        <v>2074</v>
      </c>
      <c r="C25" s="221">
        <f>'12 by-elections summary'!K26</f>
        <v>-4.6555555555555551E-2</v>
      </c>
      <c r="D25" s="221">
        <f>'12 by-elections summary'!L26</f>
        <v>3.9400000000000004E-2</v>
      </c>
      <c r="E25" s="221">
        <f>'12 by-elections summary'!M26</f>
        <v>7.6888911111111125E-2</v>
      </c>
      <c r="F25" s="221">
        <f>'12 by-elections summary'!N26</f>
        <v>5.7000000000000002E-2</v>
      </c>
      <c r="G25" s="221">
        <f>'12 by-elections summary'!O26</f>
        <v>-6.5899999999999986E-2</v>
      </c>
      <c r="H25" s="221"/>
      <c r="I25" s="222">
        <f>P68</f>
        <v>0.44069999999999998</v>
      </c>
      <c r="J25" s="101">
        <v>19</v>
      </c>
      <c r="O25" s="379"/>
      <c r="P25" s="379"/>
      <c r="Q25" s="379"/>
      <c r="R25" s="379"/>
      <c r="S25" s="379"/>
      <c r="T25" s="379"/>
      <c r="U25" s="379"/>
    </row>
    <row r="26" spans="2:21" ht="13">
      <c r="B26" s="216" t="s">
        <v>2716</v>
      </c>
      <c r="C26" s="1265">
        <v>0.16300000000000001</v>
      </c>
      <c r="D26" s="1265">
        <v>-0.11600000000000001</v>
      </c>
      <c r="E26" s="1265">
        <v>0.11600000000000001</v>
      </c>
      <c r="F26" s="1269">
        <v>2.5000000000000001E-2</v>
      </c>
      <c r="G26" s="1265">
        <v>0.156</v>
      </c>
      <c r="I26" s="222">
        <v>0.443</v>
      </c>
      <c r="O26" s="379"/>
      <c r="P26" s="379"/>
      <c r="Q26" s="379"/>
      <c r="R26" s="379"/>
      <c r="S26" s="379"/>
      <c r="T26" s="379"/>
      <c r="U26" s="379"/>
    </row>
    <row r="27" spans="2:21" ht="14" thickBot="1">
      <c r="B27" s="216" t="s">
        <v>2751</v>
      </c>
      <c r="C27" s="1265">
        <v>-8.0000000000000002E-3</v>
      </c>
      <c r="D27" s="1265">
        <v>-5.2999999999999999E-2</v>
      </c>
      <c r="E27" s="1265">
        <v>8.1000000000000003E-2</v>
      </c>
      <c r="F27" s="1269">
        <v>1.2999999999999999E-2</v>
      </c>
      <c r="G27" s="1265">
        <v>4.7000000000000002E-3</v>
      </c>
      <c r="H27" s="971"/>
      <c r="I27" s="972">
        <v>0.65800000000000003</v>
      </c>
      <c r="O27" s="379"/>
      <c r="P27" s="379"/>
      <c r="Q27" s="379"/>
      <c r="R27" s="379"/>
      <c r="S27" s="379"/>
      <c r="T27" s="379"/>
      <c r="U27" s="379"/>
    </row>
    <row r="28" spans="2:21" ht="3" customHeight="1">
      <c r="B28" s="136"/>
      <c r="C28" s="136"/>
      <c r="D28" s="136"/>
      <c r="E28" s="136"/>
      <c r="F28" s="136"/>
      <c r="G28" s="136"/>
      <c r="H28" s="136"/>
      <c r="I28" s="136"/>
      <c r="O28" s="379"/>
      <c r="P28" s="379"/>
      <c r="Q28" s="379"/>
      <c r="R28" s="379"/>
      <c r="S28" s="379"/>
      <c r="T28" s="379"/>
      <c r="U28" s="379"/>
    </row>
    <row r="29" spans="2:21" ht="1.5" customHeight="1">
      <c r="O29" s="379"/>
      <c r="P29" s="379"/>
      <c r="Q29" s="379"/>
      <c r="R29" s="379"/>
      <c r="S29" s="379"/>
      <c r="T29" s="379"/>
      <c r="U29" s="379"/>
    </row>
    <row r="30" spans="2:21">
      <c r="H30" s="164"/>
      <c r="O30" s="379"/>
      <c r="P30" s="379"/>
      <c r="Q30" s="379"/>
      <c r="R30" s="379"/>
      <c r="S30" s="379"/>
      <c r="T30" s="379"/>
      <c r="U30" s="379"/>
    </row>
    <row r="31" spans="2:21">
      <c r="C31" s="105">
        <v>-4.6555555555555551E-2</v>
      </c>
      <c r="D31" s="105">
        <v>3.9400000000000004E-2</v>
      </c>
      <c r="E31" s="105">
        <v>7.6888911111111125E-2</v>
      </c>
      <c r="F31" s="105">
        <v>5.7000000000000002E-2</v>
      </c>
      <c r="G31" s="105">
        <v>-6.5899999999999986E-2</v>
      </c>
      <c r="H31" s="105">
        <v>0</v>
      </c>
      <c r="I31" s="105">
        <v>0.44069999999999998</v>
      </c>
      <c r="O31" s="379"/>
      <c r="P31" s="379"/>
      <c r="Q31" s="379"/>
      <c r="R31" s="379"/>
      <c r="S31" s="379"/>
      <c r="T31" s="379"/>
      <c r="U31" s="379"/>
    </row>
    <row r="32" spans="2:21">
      <c r="C32" s="105">
        <v>0.16300000000000001</v>
      </c>
      <c r="D32" s="105">
        <v>-0.11600000000000001</v>
      </c>
      <c r="E32" s="105">
        <v>0.11600000000000001</v>
      </c>
      <c r="F32" s="105">
        <v>2.5000000000000001E-2</v>
      </c>
      <c r="G32" s="105">
        <v>0.156</v>
      </c>
      <c r="H32" s="105"/>
      <c r="I32" s="105">
        <v>0.443</v>
      </c>
      <c r="O32" s="379"/>
      <c r="P32" s="379"/>
      <c r="Q32" s="379"/>
      <c r="R32" s="379"/>
      <c r="S32" s="379"/>
      <c r="T32" s="379"/>
      <c r="U32" s="379"/>
    </row>
    <row r="33" spans="15:21">
      <c r="O33" s="379"/>
      <c r="P33" s="379"/>
      <c r="Q33" s="379"/>
      <c r="R33" s="379"/>
      <c r="S33" s="379"/>
      <c r="T33" s="379"/>
      <c r="U33" s="379"/>
    </row>
    <row r="34" spans="15:21">
      <c r="O34" s="379"/>
      <c r="P34" s="379"/>
      <c r="Q34" s="379"/>
      <c r="R34" s="379"/>
      <c r="S34" s="379"/>
      <c r="T34" s="379"/>
      <c r="U34" s="379"/>
    </row>
    <row r="35" spans="15:21">
      <c r="O35" s="379"/>
      <c r="P35" s="379"/>
      <c r="Q35" s="379"/>
      <c r="R35" s="379"/>
      <c r="S35" s="379"/>
      <c r="T35" s="379"/>
      <c r="U35" s="379"/>
    </row>
    <row r="36" spans="15:21">
      <c r="O36" s="379"/>
      <c r="P36" s="379"/>
      <c r="Q36" s="379"/>
      <c r="R36" s="379"/>
      <c r="S36" s="379"/>
      <c r="T36" s="379"/>
      <c r="U36" s="379"/>
    </row>
    <row r="37" spans="15:21">
      <c r="O37" s="379"/>
      <c r="P37" s="379"/>
      <c r="Q37" s="379"/>
      <c r="R37" s="379"/>
      <c r="S37" s="379"/>
      <c r="T37" s="379"/>
      <c r="U37" s="379"/>
    </row>
    <row r="38" spans="15:21">
      <c r="O38" s="379"/>
      <c r="P38" s="379"/>
      <c r="Q38" s="379"/>
      <c r="R38" s="379"/>
      <c r="S38" s="379"/>
      <c r="T38" s="379"/>
      <c r="U38" s="379"/>
    </row>
    <row r="39" spans="15:21">
      <c r="O39" s="379"/>
      <c r="P39" s="379"/>
      <c r="Q39" s="379"/>
      <c r="R39" s="379"/>
      <c r="S39" s="379"/>
      <c r="T39" s="379"/>
      <c r="U39" s="379"/>
    </row>
    <row r="40" spans="15:21">
      <c r="O40" s="379"/>
      <c r="P40" s="379"/>
      <c r="Q40" s="379"/>
      <c r="R40" s="379"/>
      <c r="S40" s="379"/>
      <c r="T40" s="379"/>
      <c r="U40" s="379"/>
    </row>
    <row r="41" spans="15:21">
      <c r="O41" s="379"/>
      <c r="P41" s="379"/>
      <c r="Q41" s="379"/>
      <c r="R41" s="379"/>
      <c r="S41" s="379"/>
      <c r="T41" s="379"/>
      <c r="U41" s="379"/>
    </row>
    <row r="42" spans="15:21">
      <c r="O42" s="379"/>
      <c r="P42" s="379"/>
      <c r="Q42" s="379"/>
      <c r="R42" s="379"/>
      <c r="S42" s="379"/>
      <c r="T42" s="379"/>
      <c r="U42" s="379"/>
    </row>
    <row r="43" spans="15:21">
      <c r="O43" s="379"/>
      <c r="P43" s="379"/>
      <c r="Q43" s="379"/>
      <c r="R43" s="379"/>
      <c r="S43" s="379"/>
      <c r="T43" s="379"/>
      <c r="U43" s="379"/>
    </row>
    <row r="44" spans="15:21">
      <c r="O44" s="379"/>
      <c r="P44" s="379"/>
      <c r="Q44" s="379"/>
      <c r="R44" s="379"/>
      <c r="S44" s="379"/>
      <c r="T44" s="379"/>
      <c r="U44" s="379"/>
    </row>
    <row r="45" spans="15:21">
      <c r="O45" s="379"/>
      <c r="P45" s="379"/>
      <c r="Q45" s="379"/>
      <c r="R45" s="379"/>
      <c r="S45" s="379"/>
      <c r="T45" s="379"/>
      <c r="U45" s="379"/>
    </row>
    <row r="46" spans="15:21">
      <c r="O46" s="379"/>
      <c r="P46" s="379"/>
      <c r="Q46" s="379"/>
      <c r="R46" s="379"/>
      <c r="S46" s="379"/>
      <c r="T46" s="379"/>
      <c r="U46" s="379"/>
    </row>
    <row r="47" spans="15:21">
      <c r="O47" s="379"/>
      <c r="P47" s="379"/>
      <c r="Q47" s="379"/>
      <c r="R47" s="379"/>
      <c r="S47" s="379"/>
      <c r="T47" s="379"/>
      <c r="U47" s="379"/>
    </row>
    <row r="48" spans="15:21">
      <c r="O48" s="379"/>
      <c r="P48" s="379"/>
      <c r="Q48" s="379"/>
      <c r="R48" s="379"/>
      <c r="S48" s="379"/>
      <c r="T48" s="379"/>
      <c r="U48" s="379"/>
    </row>
    <row r="49" spans="2:21">
      <c r="O49" s="379"/>
      <c r="P49" s="379"/>
      <c r="Q49" s="379"/>
      <c r="R49" s="379"/>
      <c r="S49" s="379"/>
      <c r="T49" s="379"/>
      <c r="U49" s="379"/>
    </row>
    <row r="50" spans="2:21">
      <c r="O50" s="379"/>
      <c r="P50" s="379"/>
      <c r="Q50" s="379"/>
      <c r="R50" s="379"/>
      <c r="S50" s="379"/>
      <c r="T50" s="379"/>
      <c r="U50" s="379"/>
    </row>
    <row r="51" spans="2:21">
      <c r="O51" s="379"/>
      <c r="P51" s="379"/>
      <c r="Q51" s="379"/>
      <c r="R51" s="379"/>
      <c r="S51" s="379"/>
      <c r="T51" s="379"/>
      <c r="U51" s="379"/>
    </row>
    <row r="52" spans="2:21">
      <c r="O52" s="379"/>
      <c r="P52" s="379"/>
      <c r="Q52" s="379"/>
      <c r="R52" s="379"/>
      <c r="S52" s="379"/>
      <c r="T52" s="379"/>
      <c r="U52" s="379"/>
    </row>
    <row r="53" spans="2:21">
      <c r="O53" s="379"/>
      <c r="P53" s="379"/>
      <c r="Q53" s="379"/>
      <c r="R53" s="379"/>
      <c r="S53" s="379"/>
      <c r="T53" s="379"/>
      <c r="U53" s="379"/>
    </row>
    <row r="54" spans="2:21">
      <c r="O54" s="379"/>
      <c r="P54" s="379"/>
      <c r="Q54" s="379"/>
      <c r="R54" s="379"/>
      <c r="S54" s="379"/>
      <c r="T54" s="379"/>
      <c r="U54" s="379"/>
    </row>
    <row r="55" spans="2:21">
      <c r="O55" s="379"/>
      <c r="P55" s="379"/>
      <c r="Q55" s="379"/>
      <c r="R55" s="379"/>
      <c r="S55" s="379"/>
      <c r="T55" s="379"/>
      <c r="U55" s="379"/>
    </row>
    <row r="56" spans="2:21">
      <c r="O56" s="379"/>
      <c r="P56" s="379"/>
      <c r="Q56" s="379"/>
      <c r="R56" s="379"/>
      <c r="S56" s="379"/>
      <c r="T56" s="379"/>
      <c r="U56" s="379"/>
    </row>
    <row r="57" spans="2:21">
      <c r="O57" s="379"/>
      <c r="P57" s="379"/>
      <c r="Q57" s="379"/>
      <c r="R57" s="379"/>
      <c r="S57" s="379"/>
      <c r="T57" s="379"/>
      <c r="U57" s="379"/>
    </row>
    <row r="58" spans="2:21">
      <c r="O58" s="379"/>
      <c r="P58" s="379"/>
      <c r="Q58" s="379"/>
      <c r="R58" s="379"/>
      <c r="S58" s="379"/>
      <c r="T58" s="379"/>
      <c r="U58" s="379"/>
    </row>
    <row r="59" spans="2:21">
      <c r="O59" s="379"/>
      <c r="P59" s="379"/>
      <c r="Q59" s="379"/>
      <c r="R59" s="379"/>
      <c r="S59" s="379"/>
      <c r="T59" s="379"/>
      <c r="U59" s="379"/>
    </row>
    <row r="60" spans="2:21">
      <c r="O60" s="379"/>
      <c r="P60" s="379"/>
      <c r="Q60" s="379"/>
      <c r="R60" s="379"/>
      <c r="S60" s="379"/>
      <c r="T60" s="379"/>
      <c r="U60" s="379"/>
    </row>
    <row r="61" spans="2:21">
      <c r="B61" s="105"/>
      <c r="C61" s="105" t="s">
        <v>757</v>
      </c>
      <c r="D61" s="105"/>
      <c r="E61" s="105"/>
      <c r="F61" s="105"/>
      <c r="G61" s="105"/>
      <c r="H61" s="105"/>
      <c r="I61" s="105" t="s">
        <v>1183</v>
      </c>
      <c r="O61" s="379"/>
      <c r="P61" s="379"/>
      <c r="Q61" s="379"/>
      <c r="R61" s="379"/>
      <c r="S61" s="379"/>
      <c r="T61" s="379"/>
      <c r="U61" s="379"/>
    </row>
    <row r="62" spans="2:21">
      <c r="B62" s="105"/>
      <c r="C62" s="105" t="s">
        <v>698</v>
      </c>
      <c r="D62" s="105" t="s">
        <v>699</v>
      </c>
      <c r="E62" s="105" t="s">
        <v>827</v>
      </c>
      <c r="F62" s="105" t="s">
        <v>218</v>
      </c>
      <c r="G62" s="105" t="s">
        <v>12</v>
      </c>
      <c r="H62" s="105"/>
      <c r="I62" s="105"/>
      <c r="O62" s="379"/>
      <c r="P62" s="379"/>
      <c r="Q62" s="379"/>
      <c r="R62" s="379"/>
      <c r="S62" s="379"/>
      <c r="T62" s="379"/>
      <c r="U62" s="379"/>
    </row>
    <row r="63" spans="2:21" ht="12" customHeight="1">
      <c r="B63" s="105"/>
      <c r="C63" s="105"/>
      <c r="D63" s="105"/>
      <c r="E63" s="105"/>
      <c r="F63" s="105"/>
      <c r="G63" s="105"/>
      <c r="H63" s="105"/>
      <c r="I63" s="105"/>
      <c r="O63" s="379"/>
      <c r="P63" s="379"/>
      <c r="Q63" s="379"/>
      <c r="R63" s="379"/>
      <c r="S63" s="379"/>
      <c r="T63" s="379"/>
      <c r="U63" s="379"/>
    </row>
    <row r="64" spans="2:21" ht="12" customHeight="1">
      <c r="B64" s="143"/>
      <c r="C64" s="183" t="s">
        <v>692</v>
      </c>
      <c r="D64" s="183"/>
      <c r="E64" s="183"/>
      <c r="F64" s="183"/>
      <c r="G64" s="183"/>
      <c r="H64" s="183"/>
      <c r="I64" s="183"/>
      <c r="J64" s="210" t="s">
        <v>757</v>
      </c>
      <c r="K64" s="210"/>
      <c r="L64" s="210"/>
      <c r="M64" s="210"/>
      <c r="N64" s="210"/>
      <c r="O64" s="2568"/>
      <c r="P64" s="3434" t="s">
        <v>1183</v>
      </c>
      <c r="Q64" s="379"/>
      <c r="R64" s="379"/>
      <c r="S64" s="379"/>
      <c r="T64" s="379"/>
      <c r="U64" s="379"/>
    </row>
    <row r="65" spans="1:21">
      <c r="B65" s="143"/>
      <c r="C65" s="103" t="s">
        <v>698</v>
      </c>
      <c r="D65" s="103" t="s">
        <v>699</v>
      </c>
      <c r="E65" s="103" t="s">
        <v>827</v>
      </c>
      <c r="F65" s="103" t="s">
        <v>218</v>
      </c>
      <c r="G65" s="103" t="s">
        <v>12</v>
      </c>
      <c r="H65" s="211" t="s">
        <v>1168</v>
      </c>
      <c r="I65" s="158"/>
      <c r="J65" s="103" t="s">
        <v>698</v>
      </c>
      <c r="K65" s="103" t="s">
        <v>699</v>
      </c>
      <c r="L65" s="103" t="s">
        <v>827</v>
      </c>
      <c r="M65" s="103" t="s">
        <v>218</v>
      </c>
      <c r="N65" s="103" t="s">
        <v>12</v>
      </c>
      <c r="O65" s="158"/>
      <c r="P65" s="3435"/>
      <c r="Q65" s="379"/>
      <c r="R65" s="379"/>
      <c r="S65" s="379"/>
      <c r="T65" s="379"/>
      <c r="U65" s="379"/>
    </row>
    <row r="66" spans="1:21" ht="14" thickBot="1">
      <c r="B66" s="143" t="s">
        <v>2751</v>
      </c>
      <c r="C66" s="110" t="s">
        <v>246</v>
      </c>
      <c r="D66" s="110">
        <v>-1</v>
      </c>
      <c r="E66" s="110">
        <v>1</v>
      </c>
      <c r="F66" s="110" t="s">
        <v>246</v>
      </c>
      <c r="G66" s="110" t="s">
        <v>246</v>
      </c>
      <c r="H66" s="158">
        <v>3</v>
      </c>
      <c r="I66" s="158"/>
      <c r="J66" s="1265">
        <v>-8.0000000000000002E-3</v>
      </c>
      <c r="K66" s="1265">
        <v>-5.2999999999999999E-2</v>
      </c>
      <c r="L66" s="1265">
        <v>8.1000000000000003E-2</v>
      </c>
      <c r="M66" s="1269">
        <v>1.2999999999999999E-2</v>
      </c>
      <c r="N66" s="1265">
        <v>4.7000000000000002E-3</v>
      </c>
      <c r="O66" s="974"/>
      <c r="P66" s="972">
        <v>0.65800000000000003</v>
      </c>
      <c r="Q66" s="379"/>
      <c r="R66" s="379"/>
      <c r="S66" s="379"/>
      <c r="T66" s="379"/>
      <c r="U66" s="379"/>
    </row>
    <row r="67" spans="1:21" ht="13">
      <c r="B67" s="143" t="s">
        <v>2716</v>
      </c>
      <c r="C67" s="110">
        <v>-1</v>
      </c>
      <c r="D67" s="110" t="s">
        <v>246</v>
      </c>
      <c r="E67" s="110">
        <v>1</v>
      </c>
      <c r="F67" s="110" t="s">
        <v>246</v>
      </c>
      <c r="G67" s="110" t="s">
        <v>246</v>
      </c>
      <c r="H67" s="158">
        <v>3</v>
      </c>
      <c r="I67" s="158"/>
      <c r="J67" s="1265">
        <v>0.16300000000000001</v>
      </c>
      <c r="K67" s="1265">
        <v>-0.11600000000000001</v>
      </c>
      <c r="L67" s="1265">
        <v>0.11600000000000001</v>
      </c>
      <c r="M67" s="1269">
        <v>2.5000000000000001E-2</v>
      </c>
      <c r="N67" s="1265">
        <v>0.156</v>
      </c>
      <c r="O67" s="974"/>
      <c r="P67" s="222">
        <v>0.443</v>
      </c>
      <c r="Q67" s="379"/>
      <c r="R67" s="379"/>
      <c r="S67" s="379"/>
      <c r="T67" s="379"/>
      <c r="U67" s="379"/>
    </row>
    <row r="68" spans="1:21">
      <c r="A68" s="101">
        <v>19</v>
      </c>
      <c r="B68" s="216" t="s">
        <v>2074</v>
      </c>
      <c r="C68" s="219" t="s">
        <v>246</v>
      </c>
      <c r="D68" s="219">
        <f>D138</f>
        <v>-1</v>
      </c>
      <c r="E68" s="219">
        <f>E138</f>
        <v>1</v>
      </c>
      <c r="F68" s="219" t="str">
        <f>F138</f>
        <v>…</v>
      </c>
      <c r="G68" s="219" t="str">
        <f>G138</f>
        <v>…</v>
      </c>
      <c r="H68" s="219">
        <v>8</v>
      </c>
      <c r="I68" s="219"/>
      <c r="J68" s="221">
        <f>'12 by-elections summary'!K26</f>
        <v>-4.6555555555555551E-2</v>
      </c>
      <c r="K68" s="221">
        <f>'12 by-elections summary'!L26</f>
        <v>3.9400000000000004E-2</v>
      </c>
      <c r="L68" s="221">
        <f>'12 by-elections summary'!M26</f>
        <v>7.6888911111111125E-2</v>
      </c>
      <c r="M68" s="221">
        <f>'12 by-elections summary'!N26</f>
        <v>5.7000000000000002E-2</v>
      </c>
      <c r="N68" s="221">
        <f>'12 by-elections summary'!O26</f>
        <v>-6.5899999999999986E-2</v>
      </c>
      <c r="O68" s="974"/>
      <c r="P68" s="222">
        <f>'12 by-elections summary'!Q26</f>
        <v>0.44069999999999998</v>
      </c>
    </row>
    <row r="69" spans="1:21">
      <c r="A69" s="101">
        <v>18</v>
      </c>
      <c r="B69" s="216" t="s">
        <v>1528</v>
      </c>
      <c r="C69" s="219">
        <v>-3</v>
      </c>
      <c r="D69" s="219" t="s">
        <v>246</v>
      </c>
      <c r="E69" s="219" t="s">
        <v>246</v>
      </c>
      <c r="F69" s="219" t="s">
        <v>246</v>
      </c>
      <c r="G69" s="220">
        <v>3</v>
      </c>
      <c r="H69" s="219">
        <v>13</v>
      </c>
      <c r="I69" s="219"/>
      <c r="J69" s="221">
        <v>-6.3974756014585396E-2</v>
      </c>
      <c r="K69" s="221">
        <v>5.3756201374032524E-2</v>
      </c>
      <c r="L69" s="221">
        <v>-7.6364185838350446E-2</v>
      </c>
      <c r="M69" s="221">
        <v>1.0999999999999999E-2</v>
      </c>
      <c r="N69" s="221">
        <v>0.17901014180050576</v>
      </c>
      <c r="O69" s="974"/>
      <c r="P69" s="222">
        <v>0.3964584875346418</v>
      </c>
    </row>
    <row r="70" spans="1:21">
      <c r="A70" s="101">
        <v>17</v>
      </c>
      <c r="B70" s="216" t="s">
        <v>1182</v>
      </c>
      <c r="C70" s="110" t="s">
        <v>246</v>
      </c>
      <c r="D70" s="110">
        <v>-1</v>
      </c>
      <c r="E70" s="213">
        <v>1</v>
      </c>
      <c r="F70" s="110" t="s">
        <v>246</v>
      </c>
      <c r="G70" s="110" t="s">
        <v>246</v>
      </c>
      <c r="H70" s="158">
        <v>9</v>
      </c>
      <c r="I70" s="158"/>
      <c r="J70" s="217">
        <v>2.6473005909755605E-2</v>
      </c>
      <c r="K70" s="217">
        <v>-0.10392307692307692</v>
      </c>
      <c r="L70" s="217">
        <v>1.9615384615384614E-2</v>
      </c>
      <c r="M70" s="217">
        <v>4.3461538461538468E-2</v>
      </c>
      <c r="N70" s="217">
        <v>5.2536035102325233E-2</v>
      </c>
      <c r="O70" s="974"/>
      <c r="P70" s="214">
        <v>0.48807692307692307</v>
      </c>
    </row>
    <row r="71" spans="1:21">
      <c r="A71" s="101">
        <v>16</v>
      </c>
      <c r="B71" s="216" t="s">
        <v>1181</v>
      </c>
      <c r="C71" s="110" t="s">
        <v>246</v>
      </c>
      <c r="D71" s="110">
        <v>-2</v>
      </c>
      <c r="E71" s="213">
        <v>2</v>
      </c>
      <c r="F71" s="110" t="s">
        <v>246</v>
      </c>
      <c r="G71" s="110" t="s">
        <v>246</v>
      </c>
      <c r="H71" s="158">
        <v>4</v>
      </c>
      <c r="I71" s="158"/>
      <c r="J71" s="217">
        <v>-4.1500000000000002E-2</v>
      </c>
      <c r="K71" s="217">
        <v>-0.19766666666666666</v>
      </c>
      <c r="L71" s="217">
        <v>0.158</v>
      </c>
      <c r="M71" s="217">
        <v>1.1333333333333334E-2</v>
      </c>
      <c r="N71" s="217">
        <v>6.9833333333333344E-2</v>
      </c>
      <c r="O71" s="974"/>
      <c r="P71" s="214">
        <v>0.39300000000000002</v>
      </c>
    </row>
    <row r="72" spans="1:21">
      <c r="A72" s="101">
        <v>15</v>
      </c>
      <c r="B72" s="216" t="s">
        <v>233</v>
      </c>
      <c r="C72" s="213">
        <v>-2</v>
      </c>
      <c r="D72" s="213">
        <v>1</v>
      </c>
      <c r="E72" s="213">
        <v>2</v>
      </c>
      <c r="F72" s="110" t="s">
        <v>246</v>
      </c>
      <c r="G72" s="213">
        <v>-1</v>
      </c>
      <c r="H72" s="158">
        <v>14</v>
      </c>
      <c r="I72" s="158"/>
      <c r="J72" s="217">
        <f>SUM('13 by-elections list OLD'!E511:E529)/15</f>
        <v>-6.0424399489096827E-3</v>
      </c>
      <c r="K72" s="217">
        <f>SUM('13 by-elections list OLD'!F511:F529)/15</f>
        <v>1.9870054678272842E-2</v>
      </c>
      <c r="L72" s="217">
        <f>SUM('13 by-elections list OLD'!G511:G529)/15</f>
        <v>-3.5088660537133699E-2</v>
      </c>
      <c r="M72" s="217">
        <f>SUM('13 by-elections list OLD'!H511:H529)/15</f>
        <v>7.4666666666666666E-3</v>
      </c>
      <c r="N72" s="217">
        <f>SUM('13 by-elections list OLD'!I511:I529)/15</f>
        <v>0.14021353192624478</v>
      </c>
      <c r="O72" s="974"/>
      <c r="P72" s="214">
        <f>SUM('13 by-elections list OLD'!K511:K529)/15</f>
        <v>0.29257970806435424</v>
      </c>
    </row>
    <row r="73" spans="1:21">
      <c r="A73" s="101">
        <v>14</v>
      </c>
      <c r="B73" s="216" t="s">
        <v>232</v>
      </c>
      <c r="C73" s="213">
        <v>-8</v>
      </c>
      <c r="D73" s="213">
        <v>3</v>
      </c>
      <c r="E73" s="213">
        <v>4</v>
      </c>
      <c r="F73" s="213">
        <v>1</v>
      </c>
      <c r="G73" s="110" t="s">
        <v>246</v>
      </c>
      <c r="H73" s="158">
        <v>9</v>
      </c>
      <c r="I73" s="158"/>
      <c r="J73" s="217">
        <f>SUM('13 by-elections list OLD'!E491:E507)/17</f>
        <v>-3.8155205588408535E-2</v>
      </c>
      <c r="K73" s="217">
        <f>SUM('13 by-elections list OLD'!F491:F507)/17</f>
        <v>9.5184613427413724E-3</v>
      </c>
      <c r="L73" s="217">
        <f>SUM('13 by-elections list OLD'!G491:G507)/17</f>
        <v>-5.9969064905694418E-2</v>
      </c>
      <c r="M73" s="217">
        <f>SUM('13 by-elections list OLD'!H491:H507)/17</f>
        <v>3.5352941176470594E-2</v>
      </c>
      <c r="N73" s="217">
        <f>SUM('13 by-elections list OLD'!I491:I507)/17</f>
        <v>8.2318605219423399E-2</v>
      </c>
      <c r="O73" s="974"/>
      <c r="P73" s="214">
        <f>SUM('13 by-elections list OLD'!K491:K507)/17</f>
        <v>0.30832258082423442</v>
      </c>
    </row>
    <row r="74" spans="1:21">
      <c r="A74" s="101">
        <v>13</v>
      </c>
      <c r="B74" s="216" t="s">
        <v>231</v>
      </c>
      <c r="C74" s="213">
        <v>-7</v>
      </c>
      <c r="D74" s="213">
        <v>3</v>
      </c>
      <c r="E74" s="213">
        <v>3</v>
      </c>
      <c r="F74" s="213">
        <v>1</v>
      </c>
      <c r="G74" s="110" t="s">
        <v>246</v>
      </c>
      <c r="H74" s="158">
        <v>15</v>
      </c>
      <c r="I74" s="158"/>
      <c r="J74" s="217">
        <f>SUM('13 by-elections list OLD'!E465:E487)/23</f>
        <v>-1.6782608695652176E-2</v>
      </c>
      <c r="K74" s="217">
        <f>SUM('13 by-elections list OLD'!F465:F487)/23</f>
        <v>-9.7173913043478249E-2</v>
      </c>
      <c r="L74" s="217">
        <f>SUM('13 by-elections list OLD'!G465:G487)/23</f>
        <v>6.2478260869565212E-2</v>
      </c>
      <c r="M74" s="217">
        <f>SUM('13 by-elections list OLD'!H465:H487)/23</f>
        <v>1.926086956521739E-2</v>
      </c>
      <c r="N74" s="217">
        <f>SUM('13 by-elections list OLD'!I465:I487)/23</f>
        <v>3.2260869565217398E-2</v>
      </c>
      <c r="O74" s="974"/>
      <c r="P74" s="214">
        <f>SUM('13 by-elections list OLD'!K465:K487)/23</f>
        <v>0.29160869565217401</v>
      </c>
    </row>
    <row r="75" spans="1:21">
      <c r="A75" s="101">
        <v>12</v>
      </c>
      <c r="B75" s="216" t="s">
        <v>230</v>
      </c>
      <c r="C75" s="213">
        <v>-4</v>
      </c>
      <c r="D75" s="110" t="s">
        <v>246</v>
      </c>
      <c r="E75" s="213">
        <v>4</v>
      </c>
      <c r="F75" s="110" t="s">
        <v>246</v>
      </c>
      <c r="G75" s="110" t="s">
        <v>246</v>
      </c>
      <c r="H75" s="158">
        <v>11</v>
      </c>
      <c r="I75" s="158"/>
      <c r="J75" s="217">
        <f>SUM('13 by-elections list OLD'!E446:E461)/16</f>
        <v>-5.2690165210266919E-2</v>
      </c>
      <c r="K75" s="217">
        <f>SUM('13 by-elections list OLD'!F446:F461)/16</f>
        <v>-1.5989654931081503E-2</v>
      </c>
      <c r="L75" s="217">
        <f>SUM('13 by-elections list OLD'!G446:G461)/16</f>
        <v>2.182255763197298E-2</v>
      </c>
      <c r="M75" s="217">
        <f>SUM('13 by-elections list OLD'!H446:H461)/16</f>
        <v>1.59375E-2</v>
      </c>
      <c r="N75" s="217">
        <f>SUM('13 by-elections list OLD'!I446:I461)/16</f>
        <v>3.0919762509375431E-2</v>
      </c>
      <c r="O75" s="974"/>
      <c r="P75" s="214">
        <f>SUM('13 by-elections list OLD'!K446:K461)/16</f>
        <v>0.38645330417517193</v>
      </c>
    </row>
    <row r="76" spans="1:21">
      <c r="A76" s="101">
        <v>11</v>
      </c>
      <c r="B76" s="216" t="s">
        <v>229</v>
      </c>
      <c r="C76" s="213">
        <v>-3</v>
      </c>
      <c r="D76" s="213">
        <v>1</v>
      </c>
      <c r="E76" s="213">
        <v>4</v>
      </c>
      <c r="F76" s="110" t="s">
        <v>246</v>
      </c>
      <c r="G76" s="213">
        <v>-2</v>
      </c>
      <c r="H76" s="158">
        <v>11</v>
      </c>
      <c r="I76" s="158"/>
      <c r="J76" s="217">
        <f>SUM('13 by-elections list OLD'!E426:E442)/17</f>
        <v>-0.14474793707488759</v>
      </c>
      <c r="K76" s="217">
        <f>SUM('13 by-elections list OLD'!F426:F442)/17</f>
        <v>2.0016183570764096E-2</v>
      </c>
      <c r="L76" s="217">
        <f>SUM('13 by-elections list OLD'!G426:G442)/17</f>
        <v>7.3150415674999691E-2</v>
      </c>
      <c r="M76" s="217">
        <f>SUM('13 by-elections list OLD'!H426:H442)/17</f>
        <v>1.8470588235294117E-2</v>
      </c>
      <c r="N76" s="217">
        <f>SUM('13 by-elections list OLD'!I426:I442)/17</f>
        <v>3.3051926064417925E-2</v>
      </c>
      <c r="O76" s="974"/>
      <c r="P76" s="214">
        <f>SUM('13 by-elections list OLD'!K426:K442)/17</f>
        <v>0.45717815948232288</v>
      </c>
    </row>
    <row r="77" spans="1:21">
      <c r="A77" s="101">
        <v>10</v>
      </c>
      <c r="B77" s="216" t="s">
        <v>1180</v>
      </c>
      <c r="C77" s="213">
        <v>6</v>
      </c>
      <c r="D77" s="213">
        <v>-6</v>
      </c>
      <c r="E77" s="213">
        <v>1</v>
      </c>
      <c r="F77" s="110" t="s">
        <v>246</v>
      </c>
      <c r="G77" s="213">
        <v>-1</v>
      </c>
      <c r="H77" s="158">
        <v>23</v>
      </c>
      <c r="I77" s="158"/>
      <c r="J77" s="217">
        <f>SUM('13 by-elections list OLD'!E393:E422)/30</f>
        <v>-0.11659999999999997</v>
      </c>
      <c r="K77" s="217">
        <f>SUM('13 by-elections list OLD'!F393:F422)/30</f>
        <v>9.300000000000001E-3</v>
      </c>
      <c r="L77" s="217">
        <f>SUM('13 by-elections list OLD'!G393:G422)/30</f>
        <v>3.0566666666666652E-2</v>
      </c>
      <c r="M77" s="217">
        <f>SUM('13 by-elections list OLD'!H393:H422)/30</f>
        <v>3.266666666666667E-2</v>
      </c>
      <c r="N77" s="217">
        <f>SUM('13 by-elections list OLD'!I393:I422)/30</f>
        <v>4.4066666666666657E-2</v>
      </c>
      <c r="O77" s="974"/>
      <c r="P77" s="214">
        <f>SUM('13 by-elections list OLD'!K393:K422)/30</f>
        <v>0.52690000000000015</v>
      </c>
    </row>
    <row r="78" spans="1:21">
      <c r="A78" s="101">
        <v>9</v>
      </c>
      <c r="B78" s="174">
        <v>1974</v>
      </c>
      <c r="C78" s="110" t="s">
        <v>246</v>
      </c>
      <c r="D78" s="110" t="s">
        <v>246</v>
      </c>
      <c r="E78" s="110" t="s">
        <v>246</v>
      </c>
      <c r="F78" s="110" t="s">
        <v>246</v>
      </c>
      <c r="G78" s="110" t="s">
        <v>246</v>
      </c>
      <c r="H78" s="158">
        <v>1</v>
      </c>
      <c r="I78" s="158"/>
      <c r="J78" s="217">
        <f>SUM('13 by-elections list OLD'!E389)</f>
        <v>-0.128</v>
      </c>
      <c r="K78" s="217">
        <f>SUM('13 by-elections list OLD'!F389)</f>
        <v>-5.8999999999999997E-2</v>
      </c>
      <c r="L78" s="217">
        <f>SUM('13 by-elections list OLD'!G389)</f>
        <v>0.16700000000000001</v>
      </c>
      <c r="M78" s="218" t="s">
        <v>396</v>
      </c>
      <c r="N78" s="217">
        <f>SUM('13 by-elections list OLD'!I389)</f>
        <v>0.02</v>
      </c>
      <c r="O78" s="974"/>
      <c r="P78" s="214">
        <f>SUM('13 by-elections list OLD'!K389)</f>
        <v>0.55700000000000005</v>
      </c>
    </row>
    <row r="79" spans="1:21">
      <c r="A79" s="101">
        <v>8</v>
      </c>
      <c r="B79" s="216" t="s">
        <v>1179</v>
      </c>
      <c r="C79" s="213">
        <v>-5</v>
      </c>
      <c r="D79" s="110" t="s">
        <v>246</v>
      </c>
      <c r="E79" s="213">
        <v>5</v>
      </c>
      <c r="F79" s="213">
        <v>1</v>
      </c>
      <c r="G79" s="213">
        <v>-1</v>
      </c>
      <c r="H79" s="158">
        <v>20</v>
      </c>
      <c r="I79" s="158"/>
      <c r="J79" s="217">
        <f>SUM('13 by-elections list OLD'!E356:E385)/30</f>
        <v>-3.8766666666666658E-2</v>
      </c>
      <c r="K79" s="217">
        <f>SUM('13 by-elections list OLD'!F356:F385)/30</f>
        <v>-7.4200000000000016E-2</v>
      </c>
      <c r="L79" s="217">
        <f>SUM('13 by-elections list OLD'!G356:G385)/30</f>
        <v>9.4866666666666655E-2</v>
      </c>
      <c r="M79" s="217">
        <f>SUM('13 by-elections list OLD'!H356:H385)/30</f>
        <v>5.6999999999999993E-3</v>
      </c>
      <c r="N79" s="217">
        <f>SUM('13 by-elections list OLD'!I356:I385)/30</f>
        <v>1.2400000000000001E-2</v>
      </c>
      <c r="O79" s="974"/>
      <c r="P79" s="214">
        <f>SUM('13 by-elections list OLD'!K356:K385)/30</f>
        <v>0.51973333333333338</v>
      </c>
    </row>
    <row r="80" spans="1:21">
      <c r="A80" s="101">
        <v>7</v>
      </c>
      <c r="B80" s="216" t="s">
        <v>228</v>
      </c>
      <c r="C80" s="213">
        <v>11</v>
      </c>
      <c r="D80" s="213">
        <v>-15</v>
      </c>
      <c r="E80" s="213">
        <v>1</v>
      </c>
      <c r="F80" s="213">
        <v>2</v>
      </c>
      <c r="G80" s="213">
        <v>1</v>
      </c>
      <c r="H80" s="158">
        <v>22</v>
      </c>
      <c r="I80" s="158"/>
      <c r="J80" s="217">
        <f>SUM('13 by-elections list OLD'!E316:E352)/37</f>
        <v>-6.3513513513513611E-3</v>
      </c>
      <c r="K80" s="217">
        <f>SUM('13 by-elections list OLD'!F316:F352)/37</f>
        <v>-0.1026756756756757</v>
      </c>
      <c r="L80" s="217">
        <f>SUM('13 by-elections list OLD'!G316:G352)/37</f>
        <v>3.5513513513513527E-2</v>
      </c>
      <c r="M80" s="217">
        <f>SUM('13 by-elections list OLD'!H316:H352)/37</f>
        <v>1.9405405405405404E-2</v>
      </c>
      <c r="N80" s="217">
        <f>SUM('13 by-elections list OLD'!I316:I352)/37</f>
        <v>5.4108108108108101E-2</v>
      </c>
      <c r="O80" s="974"/>
      <c r="P80" s="214">
        <f>SUM('13 by-elections list OLD'!K316:K352)/37</f>
        <v>0.47737837837837821</v>
      </c>
    </row>
    <row r="81" spans="1:29">
      <c r="A81" s="101">
        <v>6</v>
      </c>
      <c r="B81" s="216" t="s">
        <v>227</v>
      </c>
      <c r="C81" s="110" t="s">
        <v>246</v>
      </c>
      <c r="D81" s="213">
        <v>-1</v>
      </c>
      <c r="E81" s="213">
        <v>1</v>
      </c>
      <c r="F81" s="110" t="s">
        <v>246</v>
      </c>
      <c r="G81" s="110" t="s">
        <v>246</v>
      </c>
      <c r="H81" s="158">
        <v>11</v>
      </c>
      <c r="I81" s="158"/>
      <c r="J81" s="217">
        <f>SUM('13 by-elections list OLD'!E300:E312)/13</f>
        <v>-4.8230769230769223E-2</v>
      </c>
      <c r="K81" s="217">
        <f>SUM('13 by-elections list OLD'!F300:F312)/13</f>
        <v>5.8538461538461539E-2</v>
      </c>
      <c r="L81" s="217">
        <f>SUM('13 by-elections list OLD'!G300:G312)/13</f>
        <v>-3.5384615384615389E-3</v>
      </c>
      <c r="M81" s="217">
        <f>SUM('13 by-elections list OLD'!H300:H312)/13</f>
        <v>3.653846153846154E-2</v>
      </c>
      <c r="N81" s="217">
        <f>SUM('13 by-elections list OLD'!I300:I312)/13</f>
        <v>-4.3307692307692311E-2</v>
      </c>
      <c r="O81" s="974"/>
      <c r="P81" s="214">
        <f>SUM('13 by-elections list OLD'!K300:K312)/13</f>
        <v>0.52899999999999991</v>
      </c>
    </row>
    <row r="82" spans="1:29">
      <c r="A82" s="101">
        <v>5</v>
      </c>
      <c r="B82" s="216" t="s">
        <v>226</v>
      </c>
      <c r="C82" s="213">
        <v>-5</v>
      </c>
      <c r="D82" s="213">
        <v>4</v>
      </c>
      <c r="E82" s="213">
        <v>1</v>
      </c>
      <c r="F82" s="110" t="s">
        <v>246</v>
      </c>
      <c r="G82" s="110" t="s">
        <v>246</v>
      </c>
      <c r="H82" s="158">
        <v>54</v>
      </c>
      <c r="I82" s="158"/>
      <c r="J82" s="217">
        <f>SUM('13 by-elections list OLD'!E236:E296)/61</f>
        <v>4.1065573770491817E-2</v>
      </c>
      <c r="K82" s="217">
        <f>SUM('13 by-elections list OLD'!F236:F296)/61</f>
        <v>-0.10436065573770495</v>
      </c>
      <c r="L82" s="217">
        <f>SUM('13 by-elections list OLD'!G236:G296)/61</f>
        <v>2.2540983606557378E-2</v>
      </c>
      <c r="M82" s="217">
        <f>SUM('13 by-elections list OLD'!H236:H296)/61</f>
        <v>3.3967213114754098E-2</v>
      </c>
      <c r="N82" s="217">
        <f>SUM('13 by-elections list OLD'!I236:I296)/61</f>
        <v>1.031147540983607E-2</v>
      </c>
      <c r="O82" s="974"/>
      <c r="P82" s="214">
        <f>SUM('13 by-elections list OLD'!K236:K296)/61</f>
        <v>0.54559016393442616</v>
      </c>
    </row>
    <row r="83" spans="1:29">
      <c r="A83" s="101">
        <v>4</v>
      </c>
      <c r="B83" s="216" t="s">
        <v>225</v>
      </c>
      <c r="C83" s="213">
        <v>-2</v>
      </c>
      <c r="D83" s="213">
        <v>4</v>
      </c>
      <c r="E83" s="110" t="s">
        <v>246</v>
      </c>
      <c r="F83" s="110" t="s">
        <v>246</v>
      </c>
      <c r="G83" s="213">
        <v>-2</v>
      </c>
      <c r="H83" s="158">
        <v>34</v>
      </c>
      <c r="I83" s="158"/>
      <c r="J83" s="217">
        <f>SUM('13 by-elections list OLD'!E184:E232)/49</f>
        <v>-0.15495918367346939</v>
      </c>
      <c r="K83" s="217">
        <f>SUM('13 by-elections list OLD'!F184:F232)/49</f>
        <v>-2.4204081632653082E-2</v>
      </c>
      <c r="L83" s="217">
        <f>SUM('13 by-elections list OLD'!G184:G232)/49</f>
        <v>0.14795918367346936</v>
      </c>
      <c r="M83" s="217">
        <f>SUM('13 by-elections list OLD'!H184:H232)/49</f>
        <v>1.2387755102040815E-2</v>
      </c>
      <c r="N83" s="217">
        <f>SUM('13 by-elections list OLD'!I184:I232)/49</f>
        <v>1.8816326530612246E-2</v>
      </c>
      <c r="O83" s="974"/>
      <c r="P83" s="214">
        <f>SUM('13 by-elections list OLD'!K184:K232)/49</f>
        <v>0.62826530612244902</v>
      </c>
    </row>
    <row r="84" spans="1:29">
      <c r="A84" s="101">
        <v>3</v>
      </c>
      <c r="B84" s="216" t="s">
        <v>224</v>
      </c>
      <c r="C84" s="213">
        <v>1</v>
      </c>
      <c r="D84" s="213">
        <v>-1</v>
      </c>
      <c r="E84" s="110" t="s">
        <v>246</v>
      </c>
      <c r="F84" s="110" t="s">
        <v>246</v>
      </c>
      <c r="G84" s="110" t="s">
        <v>246</v>
      </c>
      <c r="H84" s="158">
        <v>43</v>
      </c>
      <c r="I84" s="158"/>
      <c r="J84" s="217">
        <f>SUM('13 by-elections list OLD'!E137:E180)/44</f>
        <v>-8.6074999999999999E-2</v>
      </c>
      <c r="K84" s="217">
        <f>SUM('13 by-elections list OLD'!F137:F180)/44</f>
        <v>5.5681818181818202E-3</v>
      </c>
      <c r="L84" s="217">
        <f>SUM('13 by-elections list OLD'!G137:G180)/44</f>
        <v>6.6727272727272732E-2</v>
      </c>
      <c r="M84" s="217">
        <f>SUM('13 by-elections list OLD'!H137:H180)/44</f>
        <v>3.113636363636364E-3</v>
      </c>
      <c r="N84" s="217">
        <f>SUM('13 by-elections list OLD'!I137:I180)/44</f>
        <v>1.065909090909091E-2</v>
      </c>
      <c r="O84" s="974"/>
      <c r="P84" s="214">
        <f>SUM('13 by-elections list OLD'!K137:K180)/44</f>
        <v>0.60618181818181827</v>
      </c>
    </row>
    <row r="85" spans="1:29">
      <c r="A85" s="101">
        <v>2</v>
      </c>
      <c r="B85" s="216" t="s">
        <v>223</v>
      </c>
      <c r="C85" s="110" t="s">
        <v>246</v>
      </c>
      <c r="D85" s="110" t="s">
        <v>246</v>
      </c>
      <c r="E85" s="110" t="s">
        <v>246</v>
      </c>
      <c r="F85" s="110" t="s">
        <v>246</v>
      </c>
      <c r="G85" s="110" t="s">
        <v>246</v>
      </c>
      <c r="H85" s="158">
        <v>14</v>
      </c>
      <c r="I85" s="158"/>
      <c r="J85" s="217">
        <f>SUM('13 by-elections list OLD'!E120:E133)/14</f>
        <v>-2.7428571428571431E-2</v>
      </c>
      <c r="K85" s="217">
        <f>SUM('13 by-elections list OLD'!F120:F133)/14</f>
        <v>2.5714285714285717E-3</v>
      </c>
      <c r="L85" s="217">
        <f>SUM('13 by-elections list OLD'!G120:G133)/14</f>
        <v>1.9357142857142857E-2</v>
      </c>
      <c r="M85" s="217">
        <f>SUM('13 by-elections list OLD'!H120:H133)/14</f>
        <v>5.4999999999999997E-3</v>
      </c>
      <c r="N85" s="217">
        <f>SUM('13 by-elections list OLD'!I120:I133)/14</f>
        <v>0</v>
      </c>
      <c r="O85" s="974"/>
      <c r="P85" s="214">
        <f>SUM('13 by-elections list OLD'!K120:K133)/14</f>
        <v>0.44335714285714284</v>
      </c>
    </row>
    <row r="86" spans="1:29">
      <c r="A86" s="101">
        <v>1</v>
      </c>
      <c r="B86" s="212" t="s">
        <v>222</v>
      </c>
      <c r="C86" s="213">
        <v>4</v>
      </c>
      <c r="D86" s="213">
        <v>-1</v>
      </c>
      <c r="E86" s="110" t="s">
        <v>246</v>
      </c>
      <c r="F86" s="110" t="s">
        <v>246</v>
      </c>
      <c r="G86" s="213">
        <v>-3</v>
      </c>
      <c r="H86" s="158">
        <v>45</v>
      </c>
      <c r="I86" s="158"/>
      <c r="J86" s="214">
        <f>SUM('13 by-elections list OLD'!E67:E116)/45</f>
        <v>1.8577777777777783E-2</v>
      </c>
      <c r="K86" s="214">
        <f>SUM('13 by-elections list OLD'!F67:F116)/45</f>
        <v>-9.5999999999999992E-3</v>
      </c>
      <c r="L86" s="214">
        <f>SUM('13 by-elections list OLD'!G67:G116)/45</f>
        <v>-1.5155555555555559E-2</v>
      </c>
      <c r="M86" s="214">
        <f>SUM('13 by-elections list OLD'!H67:H116)/45</f>
        <v>3.8444444444444442E-3</v>
      </c>
      <c r="N86" s="214">
        <f>SUM('13 by-elections list OLD'!I67:I116)/45</f>
        <v>2.9999999999999996E-3</v>
      </c>
      <c r="O86" s="975"/>
      <c r="P86" s="214">
        <f>SUM('13 by-elections list OLD'!K67:K116)/45</f>
        <v>0.63406666666666689</v>
      </c>
    </row>
    <row r="87" spans="1:29">
      <c r="B87" s="136"/>
      <c r="C87" s="136"/>
      <c r="D87" s="136"/>
      <c r="E87" s="136"/>
      <c r="F87" s="136"/>
      <c r="G87" s="136"/>
      <c r="H87" s="136" t="s">
        <v>221</v>
      </c>
      <c r="I87" s="136"/>
      <c r="J87" s="136"/>
      <c r="K87" s="136"/>
      <c r="L87" s="136"/>
      <c r="M87" s="136"/>
      <c r="N87" s="136"/>
      <c r="O87" s="976"/>
      <c r="P87" s="136"/>
      <c r="Q87" s="136"/>
    </row>
    <row r="89" spans="1:29" ht="19.5" customHeight="1">
      <c r="T89" s="3394" t="s">
        <v>2906</v>
      </c>
      <c r="U89" s="3395"/>
      <c r="V89" s="3395"/>
      <c r="W89" s="3395"/>
      <c r="X89" s="3395"/>
      <c r="Y89" s="3395"/>
      <c r="Z89" s="3395"/>
      <c r="AA89" s="3395"/>
      <c r="AB89" s="3395"/>
      <c r="AC89" s="3395"/>
    </row>
    <row r="90" spans="1:29" ht="15" customHeight="1">
      <c r="T90" s="3396" t="s">
        <v>2907</v>
      </c>
      <c r="U90" s="3395"/>
      <c r="V90" s="3395"/>
      <c r="W90" s="3395"/>
      <c r="X90" s="3395"/>
      <c r="Y90" s="3395"/>
      <c r="Z90" s="3395"/>
      <c r="AA90" s="3395"/>
      <c r="AB90" s="3395"/>
      <c r="AC90" s="3395"/>
    </row>
    <row r="117" spans="1:27">
      <c r="N117" s="379"/>
      <c r="O117" s="379"/>
      <c r="P117" s="379"/>
    </row>
    <row r="118" spans="1:27">
      <c r="B118" s="143"/>
      <c r="C118" s="103" t="s">
        <v>698</v>
      </c>
      <c r="D118" s="103" t="s">
        <v>699</v>
      </c>
      <c r="E118" s="103" t="s">
        <v>827</v>
      </c>
      <c r="F118" s="103" t="s">
        <v>218</v>
      </c>
      <c r="G118" s="103" t="s">
        <v>12</v>
      </c>
      <c r="H118" s="211" t="s">
        <v>1168</v>
      </c>
      <c r="N118" s="379"/>
      <c r="O118" s="379"/>
      <c r="P118" s="379"/>
    </row>
    <row r="119" spans="1:27">
      <c r="B119" s="143"/>
      <c r="C119" s="110"/>
      <c r="D119" s="110"/>
      <c r="E119" s="110"/>
      <c r="F119" s="110"/>
      <c r="G119" s="110"/>
      <c r="H119" s="158"/>
      <c r="N119" s="379"/>
      <c r="O119" s="379"/>
      <c r="P119" s="379"/>
    </row>
    <row r="120" spans="1:27">
      <c r="A120" s="101">
        <v>19</v>
      </c>
      <c r="B120" s="212" t="s">
        <v>222</v>
      </c>
      <c r="C120" s="213">
        <v>4</v>
      </c>
      <c r="D120" s="213">
        <v>-1</v>
      </c>
      <c r="E120" s="110" t="s">
        <v>246</v>
      </c>
      <c r="F120" s="110" t="s">
        <v>246</v>
      </c>
      <c r="G120" s="213">
        <v>-3</v>
      </c>
      <c r="H120" s="158">
        <v>45</v>
      </c>
      <c r="N120" s="379"/>
      <c r="O120" s="379"/>
      <c r="P120" s="379"/>
      <c r="R120" s="101" t="s">
        <v>2073</v>
      </c>
    </row>
    <row r="121" spans="1:27">
      <c r="A121" s="101">
        <v>18</v>
      </c>
      <c r="B121" s="216" t="s">
        <v>223</v>
      </c>
      <c r="C121" s="110" t="s">
        <v>246</v>
      </c>
      <c r="D121" s="110" t="s">
        <v>246</v>
      </c>
      <c r="E121" s="110" t="s">
        <v>246</v>
      </c>
      <c r="F121" s="110" t="s">
        <v>246</v>
      </c>
      <c r="G121" s="110" t="s">
        <v>246</v>
      </c>
      <c r="H121" s="158">
        <v>14</v>
      </c>
      <c r="O121" s="379"/>
      <c r="P121" s="379"/>
      <c r="Q121" s="379"/>
      <c r="R121" s="379"/>
      <c r="S121" s="379"/>
      <c r="T121" s="379"/>
      <c r="U121" s="379"/>
      <c r="V121" s="379"/>
      <c r="W121" s="379"/>
      <c r="X121" s="379"/>
      <c r="Y121" s="379"/>
      <c r="Z121" s="379"/>
      <c r="AA121" s="379"/>
    </row>
    <row r="122" spans="1:27">
      <c r="A122" s="101">
        <v>17</v>
      </c>
      <c r="B122" s="216" t="s">
        <v>224</v>
      </c>
      <c r="C122" s="213">
        <v>1</v>
      </c>
      <c r="D122" s="213">
        <v>-1</v>
      </c>
      <c r="E122" s="110" t="s">
        <v>246</v>
      </c>
      <c r="F122" s="110" t="s">
        <v>246</v>
      </c>
      <c r="G122" s="110" t="s">
        <v>246</v>
      </c>
      <c r="H122" s="158">
        <v>43</v>
      </c>
      <c r="O122" s="379"/>
      <c r="P122" s="379"/>
      <c r="Q122" s="379"/>
      <c r="R122" s="379"/>
      <c r="S122" s="379"/>
      <c r="T122" s="379"/>
      <c r="U122" s="379"/>
      <c r="V122" s="379"/>
      <c r="W122" s="379"/>
      <c r="X122" s="379"/>
      <c r="Y122" s="379"/>
      <c r="Z122" s="379"/>
      <c r="AA122" s="379"/>
    </row>
    <row r="123" spans="1:27">
      <c r="A123" s="101">
        <v>16</v>
      </c>
      <c r="B123" s="216" t="s">
        <v>225</v>
      </c>
      <c r="C123" s="213">
        <v>-2</v>
      </c>
      <c r="D123" s="213">
        <v>4</v>
      </c>
      <c r="E123" s="110" t="s">
        <v>246</v>
      </c>
      <c r="F123" s="110" t="s">
        <v>246</v>
      </c>
      <c r="G123" s="213">
        <v>-2</v>
      </c>
      <c r="H123" s="158">
        <v>34</v>
      </c>
      <c r="O123" s="379"/>
      <c r="P123" s="379"/>
      <c r="Q123" s="379"/>
      <c r="R123" s="379"/>
      <c r="S123" s="379"/>
      <c r="T123" s="379"/>
      <c r="U123" s="379"/>
      <c r="V123" s="379"/>
      <c r="W123" s="379"/>
      <c r="X123" s="379"/>
      <c r="Y123" s="379"/>
      <c r="Z123" s="379"/>
      <c r="AA123" s="379"/>
    </row>
    <row r="124" spans="1:27">
      <c r="A124" s="101">
        <v>15</v>
      </c>
      <c r="B124" s="216" t="s">
        <v>226</v>
      </c>
      <c r="C124" s="213">
        <v>-5</v>
      </c>
      <c r="D124" s="213">
        <v>4</v>
      </c>
      <c r="E124" s="213">
        <v>1</v>
      </c>
      <c r="F124" s="110" t="s">
        <v>246</v>
      </c>
      <c r="G124" s="110" t="s">
        <v>246</v>
      </c>
      <c r="H124" s="158">
        <v>54</v>
      </c>
      <c r="O124" s="379"/>
      <c r="P124" s="379"/>
      <c r="Q124" s="379"/>
      <c r="R124" s="379"/>
      <c r="S124" s="379"/>
      <c r="T124" s="379"/>
      <c r="U124" s="379"/>
      <c r="V124" s="379"/>
      <c r="W124" s="379"/>
      <c r="X124" s="379"/>
      <c r="Y124" s="379"/>
      <c r="Z124" s="379"/>
      <c r="AA124" s="379"/>
    </row>
    <row r="125" spans="1:27">
      <c r="A125" s="101">
        <v>14</v>
      </c>
      <c r="B125" s="216" t="s">
        <v>227</v>
      </c>
      <c r="C125" s="110" t="s">
        <v>246</v>
      </c>
      <c r="D125" s="213">
        <v>-1</v>
      </c>
      <c r="E125" s="213">
        <v>1</v>
      </c>
      <c r="F125" s="110" t="s">
        <v>246</v>
      </c>
      <c r="G125" s="110" t="s">
        <v>246</v>
      </c>
      <c r="H125" s="158">
        <v>11</v>
      </c>
      <c r="O125" s="379"/>
      <c r="P125" s="379"/>
      <c r="Q125" s="379"/>
      <c r="R125" s="379"/>
      <c r="S125" s="379"/>
      <c r="T125" s="379"/>
      <c r="U125" s="379"/>
      <c r="V125" s="379"/>
      <c r="W125" s="379"/>
      <c r="X125" s="379"/>
      <c r="Y125" s="379"/>
      <c r="Z125" s="379"/>
      <c r="AA125" s="379"/>
    </row>
    <row r="126" spans="1:27">
      <c r="A126" s="101">
        <v>13</v>
      </c>
      <c r="B126" s="216" t="s">
        <v>228</v>
      </c>
      <c r="C126" s="213">
        <v>11</v>
      </c>
      <c r="D126" s="213">
        <v>-15</v>
      </c>
      <c r="E126" s="213">
        <v>1</v>
      </c>
      <c r="F126" s="213">
        <v>2</v>
      </c>
      <c r="G126" s="213">
        <v>1</v>
      </c>
      <c r="H126" s="158">
        <v>22</v>
      </c>
      <c r="O126" s="379"/>
      <c r="P126" s="379"/>
      <c r="Q126" s="379"/>
      <c r="R126" s="379"/>
      <c r="S126" s="379"/>
      <c r="T126" s="379"/>
      <c r="U126" s="379"/>
      <c r="V126" s="379"/>
      <c r="W126" s="379"/>
      <c r="X126" s="379"/>
      <c r="Y126" s="379"/>
      <c r="Z126" s="379"/>
      <c r="AA126" s="379"/>
    </row>
    <row r="127" spans="1:27">
      <c r="A127" s="101">
        <v>12</v>
      </c>
      <c r="B127" s="216" t="s">
        <v>1179</v>
      </c>
      <c r="C127" s="213">
        <v>-5</v>
      </c>
      <c r="D127" s="110" t="s">
        <v>246</v>
      </c>
      <c r="E127" s="213">
        <v>5</v>
      </c>
      <c r="F127" s="213">
        <v>1</v>
      </c>
      <c r="G127" s="213">
        <v>-1</v>
      </c>
      <c r="H127" s="158">
        <v>20</v>
      </c>
      <c r="O127" s="379"/>
      <c r="P127" s="379"/>
      <c r="Q127" s="379"/>
      <c r="R127" s="379"/>
      <c r="S127" s="379"/>
      <c r="T127" s="379"/>
      <c r="U127" s="379"/>
      <c r="V127" s="379"/>
      <c r="W127" s="379"/>
      <c r="X127" s="379"/>
      <c r="Y127" s="379"/>
      <c r="Z127" s="379"/>
      <c r="AA127" s="379"/>
    </row>
    <row r="128" spans="1:27">
      <c r="A128" s="101">
        <v>11</v>
      </c>
      <c r="B128" s="174">
        <v>1974</v>
      </c>
      <c r="C128" s="110" t="s">
        <v>246</v>
      </c>
      <c r="D128" s="110" t="s">
        <v>246</v>
      </c>
      <c r="E128" s="110" t="s">
        <v>246</v>
      </c>
      <c r="F128" s="110" t="s">
        <v>246</v>
      </c>
      <c r="G128" s="110" t="s">
        <v>246</v>
      </c>
      <c r="H128" s="158">
        <v>1</v>
      </c>
      <c r="O128" s="379"/>
      <c r="P128" s="379"/>
      <c r="Q128" s="379"/>
      <c r="R128" s="379"/>
      <c r="S128" s="379"/>
      <c r="T128" s="379"/>
      <c r="U128" s="379"/>
      <c r="V128" s="379"/>
      <c r="W128" s="379"/>
      <c r="X128" s="379"/>
      <c r="Y128" s="379"/>
      <c r="Z128" s="379"/>
      <c r="AA128" s="379"/>
    </row>
    <row r="129" spans="1:27">
      <c r="A129" s="101">
        <v>10</v>
      </c>
      <c r="B129" s="216" t="s">
        <v>1180</v>
      </c>
      <c r="C129" s="213">
        <v>6</v>
      </c>
      <c r="D129" s="213">
        <v>-6</v>
      </c>
      <c r="E129" s="213">
        <v>1</v>
      </c>
      <c r="F129" s="110" t="s">
        <v>246</v>
      </c>
      <c r="G129" s="213">
        <v>-1</v>
      </c>
      <c r="H129" s="158">
        <v>23</v>
      </c>
      <c r="O129" s="379"/>
      <c r="P129" s="379"/>
      <c r="Q129" s="379"/>
      <c r="R129" s="379"/>
      <c r="S129" s="379"/>
      <c r="T129" s="379"/>
      <c r="U129" s="379"/>
      <c r="V129" s="379"/>
      <c r="W129" s="379"/>
      <c r="X129" s="379"/>
      <c r="Y129" s="379"/>
      <c r="Z129" s="379"/>
      <c r="AA129" s="379"/>
    </row>
    <row r="130" spans="1:27">
      <c r="A130" s="101">
        <v>9</v>
      </c>
      <c r="B130" s="216" t="s">
        <v>229</v>
      </c>
      <c r="C130" s="213">
        <v>-3</v>
      </c>
      <c r="D130" s="213">
        <v>1</v>
      </c>
      <c r="E130" s="213">
        <v>4</v>
      </c>
      <c r="F130" s="110" t="s">
        <v>246</v>
      </c>
      <c r="G130" s="213">
        <v>-2</v>
      </c>
      <c r="H130" s="158">
        <v>11</v>
      </c>
      <c r="O130" s="379"/>
      <c r="P130" s="379"/>
      <c r="Q130" s="379"/>
      <c r="R130" s="379"/>
      <c r="S130" s="379"/>
      <c r="T130" s="379"/>
      <c r="U130" s="379"/>
      <c r="V130" s="379"/>
      <c r="W130" s="379"/>
      <c r="X130" s="379"/>
      <c r="Y130" s="379"/>
      <c r="Z130" s="379"/>
      <c r="AA130" s="379"/>
    </row>
    <row r="131" spans="1:27">
      <c r="A131" s="101">
        <v>8</v>
      </c>
      <c r="B131" s="216" t="s">
        <v>230</v>
      </c>
      <c r="C131" s="213">
        <v>-4</v>
      </c>
      <c r="D131" s="110" t="s">
        <v>246</v>
      </c>
      <c r="E131" s="213">
        <v>4</v>
      </c>
      <c r="F131" s="110" t="s">
        <v>246</v>
      </c>
      <c r="G131" s="110" t="s">
        <v>246</v>
      </c>
      <c r="H131" s="158">
        <v>11</v>
      </c>
      <c r="O131" s="379"/>
      <c r="P131" s="379"/>
      <c r="Q131" s="379"/>
      <c r="R131" s="379"/>
      <c r="S131" s="379"/>
      <c r="T131" s="379"/>
      <c r="U131" s="379"/>
      <c r="V131" s="379"/>
      <c r="W131" s="379"/>
      <c r="X131" s="379"/>
      <c r="Y131" s="379"/>
      <c r="Z131" s="379"/>
      <c r="AA131" s="379"/>
    </row>
    <row r="132" spans="1:27">
      <c r="A132" s="101">
        <v>7</v>
      </c>
      <c r="B132" s="216" t="s">
        <v>231</v>
      </c>
      <c r="C132" s="213">
        <v>-7</v>
      </c>
      <c r="D132" s="213">
        <v>3</v>
      </c>
      <c r="E132" s="213">
        <v>3</v>
      </c>
      <c r="F132" s="213">
        <v>1</v>
      </c>
      <c r="G132" s="110" t="s">
        <v>246</v>
      </c>
      <c r="H132" s="158">
        <v>15</v>
      </c>
      <c r="O132" s="379"/>
      <c r="P132" s="379"/>
      <c r="Q132" s="379"/>
      <c r="R132" s="379"/>
      <c r="S132" s="379"/>
      <c r="T132" s="379"/>
      <c r="U132" s="379"/>
      <c r="V132" s="379"/>
      <c r="W132" s="379"/>
      <c r="X132" s="379"/>
      <c r="Y132" s="379"/>
      <c r="Z132" s="379"/>
      <c r="AA132" s="379"/>
    </row>
    <row r="133" spans="1:27">
      <c r="A133" s="101">
        <v>6</v>
      </c>
      <c r="B133" s="216" t="s">
        <v>232</v>
      </c>
      <c r="C133" s="213">
        <v>-8</v>
      </c>
      <c r="D133" s="213">
        <v>3</v>
      </c>
      <c r="E133" s="213">
        <v>4</v>
      </c>
      <c r="F133" s="213">
        <v>1</v>
      </c>
      <c r="G133" s="110" t="s">
        <v>246</v>
      </c>
      <c r="H133" s="158">
        <v>9</v>
      </c>
      <c r="O133" s="379"/>
      <c r="P133" s="379"/>
      <c r="Q133" s="379"/>
      <c r="R133" s="379"/>
      <c r="S133" s="379"/>
      <c r="T133" s="379"/>
      <c r="U133" s="379"/>
      <c r="V133" s="379"/>
      <c r="W133" s="379"/>
      <c r="X133" s="379"/>
      <c r="Y133" s="379"/>
      <c r="Z133" s="379"/>
      <c r="AA133" s="379"/>
    </row>
    <row r="134" spans="1:27">
      <c r="A134" s="101">
        <v>5</v>
      </c>
      <c r="B134" s="216" t="s">
        <v>2908</v>
      </c>
      <c r="C134" s="213">
        <v>-2</v>
      </c>
      <c r="D134" s="213">
        <v>1</v>
      </c>
      <c r="E134" s="213">
        <v>2</v>
      </c>
      <c r="F134" s="110" t="s">
        <v>246</v>
      </c>
      <c r="G134" s="213">
        <v>-1</v>
      </c>
      <c r="H134" s="158">
        <v>14</v>
      </c>
      <c r="O134" s="379"/>
      <c r="P134" s="379"/>
      <c r="Q134" s="379"/>
      <c r="R134" s="379"/>
      <c r="S134" s="379"/>
      <c r="T134" s="379"/>
      <c r="U134" s="379"/>
      <c r="V134" s="379"/>
      <c r="W134" s="379"/>
      <c r="X134" s="379"/>
      <c r="Y134" s="379"/>
      <c r="Z134" s="379"/>
      <c r="AA134" s="379"/>
    </row>
    <row r="135" spans="1:27">
      <c r="A135" s="101">
        <v>4</v>
      </c>
      <c r="B135" s="216" t="s">
        <v>1181</v>
      </c>
      <c r="C135" s="110" t="s">
        <v>246</v>
      </c>
      <c r="D135" s="110">
        <v>-2</v>
      </c>
      <c r="E135" s="213">
        <v>2</v>
      </c>
      <c r="F135" s="110" t="s">
        <v>246</v>
      </c>
      <c r="G135" s="110" t="s">
        <v>246</v>
      </c>
      <c r="H135" s="158">
        <v>4</v>
      </c>
      <c r="O135" s="379"/>
      <c r="P135" s="379"/>
      <c r="Q135" s="379"/>
      <c r="R135" s="379"/>
      <c r="S135" s="379"/>
      <c r="T135" s="379"/>
      <c r="U135" s="379"/>
      <c r="V135" s="379"/>
      <c r="W135" s="379"/>
      <c r="X135" s="379"/>
      <c r="Y135" s="379"/>
      <c r="Z135" s="379"/>
      <c r="AA135" s="379"/>
    </row>
    <row r="136" spans="1:27">
      <c r="A136" s="101">
        <v>3</v>
      </c>
      <c r="B136" s="216" t="s">
        <v>1182</v>
      </c>
      <c r="C136" s="110" t="s">
        <v>246</v>
      </c>
      <c r="D136" s="110">
        <v>-1</v>
      </c>
      <c r="E136" s="213">
        <v>1</v>
      </c>
      <c r="F136" s="110" t="s">
        <v>246</v>
      </c>
      <c r="G136" s="110" t="s">
        <v>246</v>
      </c>
      <c r="H136" s="158">
        <v>9</v>
      </c>
      <c r="O136" s="379"/>
      <c r="P136" s="379"/>
      <c r="Q136" s="379"/>
      <c r="R136" s="379"/>
      <c r="S136" s="379"/>
      <c r="T136" s="379"/>
      <c r="U136" s="379"/>
      <c r="V136" s="379"/>
      <c r="W136" s="379"/>
      <c r="X136" s="379"/>
      <c r="Y136" s="379"/>
      <c r="Z136" s="379"/>
      <c r="AA136" s="379"/>
    </row>
    <row r="137" spans="1:27">
      <c r="A137" s="101">
        <v>2</v>
      </c>
      <c r="B137" s="216" t="s">
        <v>1528</v>
      </c>
      <c r="C137" s="219">
        <v>-3</v>
      </c>
      <c r="D137" s="219" t="s">
        <v>246</v>
      </c>
      <c r="E137" s="219" t="s">
        <v>246</v>
      </c>
      <c r="F137" s="219" t="s">
        <v>246</v>
      </c>
      <c r="G137" s="220">
        <v>3</v>
      </c>
      <c r="H137" s="219">
        <v>13</v>
      </c>
      <c r="O137" s="379"/>
      <c r="P137" s="379"/>
      <c r="Q137" s="379"/>
      <c r="R137" s="379"/>
      <c r="S137" s="379"/>
      <c r="T137" s="379"/>
      <c r="U137" s="379"/>
      <c r="V137" s="379"/>
      <c r="W137" s="379"/>
      <c r="X137" s="379"/>
      <c r="Y137" s="379"/>
      <c r="Z137" s="379"/>
      <c r="AA137" s="379"/>
    </row>
    <row r="138" spans="1:27">
      <c r="A138" s="101">
        <v>1</v>
      </c>
      <c r="B138" s="216" t="s">
        <v>1544</v>
      </c>
      <c r="C138" s="219" t="str">
        <f>'12 by-elections summary'!D26</f>
        <v>…</v>
      </c>
      <c r="D138" s="219">
        <v>-1</v>
      </c>
      <c r="E138" s="219">
        <f>'12 by-elections summary'!F26</f>
        <v>1</v>
      </c>
      <c r="F138" s="219" t="str">
        <f>'12 by-elections summary'!G26</f>
        <v>…</v>
      </c>
      <c r="G138" s="219" t="str">
        <f>'12 by-elections summary'!H26</f>
        <v>…</v>
      </c>
      <c r="H138" s="219">
        <f>'12 by-elections summary'!I26</f>
        <v>8</v>
      </c>
      <c r="O138" s="379"/>
      <c r="P138" s="379"/>
      <c r="Q138" s="379"/>
      <c r="R138" s="379"/>
      <c r="S138" s="379"/>
      <c r="T138" s="379"/>
      <c r="U138" s="379"/>
      <c r="V138" s="379"/>
      <c r="W138" s="379"/>
      <c r="X138" s="379"/>
      <c r="Y138" s="379"/>
      <c r="Z138" s="379"/>
      <c r="AA138" s="379"/>
    </row>
    <row r="139" spans="1:27">
      <c r="O139" s="379"/>
      <c r="P139" s="379"/>
      <c r="Q139" s="379"/>
      <c r="R139" s="379"/>
      <c r="S139" s="379"/>
      <c r="T139" s="379"/>
      <c r="U139" s="379"/>
      <c r="V139" s="379"/>
      <c r="W139" s="379"/>
      <c r="X139" s="379"/>
      <c r="Y139" s="379"/>
      <c r="Z139" s="379"/>
      <c r="AA139" s="379"/>
    </row>
    <row r="140" spans="1:27">
      <c r="O140" s="379"/>
      <c r="P140" s="379"/>
      <c r="Q140" s="379"/>
      <c r="R140" s="379"/>
      <c r="S140" s="379"/>
      <c r="T140" s="379"/>
      <c r="U140" s="379"/>
      <c r="V140" s="379"/>
      <c r="W140" s="379"/>
      <c r="X140" s="379"/>
      <c r="Y140" s="379"/>
      <c r="Z140" s="379"/>
      <c r="AA140" s="379"/>
    </row>
    <row r="141" spans="1:27">
      <c r="O141" s="379"/>
      <c r="P141" s="379"/>
      <c r="Q141" s="379"/>
      <c r="R141" s="379"/>
      <c r="S141" s="379"/>
      <c r="T141" s="379"/>
      <c r="U141" s="379"/>
      <c r="V141" s="379"/>
      <c r="W141" s="379"/>
      <c r="X141" s="379"/>
      <c r="Y141" s="379"/>
      <c r="Z141" s="379"/>
      <c r="AA141" s="379"/>
    </row>
    <row r="142" spans="1:27">
      <c r="O142" s="379"/>
      <c r="P142" s="379"/>
      <c r="Q142" s="379"/>
      <c r="R142" s="379"/>
      <c r="S142" s="379"/>
      <c r="T142" s="379"/>
      <c r="U142" s="379"/>
      <c r="V142" s="379"/>
      <c r="W142" s="379"/>
      <c r="X142" s="379"/>
      <c r="Y142" s="379"/>
      <c r="Z142" s="379"/>
      <c r="AA142" s="379"/>
    </row>
    <row r="143" spans="1:27">
      <c r="O143" s="379"/>
      <c r="P143" s="379"/>
      <c r="Q143" s="379"/>
      <c r="R143" s="379"/>
      <c r="S143" s="379"/>
      <c r="T143" s="379"/>
      <c r="U143" s="379"/>
      <c r="V143" s="379"/>
      <c r="W143" s="379"/>
      <c r="X143" s="379"/>
      <c r="Y143" s="379"/>
      <c r="Z143" s="379"/>
      <c r="AA143" s="379"/>
    </row>
  </sheetData>
  <mergeCells count="2">
    <mergeCell ref="C5:G5"/>
    <mergeCell ref="P64:P65"/>
  </mergeCells>
  <pageMargins left="0.75" right="0.75" top="1" bottom="1" header="0.5" footer="0.5"/>
  <pageSetup paperSize="9" orientation="portrait" r:id="rId1"/>
  <headerFooter alignWithMargins="0"/>
  <ignoredErrors>
    <ignoredError sqref="J76:N82 P74:P82 P83:P85 J86:P86 J83:O85" formulaRange="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3">
    <tabColor rgb="FFFF0000"/>
    <pageSetUpPr fitToPage="1"/>
  </sheetPr>
  <dimension ref="A1:Z1018"/>
  <sheetViews>
    <sheetView showGridLines="0" zoomScale="70" zoomScaleNormal="70" zoomScaleSheetLayoutView="100" workbookViewId="0">
      <pane ySplit="6" topLeftCell="A76" activePane="bottomLeft" state="frozen"/>
      <selection activeCell="O68" sqref="O68"/>
      <selection pane="bottomLeft" activeCell="C538" sqref="C538"/>
    </sheetView>
  </sheetViews>
  <sheetFormatPr baseColWidth="10" defaultColWidth="9.3984375" defaultRowHeight="13"/>
  <cols>
    <col min="1" max="1" width="13.796875" style="223" customWidth="1"/>
    <col min="2" max="2" width="39.19921875" style="223" customWidth="1"/>
    <col min="3" max="3" width="23.3984375" style="223" bestFit="1" customWidth="1"/>
    <col min="4" max="4" width="1.19921875" style="113" customWidth="1"/>
    <col min="5" max="9" width="9.796875" style="113" customWidth="1"/>
    <col min="10" max="10" width="1.19921875" style="113" customWidth="1"/>
    <col min="11" max="11" width="9.59765625" style="153" customWidth="1"/>
    <col min="12" max="12" width="11.3984375" style="113" customWidth="1"/>
    <col min="13" max="13" width="22.3984375" style="223" customWidth="1"/>
    <col min="14" max="14" width="14.796875" style="224" customWidth="1"/>
    <col min="15" max="26" width="9.3984375" style="223"/>
    <col min="27" max="16384" width="9.3984375" style="113"/>
  </cols>
  <sheetData>
    <row r="1" spans="1:26">
      <c r="A1" s="223" t="s">
        <v>149</v>
      </c>
    </row>
    <row r="3" spans="1:26" ht="17">
      <c r="A3" s="225" t="s">
        <v>1405</v>
      </c>
    </row>
    <row r="4" spans="1:26">
      <c r="A4" s="226"/>
    </row>
    <row r="5" spans="1:26">
      <c r="A5" s="227"/>
      <c r="B5" s="227"/>
      <c r="C5" s="227"/>
      <c r="D5" s="228"/>
      <c r="E5" s="229" t="s">
        <v>1165</v>
      </c>
      <c r="F5" s="229"/>
      <c r="G5" s="229"/>
      <c r="H5" s="229"/>
      <c r="I5" s="228"/>
      <c r="J5" s="228"/>
      <c r="K5" s="228"/>
    </row>
    <row r="6" spans="1:26">
      <c r="A6" s="230" t="s">
        <v>268</v>
      </c>
      <c r="B6" s="230" t="s">
        <v>269</v>
      </c>
      <c r="C6" s="230" t="s">
        <v>216</v>
      </c>
      <c r="D6" s="153"/>
      <c r="E6" s="115" t="s">
        <v>107</v>
      </c>
      <c r="F6" s="115" t="s">
        <v>53</v>
      </c>
      <c r="G6" s="115" t="s">
        <v>217</v>
      </c>
      <c r="H6" s="115" t="s">
        <v>218</v>
      </c>
      <c r="I6" s="116" t="s">
        <v>12</v>
      </c>
      <c r="J6" s="117"/>
      <c r="K6" s="115" t="s">
        <v>219</v>
      </c>
      <c r="L6" s="231" t="s">
        <v>1453</v>
      </c>
      <c r="M6" s="232" t="s">
        <v>1113</v>
      </c>
    </row>
    <row r="7" spans="1:26">
      <c r="A7" s="233"/>
      <c r="B7" s="233"/>
      <c r="C7" s="233"/>
      <c r="D7" s="153"/>
      <c r="E7" s="117"/>
      <c r="F7" s="117"/>
      <c r="G7" s="117"/>
      <c r="H7" s="117"/>
      <c r="I7" s="117"/>
      <c r="J7" s="117"/>
      <c r="K7" s="117"/>
      <c r="L7" s="153"/>
    </row>
    <row r="8" spans="1:26">
      <c r="A8" s="234" t="s">
        <v>1404</v>
      </c>
      <c r="B8" s="233"/>
      <c r="C8" s="233"/>
      <c r="D8" s="153"/>
      <c r="E8" s="117"/>
      <c r="F8" s="117"/>
      <c r="G8" s="117"/>
      <c r="H8" s="117"/>
      <c r="I8" s="117"/>
      <c r="J8" s="117"/>
      <c r="K8" s="117"/>
      <c r="L8" s="153"/>
    </row>
    <row r="9" spans="1:26">
      <c r="A9" s="233"/>
      <c r="B9" s="233"/>
      <c r="C9" s="233"/>
      <c r="D9" s="153"/>
      <c r="E9" s="117"/>
      <c r="F9" s="117"/>
      <c r="G9" s="117"/>
      <c r="H9" s="117"/>
      <c r="I9" s="117"/>
      <c r="J9" s="117"/>
      <c r="K9" s="117"/>
      <c r="L9" s="153"/>
    </row>
    <row r="10" spans="1:26">
      <c r="A10" s="235">
        <v>16711</v>
      </c>
      <c r="B10" s="223" t="s">
        <v>270</v>
      </c>
      <c r="C10" s="233" t="s">
        <v>220</v>
      </c>
      <c r="D10" s="153"/>
      <c r="E10" s="236">
        <v>-2.9000000000000001E-2</v>
      </c>
      <c r="F10" s="237">
        <v>2.9000000000000001E-2</v>
      </c>
      <c r="G10" s="238" t="s">
        <v>246</v>
      </c>
      <c r="H10" s="238" t="s">
        <v>246</v>
      </c>
      <c r="I10" s="238" t="s">
        <v>246</v>
      </c>
      <c r="J10" s="238"/>
      <c r="K10" s="236">
        <v>0.65400000000000003</v>
      </c>
      <c r="L10" s="153"/>
    </row>
    <row r="11" spans="1:26">
      <c r="A11" s="235">
        <v>16712</v>
      </c>
      <c r="B11" s="223" t="s">
        <v>271</v>
      </c>
      <c r="C11" s="233" t="s">
        <v>220</v>
      </c>
      <c r="D11" s="153"/>
      <c r="E11" s="237">
        <v>-8.5999999999999993E-2</v>
      </c>
      <c r="F11" s="237">
        <v>-2.3E-2</v>
      </c>
      <c r="G11" s="237">
        <v>0.109</v>
      </c>
      <c r="H11" s="238" t="s">
        <v>246</v>
      </c>
      <c r="I11" s="238" t="s">
        <v>246</v>
      </c>
      <c r="J11" s="238"/>
      <c r="K11" s="236">
        <v>0.70499999999999996</v>
      </c>
      <c r="L11" s="153"/>
    </row>
    <row r="12" spans="1:26">
      <c r="A12" s="235">
        <v>16713</v>
      </c>
      <c r="B12" s="223" t="s">
        <v>272</v>
      </c>
      <c r="C12" s="239" t="s">
        <v>220</v>
      </c>
      <c r="D12" s="240"/>
      <c r="E12" s="237">
        <v>1.0999999999999999E-2</v>
      </c>
      <c r="F12" s="237">
        <v>5.1999999999999998E-2</v>
      </c>
      <c r="G12" s="238" t="s">
        <v>246</v>
      </c>
      <c r="H12" s="237">
        <v>-6.3E-2</v>
      </c>
      <c r="I12" s="238" t="s">
        <v>246</v>
      </c>
      <c r="J12" s="238"/>
      <c r="K12" s="236">
        <v>0.51</v>
      </c>
      <c r="L12" s="153"/>
    </row>
    <row r="13" spans="1:26" ht="12.75" customHeight="1">
      <c r="A13" s="235">
        <v>16740</v>
      </c>
      <c r="B13" s="223" t="s">
        <v>137</v>
      </c>
      <c r="C13" s="239" t="s">
        <v>273</v>
      </c>
      <c r="D13" s="240"/>
      <c r="E13" s="241">
        <v>8.0000000000000002E-3</v>
      </c>
      <c r="F13" s="237">
        <v>-8.0000000000000002E-3</v>
      </c>
      <c r="G13" s="238" t="s">
        <v>246</v>
      </c>
      <c r="H13" s="238" t="s">
        <v>246</v>
      </c>
      <c r="I13" s="238" t="s">
        <v>246</v>
      </c>
      <c r="J13" s="238"/>
      <c r="K13" s="236">
        <v>0.66700000000000004</v>
      </c>
      <c r="L13" s="153"/>
    </row>
    <row r="14" spans="1:26" s="249" customFormat="1" ht="15">
      <c r="A14" s="242">
        <v>16741</v>
      </c>
      <c r="B14" s="243" t="s">
        <v>1529</v>
      </c>
      <c r="C14" s="239" t="s">
        <v>280</v>
      </c>
      <c r="D14" s="240"/>
      <c r="E14" s="244">
        <v>-3.7938538996864946E-2</v>
      </c>
      <c r="F14" s="245" t="s">
        <v>396</v>
      </c>
      <c r="G14" s="244">
        <v>0.14003374888803244</v>
      </c>
      <c r="H14" s="246" t="s">
        <v>396</v>
      </c>
      <c r="I14" s="244">
        <v>-0.10209520989116755</v>
      </c>
      <c r="J14" s="247"/>
      <c r="K14" s="248">
        <v>0.51600000000000001</v>
      </c>
      <c r="M14" s="250" t="s">
        <v>1461</v>
      </c>
      <c r="N14" s="251" t="s">
        <v>1458</v>
      </c>
      <c r="O14" s="243"/>
      <c r="P14" s="243"/>
      <c r="Q14" s="243"/>
      <c r="R14" s="243"/>
      <c r="S14" s="243"/>
      <c r="T14" s="243"/>
      <c r="U14" s="243"/>
      <c r="V14" s="243"/>
      <c r="W14" s="243"/>
      <c r="X14" s="243"/>
      <c r="Y14" s="243"/>
      <c r="Z14" s="243"/>
    </row>
    <row r="15" spans="1:26">
      <c r="A15" s="235">
        <v>16755</v>
      </c>
      <c r="B15" s="223" t="s">
        <v>274</v>
      </c>
      <c r="C15" s="239" t="s">
        <v>273</v>
      </c>
      <c r="D15" s="240"/>
      <c r="E15" s="241">
        <v>4.5999999999999999E-2</v>
      </c>
      <c r="F15" s="237">
        <v>0.05</v>
      </c>
      <c r="G15" s="237">
        <v>-9.6000000000000002E-2</v>
      </c>
      <c r="H15" s="238" t="s">
        <v>246</v>
      </c>
      <c r="I15" s="238" t="s">
        <v>246</v>
      </c>
      <c r="J15" s="238"/>
      <c r="K15" s="236">
        <v>0.56499999999999995</v>
      </c>
    </row>
    <row r="16" spans="1:26">
      <c r="A16" s="235">
        <v>16756</v>
      </c>
      <c r="B16" s="223" t="s">
        <v>275</v>
      </c>
      <c r="C16" s="239" t="s">
        <v>273</v>
      </c>
      <c r="D16" s="240"/>
      <c r="E16" s="241">
        <v>-8.6999999999999994E-2</v>
      </c>
      <c r="F16" s="237">
        <v>0.12</v>
      </c>
      <c r="G16" s="237">
        <v>-3.3000000000000002E-2</v>
      </c>
      <c r="H16" s="238" t="s">
        <v>246</v>
      </c>
      <c r="I16" s="238" t="s">
        <v>246</v>
      </c>
      <c r="J16" s="238"/>
      <c r="K16" s="236">
        <v>0.56499999999999995</v>
      </c>
    </row>
    <row r="17" spans="1:26">
      <c r="A17" s="235">
        <v>16761</v>
      </c>
      <c r="B17" s="223" t="s">
        <v>276</v>
      </c>
      <c r="C17" s="239" t="s">
        <v>273</v>
      </c>
      <c r="D17" s="240"/>
      <c r="E17" s="241">
        <v>0.11899999999999999</v>
      </c>
      <c r="F17" s="237">
        <v>7.0000000000000007E-2</v>
      </c>
      <c r="G17" s="237">
        <v>0.189</v>
      </c>
      <c r="H17" s="238" t="s">
        <v>246</v>
      </c>
      <c r="I17" s="238" t="s">
        <v>246</v>
      </c>
      <c r="J17" s="238"/>
      <c r="K17" s="236">
        <v>0.36799999999999999</v>
      </c>
    </row>
    <row r="18" spans="1:26">
      <c r="A18" s="235">
        <v>16784</v>
      </c>
      <c r="B18" s="223" t="s">
        <v>277</v>
      </c>
      <c r="C18" s="239" t="s">
        <v>220</v>
      </c>
      <c r="D18" s="240"/>
      <c r="E18" s="241">
        <v>8.2000000000000003E-2</v>
      </c>
      <c r="F18" s="237">
        <v>-8.2000000000000003E-2</v>
      </c>
      <c r="G18" s="238" t="s">
        <v>246</v>
      </c>
      <c r="H18" s="238" t="s">
        <v>246</v>
      </c>
      <c r="I18" s="238" t="s">
        <v>246</v>
      </c>
      <c r="J18" s="238"/>
      <c r="K18" s="236">
        <v>0.39500000000000002</v>
      </c>
      <c r="M18" s="252"/>
    </row>
    <row r="19" spans="1:26" s="249" customFormat="1" ht="15">
      <c r="A19" s="242">
        <v>16833</v>
      </c>
      <c r="B19" s="243" t="s">
        <v>1530</v>
      </c>
      <c r="C19" s="239" t="s">
        <v>279</v>
      </c>
      <c r="D19" s="240"/>
      <c r="E19" s="244">
        <v>2.6058098372818361E-2</v>
      </c>
      <c r="F19" s="245" t="s">
        <v>396</v>
      </c>
      <c r="G19" s="244">
        <v>-6.050229147571036E-2</v>
      </c>
      <c r="H19" s="246" t="s">
        <v>396</v>
      </c>
      <c r="I19" s="244">
        <v>-3.7895508707607696E-2</v>
      </c>
      <c r="J19" s="247"/>
      <c r="K19" s="248">
        <v>0.64900000000000002</v>
      </c>
      <c r="M19" s="250" t="s">
        <v>1461</v>
      </c>
      <c r="N19" s="251" t="s">
        <v>1458</v>
      </c>
      <c r="O19" s="243"/>
      <c r="P19" s="243"/>
      <c r="Q19" s="243"/>
      <c r="R19" s="243"/>
      <c r="S19" s="243"/>
      <c r="T19" s="243"/>
      <c r="U19" s="243"/>
      <c r="V19" s="243"/>
      <c r="W19" s="243"/>
      <c r="X19" s="243"/>
      <c r="Y19" s="243"/>
      <c r="Z19" s="243"/>
    </row>
    <row r="20" spans="1:26">
      <c r="A20" s="235">
        <v>16840</v>
      </c>
      <c r="B20" s="223" t="s">
        <v>281</v>
      </c>
      <c r="C20" s="239" t="s">
        <v>220</v>
      </c>
      <c r="D20" s="240"/>
      <c r="E20" s="241">
        <v>-2.3E-2</v>
      </c>
      <c r="F20" s="237">
        <v>2.3E-2</v>
      </c>
      <c r="G20" s="238" t="s">
        <v>246</v>
      </c>
      <c r="H20" s="238" t="s">
        <v>246</v>
      </c>
      <c r="I20" s="238" t="s">
        <v>246</v>
      </c>
      <c r="J20" s="238"/>
      <c r="K20" s="236">
        <v>0.69</v>
      </c>
    </row>
    <row r="21" spans="1:26">
      <c r="A21" s="235">
        <v>16845</v>
      </c>
      <c r="B21" s="223" t="s">
        <v>282</v>
      </c>
      <c r="C21" s="239" t="s">
        <v>273</v>
      </c>
      <c r="D21" s="240"/>
      <c r="E21" s="241">
        <v>-6.3E-2</v>
      </c>
      <c r="F21" s="237">
        <v>-4.1000000000000002E-2</v>
      </c>
      <c r="G21" s="238" t="s">
        <v>246</v>
      </c>
      <c r="H21" s="237">
        <v>0.104</v>
      </c>
      <c r="I21" s="238" t="s">
        <v>246</v>
      </c>
      <c r="J21" s="238"/>
      <c r="K21" s="236">
        <v>0.55600000000000005</v>
      </c>
    </row>
    <row r="22" spans="1:26">
      <c r="A22" s="235">
        <v>16823</v>
      </c>
      <c r="B22" s="223" t="s">
        <v>283</v>
      </c>
      <c r="C22" s="239" t="s">
        <v>220</v>
      </c>
      <c r="D22" s="240"/>
      <c r="E22" s="241">
        <v>5.0000000000000001E-3</v>
      </c>
      <c r="F22" s="237">
        <v>-5.0000000000000001E-3</v>
      </c>
      <c r="G22" s="238" t="s">
        <v>246</v>
      </c>
      <c r="H22" s="238" t="s">
        <v>246</v>
      </c>
      <c r="I22" s="238" t="s">
        <v>246</v>
      </c>
      <c r="J22" s="238"/>
      <c r="K22" s="236">
        <v>0.75600000000000001</v>
      </c>
    </row>
    <row r="23" spans="1:26">
      <c r="A23" s="235">
        <v>16855</v>
      </c>
      <c r="B23" s="223" t="s">
        <v>284</v>
      </c>
      <c r="C23" s="239" t="s">
        <v>220</v>
      </c>
      <c r="D23" s="240"/>
      <c r="E23" s="253" t="s">
        <v>1469</v>
      </c>
      <c r="F23" s="254"/>
      <c r="G23" s="247"/>
      <c r="H23" s="247"/>
      <c r="I23" s="247"/>
      <c r="J23" s="247"/>
      <c r="K23" s="248"/>
      <c r="L23" s="255" t="s">
        <v>1459</v>
      </c>
      <c r="M23" s="250" t="s">
        <v>1457</v>
      </c>
    </row>
    <row r="24" spans="1:26" s="223" customFormat="1" ht="15">
      <c r="A24" s="235">
        <v>16874</v>
      </c>
      <c r="B24" s="223" t="s">
        <v>1531</v>
      </c>
      <c r="C24" s="239" t="s">
        <v>285</v>
      </c>
      <c r="D24" s="239"/>
      <c r="E24" s="256" t="s">
        <v>691</v>
      </c>
      <c r="F24" s="257"/>
      <c r="G24" s="247"/>
      <c r="H24" s="247"/>
      <c r="I24" s="247"/>
      <c r="J24" s="247"/>
      <c r="K24" s="258">
        <v>0.42099999999999999</v>
      </c>
      <c r="L24" s="243"/>
      <c r="M24" s="250" t="s">
        <v>1452</v>
      </c>
      <c r="N24" s="224" t="s">
        <v>1460</v>
      </c>
    </row>
    <row r="25" spans="1:26">
      <c r="A25" s="235">
        <v>16957</v>
      </c>
      <c r="B25" s="223" t="s">
        <v>286</v>
      </c>
      <c r="C25" s="239" t="s">
        <v>220</v>
      </c>
      <c r="D25" s="240"/>
      <c r="E25" s="241">
        <v>-0.18</v>
      </c>
      <c r="F25" s="237">
        <v>-5.8000000000000003E-2</v>
      </c>
      <c r="G25" s="238" t="s">
        <v>246</v>
      </c>
      <c r="H25" s="237">
        <v>0.23799999999999999</v>
      </c>
      <c r="I25" s="238" t="s">
        <v>246</v>
      </c>
      <c r="J25" s="238"/>
      <c r="K25" s="236">
        <v>0.33100000000000002</v>
      </c>
    </row>
    <row r="26" spans="1:26">
      <c r="A26" s="235">
        <v>17005</v>
      </c>
      <c r="B26" s="223" t="s">
        <v>287</v>
      </c>
      <c r="C26" s="239" t="s">
        <v>220</v>
      </c>
      <c r="D26" s="240"/>
      <c r="E26" s="241">
        <v>0.17699999999999999</v>
      </c>
      <c r="F26" s="237">
        <v>-4.3999999999999997E-2</v>
      </c>
      <c r="G26" s="237">
        <v>-0.13300000000000001</v>
      </c>
      <c r="H26" s="238" t="s">
        <v>246</v>
      </c>
      <c r="I26" s="238" t="s">
        <v>246</v>
      </c>
      <c r="J26" s="238"/>
      <c r="K26" s="236">
        <v>0.61199999999999999</v>
      </c>
    </row>
    <row r="27" spans="1:26">
      <c r="A27" s="235">
        <v>17006</v>
      </c>
      <c r="B27" s="223" t="s">
        <v>288</v>
      </c>
      <c r="C27" s="239" t="s">
        <v>220</v>
      </c>
      <c r="D27" s="240"/>
      <c r="E27" s="241">
        <v>4.1000000000000002E-2</v>
      </c>
      <c r="F27" s="237">
        <v>-4.1000000000000002E-2</v>
      </c>
      <c r="G27" s="238" t="s">
        <v>246</v>
      </c>
      <c r="H27" s="238" t="s">
        <v>246</v>
      </c>
      <c r="I27" s="238" t="s">
        <v>246</v>
      </c>
      <c r="J27" s="238"/>
      <c r="K27" s="236">
        <v>0.64800000000000002</v>
      </c>
    </row>
    <row r="28" spans="1:26">
      <c r="A28" s="235">
        <v>17008</v>
      </c>
      <c r="B28" s="223" t="s">
        <v>289</v>
      </c>
      <c r="C28" s="239" t="s">
        <v>220</v>
      </c>
      <c r="D28" s="240"/>
      <c r="E28" s="241">
        <v>3.5000000000000003E-2</v>
      </c>
      <c r="F28" s="237">
        <v>-0.05</v>
      </c>
      <c r="G28" s="238" t="s">
        <v>246</v>
      </c>
      <c r="H28" s="238" t="s">
        <v>246</v>
      </c>
      <c r="I28" s="237">
        <v>1.4999999999999999E-2</v>
      </c>
      <c r="J28" s="237"/>
      <c r="K28" s="236">
        <v>0.55400000000000005</v>
      </c>
    </row>
    <row r="29" spans="1:26">
      <c r="A29" s="235">
        <v>17043</v>
      </c>
      <c r="B29" s="223" t="s">
        <v>290</v>
      </c>
      <c r="C29" s="239" t="s">
        <v>291</v>
      </c>
      <c r="D29" s="240"/>
      <c r="E29" s="241">
        <v>-0.12</v>
      </c>
      <c r="F29" s="237">
        <v>0.28000000000000003</v>
      </c>
      <c r="G29" s="238" t="s">
        <v>246</v>
      </c>
      <c r="H29" s="238" t="s">
        <v>246</v>
      </c>
      <c r="I29" s="237">
        <v>-0.16</v>
      </c>
      <c r="J29" s="237"/>
      <c r="K29" s="236">
        <v>0.53300000000000003</v>
      </c>
    </row>
    <row r="30" spans="1:26">
      <c r="A30" s="235">
        <v>17125</v>
      </c>
      <c r="B30" s="223" t="s">
        <v>292</v>
      </c>
      <c r="C30" s="239" t="s">
        <v>220</v>
      </c>
      <c r="D30" s="240"/>
      <c r="E30" s="241">
        <v>-0.112</v>
      </c>
      <c r="F30" s="237">
        <v>-0.14099999999999999</v>
      </c>
      <c r="G30" s="237">
        <v>0.253</v>
      </c>
      <c r="H30" s="238" t="s">
        <v>246</v>
      </c>
      <c r="I30" s="238" t="s">
        <v>246</v>
      </c>
      <c r="J30" s="238"/>
      <c r="K30" s="236">
        <v>0.50900000000000001</v>
      </c>
    </row>
    <row r="31" spans="1:26">
      <c r="A31" s="235">
        <v>17126</v>
      </c>
      <c r="B31" s="223" t="s">
        <v>293</v>
      </c>
      <c r="C31" s="239" t="s">
        <v>220</v>
      </c>
      <c r="D31" s="240"/>
      <c r="E31" s="241">
        <v>6.0999999999999999E-2</v>
      </c>
      <c r="F31" s="237">
        <v>-5.6000000000000001E-2</v>
      </c>
      <c r="G31" s="238" t="s">
        <v>246</v>
      </c>
      <c r="H31" s="238" t="s">
        <v>246</v>
      </c>
      <c r="I31" s="237">
        <v>-5.0000000000000001E-3</v>
      </c>
      <c r="J31" s="237"/>
      <c r="K31" s="236">
        <v>0.53900000000000003</v>
      </c>
    </row>
    <row r="32" spans="1:26" ht="15">
      <c r="A32" s="235">
        <v>17128</v>
      </c>
      <c r="B32" s="223" t="s">
        <v>1532</v>
      </c>
      <c r="C32" s="239" t="s">
        <v>285</v>
      </c>
      <c r="D32" s="259"/>
      <c r="E32" s="256" t="s">
        <v>691</v>
      </c>
      <c r="F32" s="257"/>
      <c r="G32" s="247"/>
      <c r="H32" s="247"/>
      <c r="I32" s="247"/>
      <c r="J32" s="247"/>
      <c r="K32" s="260">
        <v>0.50700000000000001</v>
      </c>
      <c r="L32" s="249"/>
      <c r="M32" s="250" t="s">
        <v>1452</v>
      </c>
      <c r="N32" s="224" t="s">
        <v>1460</v>
      </c>
    </row>
    <row r="33" spans="1:12">
      <c r="A33" s="235">
        <v>17132</v>
      </c>
      <c r="B33" s="223" t="s">
        <v>296</v>
      </c>
      <c r="C33" s="239" t="s">
        <v>273</v>
      </c>
      <c r="D33" s="240"/>
      <c r="E33" s="241">
        <v>0.08</v>
      </c>
      <c r="F33" s="237">
        <v>2.9000000000000001E-2</v>
      </c>
      <c r="G33" s="237">
        <v>-0.109</v>
      </c>
      <c r="H33" s="238" t="s">
        <v>246</v>
      </c>
      <c r="I33" s="238" t="s">
        <v>246</v>
      </c>
      <c r="J33" s="238"/>
      <c r="K33" s="236">
        <v>0.65600000000000003</v>
      </c>
    </row>
    <row r="34" spans="1:12">
      <c r="A34" s="235">
        <v>17141</v>
      </c>
      <c r="B34" s="223" t="s">
        <v>297</v>
      </c>
      <c r="C34" s="239" t="s">
        <v>220</v>
      </c>
      <c r="D34" s="240"/>
      <c r="E34" s="241">
        <v>-0.04</v>
      </c>
      <c r="F34" s="237">
        <v>-0.16</v>
      </c>
      <c r="G34" s="238" t="s">
        <v>246</v>
      </c>
      <c r="H34" s="237">
        <v>0.2</v>
      </c>
      <c r="I34" s="238" t="s">
        <v>246</v>
      </c>
      <c r="J34" s="238"/>
      <c r="K34" s="236">
        <v>0.65700000000000003</v>
      </c>
    </row>
    <row r="35" spans="1:12">
      <c r="A35" s="235">
        <v>17141</v>
      </c>
      <c r="B35" s="223" t="s">
        <v>298</v>
      </c>
      <c r="C35" s="239" t="s">
        <v>220</v>
      </c>
      <c r="D35" s="240"/>
      <c r="E35" s="241">
        <v>-8.1000000000000003E-2</v>
      </c>
      <c r="F35" s="237">
        <v>3.0000000000000001E-3</v>
      </c>
      <c r="G35" s="238" t="s">
        <v>246</v>
      </c>
      <c r="H35" s="237">
        <v>7.8E-2</v>
      </c>
      <c r="I35" s="238" t="s">
        <v>246</v>
      </c>
      <c r="J35" s="238"/>
      <c r="K35" s="236">
        <v>0.68400000000000005</v>
      </c>
    </row>
    <row r="36" spans="1:12">
      <c r="A36" s="235">
        <v>17209</v>
      </c>
      <c r="B36" s="223" t="s">
        <v>299</v>
      </c>
      <c r="C36" s="239" t="s">
        <v>220</v>
      </c>
      <c r="D36" s="240"/>
      <c r="E36" s="241">
        <v>2.1000000000000001E-2</v>
      </c>
      <c r="F36" s="237">
        <v>-4.4999999999999998E-2</v>
      </c>
      <c r="G36" s="238" t="s">
        <v>246</v>
      </c>
      <c r="H36" s="238" t="s">
        <v>246</v>
      </c>
      <c r="I36" s="237">
        <v>2.4E-2</v>
      </c>
      <c r="J36" s="237"/>
      <c r="K36" s="236">
        <v>0.54600000000000004</v>
      </c>
    </row>
    <row r="37" spans="1:12">
      <c r="A37" s="235">
        <v>17294</v>
      </c>
      <c r="B37" s="223" t="s">
        <v>300</v>
      </c>
      <c r="C37" s="239" t="s">
        <v>220</v>
      </c>
      <c r="D37" s="240"/>
      <c r="E37" s="241">
        <v>3.5000000000000003E-2</v>
      </c>
      <c r="F37" s="237">
        <v>-6.7000000000000004E-2</v>
      </c>
      <c r="G37" s="238" t="s">
        <v>246</v>
      </c>
      <c r="H37" s="238" t="s">
        <v>246</v>
      </c>
      <c r="I37" s="237">
        <v>3.2000000000000001E-2</v>
      </c>
      <c r="J37" s="237"/>
      <c r="K37" s="236">
        <v>0.73399999999999999</v>
      </c>
    </row>
    <row r="38" spans="1:12">
      <c r="A38" s="235">
        <v>17421</v>
      </c>
      <c r="B38" s="223" t="s">
        <v>301</v>
      </c>
      <c r="C38" s="239" t="s">
        <v>220</v>
      </c>
      <c r="D38" s="240"/>
      <c r="E38" s="241">
        <v>7.4999999999999997E-2</v>
      </c>
      <c r="F38" s="237">
        <v>-0.128</v>
      </c>
      <c r="G38" s="237">
        <v>4.3999999999999997E-2</v>
      </c>
      <c r="H38" s="238" t="s">
        <v>246</v>
      </c>
      <c r="I38" s="237">
        <v>8.9999999999999993E-3</v>
      </c>
      <c r="J38" s="237"/>
      <c r="K38" s="236">
        <v>0.627</v>
      </c>
    </row>
    <row r="39" spans="1:12">
      <c r="A39" s="235">
        <v>17435</v>
      </c>
      <c r="B39" s="223" t="s">
        <v>302</v>
      </c>
      <c r="C39" s="239" t="s">
        <v>220</v>
      </c>
      <c r="D39" s="240"/>
      <c r="E39" s="241">
        <v>4.0000000000000001E-3</v>
      </c>
      <c r="F39" s="237">
        <v>-0.16600000000000001</v>
      </c>
      <c r="G39" s="237">
        <v>0.16</v>
      </c>
      <c r="H39" s="238" t="s">
        <v>246</v>
      </c>
      <c r="I39" s="237">
        <v>2E-3</v>
      </c>
      <c r="J39" s="237"/>
      <c r="K39" s="236">
        <v>0.51400000000000001</v>
      </c>
    </row>
    <row r="40" spans="1:12">
      <c r="A40" s="235">
        <v>17497</v>
      </c>
      <c r="B40" s="223" t="s">
        <v>303</v>
      </c>
      <c r="C40" s="239" t="s">
        <v>220</v>
      </c>
      <c r="D40" s="240"/>
      <c r="E40" s="241">
        <v>0.129</v>
      </c>
      <c r="F40" s="237">
        <v>-7.0000000000000001E-3</v>
      </c>
      <c r="G40" s="237">
        <v>-0.122</v>
      </c>
      <c r="H40" s="238" t="s">
        <v>246</v>
      </c>
      <c r="I40" s="238" t="s">
        <v>246</v>
      </c>
      <c r="J40" s="238"/>
      <c r="K40" s="236">
        <v>0.77300000000000002</v>
      </c>
    </row>
    <row r="41" spans="1:12">
      <c r="A41" s="235">
        <v>17498</v>
      </c>
      <c r="B41" s="223" t="s">
        <v>304</v>
      </c>
      <c r="C41" s="239" t="s">
        <v>273</v>
      </c>
      <c r="D41" s="240"/>
      <c r="E41" s="241">
        <v>0.08</v>
      </c>
      <c r="F41" s="237">
        <v>-3.6999999999999998E-2</v>
      </c>
      <c r="G41" s="237">
        <v>-4.2999999999999997E-2</v>
      </c>
      <c r="H41" s="238" t="s">
        <v>246</v>
      </c>
      <c r="I41" s="238" t="s">
        <v>246</v>
      </c>
      <c r="J41" s="238"/>
      <c r="K41" s="236">
        <v>0.67</v>
      </c>
    </row>
    <row r="42" spans="1:12">
      <c r="A42" s="235">
        <v>17498</v>
      </c>
      <c r="B42" s="223" t="s">
        <v>305</v>
      </c>
      <c r="C42" s="239" t="s">
        <v>220</v>
      </c>
      <c r="D42" s="240"/>
      <c r="E42" s="241">
        <v>-0.03</v>
      </c>
      <c r="F42" s="237">
        <v>-5.8000000000000003E-2</v>
      </c>
      <c r="G42" s="237">
        <v>0.10100000000000001</v>
      </c>
      <c r="H42" s="237">
        <v>-1.2999999999999999E-2</v>
      </c>
      <c r="I42" s="238" t="s">
        <v>246</v>
      </c>
      <c r="J42" s="238"/>
      <c r="K42" s="236">
        <v>0.63</v>
      </c>
    </row>
    <row r="43" spans="1:12">
      <c r="A43" s="235">
        <v>17505</v>
      </c>
      <c r="B43" s="223" t="s">
        <v>306</v>
      </c>
      <c r="C43" s="239" t="s">
        <v>273</v>
      </c>
      <c r="D43" s="240"/>
      <c r="E43" s="241">
        <v>0.11</v>
      </c>
      <c r="F43" s="237">
        <v>-6.3E-2</v>
      </c>
      <c r="G43" s="237">
        <v>-4.7E-2</v>
      </c>
      <c r="H43" s="238" t="s">
        <v>246</v>
      </c>
      <c r="I43" s="238" t="s">
        <v>246</v>
      </c>
      <c r="J43" s="238"/>
      <c r="K43" s="236">
        <v>0.70499999999999996</v>
      </c>
    </row>
    <row r="44" spans="1:12">
      <c r="A44" s="235">
        <v>17560</v>
      </c>
      <c r="B44" s="223" t="s">
        <v>307</v>
      </c>
      <c r="C44" s="239" t="s">
        <v>309</v>
      </c>
      <c r="D44" s="240"/>
      <c r="E44" s="241">
        <v>1.4E-2</v>
      </c>
      <c r="F44" s="237">
        <v>0.42099999999999999</v>
      </c>
      <c r="G44" s="237">
        <v>1.2E-2</v>
      </c>
      <c r="H44" s="238" t="s">
        <v>246</v>
      </c>
      <c r="I44" s="237">
        <f>0.066-0.513</f>
        <v>-0.44700000000000001</v>
      </c>
      <c r="J44" s="237"/>
      <c r="K44" s="236">
        <v>0.56799999999999995</v>
      </c>
      <c r="L44" s="113" t="s">
        <v>341</v>
      </c>
    </row>
    <row r="45" spans="1:12">
      <c r="A45" s="235">
        <v>17581</v>
      </c>
      <c r="B45" s="223" t="s">
        <v>310</v>
      </c>
      <c r="C45" s="239" t="s">
        <v>220</v>
      </c>
      <c r="D45" s="240"/>
      <c r="E45" s="241">
        <v>0.105</v>
      </c>
      <c r="F45" s="237">
        <v>1.2E-2</v>
      </c>
      <c r="G45" s="237">
        <v>-0.1</v>
      </c>
      <c r="H45" s="238" t="s">
        <v>246</v>
      </c>
      <c r="I45" s="237">
        <v>-1.7000000000000001E-2</v>
      </c>
      <c r="J45" s="237"/>
      <c r="K45" s="236">
        <v>0.76</v>
      </c>
    </row>
    <row r="46" spans="1:12">
      <c r="A46" s="235">
        <v>17596</v>
      </c>
      <c r="B46" s="223" t="s">
        <v>311</v>
      </c>
      <c r="C46" s="239" t="s">
        <v>220</v>
      </c>
      <c r="D46" s="240"/>
      <c r="E46" s="241">
        <v>3.9E-2</v>
      </c>
      <c r="F46" s="237">
        <v>-9.1999999999999998E-2</v>
      </c>
      <c r="G46" s="238" t="s">
        <v>246</v>
      </c>
      <c r="H46" s="238" t="s">
        <v>246</v>
      </c>
      <c r="I46" s="237">
        <v>1.9E-2</v>
      </c>
      <c r="J46" s="237"/>
      <c r="K46" s="236">
        <v>0.81399999999999995</v>
      </c>
    </row>
    <row r="47" spans="1:12">
      <c r="A47" s="235">
        <v>17603</v>
      </c>
      <c r="B47" s="223" t="s">
        <v>312</v>
      </c>
      <c r="C47" s="239" t="s">
        <v>273</v>
      </c>
      <c r="D47" s="240"/>
      <c r="E47" s="241">
        <v>0.129</v>
      </c>
      <c r="F47" s="237">
        <v>-3.5000000000000003E-2</v>
      </c>
      <c r="G47" s="237">
        <v>-9.4E-2</v>
      </c>
      <c r="H47" s="238" t="s">
        <v>246</v>
      </c>
      <c r="I47" s="238" t="s">
        <v>246</v>
      </c>
      <c r="J47" s="238"/>
      <c r="K47" s="236">
        <v>0.748</v>
      </c>
    </row>
    <row r="48" spans="1:12">
      <c r="A48" s="235">
        <v>17616</v>
      </c>
      <c r="B48" s="223" t="s">
        <v>313</v>
      </c>
      <c r="C48" s="239" t="s">
        <v>220</v>
      </c>
      <c r="D48" s="240"/>
      <c r="E48" s="241">
        <v>4.2999999999999997E-2</v>
      </c>
      <c r="F48" s="237">
        <v>-4.2999999999999997E-2</v>
      </c>
      <c r="G48" s="238" t="s">
        <v>246</v>
      </c>
      <c r="H48" s="238" t="s">
        <v>246</v>
      </c>
      <c r="I48" s="238" t="s">
        <v>246</v>
      </c>
      <c r="J48" s="238"/>
      <c r="K48" s="236">
        <v>0.77100000000000002</v>
      </c>
    </row>
    <row r="49" spans="1:13">
      <c r="A49" s="235">
        <v>17652</v>
      </c>
      <c r="B49" s="223" t="s">
        <v>314</v>
      </c>
      <c r="C49" s="239" t="s">
        <v>220</v>
      </c>
      <c r="D49" s="240"/>
      <c r="E49" s="241">
        <v>6.5000000000000002E-2</v>
      </c>
      <c r="F49" s="237">
        <v>-6.5000000000000002E-2</v>
      </c>
      <c r="G49" s="238" t="s">
        <v>246</v>
      </c>
      <c r="H49" s="238" t="s">
        <v>246</v>
      </c>
      <c r="I49" s="238" t="s">
        <v>246</v>
      </c>
      <c r="J49" s="238"/>
      <c r="K49" s="236">
        <v>0.48699999999999999</v>
      </c>
      <c r="M49" s="261" t="s">
        <v>221</v>
      </c>
    </row>
    <row r="50" spans="1:13">
      <c r="A50" s="235">
        <v>17806</v>
      </c>
      <c r="B50" s="223" t="s">
        <v>315</v>
      </c>
      <c r="C50" s="239" t="s">
        <v>220</v>
      </c>
      <c r="D50" s="240"/>
      <c r="E50" s="241">
        <v>8.5999999999999993E-2</v>
      </c>
      <c r="F50" s="237">
        <v>-0.255</v>
      </c>
      <c r="G50" s="238" t="s">
        <v>246</v>
      </c>
      <c r="H50" s="238" t="s">
        <v>246</v>
      </c>
      <c r="I50" s="237">
        <v>0.16900000000000001</v>
      </c>
      <c r="J50" s="237"/>
      <c r="K50" s="236">
        <v>0.5</v>
      </c>
    </row>
    <row r="51" spans="1:13">
      <c r="A51" s="235">
        <v>17813</v>
      </c>
      <c r="B51" s="223" t="s">
        <v>316</v>
      </c>
      <c r="C51" s="239" t="s">
        <v>220</v>
      </c>
      <c r="D51" s="240"/>
      <c r="E51" s="241">
        <v>-1.0999999999999999E-2</v>
      </c>
      <c r="F51" s="237">
        <v>-7.0999999999999994E-2</v>
      </c>
      <c r="G51" s="238" t="s">
        <v>246</v>
      </c>
      <c r="H51" s="237">
        <v>8.2000000000000003E-2</v>
      </c>
      <c r="I51" s="238" t="s">
        <v>246</v>
      </c>
      <c r="J51" s="238"/>
      <c r="K51" s="236">
        <v>0.72899999999999998</v>
      </c>
      <c r="M51" s="223" t="s">
        <v>221</v>
      </c>
    </row>
    <row r="52" spans="1:13">
      <c r="A52" s="235">
        <v>17850</v>
      </c>
      <c r="B52" s="223" t="s">
        <v>317</v>
      </c>
      <c r="C52" s="239" t="s">
        <v>220</v>
      </c>
      <c r="D52" s="240"/>
      <c r="E52" s="241">
        <v>0.17599999999999999</v>
      </c>
      <c r="F52" s="237">
        <v>-0.14799999999999999</v>
      </c>
      <c r="G52" s="238" t="s">
        <v>246</v>
      </c>
      <c r="H52" s="238" t="s">
        <v>246</v>
      </c>
      <c r="I52" s="237">
        <v>-2.8000000000000001E-2</v>
      </c>
      <c r="J52" s="237"/>
      <c r="K52" s="236">
        <v>0.627</v>
      </c>
    </row>
    <row r="53" spans="1:13">
      <c r="A53" s="235">
        <v>17862</v>
      </c>
      <c r="B53" s="223" t="s">
        <v>318</v>
      </c>
      <c r="C53" s="239" t="s">
        <v>273</v>
      </c>
      <c r="D53" s="240"/>
      <c r="E53" s="241">
        <v>9.9000000000000005E-2</v>
      </c>
      <c r="F53" s="237">
        <v>-0.02</v>
      </c>
      <c r="G53" s="237">
        <v>-7.9000000000000001E-2</v>
      </c>
      <c r="H53" s="238" t="s">
        <v>246</v>
      </c>
      <c r="I53" s="238" t="s">
        <v>246</v>
      </c>
      <c r="J53" s="238"/>
      <c r="K53" s="236">
        <v>0.56699999999999995</v>
      </c>
    </row>
    <row r="54" spans="1:13">
      <c r="A54" s="235">
        <v>17946</v>
      </c>
      <c r="B54" s="223" t="s">
        <v>319</v>
      </c>
      <c r="C54" s="239" t="s">
        <v>220</v>
      </c>
      <c r="D54" s="240"/>
      <c r="E54" s="241">
        <v>0.123</v>
      </c>
      <c r="F54" s="237">
        <v>1.2E-2</v>
      </c>
      <c r="G54" s="237">
        <v>-0.13500000000000001</v>
      </c>
      <c r="H54" s="238" t="s">
        <v>246</v>
      </c>
      <c r="I54" s="238" t="s">
        <v>246</v>
      </c>
      <c r="J54" s="238"/>
      <c r="K54" s="236">
        <v>0.81299999999999994</v>
      </c>
    </row>
    <row r="55" spans="1:13">
      <c r="A55" s="235">
        <v>17953</v>
      </c>
      <c r="B55" s="223" t="s">
        <v>320</v>
      </c>
      <c r="C55" s="239" t="s">
        <v>220</v>
      </c>
      <c r="D55" s="240"/>
      <c r="E55" s="241">
        <v>5.1999999999999998E-2</v>
      </c>
      <c r="F55" s="237">
        <v>-5.1999999999999998E-2</v>
      </c>
      <c r="G55" s="238" t="s">
        <v>246</v>
      </c>
      <c r="H55" s="238" t="s">
        <v>246</v>
      </c>
      <c r="I55" s="238" t="s">
        <v>246</v>
      </c>
      <c r="J55" s="238"/>
      <c r="K55" s="236">
        <v>0.60599999999999998</v>
      </c>
    </row>
    <row r="56" spans="1:13">
      <c r="A56" s="235">
        <v>17967</v>
      </c>
      <c r="B56" s="223" t="s">
        <v>321</v>
      </c>
      <c r="C56" s="239" t="s">
        <v>220</v>
      </c>
      <c r="D56" s="240"/>
      <c r="E56" s="241">
        <v>4.8000000000000001E-2</v>
      </c>
      <c r="F56" s="237">
        <v>-6.3E-2</v>
      </c>
      <c r="G56" s="238" t="s">
        <v>246</v>
      </c>
      <c r="H56" s="238" t="s">
        <v>246</v>
      </c>
      <c r="I56" s="237">
        <v>1.4999999999999999E-2</v>
      </c>
      <c r="J56" s="237"/>
      <c r="K56" s="236">
        <v>0.65100000000000002</v>
      </c>
    </row>
    <row r="57" spans="1:13">
      <c r="A57" s="235">
        <v>17973</v>
      </c>
      <c r="B57" s="223" t="s">
        <v>322</v>
      </c>
      <c r="C57" s="239" t="s">
        <v>220</v>
      </c>
      <c r="D57" s="240"/>
      <c r="E57" s="241">
        <v>0.16</v>
      </c>
      <c r="F57" s="237">
        <v>2.3E-2</v>
      </c>
      <c r="G57" s="237">
        <v>-0.183</v>
      </c>
      <c r="H57" s="238" t="s">
        <v>246</v>
      </c>
      <c r="I57" s="238" t="s">
        <v>246</v>
      </c>
      <c r="J57" s="238"/>
      <c r="K57" s="236">
        <v>0.80700000000000005</v>
      </c>
    </row>
    <row r="58" spans="1:13">
      <c r="A58" s="235">
        <v>18100</v>
      </c>
      <c r="B58" s="223" t="s">
        <v>323</v>
      </c>
      <c r="C58" s="239" t="s">
        <v>220</v>
      </c>
      <c r="D58" s="240"/>
      <c r="E58" s="241">
        <v>0.17199999999999999</v>
      </c>
      <c r="F58" s="237">
        <v>-3.9E-2</v>
      </c>
      <c r="G58" s="237">
        <v>-0.13300000000000001</v>
      </c>
      <c r="H58" s="238" t="s">
        <v>246</v>
      </c>
      <c r="I58" s="238" t="s">
        <v>246</v>
      </c>
      <c r="J58" s="238"/>
      <c r="K58" s="236">
        <v>0.65100000000000002</v>
      </c>
    </row>
    <row r="59" spans="1:13">
      <c r="A59" s="235">
        <v>18240</v>
      </c>
      <c r="B59" s="223" t="s">
        <v>324</v>
      </c>
      <c r="C59" s="239" t="s">
        <v>220</v>
      </c>
      <c r="D59" s="240"/>
      <c r="E59" s="241">
        <v>9.2999999999999999E-2</v>
      </c>
      <c r="F59" s="237">
        <v>-1.2E-2</v>
      </c>
      <c r="G59" s="237">
        <v>-0.14399999999999999</v>
      </c>
      <c r="H59" s="238" t="s">
        <v>246</v>
      </c>
      <c r="I59" s="237">
        <v>6.3E-2</v>
      </c>
      <c r="J59" s="237"/>
      <c r="K59" s="236">
        <v>0.754</v>
      </c>
    </row>
    <row r="60" spans="1:13">
      <c r="A60" s="235"/>
      <c r="E60" s="241"/>
      <c r="F60" s="237"/>
      <c r="G60" s="237"/>
      <c r="H60" s="237"/>
      <c r="I60" s="237"/>
      <c r="J60" s="237"/>
      <c r="K60" s="236"/>
    </row>
    <row r="61" spans="1:13">
      <c r="A61" s="234" t="s">
        <v>325</v>
      </c>
      <c r="E61" s="241"/>
      <c r="F61" s="237"/>
      <c r="G61" s="237"/>
      <c r="H61" s="237"/>
      <c r="I61" s="237"/>
      <c r="J61" s="237"/>
      <c r="K61" s="236"/>
    </row>
    <row r="62" spans="1:13">
      <c r="A62" s="262"/>
      <c r="E62" s="241"/>
      <c r="F62" s="237"/>
      <c r="G62" s="237"/>
      <c r="H62" s="237"/>
      <c r="I62" s="237"/>
      <c r="J62" s="237"/>
      <c r="K62" s="236"/>
    </row>
    <row r="63" spans="1:13">
      <c r="A63" s="235">
        <v>18358</v>
      </c>
      <c r="B63" s="223" t="s">
        <v>326</v>
      </c>
      <c r="C63" s="223" t="s">
        <v>220</v>
      </c>
      <c r="E63" s="241">
        <v>-4.0000000000000001E-3</v>
      </c>
      <c r="F63" s="237">
        <v>-1.9E-2</v>
      </c>
      <c r="G63" s="238" t="s">
        <v>246</v>
      </c>
      <c r="H63" s="238" t="s">
        <v>246</v>
      </c>
      <c r="I63" s="237">
        <v>2.3E-2</v>
      </c>
      <c r="J63" s="237"/>
      <c r="K63" s="236">
        <v>0.629</v>
      </c>
    </row>
    <row r="64" spans="1:13">
      <c r="A64" s="235">
        <v>18378</v>
      </c>
      <c r="B64" s="223" t="s">
        <v>327</v>
      </c>
      <c r="C64" s="223" t="s">
        <v>220</v>
      </c>
      <c r="E64" s="241">
        <v>1.7999999999999999E-2</v>
      </c>
      <c r="F64" s="237">
        <v>1.0999999999999999E-2</v>
      </c>
      <c r="G64" s="238" t="s">
        <v>246</v>
      </c>
      <c r="H64" s="238" t="s">
        <v>246</v>
      </c>
      <c r="I64" s="237">
        <v>-2.9000000000000001E-2</v>
      </c>
      <c r="J64" s="237"/>
      <c r="K64" s="236">
        <v>0.83399999999999996</v>
      </c>
    </row>
    <row r="65" spans="1:11">
      <c r="A65" s="235">
        <v>18387</v>
      </c>
      <c r="B65" s="223" t="s">
        <v>328</v>
      </c>
      <c r="C65" s="223" t="s">
        <v>220</v>
      </c>
      <c r="E65" s="241">
        <v>1.7000000000000001E-2</v>
      </c>
      <c r="F65" s="237">
        <v>-1.7000000000000001E-2</v>
      </c>
      <c r="G65" s="238" t="s">
        <v>246</v>
      </c>
      <c r="H65" s="238" t="s">
        <v>246</v>
      </c>
      <c r="I65" s="238" t="s">
        <v>246</v>
      </c>
      <c r="J65" s="238"/>
      <c r="K65" s="236">
        <v>0.85399999999999998</v>
      </c>
    </row>
    <row r="66" spans="1:11">
      <c r="A66" s="235">
        <v>18534</v>
      </c>
      <c r="B66" s="223" t="s">
        <v>329</v>
      </c>
      <c r="C66" s="223" t="s">
        <v>220</v>
      </c>
      <c r="E66" s="241">
        <v>8.7999999999999995E-2</v>
      </c>
      <c r="F66" s="237">
        <v>1.4E-2</v>
      </c>
      <c r="G66" s="237">
        <v>-9.5000000000000001E-2</v>
      </c>
      <c r="H66" s="238" t="s">
        <v>246</v>
      </c>
      <c r="I66" s="237">
        <v>-7.0000000000000001E-3</v>
      </c>
      <c r="J66" s="237"/>
      <c r="K66" s="236">
        <v>0.63</v>
      </c>
    </row>
    <row r="67" spans="1:11">
      <c r="A67" s="235">
        <v>18561</v>
      </c>
      <c r="B67" s="223" t="s">
        <v>330</v>
      </c>
      <c r="C67" s="223" t="s">
        <v>273</v>
      </c>
      <c r="E67" s="241">
        <v>4.2999999999999997E-2</v>
      </c>
      <c r="F67" s="237">
        <v>1.2999999999999999E-2</v>
      </c>
      <c r="G67" s="237">
        <v>-4.9000000000000002E-2</v>
      </c>
      <c r="H67" s="238" t="s">
        <v>246</v>
      </c>
      <c r="I67" s="237">
        <v>-7.0000000000000001E-3</v>
      </c>
      <c r="J67" s="237"/>
      <c r="K67" s="236">
        <v>0.73699999999999999</v>
      </c>
    </row>
    <row r="68" spans="1:11">
      <c r="A68" s="235">
        <v>18569</v>
      </c>
      <c r="B68" s="223" t="s">
        <v>331</v>
      </c>
      <c r="C68" s="223" t="s">
        <v>273</v>
      </c>
      <c r="E68" s="241">
        <v>0.106</v>
      </c>
      <c r="F68" s="237">
        <v>1.7999999999999999E-2</v>
      </c>
      <c r="G68" s="237">
        <v>-0.11600000000000001</v>
      </c>
      <c r="H68" s="238" t="s">
        <v>246</v>
      </c>
      <c r="I68" s="237">
        <v>-8.0000000000000002E-3</v>
      </c>
      <c r="J68" s="237"/>
      <c r="K68" s="236">
        <v>0.69299999999999995</v>
      </c>
    </row>
    <row r="69" spans="1:11">
      <c r="A69" s="235">
        <v>18583</v>
      </c>
      <c r="B69" s="223" t="s">
        <v>332</v>
      </c>
      <c r="C69" s="223" t="s">
        <v>273</v>
      </c>
      <c r="E69" s="241">
        <v>0.10199999999999999</v>
      </c>
      <c r="F69" s="237">
        <v>-1.0999999999999999E-2</v>
      </c>
      <c r="G69" s="237">
        <v>-0.10299999999999999</v>
      </c>
      <c r="H69" s="238" t="s">
        <v>246</v>
      </c>
      <c r="I69" s="237">
        <v>1.2E-2</v>
      </c>
      <c r="J69" s="237"/>
      <c r="K69" s="236">
        <v>0.63200000000000001</v>
      </c>
    </row>
    <row r="70" spans="1:11">
      <c r="A70" s="235">
        <v>18597</v>
      </c>
      <c r="B70" s="223" t="s">
        <v>333</v>
      </c>
      <c r="C70" s="223" t="s">
        <v>220</v>
      </c>
      <c r="E70" s="241">
        <v>8.4000000000000005E-2</v>
      </c>
      <c r="F70" s="237">
        <v>-5.8999999999999997E-2</v>
      </c>
      <c r="G70" s="237">
        <v>-1.4E-2</v>
      </c>
      <c r="H70" s="238" t="s">
        <v>246</v>
      </c>
      <c r="I70" s="237">
        <v>-1.0999999999999999E-2</v>
      </c>
      <c r="J70" s="237"/>
      <c r="K70" s="236">
        <v>0.61099999999999999</v>
      </c>
    </row>
    <row r="71" spans="1:11">
      <c r="A71" s="235">
        <v>18597</v>
      </c>
      <c r="B71" s="223" t="s">
        <v>334</v>
      </c>
      <c r="C71" s="223" t="s">
        <v>220</v>
      </c>
      <c r="E71" s="241">
        <v>6.0000000000000001E-3</v>
      </c>
      <c r="F71" s="237">
        <v>-6.0000000000000001E-3</v>
      </c>
      <c r="G71" s="238" t="s">
        <v>246</v>
      </c>
      <c r="H71" s="238" t="s">
        <v>246</v>
      </c>
      <c r="I71" s="238" t="s">
        <v>246</v>
      </c>
      <c r="J71" s="238"/>
      <c r="K71" s="236">
        <v>0.71099999999999997</v>
      </c>
    </row>
    <row r="72" spans="1:11">
      <c r="A72" s="235">
        <v>18674</v>
      </c>
      <c r="B72" s="223" t="s">
        <v>335</v>
      </c>
      <c r="C72" s="223" t="s">
        <v>273</v>
      </c>
      <c r="E72" s="241">
        <v>0.22500000000000001</v>
      </c>
      <c r="F72" s="237">
        <v>-0.114</v>
      </c>
      <c r="G72" s="237">
        <v>-0.111</v>
      </c>
      <c r="H72" s="238" t="s">
        <v>246</v>
      </c>
      <c r="I72" s="238" t="s">
        <v>246</v>
      </c>
      <c r="J72" s="238"/>
      <c r="K72" s="236">
        <v>0.53600000000000003</v>
      </c>
    </row>
    <row r="73" spans="1:11">
      <c r="A73" s="235">
        <v>18726</v>
      </c>
      <c r="B73" s="223" t="s">
        <v>336</v>
      </c>
      <c r="C73" s="223" t="s">
        <v>273</v>
      </c>
      <c r="E73" s="241">
        <v>5.1999999999999998E-2</v>
      </c>
      <c r="F73" s="237">
        <v>-7.1999999999999995E-2</v>
      </c>
      <c r="G73" s="238" t="s">
        <v>246</v>
      </c>
      <c r="H73" s="238" t="s">
        <v>246</v>
      </c>
      <c r="I73" s="237">
        <v>0.02</v>
      </c>
      <c r="J73" s="237"/>
      <c r="K73" s="236">
        <v>0.64700000000000002</v>
      </c>
    </row>
    <row r="74" spans="1:11">
      <c r="A74" s="235">
        <v>18739</v>
      </c>
      <c r="B74" s="223" t="s">
        <v>337</v>
      </c>
      <c r="C74" s="223" t="s">
        <v>273</v>
      </c>
      <c r="E74" s="241">
        <v>0.13400000000000001</v>
      </c>
      <c r="F74" s="237">
        <v>-1.4999999999999999E-2</v>
      </c>
      <c r="G74" s="237">
        <v>-0.11899999999999999</v>
      </c>
      <c r="H74" s="238" t="s">
        <v>246</v>
      </c>
      <c r="I74" s="238" t="s">
        <v>246</v>
      </c>
      <c r="J74" s="238"/>
      <c r="K74" s="236">
        <v>0.68</v>
      </c>
    </row>
    <row r="75" spans="1:11">
      <c r="A75" s="235">
        <v>18793</v>
      </c>
      <c r="B75" s="223" t="s">
        <v>338</v>
      </c>
      <c r="C75" s="223" t="s">
        <v>220</v>
      </c>
      <c r="E75" s="241">
        <v>6.3E-2</v>
      </c>
      <c r="F75" s="237">
        <v>-8.0000000000000002E-3</v>
      </c>
      <c r="G75" s="237">
        <v>-3.5000000000000003E-2</v>
      </c>
      <c r="H75" s="238" t="s">
        <v>246</v>
      </c>
      <c r="I75" s="237">
        <v>-0.02</v>
      </c>
      <c r="J75" s="237"/>
      <c r="K75" s="236">
        <v>0.66800000000000004</v>
      </c>
    </row>
    <row r="76" spans="1:11">
      <c r="A76" s="235">
        <v>18800</v>
      </c>
      <c r="B76" s="223" t="s">
        <v>339</v>
      </c>
      <c r="C76" s="223" t="s">
        <v>220</v>
      </c>
      <c r="E76" s="241">
        <v>1.9E-2</v>
      </c>
      <c r="F76" s="237">
        <v>-1.9E-2</v>
      </c>
      <c r="G76" s="238" t="s">
        <v>246</v>
      </c>
      <c r="H76" s="238" t="s">
        <v>246</v>
      </c>
      <c r="I76" s="238" t="s">
        <v>246</v>
      </c>
      <c r="J76" s="238"/>
      <c r="K76" s="236">
        <v>0.76500000000000001</v>
      </c>
    </row>
    <row r="78" spans="1:11">
      <c r="A78" s="234" t="s">
        <v>340</v>
      </c>
      <c r="E78" s="241"/>
      <c r="F78" s="237"/>
      <c r="G78" s="237"/>
      <c r="H78" s="237"/>
      <c r="I78" s="237"/>
      <c r="J78" s="237"/>
      <c r="K78" s="236"/>
    </row>
    <row r="79" spans="1:11">
      <c r="A79" s="262"/>
      <c r="E79" s="241"/>
      <c r="F79" s="237"/>
      <c r="G79" s="237"/>
      <c r="H79" s="237"/>
      <c r="I79" s="237"/>
      <c r="J79" s="237"/>
      <c r="K79" s="236"/>
    </row>
    <row r="80" spans="1:11">
      <c r="A80" s="235">
        <v>19030</v>
      </c>
      <c r="B80" s="223" t="s">
        <v>345</v>
      </c>
      <c r="C80" s="223" t="s">
        <v>273</v>
      </c>
      <c r="E80" s="241">
        <v>-1.4999999999999999E-2</v>
      </c>
      <c r="F80" s="237">
        <v>-1.7000000000000001E-2</v>
      </c>
      <c r="G80" s="237">
        <v>-1.4999999999999999E-2</v>
      </c>
      <c r="H80" s="238" t="s">
        <v>246</v>
      </c>
      <c r="I80" s="237">
        <v>4.7E-2</v>
      </c>
      <c r="J80" s="237"/>
      <c r="K80" s="236">
        <v>0.63800000000000001</v>
      </c>
    </row>
    <row r="81" spans="1:12">
      <c r="A81" s="235">
        <v>19030</v>
      </c>
      <c r="B81" s="223" t="s">
        <v>346</v>
      </c>
      <c r="C81" s="223" t="s">
        <v>273</v>
      </c>
      <c r="E81" s="241">
        <v>1.7999999999999999E-2</v>
      </c>
      <c r="F81" s="237">
        <v>3.6999999999999998E-2</v>
      </c>
      <c r="G81" s="237">
        <v>-5.5E-2</v>
      </c>
      <c r="H81" s="238" t="s">
        <v>246</v>
      </c>
      <c r="I81" s="238" t="s">
        <v>246</v>
      </c>
      <c r="J81" s="238"/>
      <c r="K81" s="236">
        <v>0.61</v>
      </c>
    </row>
    <row r="82" spans="1:12">
      <c r="A82" s="235">
        <v>19031</v>
      </c>
      <c r="B82" s="223" t="s">
        <v>347</v>
      </c>
      <c r="C82" s="223" t="s">
        <v>220</v>
      </c>
      <c r="E82" s="241">
        <v>-2.7E-2</v>
      </c>
      <c r="F82" s="237">
        <v>2.7E-2</v>
      </c>
      <c r="G82" s="238" t="s">
        <v>246</v>
      </c>
      <c r="H82" s="238" t="s">
        <v>246</v>
      </c>
      <c r="I82" s="238" t="s">
        <v>246</v>
      </c>
      <c r="J82" s="238"/>
      <c r="K82" s="236">
        <v>0.55700000000000005</v>
      </c>
    </row>
    <row r="83" spans="1:12">
      <c r="A83" s="235">
        <v>19192</v>
      </c>
      <c r="B83" s="223" t="s">
        <v>553</v>
      </c>
      <c r="C83" s="223" t="s">
        <v>220</v>
      </c>
      <c r="E83" s="241">
        <v>-0.106</v>
      </c>
      <c r="F83" s="237">
        <v>2.5000000000000001E-2</v>
      </c>
      <c r="G83" s="238" t="s">
        <v>246</v>
      </c>
      <c r="H83" s="237">
        <v>7.3999999999999996E-2</v>
      </c>
      <c r="I83" s="237">
        <v>7.0000000000000001E-3</v>
      </c>
      <c r="J83" s="237"/>
      <c r="K83" s="236">
        <v>0.55700000000000005</v>
      </c>
    </row>
    <row r="84" spans="1:12">
      <c r="A84" s="235">
        <v>19290</v>
      </c>
      <c r="B84" s="223" t="s">
        <v>348</v>
      </c>
      <c r="C84" s="223" t="s">
        <v>220</v>
      </c>
      <c r="E84" s="241">
        <v>7.0000000000000001E-3</v>
      </c>
      <c r="F84" s="237">
        <v>-7.0000000000000001E-3</v>
      </c>
      <c r="G84" s="238" t="s">
        <v>246</v>
      </c>
      <c r="H84" s="238" t="s">
        <v>246</v>
      </c>
      <c r="I84" s="238" t="s">
        <v>246</v>
      </c>
      <c r="J84" s="238"/>
      <c r="K84" s="236">
        <v>0.71399999999999997</v>
      </c>
    </row>
    <row r="85" spans="1:12">
      <c r="A85" s="235">
        <v>19302</v>
      </c>
      <c r="B85" s="223" t="s">
        <v>349</v>
      </c>
      <c r="C85" s="223" t="s">
        <v>273</v>
      </c>
      <c r="E85" s="241">
        <v>3.0000000000000001E-3</v>
      </c>
      <c r="F85" s="237">
        <v>-3.0000000000000001E-3</v>
      </c>
      <c r="G85" s="238" t="s">
        <v>246</v>
      </c>
      <c r="H85" s="238" t="s">
        <v>246</v>
      </c>
      <c r="I85" s="238" t="s">
        <v>246</v>
      </c>
      <c r="J85" s="238"/>
      <c r="K85" s="236">
        <v>0.83899999999999997</v>
      </c>
    </row>
    <row r="86" spans="1:12">
      <c r="A86" s="235">
        <v>19325</v>
      </c>
      <c r="B86" s="223" t="s">
        <v>350</v>
      </c>
      <c r="C86" s="223" t="s">
        <v>220</v>
      </c>
      <c r="E86" s="241">
        <v>2.1000000000000001E-2</v>
      </c>
      <c r="F86" s="237">
        <v>3.5999999999999997E-2</v>
      </c>
      <c r="G86" s="237">
        <v>-5.7000000000000002E-2</v>
      </c>
      <c r="H86" s="238" t="s">
        <v>246</v>
      </c>
      <c r="I86" s="238" t="s">
        <v>246</v>
      </c>
      <c r="J86" s="238"/>
      <c r="K86" s="236">
        <v>0.46600000000000003</v>
      </c>
    </row>
    <row r="87" spans="1:12">
      <c r="A87" s="235">
        <v>19325</v>
      </c>
      <c r="B87" s="223" t="s">
        <v>351</v>
      </c>
      <c r="C87" s="223" t="s">
        <v>220</v>
      </c>
      <c r="E87" s="241">
        <v>-7.0000000000000001E-3</v>
      </c>
      <c r="F87" s="237">
        <v>7.0000000000000001E-3</v>
      </c>
      <c r="G87" s="238" t="s">
        <v>246</v>
      </c>
      <c r="H87" s="238" t="s">
        <v>246</v>
      </c>
      <c r="I87" s="238" t="s">
        <v>246</v>
      </c>
      <c r="J87" s="238"/>
      <c r="K87" s="236">
        <v>0.71</v>
      </c>
    </row>
    <row r="88" spans="1:12">
      <c r="A88" s="235">
        <v>19402</v>
      </c>
      <c r="B88" s="223" t="s">
        <v>352</v>
      </c>
      <c r="C88" s="223" t="s">
        <v>273</v>
      </c>
      <c r="E88" s="241">
        <v>0.06</v>
      </c>
      <c r="F88" s="237">
        <v>1.9E-2</v>
      </c>
      <c r="G88" s="237">
        <v>-7.9000000000000001E-2</v>
      </c>
      <c r="H88" s="238" t="s">
        <v>246</v>
      </c>
      <c r="I88" s="238" t="s">
        <v>246</v>
      </c>
      <c r="J88" s="238"/>
      <c r="K88" s="236">
        <v>0.49199999999999999</v>
      </c>
    </row>
    <row r="89" spans="1:12">
      <c r="A89" s="235">
        <v>19430</v>
      </c>
      <c r="B89" s="223" t="s">
        <v>353</v>
      </c>
      <c r="C89" s="223" t="s">
        <v>273</v>
      </c>
      <c r="E89" s="241">
        <v>-3.0000000000000001E-3</v>
      </c>
      <c r="F89" s="237">
        <v>3.0000000000000001E-3</v>
      </c>
      <c r="G89" s="238" t="s">
        <v>246</v>
      </c>
      <c r="H89" s="238" t="s">
        <v>246</v>
      </c>
      <c r="I89" s="238" t="s">
        <v>246</v>
      </c>
      <c r="J89" s="238"/>
      <c r="K89" s="236">
        <v>0.58699999999999997</v>
      </c>
    </row>
    <row r="90" spans="1:12">
      <c r="A90" s="235">
        <v>19449</v>
      </c>
      <c r="B90" s="223" t="s">
        <v>354</v>
      </c>
      <c r="C90" s="223" t="s">
        <v>220</v>
      </c>
      <c r="E90" s="241">
        <v>9.8000000000000004E-2</v>
      </c>
      <c r="F90" s="237">
        <v>3.2000000000000001E-2</v>
      </c>
      <c r="G90" s="237">
        <v>-0.13</v>
      </c>
      <c r="H90" s="238" t="s">
        <v>246</v>
      </c>
      <c r="I90" s="238" t="s">
        <v>246</v>
      </c>
      <c r="J90" s="238"/>
      <c r="K90" s="236">
        <v>0.57899999999999996</v>
      </c>
    </row>
    <row r="91" spans="1:12">
      <c r="A91" s="235">
        <v>19449</v>
      </c>
      <c r="B91" s="223" t="s">
        <v>355</v>
      </c>
      <c r="C91" s="223" t="s">
        <v>220</v>
      </c>
      <c r="E91" s="241">
        <v>-4.1000000000000002E-2</v>
      </c>
      <c r="F91" s="237">
        <v>4.1000000000000002E-2</v>
      </c>
      <c r="G91" s="238" t="s">
        <v>246</v>
      </c>
      <c r="H91" s="238" t="s">
        <v>246</v>
      </c>
      <c r="I91" s="238" t="s">
        <v>246</v>
      </c>
      <c r="J91" s="238"/>
      <c r="K91" s="236">
        <v>0.505</v>
      </c>
    </row>
    <row r="92" spans="1:12">
      <c r="A92" s="235">
        <v>19450</v>
      </c>
      <c r="B92" s="223" t="s">
        <v>356</v>
      </c>
      <c r="C92" s="223" t="s">
        <v>220</v>
      </c>
      <c r="E92" s="241">
        <v>8.9999999999999993E-3</v>
      </c>
      <c r="F92" s="237">
        <v>-8.9999999999999993E-3</v>
      </c>
      <c r="G92" s="238" t="s">
        <v>246</v>
      </c>
      <c r="H92" s="238" t="s">
        <v>246</v>
      </c>
      <c r="I92" s="238" t="s">
        <v>246</v>
      </c>
      <c r="J92" s="238"/>
      <c r="K92" s="236">
        <v>0.45</v>
      </c>
      <c r="L92" s="113" t="s">
        <v>343</v>
      </c>
    </row>
    <row r="93" spans="1:12">
      <c r="A93" s="235">
        <v>19492</v>
      </c>
      <c r="B93" s="223" t="s">
        <v>357</v>
      </c>
      <c r="C93" s="223" t="s">
        <v>308</v>
      </c>
      <c r="E93" s="241">
        <v>-1.0999999999999999E-2</v>
      </c>
      <c r="F93" s="237">
        <v>-4.2000000000000003E-2</v>
      </c>
      <c r="G93" s="237">
        <v>5.2999999999999999E-2</v>
      </c>
      <c r="H93" s="238" t="s">
        <v>246</v>
      </c>
      <c r="I93" s="238" t="s">
        <v>246</v>
      </c>
      <c r="J93" s="238"/>
      <c r="K93" s="236">
        <v>0.72699999999999998</v>
      </c>
    </row>
    <row r="94" spans="1:12">
      <c r="A94" s="235">
        <v>19540</v>
      </c>
      <c r="B94" s="223" t="s">
        <v>358</v>
      </c>
      <c r="C94" s="223" t="s">
        <v>273</v>
      </c>
      <c r="E94" s="241">
        <v>-2.3E-2</v>
      </c>
      <c r="F94" s="237">
        <v>-4.8000000000000001E-2</v>
      </c>
      <c r="G94" s="237">
        <v>7.0999999999999994E-2</v>
      </c>
      <c r="H94" s="238" t="s">
        <v>246</v>
      </c>
      <c r="I94" s="238" t="s">
        <v>246</v>
      </c>
      <c r="J94" s="238"/>
      <c r="K94" s="236">
        <v>0.75900000000000001</v>
      </c>
    </row>
    <row r="95" spans="1:12">
      <c r="A95" s="235">
        <v>19542</v>
      </c>
      <c r="B95" s="223" t="s">
        <v>359</v>
      </c>
      <c r="C95" s="223" t="s">
        <v>273</v>
      </c>
      <c r="E95" s="241">
        <v>3.3000000000000002E-2</v>
      </c>
      <c r="F95" s="237">
        <v>-3.3000000000000002E-2</v>
      </c>
      <c r="G95" s="238" t="s">
        <v>246</v>
      </c>
      <c r="H95" s="238" t="s">
        <v>246</v>
      </c>
      <c r="I95" s="238" t="s">
        <v>246</v>
      </c>
      <c r="J95" s="238"/>
      <c r="K95" s="236">
        <v>0.502</v>
      </c>
    </row>
    <row r="96" spans="1:12">
      <c r="A96" s="235">
        <v>19619</v>
      </c>
      <c r="B96" s="223" t="s">
        <v>360</v>
      </c>
      <c r="C96" s="223" t="s">
        <v>220</v>
      </c>
      <c r="E96" s="241">
        <v>-1.4E-2</v>
      </c>
      <c r="F96" s="237">
        <v>1.4E-2</v>
      </c>
      <c r="G96" s="238" t="s">
        <v>246</v>
      </c>
      <c r="H96" s="238" t="s">
        <v>246</v>
      </c>
      <c r="I96" s="238" t="s">
        <v>246</v>
      </c>
      <c r="J96" s="238"/>
      <c r="K96" s="236">
        <v>0.63500000000000001</v>
      </c>
    </row>
    <row r="97" spans="1:11">
      <c r="A97" s="235">
        <v>19675</v>
      </c>
      <c r="B97" s="223" t="s">
        <v>361</v>
      </c>
      <c r="C97" s="223" t="s">
        <v>273</v>
      </c>
      <c r="E97" s="241">
        <v>-2.8000000000000001E-2</v>
      </c>
      <c r="F97" s="237">
        <v>1.4999999999999999E-2</v>
      </c>
      <c r="G97" s="238" t="s">
        <v>246</v>
      </c>
      <c r="H97" s="238" t="s">
        <v>246</v>
      </c>
      <c r="I97" s="237">
        <v>4.2999999999999997E-2</v>
      </c>
      <c r="J97" s="237"/>
      <c r="K97" s="236">
        <v>0.625</v>
      </c>
    </row>
    <row r="98" spans="1:11">
      <c r="A98" s="235">
        <v>19675</v>
      </c>
      <c r="B98" s="223" t="s">
        <v>336</v>
      </c>
      <c r="C98" s="223" t="s">
        <v>273</v>
      </c>
      <c r="E98" s="241">
        <v>-0.02</v>
      </c>
      <c r="F98" s="237">
        <v>0.02</v>
      </c>
      <c r="G98" s="238" t="s">
        <v>246</v>
      </c>
      <c r="H98" s="238" t="s">
        <v>246</v>
      </c>
      <c r="I98" s="238" t="s">
        <v>246</v>
      </c>
      <c r="J98" s="238"/>
      <c r="K98" s="236">
        <v>0.54100000000000004</v>
      </c>
    </row>
    <row r="99" spans="1:11">
      <c r="A99" s="235">
        <v>19682</v>
      </c>
      <c r="B99" s="223" t="s">
        <v>1360</v>
      </c>
      <c r="C99" s="223" t="s">
        <v>220</v>
      </c>
      <c r="E99" s="241">
        <v>-2E-3</v>
      </c>
      <c r="F99" s="237">
        <v>1.9E-2</v>
      </c>
      <c r="G99" s="237">
        <v>-1.7000000000000001E-2</v>
      </c>
      <c r="H99" s="238" t="s">
        <v>246</v>
      </c>
      <c r="I99" s="238" t="s">
        <v>246</v>
      </c>
      <c r="J99" s="238"/>
      <c r="K99" s="236">
        <v>0.56200000000000006</v>
      </c>
    </row>
    <row r="100" spans="1:11">
      <c r="A100" s="235">
        <v>19696</v>
      </c>
      <c r="B100" s="223" t="s">
        <v>293</v>
      </c>
      <c r="C100" s="223" t="s">
        <v>220</v>
      </c>
      <c r="E100" s="241">
        <v>0.01</v>
      </c>
      <c r="F100" s="237">
        <v>-1.9E-2</v>
      </c>
      <c r="G100" s="238" t="s">
        <v>246</v>
      </c>
      <c r="H100" s="238" t="s">
        <v>246</v>
      </c>
      <c r="I100" s="237">
        <v>8.9999999999999993E-3</v>
      </c>
      <c r="J100" s="237"/>
      <c r="K100" s="236">
        <v>0.60299999999999998</v>
      </c>
    </row>
    <row r="101" spans="1:11">
      <c r="A101" s="235">
        <v>19758</v>
      </c>
      <c r="B101" s="223" t="s">
        <v>362</v>
      </c>
      <c r="C101" s="223" t="s">
        <v>273</v>
      </c>
      <c r="E101" s="241">
        <v>4.2999999999999997E-2</v>
      </c>
      <c r="F101" s="237">
        <v>-5.7000000000000002E-2</v>
      </c>
      <c r="G101" s="237">
        <v>1.4E-2</v>
      </c>
      <c r="H101" s="238" t="s">
        <v>246</v>
      </c>
      <c r="I101" s="238" t="s">
        <v>246</v>
      </c>
      <c r="J101" s="238"/>
      <c r="K101" s="236">
        <v>0.45400000000000001</v>
      </c>
    </row>
    <row r="102" spans="1:11" ht="12.75" customHeight="1">
      <c r="A102" s="235">
        <v>19766</v>
      </c>
      <c r="B102" s="223" t="s">
        <v>363</v>
      </c>
      <c r="C102" s="223" t="s">
        <v>273</v>
      </c>
      <c r="D102" s="263"/>
      <c r="E102" s="264">
        <v>3.6999999999999998E-2</v>
      </c>
      <c r="F102" s="265">
        <v>-3.6999999999999998E-2</v>
      </c>
      <c r="G102" s="238" t="s">
        <v>246</v>
      </c>
      <c r="H102" s="238" t="s">
        <v>246</v>
      </c>
      <c r="I102" s="238" t="s">
        <v>246</v>
      </c>
      <c r="J102" s="238"/>
      <c r="K102" s="266">
        <v>0.45700000000000002</v>
      </c>
    </row>
    <row r="103" spans="1:11">
      <c r="A103" s="235">
        <v>19766</v>
      </c>
      <c r="B103" s="223" t="s">
        <v>364</v>
      </c>
      <c r="C103" s="223" t="s">
        <v>273</v>
      </c>
      <c r="E103" s="241">
        <v>2E-3</v>
      </c>
      <c r="F103" s="237">
        <v>-2E-3</v>
      </c>
      <c r="G103" s="238" t="s">
        <v>246</v>
      </c>
      <c r="H103" s="238" t="s">
        <v>246</v>
      </c>
      <c r="I103" s="238" t="s">
        <v>246</v>
      </c>
      <c r="J103" s="238"/>
      <c r="K103" s="236">
        <v>0.58799999999999997</v>
      </c>
    </row>
    <row r="104" spans="1:11">
      <c r="A104" s="235">
        <v>19773</v>
      </c>
      <c r="B104" s="223" t="s">
        <v>365</v>
      </c>
      <c r="C104" s="223" t="s">
        <v>273</v>
      </c>
      <c r="E104" s="241">
        <v>4.2000000000000003E-2</v>
      </c>
      <c r="F104" s="237">
        <v>-4.2000000000000003E-2</v>
      </c>
      <c r="G104" s="238" t="s">
        <v>246</v>
      </c>
      <c r="H104" s="238" t="s">
        <v>246</v>
      </c>
      <c r="I104" s="238" t="s">
        <v>246</v>
      </c>
      <c r="J104" s="238"/>
      <c r="K104" s="236">
        <v>0.45100000000000001</v>
      </c>
    </row>
    <row r="105" spans="1:11">
      <c r="A105" s="235">
        <v>19792</v>
      </c>
      <c r="B105" s="223" t="s">
        <v>366</v>
      </c>
      <c r="C105" s="223" t="s">
        <v>273</v>
      </c>
      <c r="E105" s="241">
        <v>1.0999999999999999E-2</v>
      </c>
      <c r="F105" s="237">
        <v>-1.0999999999999999E-2</v>
      </c>
      <c r="G105" s="238" t="s">
        <v>246</v>
      </c>
      <c r="H105" s="238" t="s">
        <v>246</v>
      </c>
      <c r="I105" s="238" t="s">
        <v>246</v>
      </c>
      <c r="J105" s="238"/>
      <c r="K105" s="236">
        <v>0.54200000000000004</v>
      </c>
    </row>
    <row r="106" spans="1:11">
      <c r="A106" s="235">
        <v>19794</v>
      </c>
      <c r="B106" s="223" t="s">
        <v>367</v>
      </c>
      <c r="C106" s="223" t="s">
        <v>273</v>
      </c>
      <c r="E106" s="241">
        <v>2E-3</v>
      </c>
      <c r="F106" s="237">
        <v>-2E-3</v>
      </c>
      <c r="G106" s="238" t="s">
        <v>246</v>
      </c>
      <c r="H106" s="238" t="s">
        <v>246</v>
      </c>
      <c r="I106" s="238" t="s">
        <v>246</v>
      </c>
      <c r="J106" s="238"/>
      <c r="K106" s="236">
        <v>0.55300000000000005</v>
      </c>
    </row>
    <row r="107" spans="1:11">
      <c r="A107" s="235">
        <v>19822</v>
      </c>
      <c r="B107" s="223" t="s">
        <v>368</v>
      </c>
      <c r="C107" s="223" t="s">
        <v>220</v>
      </c>
      <c r="E107" s="241">
        <v>-3.5000000000000003E-2</v>
      </c>
      <c r="F107" s="237">
        <v>3.5000000000000003E-2</v>
      </c>
      <c r="G107" s="238" t="s">
        <v>246</v>
      </c>
      <c r="H107" s="238" t="s">
        <v>246</v>
      </c>
      <c r="I107" s="238" t="s">
        <v>246</v>
      </c>
      <c r="J107" s="238"/>
      <c r="K107" s="236">
        <v>0.61799999999999999</v>
      </c>
    </row>
    <row r="108" spans="1:11">
      <c r="A108" s="235">
        <v>19828</v>
      </c>
      <c r="B108" s="223" t="s">
        <v>369</v>
      </c>
      <c r="C108" s="223" t="s">
        <v>220</v>
      </c>
      <c r="E108" s="241">
        <v>-3.4000000000000002E-2</v>
      </c>
      <c r="F108" s="237">
        <v>-8.9999999999999993E-3</v>
      </c>
      <c r="G108" s="238" t="s">
        <v>246</v>
      </c>
      <c r="H108" s="238" t="s">
        <v>246</v>
      </c>
      <c r="I108" s="237">
        <v>4.2999999999999997E-2</v>
      </c>
      <c r="J108" s="237"/>
      <c r="K108" s="236">
        <v>0.70499999999999996</v>
      </c>
    </row>
    <row r="109" spans="1:11">
      <c r="A109" s="235">
        <v>19997</v>
      </c>
      <c r="B109" s="223" t="s">
        <v>370</v>
      </c>
      <c r="C109" s="223" t="s">
        <v>273</v>
      </c>
      <c r="E109" s="241">
        <v>-2.1999999999999999E-2</v>
      </c>
      <c r="F109" s="237">
        <v>-5.8000000000000003E-2</v>
      </c>
      <c r="G109" s="237">
        <v>0.08</v>
      </c>
      <c r="H109" s="238" t="s">
        <v>246</v>
      </c>
      <c r="I109" s="238" t="s">
        <v>246</v>
      </c>
      <c r="J109" s="238"/>
      <c r="K109" s="236">
        <v>0.57499999999999996</v>
      </c>
    </row>
    <row r="110" spans="1:11">
      <c r="A110" s="235">
        <v>20018</v>
      </c>
      <c r="B110" s="223" t="s">
        <v>371</v>
      </c>
      <c r="C110" s="223" t="s">
        <v>220</v>
      </c>
      <c r="E110" s="241">
        <v>-5.6000000000000001E-2</v>
      </c>
      <c r="F110" s="237">
        <v>5.6000000000000001E-2</v>
      </c>
      <c r="G110" s="238" t="s">
        <v>246</v>
      </c>
      <c r="H110" s="238" t="s">
        <v>246</v>
      </c>
      <c r="I110" s="238" t="s">
        <v>246</v>
      </c>
      <c r="J110" s="238"/>
      <c r="K110" s="236">
        <v>0.40699999999999997</v>
      </c>
    </row>
    <row r="111" spans="1:11">
      <c r="A111" s="235">
        <v>20018</v>
      </c>
      <c r="B111" s="223" t="s">
        <v>372</v>
      </c>
      <c r="C111" s="223" t="s">
        <v>220</v>
      </c>
      <c r="E111" s="241">
        <v>2E-3</v>
      </c>
      <c r="F111" s="237">
        <v>-2E-3</v>
      </c>
      <c r="G111" s="238" t="s">
        <v>246</v>
      </c>
      <c r="H111" s="238" t="s">
        <v>246</v>
      </c>
      <c r="I111" s="238" t="s">
        <v>246</v>
      </c>
      <c r="J111" s="238"/>
      <c r="K111" s="236">
        <v>0.68600000000000005</v>
      </c>
    </row>
    <row r="112" spans="1:11">
      <c r="A112" s="235">
        <v>20025</v>
      </c>
      <c r="B112" s="223" t="s">
        <v>373</v>
      </c>
      <c r="C112" s="223" t="s">
        <v>273</v>
      </c>
      <c r="E112" s="241">
        <v>-2E-3</v>
      </c>
      <c r="F112" s="237">
        <v>2E-3</v>
      </c>
      <c r="G112" s="238" t="s">
        <v>246</v>
      </c>
      <c r="H112" s="238" t="s">
        <v>246</v>
      </c>
      <c r="I112" s="238" t="s">
        <v>246</v>
      </c>
      <c r="J112" s="238"/>
      <c r="K112" s="236">
        <v>0.58699999999999997</v>
      </c>
    </row>
    <row r="113" spans="1:11">
      <c r="A113" s="235">
        <v>20025</v>
      </c>
      <c r="B113" s="223" t="s">
        <v>297</v>
      </c>
      <c r="C113" s="223" t="s">
        <v>220</v>
      </c>
      <c r="E113" s="241">
        <v>-8.9999999999999993E-3</v>
      </c>
      <c r="F113" s="237">
        <v>-0.09</v>
      </c>
      <c r="G113" s="238" t="s">
        <v>246</v>
      </c>
      <c r="H113" s="237">
        <v>9.9000000000000005E-2</v>
      </c>
      <c r="I113" s="238" t="s">
        <v>246</v>
      </c>
      <c r="J113" s="238"/>
      <c r="K113" s="236">
        <v>0.69699999999999995</v>
      </c>
    </row>
    <row r="114" spans="1:11">
      <c r="A114" s="235">
        <v>20032</v>
      </c>
      <c r="B114" s="223" t="s">
        <v>374</v>
      </c>
      <c r="C114" s="223" t="s">
        <v>273</v>
      </c>
      <c r="E114" s="241">
        <v>3.6999999999999998E-2</v>
      </c>
      <c r="F114" s="237">
        <v>-3.6999999999999998E-2</v>
      </c>
      <c r="G114" s="238" t="s">
        <v>246</v>
      </c>
      <c r="H114" s="238" t="s">
        <v>246</v>
      </c>
      <c r="I114" s="238" t="s">
        <v>246</v>
      </c>
      <c r="J114" s="238"/>
      <c r="K114" s="236">
        <v>0.55600000000000005</v>
      </c>
    </row>
    <row r="115" spans="1:11">
      <c r="A115" s="235">
        <v>20032</v>
      </c>
      <c r="B115" s="223" t="s">
        <v>375</v>
      </c>
      <c r="C115" s="223" t="s">
        <v>220</v>
      </c>
      <c r="E115" s="241">
        <v>6.0000000000000001E-3</v>
      </c>
      <c r="F115" s="237">
        <v>-6.0000000000000001E-3</v>
      </c>
      <c r="G115" s="238" t="s">
        <v>246</v>
      </c>
      <c r="H115" s="238" t="s">
        <v>246</v>
      </c>
      <c r="I115" s="238" t="s">
        <v>246</v>
      </c>
      <c r="J115" s="238"/>
      <c r="K115" s="236">
        <v>0.73</v>
      </c>
    </row>
    <row r="116" spans="1:11">
      <c r="A116" s="235">
        <v>20046</v>
      </c>
      <c r="B116" s="223" t="s">
        <v>376</v>
      </c>
      <c r="C116" s="223" t="s">
        <v>273</v>
      </c>
      <c r="E116" s="241">
        <v>1.6E-2</v>
      </c>
      <c r="F116" s="237">
        <v>-1.6E-2</v>
      </c>
      <c r="G116" s="238" t="s">
        <v>246</v>
      </c>
      <c r="H116" s="238" t="s">
        <v>246</v>
      </c>
      <c r="I116" s="238" t="s">
        <v>246</v>
      </c>
      <c r="J116" s="238"/>
      <c r="K116" s="236">
        <v>0.58899999999999997</v>
      </c>
    </row>
    <row r="117" spans="1:11">
      <c r="A117" s="235">
        <v>20079</v>
      </c>
      <c r="B117" s="223" t="s">
        <v>377</v>
      </c>
      <c r="C117" s="223" t="s">
        <v>273</v>
      </c>
      <c r="E117" s="241">
        <v>-0.23100000000000001</v>
      </c>
      <c r="F117" s="237">
        <v>0.36</v>
      </c>
      <c r="G117" s="237">
        <v>-0.129</v>
      </c>
      <c r="H117" s="238" t="s">
        <v>246</v>
      </c>
      <c r="I117" s="238" t="s">
        <v>246</v>
      </c>
      <c r="J117" s="238"/>
      <c r="K117" s="236">
        <v>0.49199999999999999</v>
      </c>
    </row>
    <row r="118" spans="1:11">
      <c r="A118" s="235">
        <v>20102</v>
      </c>
      <c r="B118" s="223" t="s">
        <v>378</v>
      </c>
      <c r="C118" s="223" t="s">
        <v>273</v>
      </c>
      <c r="E118" s="241">
        <v>-0.03</v>
      </c>
      <c r="F118" s="237">
        <v>0.03</v>
      </c>
      <c r="G118" s="238" t="s">
        <v>246</v>
      </c>
      <c r="H118" s="238" t="s">
        <v>246</v>
      </c>
      <c r="I118" s="238" t="s">
        <v>246</v>
      </c>
      <c r="J118" s="238"/>
      <c r="K118" s="236">
        <v>0.66600000000000004</v>
      </c>
    </row>
    <row r="119" spans="1:11">
      <c r="A119" s="235">
        <v>20109</v>
      </c>
      <c r="B119" s="223" t="s">
        <v>379</v>
      </c>
      <c r="C119" s="223" t="s">
        <v>273</v>
      </c>
      <c r="E119" s="241">
        <v>3.1E-2</v>
      </c>
      <c r="F119" s="237">
        <v>-3.1E-2</v>
      </c>
      <c r="G119" s="238" t="s">
        <v>246</v>
      </c>
      <c r="H119" s="238" t="s">
        <v>246</v>
      </c>
      <c r="I119" s="238" t="s">
        <v>246</v>
      </c>
      <c r="J119" s="238"/>
      <c r="K119" s="236">
        <v>0.55400000000000005</v>
      </c>
    </row>
    <row r="120" spans="1:11">
      <c r="A120" s="235">
        <v>20114</v>
      </c>
      <c r="B120" s="223" t="s">
        <v>132</v>
      </c>
      <c r="C120" s="223" t="s">
        <v>273</v>
      </c>
      <c r="E120" s="241">
        <v>1.9E-2</v>
      </c>
      <c r="F120" s="237">
        <v>-1.9E-2</v>
      </c>
      <c r="G120" s="238" t="s">
        <v>246</v>
      </c>
      <c r="H120" s="238" t="s">
        <v>246</v>
      </c>
      <c r="I120" s="238" t="s">
        <v>246</v>
      </c>
      <c r="J120" s="238"/>
      <c r="K120" s="236">
        <v>0.47299999999999998</v>
      </c>
    </row>
    <row r="121" spans="1:11">
      <c r="A121" s="235">
        <v>20116</v>
      </c>
      <c r="B121" s="223" t="s">
        <v>380</v>
      </c>
      <c r="C121" s="223" t="s">
        <v>273</v>
      </c>
      <c r="E121" s="241">
        <v>6.0000000000000001E-3</v>
      </c>
      <c r="F121" s="237">
        <v>-6.0000000000000001E-3</v>
      </c>
      <c r="G121" s="238" t="s">
        <v>246</v>
      </c>
      <c r="H121" s="238" t="s">
        <v>246</v>
      </c>
      <c r="I121" s="238" t="s">
        <v>246</v>
      </c>
      <c r="J121" s="238"/>
      <c r="K121" s="236">
        <v>0.46400000000000002</v>
      </c>
    </row>
    <row r="122" spans="1:11">
      <c r="A122" s="235">
        <v>20123</v>
      </c>
      <c r="B122" s="223" t="s">
        <v>381</v>
      </c>
      <c r="C122" s="223" t="s">
        <v>273</v>
      </c>
      <c r="E122" s="241">
        <v>1E-3</v>
      </c>
      <c r="F122" s="237">
        <v>-1E-3</v>
      </c>
      <c r="G122" s="238" t="s">
        <v>246</v>
      </c>
      <c r="H122" s="238" t="s">
        <v>246</v>
      </c>
      <c r="I122" s="238" t="s">
        <v>246</v>
      </c>
      <c r="J122" s="238"/>
      <c r="K122" s="236">
        <v>0.64600000000000002</v>
      </c>
    </row>
    <row r="123" spans="1:11">
      <c r="A123" s="235">
        <v>20165</v>
      </c>
      <c r="B123" s="223" t="s">
        <v>382</v>
      </c>
      <c r="C123" s="223" t="s">
        <v>220</v>
      </c>
      <c r="E123" s="241">
        <v>-0.04</v>
      </c>
      <c r="F123" s="237">
        <v>-3.6999999999999998E-2</v>
      </c>
      <c r="G123" s="238" t="s">
        <v>246</v>
      </c>
      <c r="H123" s="237">
        <v>7.6999999999999999E-2</v>
      </c>
      <c r="I123" s="238" t="s">
        <v>246</v>
      </c>
      <c r="J123" s="238"/>
      <c r="K123" s="236">
        <v>0.624</v>
      </c>
    </row>
    <row r="124" spans="1:11">
      <c r="A124" s="262"/>
      <c r="E124" s="241"/>
      <c r="F124" s="237"/>
      <c r="G124" s="237"/>
      <c r="H124" s="237"/>
      <c r="I124" s="237"/>
      <c r="J124" s="237"/>
      <c r="K124" s="236"/>
    </row>
    <row r="125" spans="1:11">
      <c r="A125" s="234" t="s">
        <v>790</v>
      </c>
      <c r="E125" s="241"/>
      <c r="F125" s="237"/>
      <c r="G125" s="237"/>
      <c r="H125" s="237"/>
      <c r="I125" s="237"/>
      <c r="J125" s="237"/>
      <c r="K125" s="236"/>
    </row>
    <row r="126" spans="1:11">
      <c r="A126" s="262"/>
      <c r="E126" s="241"/>
      <c r="F126" s="237"/>
      <c r="G126" s="237"/>
      <c r="H126" s="237"/>
      <c r="I126" s="237"/>
      <c r="J126" s="237"/>
      <c r="K126" s="236"/>
    </row>
    <row r="127" spans="1:11">
      <c r="A127" s="235">
        <v>20430</v>
      </c>
      <c r="B127" s="223" t="s">
        <v>383</v>
      </c>
      <c r="C127" s="223" t="s">
        <v>220</v>
      </c>
      <c r="E127" s="241">
        <v>-1.2E-2</v>
      </c>
      <c r="F127" s="237">
        <v>1.2E-2</v>
      </c>
      <c r="G127" s="238" t="s">
        <v>246</v>
      </c>
      <c r="H127" s="238" t="s">
        <v>246</v>
      </c>
      <c r="I127" s="238" t="s">
        <v>246</v>
      </c>
      <c r="J127" s="238"/>
      <c r="K127" s="236">
        <v>0.42299999999999999</v>
      </c>
    </row>
    <row r="128" spans="1:11">
      <c r="A128" s="235">
        <v>20431</v>
      </c>
      <c r="B128" s="223" t="s">
        <v>384</v>
      </c>
      <c r="C128" s="223" t="s">
        <v>220</v>
      </c>
      <c r="E128" s="241">
        <v>-2.3E-2</v>
      </c>
      <c r="F128" s="237">
        <v>2.3E-2</v>
      </c>
      <c r="G128" s="238" t="s">
        <v>246</v>
      </c>
      <c r="H128" s="238" t="s">
        <v>246</v>
      </c>
      <c r="I128" s="238" t="s">
        <v>246</v>
      </c>
      <c r="J128" s="238"/>
      <c r="K128" s="236">
        <v>0.753</v>
      </c>
    </row>
    <row r="129" spans="1:12">
      <c r="A129" s="235">
        <v>20438</v>
      </c>
      <c r="B129" s="223" t="s">
        <v>385</v>
      </c>
      <c r="C129" s="223" t="s">
        <v>273</v>
      </c>
      <c r="E129" s="241">
        <v>-9.4E-2</v>
      </c>
      <c r="F129" s="237">
        <v>-2E-3</v>
      </c>
      <c r="G129" s="237">
        <v>9.6000000000000002E-2</v>
      </c>
      <c r="H129" s="238" t="s">
        <v>246</v>
      </c>
      <c r="I129" s="238" t="s">
        <v>246</v>
      </c>
      <c r="J129" s="238"/>
      <c r="K129" s="236">
        <v>0.626</v>
      </c>
    </row>
    <row r="130" spans="1:12">
      <c r="A130" s="235">
        <v>20487</v>
      </c>
      <c r="B130" s="223" t="s">
        <v>386</v>
      </c>
      <c r="C130" s="223" t="s">
        <v>220</v>
      </c>
      <c r="E130" s="241">
        <v>-3.4000000000000002E-2</v>
      </c>
      <c r="F130" s="237">
        <v>3.4000000000000002E-2</v>
      </c>
      <c r="G130" s="238" t="s">
        <v>246</v>
      </c>
      <c r="H130" s="238" t="s">
        <v>246</v>
      </c>
      <c r="I130" s="238" t="s">
        <v>246</v>
      </c>
      <c r="J130" s="238"/>
      <c r="K130" s="236">
        <v>0.56499999999999995</v>
      </c>
    </row>
    <row r="131" spans="1:12">
      <c r="A131" s="235">
        <v>20494</v>
      </c>
      <c r="B131" s="223" t="s">
        <v>387</v>
      </c>
      <c r="C131" s="223" t="s">
        <v>273</v>
      </c>
      <c r="E131" s="241">
        <v>1.7999999999999999E-2</v>
      </c>
      <c r="F131" s="237">
        <v>-1.7999999999999999E-2</v>
      </c>
      <c r="G131" s="238" t="s">
        <v>246</v>
      </c>
      <c r="H131" s="238" t="s">
        <v>246</v>
      </c>
      <c r="I131" s="238" t="s">
        <v>246</v>
      </c>
      <c r="J131" s="238"/>
      <c r="K131" s="236">
        <v>0.39900000000000002</v>
      </c>
    </row>
    <row r="132" spans="1:12">
      <c r="A132" s="235">
        <v>20499</v>
      </c>
      <c r="B132" s="223" t="s">
        <v>388</v>
      </c>
      <c r="C132" s="223" t="s">
        <v>273</v>
      </c>
      <c r="E132" s="241">
        <v>-7.4999999999999997E-2</v>
      </c>
      <c r="F132" s="237">
        <v>0.11600000000000001</v>
      </c>
      <c r="G132" s="237">
        <v>-4.1000000000000002E-2</v>
      </c>
      <c r="H132" s="238" t="s">
        <v>246</v>
      </c>
      <c r="I132" s="238" t="s">
        <v>246</v>
      </c>
      <c r="J132" s="238"/>
      <c r="K132" s="236">
        <v>0.61499999999999999</v>
      </c>
    </row>
    <row r="133" spans="1:12">
      <c r="A133" s="235">
        <v>20499</v>
      </c>
      <c r="B133" s="223" t="s">
        <v>389</v>
      </c>
      <c r="C133" s="223" t="s">
        <v>273</v>
      </c>
      <c r="E133" s="241">
        <v>-0.15</v>
      </c>
      <c r="F133" s="237">
        <v>-6.6000000000000003E-2</v>
      </c>
      <c r="G133" s="237">
        <v>0.216</v>
      </c>
      <c r="H133" s="238" t="s">
        <v>246</v>
      </c>
      <c r="I133" s="238" t="s">
        <v>246</v>
      </c>
      <c r="J133" s="238"/>
      <c r="K133" s="236">
        <v>0.61899999999999999</v>
      </c>
    </row>
    <row r="134" spans="1:12">
      <c r="A134" s="235">
        <v>20499</v>
      </c>
      <c r="B134" s="223" t="s">
        <v>390</v>
      </c>
      <c r="C134" s="223" t="s">
        <v>273</v>
      </c>
      <c r="E134" s="241">
        <v>-1.9E-2</v>
      </c>
      <c r="F134" s="237">
        <v>9.7000000000000003E-2</v>
      </c>
      <c r="G134" s="237">
        <v>-8.4000000000000005E-2</v>
      </c>
      <c r="H134" s="238" t="s">
        <v>246</v>
      </c>
      <c r="I134" s="238" t="s">
        <v>246</v>
      </c>
      <c r="J134" s="238"/>
      <c r="K134" s="236">
        <v>0.75</v>
      </c>
    </row>
    <row r="135" spans="1:12">
      <c r="A135" s="235">
        <v>20515</v>
      </c>
      <c r="B135" s="223" t="s">
        <v>391</v>
      </c>
      <c r="C135" s="223" t="s">
        <v>220</v>
      </c>
      <c r="E135" s="241">
        <v>-0.14099999999999999</v>
      </c>
      <c r="F135" s="237">
        <v>-0.01</v>
      </c>
      <c r="G135" s="237">
        <v>0.14699999999999999</v>
      </c>
      <c r="H135" s="238" t="s">
        <v>246</v>
      </c>
      <c r="I135" s="238" t="s">
        <v>246</v>
      </c>
      <c r="J135" s="238"/>
      <c r="K135" s="236">
        <v>0.52</v>
      </c>
    </row>
    <row r="136" spans="1:12">
      <c r="A136" s="235">
        <v>20613</v>
      </c>
      <c r="B136" s="223" t="s">
        <v>392</v>
      </c>
      <c r="C136" s="223" t="s">
        <v>273</v>
      </c>
      <c r="E136" s="241">
        <v>-8.4000000000000005E-2</v>
      </c>
      <c r="F136" s="237">
        <v>8.4000000000000005E-2</v>
      </c>
      <c r="G136" s="238" t="s">
        <v>246</v>
      </c>
      <c r="H136" s="238" t="s">
        <v>246</v>
      </c>
      <c r="I136" s="238" t="s">
        <v>246</v>
      </c>
      <c r="J136" s="238"/>
      <c r="K136" s="236">
        <v>0.60599999999999998</v>
      </c>
    </row>
    <row r="137" spans="1:12">
      <c r="A137" s="235">
        <v>20642</v>
      </c>
      <c r="B137" s="223" t="s">
        <v>393</v>
      </c>
      <c r="C137" s="223" t="s">
        <v>220</v>
      </c>
      <c r="E137" s="241">
        <v>-6.4000000000000001E-2</v>
      </c>
      <c r="F137" s="237">
        <v>2.5999999999999999E-2</v>
      </c>
      <c r="G137" s="237">
        <v>3.7999999999999999E-2</v>
      </c>
      <c r="H137" s="238" t="s">
        <v>246</v>
      </c>
      <c r="I137" s="238" t="s">
        <v>246</v>
      </c>
      <c r="J137" s="238"/>
      <c r="K137" s="236">
        <v>0.72099999999999997</v>
      </c>
    </row>
    <row r="138" spans="1:12">
      <c r="A138" s="235">
        <v>20725</v>
      </c>
      <c r="B138" s="223" t="s">
        <v>394</v>
      </c>
      <c r="C138" s="223" t="s">
        <v>220</v>
      </c>
      <c r="E138" s="241">
        <v>-4.4999999999999998E-2</v>
      </c>
      <c r="F138" s="237">
        <v>4.4999999999999998E-2</v>
      </c>
      <c r="G138" s="238" t="s">
        <v>246</v>
      </c>
      <c r="H138" s="238" t="s">
        <v>246</v>
      </c>
      <c r="I138" s="238" t="s">
        <v>246</v>
      </c>
      <c r="J138" s="238"/>
      <c r="K138" s="236">
        <v>0.64900000000000002</v>
      </c>
    </row>
    <row r="139" spans="1:12">
      <c r="A139" s="235">
        <v>20774</v>
      </c>
      <c r="B139" s="223" t="s">
        <v>395</v>
      </c>
      <c r="C139" s="223" t="s">
        <v>273</v>
      </c>
      <c r="E139" s="241">
        <v>-0.05</v>
      </c>
      <c r="F139" s="237">
        <v>4.5999999999999999E-2</v>
      </c>
      <c r="G139" s="237">
        <v>4.0000000000000001E-3</v>
      </c>
      <c r="H139" s="238" t="s">
        <v>246</v>
      </c>
      <c r="I139" s="238" t="s">
        <v>246</v>
      </c>
      <c r="J139" s="238"/>
      <c r="K139" s="236">
        <v>0.71499999999999997</v>
      </c>
    </row>
    <row r="140" spans="1:12">
      <c r="A140" s="235">
        <v>20808</v>
      </c>
      <c r="B140" s="223" t="s">
        <v>397</v>
      </c>
      <c r="C140" s="223" t="s">
        <v>273</v>
      </c>
      <c r="E140" s="241">
        <v>-7.5999999999999998E-2</v>
      </c>
      <c r="F140" s="237">
        <v>7.5999999999999998E-2</v>
      </c>
      <c r="G140" s="238" t="s">
        <v>246</v>
      </c>
      <c r="H140" s="238" t="s">
        <v>246</v>
      </c>
      <c r="I140" s="238" t="s">
        <v>246</v>
      </c>
      <c r="J140" s="238"/>
      <c r="K140" s="236">
        <v>0.56499999999999995</v>
      </c>
    </row>
    <row r="141" spans="1:12">
      <c r="A141" s="235">
        <v>20865</v>
      </c>
      <c r="B141" s="223" t="s">
        <v>398</v>
      </c>
      <c r="C141" s="223" t="s">
        <v>399</v>
      </c>
      <c r="E141" s="241">
        <v>-7.4999999999999997E-2</v>
      </c>
      <c r="F141" s="237">
        <v>3.5000000000000003E-2</v>
      </c>
      <c r="G141" s="238" t="s">
        <v>246</v>
      </c>
      <c r="H141" s="238" t="s">
        <v>246</v>
      </c>
      <c r="I141" s="237">
        <v>0.04</v>
      </c>
      <c r="J141" s="237"/>
      <c r="K141" s="236">
        <v>0.70799999999999996</v>
      </c>
      <c r="L141" s="113" t="s">
        <v>342</v>
      </c>
    </row>
    <row r="142" spans="1:12">
      <c r="A142" s="235">
        <v>20879</v>
      </c>
      <c r="B142" s="223" t="s">
        <v>400</v>
      </c>
      <c r="C142" s="223" t="s">
        <v>220</v>
      </c>
      <c r="E142" s="241">
        <v>-0.11600000000000001</v>
      </c>
      <c r="F142" s="237">
        <v>1.7000000000000001E-2</v>
      </c>
      <c r="G142" s="238" t="s">
        <v>246</v>
      </c>
      <c r="H142" s="238" t="s">
        <v>246</v>
      </c>
      <c r="I142" s="237">
        <v>9.9000000000000005E-2</v>
      </c>
      <c r="J142" s="237"/>
      <c r="K142" s="236">
        <v>0.6</v>
      </c>
    </row>
    <row r="143" spans="1:12">
      <c r="A143" s="235">
        <v>20879</v>
      </c>
      <c r="B143" s="223" t="s">
        <v>401</v>
      </c>
      <c r="C143" s="223" t="s">
        <v>402</v>
      </c>
      <c r="E143" s="238" t="s">
        <v>246</v>
      </c>
      <c r="F143" s="237">
        <v>4.5999999999999999E-2</v>
      </c>
      <c r="G143" s="237">
        <v>-8.3000000000000004E-2</v>
      </c>
      <c r="H143" s="237">
        <v>3.6999999999999998E-2</v>
      </c>
      <c r="I143" s="238" t="s">
        <v>246</v>
      </c>
      <c r="J143" s="238"/>
      <c r="K143" s="236">
        <v>0.875</v>
      </c>
      <c r="L143" s="113" t="s">
        <v>343</v>
      </c>
    </row>
    <row r="144" spans="1:12">
      <c r="A144" s="235">
        <v>20886</v>
      </c>
      <c r="B144" s="223" t="s">
        <v>335</v>
      </c>
      <c r="C144" s="223" t="s">
        <v>273</v>
      </c>
      <c r="E144" s="241">
        <v>-5.0999999999999997E-2</v>
      </c>
      <c r="F144" s="237">
        <v>5.0999999999999997E-2</v>
      </c>
      <c r="G144" s="238" t="s">
        <v>246</v>
      </c>
      <c r="H144" s="238" t="s">
        <v>246</v>
      </c>
      <c r="I144" s="238" t="s">
        <v>246</v>
      </c>
      <c r="J144" s="238"/>
      <c r="K144" s="236">
        <v>0.61099999999999999</v>
      </c>
    </row>
    <row r="145" spans="1:12">
      <c r="A145" s="235">
        <v>20886</v>
      </c>
      <c r="B145" s="223" t="s">
        <v>403</v>
      </c>
      <c r="C145" s="223" t="s">
        <v>273</v>
      </c>
      <c r="E145" s="241">
        <v>-0.122</v>
      </c>
      <c r="F145" s="237">
        <v>0.122</v>
      </c>
      <c r="G145" s="238" t="s">
        <v>246</v>
      </c>
      <c r="H145" s="238" t="s">
        <v>246</v>
      </c>
      <c r="I145" s="238" t="s">
        <v>246</v>
      </c>
      <c r="J145" s="238"/>
      <c r="K145" s="236">
        <v>0.77900000000000003</v>
      </c>
    </row>
    <row r="146" spans="1:12">
      <c r="A146" s="235">
        <v>20900</v>
      </c>
      <c r="B146" s="223" t="s">
        <v>404</v>
      </c>
      <c r="C146" s="223" t="s">
        <v>273</v>
      </c>
      <c r="E146" s="241">
        <v>-6.0999999999999999E-2</v>
      </c>
      <c r="F146" s="237">
        <v>6.0999999999999999E-2</v>
      </c>
      <c r="G146" s="238" t="s">
        <v>246</v>
      </c>
      <c r="H146" s="238" t="s">
        <v>246</v>
      </c>
      <c r="I146" s="238" t="s">
        <v>246</v>
      </c>
      <c r="J146" s="238"/>
      <c r="K146" s="236">
        <v>0.64700000000000002</v>
      </c>
    </row>
    <row r="147" spans="1:12">
      <c r="A147" s="235">
        <v>20900</v>
      </c>
      <c r="B147" s="223" t="s">
        <v>405</v>
      </c>
      <c r="C147" s="223" t="s">
        <v>273</v>
      </c>
      <c r="E147" s="241">
        <v>-3.5999999999999997E-2</v>
      </c>
      <c r="F147" s="237">
        <v>3.5999999999999997E-2</v>
      </c>
      <c r="G147" s="238" t="s">
        <v>246</v>
      </c>
      <c r="H147" s="238" t="s">
        <v>246</v>
      </c>
      <c r="I147" s="238" t="s">
        <v>246</v>
      </c>
      <c r="J147" s="238"/>
      <c r="K147" s="236">
        <v>0.64100000000000001</v>
      </c>
    </row>
    <row r="148" spans="1:12">
      <c r="A148" s="235">
        <v>20969</v>
      </c>
      <c r="B148" s="223" t="s">
        <v>406</v>
      </c>
      <c r="C148" s="223" t="s">
        <v>273</v>
      </c>
      <c r="E148" s="241">
        <v>-0.219</v>
      </c>
      <c r="F148" s="237">
        <v>-1.6E-2</v>
      </c>
      <c r="G148" s="237">
        <v>0.23499999999999999</v>
      </c>
      <c r="H148" s="238" t="s">
        <v>246</v>
      </c>
      <c r="I148" s="238" t="s">
        <v>246</v>
      </c>
      <c r="J148" s="238"/>
      <c r="K148" s="236">
        <v>0.65800000000000003</v>
      </c>
    </row>
    <row r="149" spans="1:12">
      <c r="A149" s="235">
        <v>20970</v>
      </c>
      <c r="B149" s="223" t="s">
        <v>407</v>
      </c>
      <c r="C149" s="223" t="s">
        <v>220</v>
      </c>
      <c r="E149" s="241">
        <v>-0.115</v>
      </c>
      <c r="F149" s="237">
        <v>-2.8000000000000001E-2</v>
      </c>
      <c r="G149" s="238" t="s">
        <v>246</v>
      </c>
      <c r="H149" s="238" t="s">
        <v>246</v>
      </c>
      <c r="I149" s="237">
        <v>0.14299999999999999</v>
      </c>
      <c r="J149" s="237"/>
      <c r="K149" s="236">
        <v>0.57299999999999995</v>
      </c>
    </row>
    <row r="150" spans="1:12">
      <c r="A150" s="235">
        <v>20970</v>
      </c>
      <c r="B150" s="223" t="s">
        <v>408</v>
      </c>
      <c r="C150" s="223" t="s">
        <v>273</v>
      </c>
      <c r="E150" s="241">
        <v>-6.7000000000000004E-2</v>
      </c>
      <c r="F150" s="237">
        <v>9.2999999999999999E-2</v>
      </c>
      <c r="G150" s="238" t="s">
        <v>246</v>
      </c>
      <c r="H150" s="238" t="s">
        <v>246</v>
      </c>
      <c r="I150" s="237">
        <v>-2.5999999999999999E-2</v>
      </c>
      <c r="J150" s="237"/>
      <c r="K150" s="236">
        <v>0.63</v>
      </c>
    </row>
    <row r="151" spans="1:12">
      <c r="A151" s="235">
        <v>20998</v>
      </c>
      <c r="B151" s="223" t="s">
        <v>409</v>
      </c>
      <c r="C151" s="223" t="s">
        <v>273</v>
      </c>
      <c r="E151" s="241">
        <v>-7.0000000000000007E-2</v>
      </c>
      <c r="F151" s="237">
        <v>2.8000000000000001E-2</v>
      </c>
      <c r="G151" s="237">
        <v>3.6999999999999998E-2</v>
      </c>
      <c r="H151" s="238" t="s">
        <v>246</v>
      </c>
      <c r="I151" s="237">
        <v>5.0000000000000001E-3</v>
      </c>
      <c r="J151" s="237"/>
      <c r="K151" s="236">
        <v>0.75800000000000001</v>
      </c>
    </row>
    <row r="152" spans="1:12">
      <c r="A152" s="235">
        <v>21075</v>
      </c>
      <c r="B152" s="223" t="s">
        <v>410</v>
      </c>
      <c r="C152" s="223" t="s">
        <v>220</v>
      </c>
      <c r="E152" s="241">
        <v>-0.20499999999999999</v>
      </c>
      <c r="F152" s="237">
        <v>4.0000000000000001E-3</v>
      </c>
      <c r="G152" s="237">
        <v>0.20100000000000001</v>
      </c>
      <c r="H152" s="238" t="s">
        <v>246</v>
      </c>
      <c r="I152" s="238" t="s">
        <v>246</v>
      </c>
      <c r="J152" s="238"/>
      <c r="K152" s="236">
        <v>0.71</v>
      </c>
    </row>
    <row r="153" spans="1:12">
      <c r="A153" s="235">
        <v>21117</v>
      </c>
      <c r="B153" s="223" t="s">
        <v>411</v>
      </c>
      <c r="C153" s="223" t="s">
        <v>220</v>
      </c>
      <c r="E153" s="241">
        <v>-0.14399999999999999</v>
      </c>
      <c r="F153" s="237">
        <v>-7.0999999999999994E-2</v>
      </c>
      <c r="G153" s="237">
        <v>0.215</v>
      </c>
      <c r="H153" s="238" t="s">
        <v>246</v>
      </c>
      <c r="I153" s="238" t="s">
        <v>246</v>
      </c>
      <c r="J153" s="238"/>
      <c r="K153" s="236">
        <v>0.75600000000000001</v>
      </c>
    </row>
    <row r="154" spans="1:12">
      <c r="A154" s="235">
        <v>21152</v>
      </c>
      <c r="B154" s="223" t="s">
        <v>412</v>
      </c>
      <c r="C154" s="223" t="s">
        <v>273</v>
      </c>
      <c r="E154" s="241">
        <v>-3.2300000000000002E-2</v>
      </c>
      <c r="F154" s="237">
        <v>3.2000000000000001E-2</v>
      </c>
      <c r="G154" s="238" t="s">
        <v>246</v>
      </c>
      <c r="H154" s="238" t="s">
        <v>246</v>
      </c>
      <c r="I154" s="238" t="s">
        <v>246</v>
      </c>
      <c r="J154" s="238"/>
      <c r="K154" s="236">
        <v>0.56399999999999995</v>
      </c>
    </row>
    <row r="155" spans="1:12">
      <c r="A155" s="235">
        <v>21159</v>
      </c>
      <c r="B155" s="223" t="s">
        <v>413</v>
      </c>
      <c r="C155" s="223" t="s">
        <v>414</v>
      </c>
      <c r="E155" s="241">
        <v>-0.14299999999999999</v>
      </c>
      <c r="F155" s="237">
        <v>-8.9999999999999993E-3</v>
      </c>
      <c r="G155" s="237">
        <v>0.152</v>
      </c>
      <c r="H155" s="238" t="s">
        <v>246</v>
      </c>
      <c r="I155" s="238" t="s">
        <v>246</v>
      </c>
      <c r="J155" s="238"/>
      <c r="K155" s="236">
        <v>0.497</v>
      </c>
      <c r="L155" s="113" t="s">
        <v>343</v>
      </c>
    </row>
    <row r="156" spans="1:12">
      <c r="A156" s="235">
        <v>21228</v>
      </c>
      <c r="B156" s="223" t="s">
        <v>415</v>
      </c>
      <c r="C156" s="223" t="s">
        <v>399</v>
      </c>
      <c r="E156" s="241">
        <v>-0.317</v>
      </c>
      <c r="F156" s="237">
        <v>-3.7999999999999999E-2</v>
      </c>
      <c r="G156" s="237">
        <v>0.35499999999999998</v>
      </c>
      <c r="H156" s="238" t="s">
        <v>246</v>
      </c>
      <c r="I156" s="238" t="s">
        <v>246</v>
      </c>
      <c r="J156" s="238"/>
      <c r="K156" s="236">
        <v>0.80200000000000005</v>
      </c>
      <c r="L156" s="113" t="s">
        <v>343</v>
      </c>
    </row>
    <row r="157" spans="1:12">
      <c r="A157" s="235">
        <v>21257</v>
      </c>
      <c r="B157" s="223" t="s">
        <v>416</v>
      </c>
      <c r="C157" s="223" t="s">
        <v>399</v>
      </c>
      <c r="E157" s="241">
        <v>-0.13800000000000001</v>
      </c>
      <c r="F157" s="237">
        <v>3.4000000000000002E-2</v>
      </c>
      <c r="G157" s="238" t="s">
        <v>246</v>
      </c>
      <c r="H157" s="238" t="s">
        <v>246</v>
      </c>
      <c r="I157" s="237">
        <v>0.104</v>
      </c>
      <c r="J157" s="237"/>
      <c r="K157" s="236">
        <v>0.60499999999999998</v>
      </c>
      <c r="L157" s="113" t="s">
        <v>342</v>
      </c>
    </row>
    <row r="158" spans="1:12">
      <c r="A158" s="235">
        <v>21271</v>
      </c>
      <c r="B158" s="223" t="s">
        <v>417</v>
      </c>
      <c r="C158" s="223" t="s">
        <v>418</v>
      </c>
      <c r="E158" s="241">
        <v>-0.27700000000000002</v>
      </c>
      <c r="F158" s="237">
        <v>-0.10299999999999999</v>
      </c>
      <c r="G158" s="237">
        <v>0.38</v>
      </c>
      <c r="H158" s="238" t="s">
        <v>246</v>
      </c>
      <c r="I158" s="238" t="s">
        <v>246</v>
      </c>
      <c r="J158" s="238"/>
      <c r="K158" s="236">
        <v>0.80600000000000005</v>
      </c>
      <c r="L158" s="113" t="s">
        <v>342</v>
      </c>
    </row>
    <row r="159" spans="1:12">
      <c r="A159" s="235">
        <v>21320</v>
      </c>
      <c r="B159" s="223" t="s">
        <v>419</v>
      </c>
      <c r="C159" s="223" t="s">
        <v>220</v>
      </c>
      <c r="E159" s="241">
        <v>-0.104</v>
      </c>
      <c r="F159" s="237">
        <v>7.3999999999999996E-2</v>
      </c>
      <c r="G159" s="238" t="s">
        <v>246</v>
      </c>
      <c r="H159" s="238" t="s">
        <v>246</v>
      </c>
      <c r="I159" s="237">
        <v>0.03</v>
      </c>
      <c r="J159" s="237"/>
      <c r="K159" s="236">
        <v>0.35599999999999998</v>
      </c>
    </row>
    <row r="160" spans="1:12">
      <c r="A160" s="235">
        <v>21348</v>
      </c>
      <c r="B160" s="223" t="s">
        <v>423</v>
      </c>
      <c r="C160" s="223" t="s">
        <v>414</v>
      </c>
      <c r="E160" s="241">
        <v>-9.1999999999999998E-2</v>
      </c>
      <c r="F160" s="237">
        <v>1.6E-2</v>
      </c>
      <c r="G160" s="237">
        <v>7.5999999999999998E-2</v>
      </c>
      <c r="H160" s="238" t="s">
        <v>246</v>
      </c>
      <c r="I160" s="238" t="s">
        <v>246</v>
      </c>
      <c r="J160" s="238"/>
      <c r="K160" s="236">
        <v>0.64500000000000002</v>
      </c>
      <c r="L160" s="113" t="s">
        <v>343</v>
      </c>
    </row>
    <row r="161" spans="1:11">
      <c r="A161" s="235">
        <v>21348</v>
      </c>
      <c r="B161" s="223" t="s">
        <v>420</v>
      </c>
      <c r="C161" s="223" t="s">
        <v>220</v>
      </c>
      <c r="E161" s="241">
        <v>-4.0000000000000001E-3</v>
      </c>
      <c r="F161" s="237">
        <v>4.0000000000000001E-3</v>
      </c>
      <c r="G161" s="238" t="s">
        <v>246</v>
      </c>
      <c r="H161" s="238" t="s">
        <v>246</v>
      </c>
      <c r="I161" s="238" t="s">
        <v>246</v>
      </c>
      <c r="J161" s="238"/>
      <c r="K161" s="236">
        <v>0.54600000000000004</v>
      </c>
    </row>
    <row r="162" spans="1:11">
      <c r="A162" s="235">
        <v>21348</v>
      </c>
      <c r="B162" s="223" t="s">
        <v>311</v>
      </c>
      <c r="C162" s="223" t="s">
        <v>220</v>
      </c>
      <c r="E162" s="241">
        <v>-5.7000000000000002E-2</v>
      </c>
      <c r="F162" s="237">
        <v>6.6000000000000003E-2</v>
      </c>
      <c r="G162" s="238" t="s">
        <v>246</v>
      </c>
      <c r="H162" s="238" t="s">
        <v>246</v>
      </c>
      <c r="I162" s="237">
        <v>-8.9999999999999993E-3</v>
      </c>
      <c r="J162" s="237"/>
      <c r="K162" s="236">
        <v>0.70299999999999996</v>
      </c>
    </row>
    <row r="163" spans="1:11">
      <c r="A163" s="235">
        <v>21348</v>
      </c>
      <c r="B163" s="223" t="s">
        <v>421</v>
      </c>
      <c r="C163" s="223" t="s">
        <v>273</v>
      </c>
      <c r="E163" s="241">
        <v>-0.13400000000000001</v>
      </c>
      <c r="F163" s="237">
        <v>-0.111</v>
      </c>
      <c r="G163" s="237">
        <v>0.245</v>
      </c>
      <c r="H163" s="238" t="s">
        <v>246</v>
      </c>
      <c r="I163" s="238" t="s">
        <v>246</v>
      </c>
      <c r="J163" s="238"/>
      <c r="K163" s="236">
        <v>0.72199999999999998</v>
      </c>
    </row>
    <row r="164" spans="1:11">
      <c r="A164" s="235">
        <v>21348</v>
      </c>
      <c r="B164" s="223" t="s">
        <v>422</v>
      </c>
      <c r="C164" s="223" t="s">
        <v>273</v>
      </c>
      <c r="E164" s="241">
        <v>-0.20799999999999999</v>
      </c>
      <c r="F164" s="237">
        <v>-6.7000000000000004E-2</v>
      </c>
      <c r="G164" s="237">
        <v>0.27500000000000002</v>
      </c>
      <c r="H164" s="238" t="s">
        <v>246</v>
      </c>
      <c r="I164" s="238" t="s">
        <v>246</v>
      </c>
      <c r="J164" s="238"/>
      <c r="K164" s="236">
        <v>0.67100000000000004</v>
      </c>
    </row>
    <row r="165" spans="1:11">
      <c r="A165" s="235">
        <v>21495</v>
      </c>
      <c r="B165" s="223" t="s">
        <v>425</v>
      </c>
      <c r="C165" s="223" t="s">
        <v>273</v>
      </c>
      <c r="E165" s="241">
        <v>-5.8999999999999997E-2</v>
      </c>
      <c r="F165" s="237">
        <v>5.8999999999999997E-2</v>
      </c>
      <c r="G165" s="238" t="s">
        <v>246</v>
      </c>
      <c r="H165" s="238" t="s">
        <v>246</v>
      </c>
      <c r="I165" s="238" t="s">
        <v>246</v>
      </c>
      <c r="J165" s="238"/>
      <c r="K165" s="236">
        <v>0.63800000000000001</v>
      </c>
    </row>
    <row r="166" spans="1:11">
      <c r="A166" s="235">
        <v>21495</v>
      </c>
      <c r="B166" s="223" t="s">
        <v>426</v>
      </c>
      <c r="C166" s="223" t="s">
        <v>273</v>
      </c>
      <c r="E166" s="241">
        <v>1E-3</v>
      </c>
      <c r="F166" s="237">
        <v>-1E-3</v>
      </c>
      <c r="G166" s="238" t="s">
        <v>246</v>
      </c>
      <c r="H166" s="238" t="s">
        <v>246</v>
      </c>
      <c r="I166" s="238" t="s">
        <v>246</v>
      </c>
      <c r="J166" s="238"/>
      <c r="K166" s="236">
        <v>0.51700000000000002</v>
      </c>
    </row>
    <row r="167" spans="1:11">
      <c r="A167" s="235">
        <v>21499</v>
      </c>
      <c r="B167" s="223" t="s">
        <v>288</v>
      </c>
      <c r="C167" s="223" t="s">
        <v>220</v>
      </c>
      <c r="E167" s="241">
        <v>-5.6000000000000001E-2</v>
      </c>
      <c r="F167" s="237">
        <v>-4.3999999999999997E-2</v>
      </c>
      <c r="G167" s="238" t="s">
        <v>246</v>
      </c>
      <c r="H167" s="237">
        <v>0.1</v>
      </c>
      <c r="I167" s="238" t="s">
        <v>246</v>
      </c>
      <c r="J167" s="238"/>
      <c r="K167" s="236">
        <v>0.61699999999999999</v>
      </c>
    </row>
    <row r="168" spans="1:11">
      <c r="A168" s="235">
        <v>21509</v>
      </c>
      <c r="B168" s="223" t="s">
        <v>427</v>
      </c>
      <c r="C168" s="223" t="s">
        <v>273</v>
      </c>
      <c r="E168" s="241">
        <v>-0.19900000000000001</v>
      </c>
      <c r="F168" s="237">
        <v>-4.3999999999999997E-2</v>
      </c>
      <c r="G168" s="237">
        <v>0.24299999999999999</v>
      </c>
      <c r="H168" s="238" t="s">
        <v>246</v>
      </c>
      <c r="I168" s="238" t="s">
        <v>246</v>
      </c>
      <c r="J168" s="238"/>
      <c r="K168" s="236">
        <v>0.65900000000000003</v>
      </c>
    </row>
    <row r="169" spans="1:11">
      <c r="A169" s="235">
        <v>21516</v>
      </c>
      <c r="B169" s="223" t="s">
        <v>371</v>
      </c>
      <c r="C169" s="223" t="s">
        <v>220</v>
      </c>
      <c r="E169" s="241">
        <v>-2.5000000000000001E-2</v>
      </c>
      <c r="F169" s="237">
        <v>2.5000000000000001E-2</v>
      </c>
      <c r="G169" s="238" t="s">
        <v>246</v>
      </c>
      <c r="H169" s="238" t="s">
        <v>246</v>
      </c>
      <c r="I169" s="238" t="s">
        <v>246</v>
      </c>
      <c r="J169" s="238"/>
      <c r="K169" s="236">
        <v>0.249</v>
      </c>
    </row>
    <row r="170" spans="1:11">
      <c r="A170" s="235">
        <v>21579</v>
      </c>
      <c r="B170" s="223" t="s">
        <v>428</v>
      </c>
      <c r="C170" s="223" t="s">
        <v>273</v>
      </c>
      <c r="E170" s="241">
        <v>-8.5999999999999993E-2</v>
      </c>
      <c r="F170" s="237">
        <v>-6.0000000000000001E-3</v>
      </c>
      <c r="G170" s="237">
        <v>9.1999999999999998E-2</v>
      </c>
      <c r="H170" s="238" t="s">
        <v>246</v>
      </c>
      <c r="I170" s="238" t="s">
        <v>246</v>
      </c>
      <c r="J170" s="238"/>
      <c r="K170" s="236">
        <v>0.42899999999999999</v>
      </c>
    </row>
    <row r="171" spans="1:11">
      <c r="A171" s="235">
        <v>21628</v>
      </c>
      <c r="B171" s="223" t="s">
        <v>429</v>
      </c>
      <c r="C171" s="223" t="s">
        <v>273</v>
      </c>
      <c r="E171" s="241">
        <v>-1.6E-2</v>
      </c>
      <c r="F171" s="237">
        <v>6.0000000000000001E-3</v>
      </c>
      <c r="G171" s="238" t="s">
        <v>246</v>
      </c>
      <c r="H171" s="238" t="s">
        <v>246</v>
      </c>
      <c r="I171" s="237">
        <v>0.01</v>
      </c>
      <c r="J171" s="237"/>
      <c r="K171" s="236">
        <v>0.68899999999999995</v>
      </c>
    </row>
    <row r="172" spans="1:11">
      <c r="A172" s="235">
        <v>21634</v>
      </c>
      <c r="B172" s="223" t="s">
        <v>430</v>
      </c>
      <c r="C172" s="223" t="s">
        <v>220</v>
      </c>
      <c r="E172" s="241">
        <v>7.0000000000000001E-3</v>
      </c>
      <c r="F172" s="237">
        <v>-3.3000000000000002E-2</v>
      </c>
      <c r="G172" s="238" t="s">
        <v>246</v>
      </c>
      <c r="H172" s="238" t="s">
        <v>246</v>
      </c>
      <c r="I172" s="237">
        <v>2.5999999999999999E-2</v>
      </c>
      <c r="J172" s="237"/>
      <c r="K172" s="236">
        <v>0.752</v>
      </c>
    </row>
    <row r="173" spans="1:11">
      <c r="A173" s="235">
        <v>21284</v>
      </c>
      <c r="B173" s="223" t="s">
        <v>431</v>
      </c>
      <c r="C173" s="223" t="s">
        <v>273</v>
      </c>
      <c r="E173" s="241">
        <v>-0.16500000000000001</v>
      </c>
      <c r="F173" s="237">
        <v>-9.1999999999999998E-2</v>
      </c>
      <c r="G173" s="237">
        <v>0.25700000000000001</v>
      </c>
      <c r="H173" s="238" t="s">
        <v>246</v>
      </c>
      <c r="I173" s="238" t="s">
        <v>246</v>
      </c>
      <c r="J173" s="238"/>
      <c r="K173" s="236">
        <v>0.72699999999999998</v>
      </c>
    </row>
    <row r="174" spans="1:11">
      <c r="A174" s="235">
        <v>21712</v>
      </c>
      <c r="B174" s="223" t="s">
        <v>432</v>
      </c>
      <c r="C174" s="223" t="s">
        <v>220</v>
      </c>
      <c r="E174" s="241">
        <v>-1.7999999999999999E-2</v>
      </c>
      <c r="F174" s="237">
        <v>1.7999999999999999E-2</v>
      </c>
      <c r="G174" s="238" t="s">
        <v>246</v>
      </c>
      <c r="H174" s="238" t="s">
        <v>246</v>
      </c>
      <c r="I174" s="238" t="s">
        <v>246</v>
      </c>
      <c r="J174" s="238"/>
      <c r="K174" s="236">
        <v>0.65</v>
      </c>
    </row>
    <row r="175" spans="1:11">
      <c r="A175" s="235">
        <v>21719</v>
      </c>
      <c r="B175" s="223" t="s">
        <v>433</v>
      </c>
      <c r="C175" s="223" t="s">
        <v>220</v>
      </c>
      <c r="E175" s="241">
        <v>-6.0000000000000001E-3</v>
      </c>
      <c r="F175" s="237">
        <v>6.0000000000000001E-3</v>
      </c>
      <c r="G175" s="238" t="s">
        <v>246</v>
      </c>
      <c r="H175" s="238" t="s">
        <v>246</v>
      </c>
      <c r="I175" s="238" t="s">
        <v>246</v>
      </c>
      <c r="J175" s="238"/>
      <c r="K175" s="236">
        <v>0.79200000000000004</v>
      </c>
    </row>
    <row r="176" spans="1:11">
      <c r="A176" s="262"/>
      <c r="E176" s="241"/>
      <c r="F176" s="237"/>
      <c r="G176" s="237"/>
      <c r="H176" s="237"/>
      <c r="I176" s="237"/>
      <c r="J176" s="237"/>
      <c r="K176" s="236"/>
    </row>
    <row r="177" spans="1:12">
      <c r="A177" s="234" t="s">
        <v>791</v>
      </c>
      <c r="E177" s="241"/>
      <c r="F177" s="237"/>
      <c r="G177" s="237"/>
      <c r="H177" s="237"/>
      <c r="I177" s="237"/>
      <c r="J177" s="237"/>
      <c r="K177" s="236"/>
    </row>
    <row r="178" spans="1:12">
      <c r="A178" s="262"/>
      <c r="E178" s="241"/>
      <c r="F178" s="237"/>
      <c r="G178" s="237"/>
      <c r="H178" s="237"/>
      <c r="I178" s="237"/>
      <c r="J178" s="237"/>
      <c r="K178" s="236"/>
    </row>
    <row r="179" spans="1:12">
      <c r="A179" s="235">
        <v>21992</v>
      </c>
      <c r="B179" s="223" t="s">
        <v>328</v>
      </c>
      <c r="C179" s="223" t="s">
        <v>308</v>
      </c>
      <c r="E179" s="241">
        <v>8.9999999999999993E-3</v>
      </c>
      <c r="F179" s="237">
        <v>-8.9999999999999993E-3</v>
      </c>
      <c r="G179" s="238" t="s">
        <v>246</v>
      </c>
      <c r="H179" s="238" t="s">
        <v>246</v>
      </c>
      <c r="I179" s="238" t="s">
        <v>246</v>
      </c>
      <c r="J179" s="238"/>
      <c r="K179" s="236">
        <v>0.82399999999999995</v>
      </c>
      <c r="L179" s="113" t="s">
        <v>342</v>
      </c>
    </row>
    <row r="180" spans="1:12">
      <c r="A180" s="235">
        <v>21992</v>
      </c>
      <c r="B180" s="223" t="s">
        <v>337</v>
      </c>
      <c r="C180" s="223" t="s">
        <v>273</v>
      </c>
      <c r="E180" s="241">
        <v>-0.152</v>
      </c>
      <c r="F180" s="237">
        <v>-0.109</v>
      </c>
      <c r="G180" s="237">
        <v>0.214</v>
      </c>
      <c r="H180" s="238" t="s">
        <v>246</v>
      </c>
      <c r="I180" s="237">
        <v>4.7E-2</v>
      </c>
      <c r="J180" s="237"/>
      <c r="K180" s="236">
        <v>0.61599999999999999</v>
      </c>
    </row>
    <row r="181" spans="1:12">
      <c r="A181" s="235">
        <v>22055</v>
      </c>
      <c r="B181" s="223" t="s">
        <v>380</v>
      </c>
      <c r="C181" s="223" t="s">
        <v>273</v>
      </c>
      <c r="E181" s="241">
        <v>-9.8000000000000004E-2</v>
      </c>
      <c r="F181" s="237">
        <v>-5.7000000000000002E-2</v>
      </c>
      <c r="G181" s="237">
        <v>0.155</v>
      </c>
      <c r="H181" s="238" t="s">
        <v>246</v>
      </c>
      <c r="I181" s="238" t="s">
        <v>246</v>
      </c>
      <c r="J181" s="238"/>
      <c r="K181" s="236">
        <v>0.53800000000000003</v>
      </c>
    </row>
    <row r="182" spans="1:12">
      <c r="A182" s="235">
        <v>22236</v>
      </c>
      <c r="B182" s="223" t="s">
        <v>434</v>
      </c>
      <c r="C182" s="223" t="s">
        <v>273</v>
      </c>
      <c r="E182" s="241">
        <v>-0.15</v>
      </c>
      <c r="F182" s="237">
        <v>-0.11</v>
      </c>
      <c r="G182" s="237">
        <v>0.248</v>
      </c>
      <c r="H182" s="238" t="s">
        <v>246</v>
      </c>
      <c r="I182" s="237">
        <v>1.2E-2</v>
      </c>
      <c r="J182" s="237"/>
      <c r="K182" s="236">
        <v>0.68200000000000005</v>
      </c>
    </row>
    <row r="183" spans="1:12">
      <c r="A183" s="235">
        <v>22236</v>
      </c>
      <c r="B183" s="223" t="s">
        <v>435</v>
      </c>
      <c r="C183" s="223" t="s">
        <v>273</v>
      </c>
      <c r="E183" s="241">
        <v>-1.4E-2</v>
      </c>
      <c r="F183" s="237">
        <v>-6.2E-2</v>
      </c>
      <c r="G183" s="237">
        <v>7.0000000000000007E-2</v>
      </c>
      <c r="H183" s="238" t="s">
        <v>246</v>
      </c>
      <c r="I183" s="237">
        <v>6.0000000000000001E-3</v>
      </c>
      <c r="J183" s="237"/>
      <c r="K183" s="267"/>
      <c r="L183" s="268" t="s">
        <v>1506</v>
      </c>
    </row>
    <row r="184" spans="1:12">
      <c r="A184" s="235">
        <v>22236</v>
      </c>
      <c r="B184" s="223" t="s">
        <v>436</v>
      </c>
      <c r="C184" s="223" t="s">
        <v>273</v>
      </c>
      <c r="E184" s="241">
        <v>-9.9000000000000005E-2</v>
      </c>
      <c r="F184" s="237">
        <v>-7.5999999999999998E-2</v>
      </c>
      <c r="G184" s="237">
        <v>0.17499999999999999</v>
      </c>
      <c r="H184" s="238" t="s">
        <v>246</v>
      </c>
      <c r="I184" s="238" t="s">
        <v>246</v>
      </c>
      <c r="J184" s="238"/>
      <c r="K184" s="236">
        <v>0.68400000000000005</v>
      </c>
    </row>
    <row r="185" spans="1:12">
      <c r="A185" s="235">
        <v>22236</v>
      </c>
      <c r="B185" s="223" t="s">
        <v>437</v>
      </c>
      <c r="C185" s="223" t="s">
        <v>273</v>
      </c>
      <c r="E185" s="241">
        <v>-6.5000000000000002E-2</v>
      </c>
      <c r="F185" s="237">
        <v>-4.7E-2</v>
      </c>
      <c r="G185" s="237">
        <v>0.112</v>
      </c>
      <c r="H185" s="238" t="s">
        <v>246</v>
      </c>
      <c r="I185" s="238" t="s">
        <v>246</v>
      </c>
      <c r="J185" s="238"/>
      <c r="K185" s="236">
        <v>0.53600000000000003</v>
      </c>
    </row>
    <row r="186" spans="1:12">
      <c r="A186" s="235">
        <v>22236</v>
      </c>
      <c r="B186" s="223" t="s">
        <v>438</v>
      </c>
      <c r="C186" s="223" t="s">
        <v>273</v>
      </c>
      <c r="E186" s="241">
        <v>-0.13900000000000001</v>
      </c>
      <c r="F186" s="237">
        <v>-0.13400000000000001</v>
      </c>
      <c r="G186" s="237">
        <v>0.27300000000000002</v>
      </c>
      <c r="H186" s="238" t="s">
        <v>246</v>
      </c>
      <c r="I186" s="238" t="s">
        <v>246</v>
      </c>
      <c r="J186" s="238"/>
      <c r="K186" s="236">
        <v>0.63600000000000001</v>
      </c>
    </row>
    <row r="187" spans="1:12">
      <c r="A187" s="235">
        <v>22236</v>
      </c>
      <c r="B187" s="223" t="s">
        <v>450</v>
      </c>
      <c r="C187" s="223" t="s">
        <v>273</v>
      </c>
      <c r="E187" s="241">
        <v>-2.3E-2</v>
      </c>
      <c r="F187" s="237">
        <v>-9.8000000000000004E-2</v>
      </c>
      <c r="G187" s="237">
        <v>0.121</v>
      </c>
      <c r="H187" s="238" t="s">
        <v>246</v>
      </c>
      <c r="I187" s="238" t="s">
        <v>246</v>
      </c>
      <c r="J187" s="238"/>
      <c r="K187" s="236">
        <v>0.54200000000000004</v>
      </c>
    </row>
    <row r="188" spans="1:12">
      <c r="A188" s="235">
        <v>22237</v>
      </c>
      <c r="B188" s="223" t="s">
        <v>451</v>
      </c>
      <c r="C188" s="223" t="s">
        <v>220</v>
      </c>
      <c r="E188" s="241">
        <v>-6.3E-2</v>
      </c>
      <c r="F188" s="237">
        <v>-0.122</v>
      </c>
      <c r="G188" s="237">
        <v>0.115</v>
      </c>
      <c r="H188" s="237">
        <v>7.0000000000000007E-2</v>
      </c>
      <c r="I188" s="238" t="s">
        <v>246</v>
      </c>
      <c r="J188" s="238"/>
      <c r="K188" s="236">
        <v>0.76100000000000001</v>
      </c>
    </row>
    <row r="189" spans="1:12">
      <c r="A189" s="235">
        <v>22244</v>
      </c>
      <c r="B189" s="223" t="s">
        <v>452</v>
      </c>
      <c r="C189" s="223" t="s">
        <v>220</v>
      </c>
      <c r="E189" s="241">
        <v>-3.7999999999999999E-2</v>
      </c>
      <c r="F189" s="237">
        <v>-5.7000000000000002E-2</v>
      </c>
      <c r="G189" s="237">
        <v>9.5000000000000001E-2</v>
      </c>
      <c r="H189" s="238" t="s">
        <v>246</v>
      </c>
      <c r="I189" s="238" t="s">
        <v>246</v>
      </c>
      <c r="J189" s="238"/>
      <c r="K189" s="236">
        <v>0.54100000000000004</v>
      </c>
    </row>
    <row r="190" spans="1:12">
      <c r="A190" s="235">
        <v>22356</v>
      </c>
      <c r="B190" s="223" t="s">
        <v>453</v>
      </c>
      <c r="C190" s="223" t="s">
        <v>273</v>
      </c>
      <c r="E190" s="241">
        <v>-0.18</v>
      </c>
      <c r="F190" s="237">
        <v>-0.121</v>
      </c>
      <c r="G190" s="237">
        <v>0.30099999999999999</v>
      </c>
      <c r="H190" s="238" t="s">
        <v>246</v>
      </c>
      <c r="I190" s="238" t="s">
        <v>246</v>
      </c>
      <c r="J190" s="238"/>
      <c r="K190" s="236">
        <v>0.64200000000000002</v>
      </c>
    </row>
    <row r="191" spans="1:12">
      <c r="A191" s="235">
        <v>22356</v>
      </c>
      <c r="B191" s="223" t="s">
        <v>170</v>
      </c>
      <c r="C191" s="223" t="s">
        <v>273</v>
      </c>
      <c r="E191" s="241">
        <v>-0.12</v>
      </c>
      <c r="F191" s="237">
        <v>-0.12</v>
      </c>
      <c r="G191" s="237">
        <v>0.24</v>
      </c>
      <c r="H191" s="238" t="s">
        <v>246</v>
      </c>
      <c r="I191" s="238" t="s">
        <v>246</v>
      </c>
      <c r="J191" s="238"/>
      <c r="K191" s="236">
        <v>0.624</v>
      </c>
    </row>
    <row r="192" spans="1:12">
      <c r="A192" s="235">
        <v>22356</v>
      </c>
      <c r="B192" s="223" t="s">
        <v>135</v>
      </c>
      <c r="C192" s="223" t="s">
        <v>273</v>
      </c>
      <c r="E192" s="241">
        <v>-8.5999999999999993E-2</v>
      </c>
      <c r="F192" s="237">
        <v>-1.9E-2</v>
      </c>
      <c r="G192" s="237">
        <v>0.105</v>
      </c>
      <c r="H192" s="238" t="s">
        <v>246</v>
      </c>
      <c r="I192" s="238" t="s">
        <v>246</v>
      </c>
      <c r="J192" s="238"/>
      <c r="K192" s="236">
        <v>0.72499999999999998</v>
      </c>
    </row>
    <row r="193" spans="1:12">
      <c r="A193" s="235">
        <v>22356</v>
      </c>
      <c r="B193" s="223" t="s">
        <v>454</v>
      </c>
      <c r="C193" s="223" t="s">
        <v>273</v>
      </c>
      <c r="E193" s="241">
        <v>-4.3999999999999997E-2</v>
      </c>
      <c r="F193" s="237">
        <v>-2.8000000000000001E-2</v>
      </c>
      <c r="G193" s="237">
        <v>7.1999999999999995E-2</v>
      </c>
      <c r="H193" s="238" t="s">
        <v>246</v>
      </c>
      <c r="I193" s="238" t="s">
        <v>246</v>
      </c>
      <c r="J193" s="238"/>
      <c r="K193" s="236">
        <v>0.64900000000000002</v>
      </c>
    </row>
    <row r="194" spans="1:12">
      <c r="A194" s="235">
        <v>22363</v>
      </c>
      <c r="B194" s="223" t="s">
        <v>455</v>
      </c>
      <c r="C194" s="223" t="s">
        <v>220</v>
      </c>
      <c r="E194" s="241">
        <v>-0.13800000000000001</v>
      </c>
      <c r="F194" s="237">
        <v>1.7999999999999999E-2</v>
      </c>
      <c r="G194" s="237">
        <v>0.12</v>
      </c>
      <c r="H194" s="238" t="s">
        <v>246</v>
      </c>
      <c r="I194" s="238" t="s">
        <v>246</v>
      </c>
      <c r="J194" s="238"/>
      <c r="K194" s="236">
        <v>0.42599999999999999</v>
      </c>
    </row>
    <row r="195" spans="1:12">
      <c r="A195" s="235">
        <v>22391</v>
      </c>
      <c r="B195" s="223" t="s">
        <v>456</v>
      </c>
      <c r="C195" s="223" t="s">
        <v>220</v>
      </c>
      <c r="E195" s="241">
        <v>-0.121</v>
      </c>
      <c r="F195" s="237">
        <v>-4.0000000000000001E-3</v>
      </c>
      <c r="G195" s="237">
        <v>0.125</v>
      </c>
      <c r="H195" s="238" t="s">
        <v>246</v>
      </c>
      <c r="I195" s="238" t="s">
        <v>246</v>
      </c>
      <c r="J195" s="238"/>
      <c r="K195" s="236">
        <v>0.56699999999999995</v>
      </c>
    </row>
    <row r="196" spans="1:12">
      <c r="A196" s="235">
        <v>22391</v>
      </c>
      <c r="B196" s="223" t="s">
        <v>310</v>
      </c>
      <c r="C196" s="223" t="s">
        <v>220</v>
      </c>
      <c r="E196" s="241">
        <v>-0.29499999999999998</v>
      </c>
      <c r="F196" s="237">
        <v>-0.11899999999999999</v>
      </c>
      <c r="G196" s="237">
        <v>0.41399999999999998</v>
      </c>
      <c r="H196" s="238" t="s">
        <v>246</v>
      </c>
      <c r="I196" s="238" t="s">
        <v>246</v>
      </c>
      <c r="J196" s="238"/>
      <c r="K196" s="236">
        <v>0.68100000000000005</v>
      </c>
    </row>
    <row r="197" spans="1:12">
      <c r="A197" s="235">
        <v>22405</v>
      </c>
      <c r="B197" s="223" t="s">
        <v>333</v>
      </c>
      <c r="C197" s="223" t="s">
        <v>220</v>
      </c>
      <c r="E197" s="241">
        <v>-0.13300000000000001</v>
      </c>
      <c r="F197" s="237">
        <v>0.13300000000000001</v>
      </c>
      <c r="G197" s="238" t="s">
        <v>246</v>
      </c>
      <c r="H197" s="238" t="s">
        <v>246</v>
      </c>
      <c r="I197" s="238" t="s">
        <v>246</v>
      </c>
      <c r="J197" s="238"/>
      <c r="K197" s="236">
        <v>0.56699999999999995</v>
      </c>
    </row>
    <row r="198" spans="1:12">
      <c r="A198" s="235">
        <v>22592</v>
      </c>
      <c r="B198" s="223" t="s">
        <v>457</v>
      </c>
      <c r="C198" s="223" t="s">
        <v>273</v>
      </c>
      <c r="E198" s="241">
        <v>-0.21099999999999999</v>
      </c>
      <c r="F198" s="237">
        <v>-0.11899999999999999</v>
      </c>
      <c r="G198" s="237">
        <v>0.27800000000000002</v>
      </c>
      <c r="H198" s="238" t="s">
        <v>246</v>
      </c>
      <c r="I198" s="237">
        <v>5.1999999999999998E-2</v>
      </c>
      <c r="J198" s="237"/>
      <c r="K198" s="236">
        <v>0.46700000000000003</v>
      </c>
    </row>
    <row r="199" spans="1:12">
      <c r="A199" s="235">
        <v>22593</v>
      </c>
      <c r="B199" s="223" t="s">
        <v>458</v>
      </c>
      <c r="C199" s="223" t="s">
        <v>273</v>
      </c>
      <c r="E199" s="241">
        <v>-0.151</v>
      </c>
      <c r="F199" s="269" t="s">
        <v>564</v>
      </c>
      <c r="G199" s="237">
        <v>0.123</v>
      </c>
      <c r="H199" s="238" t="s">
        <v>246</v>
      </c>
      <c r="I199" s="237">
        <v>2.8000000000000001E-2</v>
      </c>
      <c r="J199" s="237"/>
      <c r="K199" s="236">
        <v>0.60799999999999998</v>
      </c>
    </row>
    <row r="200" spans="1:12">
      <c r="A200" s="235">
        <v>22593</v>
      </c>
      <c r="B200" s="223" t="s">
        <v>459</v>
      </c>
      <c r="C200" s="223" t="s">
        <v>273</v>
      </c>
      <c r="E200" s="241">
        <v>-0.224</v>
      </c>
      <c r="F200" s="237">
        <v>-3.6999999999999998E-2</v>
      </c>
      <c r="G200" s="237">
        <v>0.26100000000000001</v>
      </c>
      <c r="H200" s="238" t="s">
        <v>246</v>
      </c>
      <c r="I200" s="238" t="s">
        <v>246</v>
      </c>
      <c r="J200" s="238"/>
      <c r="K200" s="236">
        <v>0.67300000000000004</v>
      </c>
    </row>
    <row r="201" spans="1:12">
      <c r="A201" s="235">
        <v>22601</v>
      </c>
      <c r="B201" s="223" t="s">
        <v>460</v>
      </c>
      <c r="C201" s="223" t="s">
        <v>220</v>
      </c>
      <c r="E201" s="241">
        <v>-0.159</v>
      </c>
      <c r="F201" s="237">
        <v>-5.8999999999999997E-2</v>
      </c>
      <c r="G201" s="238" t="s">
        <v>246</v>
      </c>
      <c r="H201" s="237">
        <v>0.187</v>
      </c>
      <c r="I201" s="237">
        <v>3.1E-2</v>
      </c>
      <c r="J201" s="237"/>
      <c r="K201" s="236">
        <v>0.41899999999999998</v>
      </c>
    </row>
    <row r="202" spans="1:12">
      <c r="A202" s="235">
        <v>22713</v>
      </c>
      <c r="B202" s="223" t="s">
        <v>461</v>
      </c>
      <c r="C202" s="223" t="s">
        <v>220</v>
      </c>
      <c r="E202" s="241">
        <v>-0.14699999999999999</v>
      </c>
      <c r="F202" s="237">
        <v>-4.5999999999999999E-2</v>
      </c>
      <c r="G202" s="237">
        <v>0.182</v>
      </c>
      <c r="H202" s="238" t="s">
        <v>246</v>
      </c>
      <c r="I202" s="237">
        <v>1.0999999999999999E-2</v>
      </c>
      <c r="J202" s="237"/>
      <c r="K202" s="236">
        <v>0.75</v>
      </c>
    </row>
    <row r="203" spans="1:12">
      <c r="A203" s="235">
        <v>22718</v>
      </c>
      <c r="B203" s="223" t="s">
        <v>462</v>
      </c>
      <c r="C203" s="223" t="s">
        <v>273</v>
      </c>
      <c r="E203" s="241">
        <v>-0.19500000000000001</v>
      </c>
      <c r="F203" s="237">
        <v>4.8000000000000001E-2</v>
      </c>
      <c r="G203" s="237">
        <v>0.14699999999999999</v>
      </c>
      <c r="H203" s="238" t="s">
        <v>246</v>
      </c>
      <c r="I203" s="238" t="s">
        <v>246</v>
      </c>
      <c r="J203" s="238"/>
      <c r="K203" s="236">
        <v>0.55200000000000005</v>
      </c>
    </row>
    <row r="204" spans="1:12">
      <c r="A204" s="235">
        <v>22719</v>
      </c>
      <c r="B204" s="223" t="s">
        <v>463</v>
      </c>
      <c r="C204" s="223" t="s">
        <v>220</v>
      </c>
      <c r="E204" s="241">
        <v>-0.23699999999999999</v>
      </c>
      <c r="F204" s="237">
        <v>-0.01</v>
      </c>
      <c r="G204" s="237">
        <v>0.22900000000000001</v>
      </c>
      <c r="H204" s="238" t="s">
        <v>246</v>
      </c>
      <c r="I204" s="237">
        <v>1.7999999999999999E-2</v>
      </c>
      <c r="J204" s="237"/>
      <c r="K204" s="236">
        <v>0.52200000000000002</v>
      </c>
    </row>
    <row r="205" spans="1:12">
      <c r="A205" s="235">
        <v>22719</v>
      </c>
      <c r="B205" s="223" t="s">
        <v>379</v>
      </c>
      <c r="C205" s="223" t="s">
        <v>418</v>
      </c>
      <c r="E205" s="241">
        <v>-0.219</v>
      </c>
      <c r="F205" s="237">
        <v>-9.8000000000000004E-2</v>
      </c>
      <c r="G205" s="237">
        <v>0.317</v>
      </c>
      <c r="H205" s="238" t="s">
        <v>246</v>
      </c>
      <c r="I205" s="238" t="s">
        <v>246</v>
      </c>
      <c r="J205" s="238"/>
      <c r="K205" s="236">
        <v>0.80300000000000005</v>
      </c>
    </row>
    <row r="206" spans="1:12">
      <c r="A206" s="235">
        <v>22727</v>
      </c>
      <c r="B206" s="223" t="s">
        <v>464</v>
      </c>
      <c r="C206" s="223" t="s">
        <v>220</v>
      </c>
      <c r="E206" s="241">
        <v>-4.2000000000000003E-2</v>
      </c>
      <c r="F206" s="237">
        <v>8.9999999999999993E-3</v>
      </c>
      <c r="G206" s="238" t="s">
        <v>246</v>
      </c>
      <c r="H206" s="238" t="s">
        <v>246</v>
      </c>
      <c r="I206" s="237">
        <v>3.3000000000000002E-2</v>
      </c>
      <c r="J206" s="237"/>
      <c r="K206" s="236">
        <v>0.63300000000000001</v>
      </c>
    </row>
    <row r="207" spans="1:12">
      <c r="A207" s="235">
        <v>22741</v>
      </c>
      <c r="B207" s="223" t="s">
        <v>465</v>
      </c>
      <c r="C207" s="223" t="s">
        <v>220</v>
      </c>
      <c r="E207" s="241">
        <v>-0.185</v>
      </c>
      <c r="F207" s="237">
        <v>-8.4000000000000005E-2</v>
      </c>
      <c r="G207" s="237">
        <v>0.26900000000000002</v>
      </c>
      <c r="H207" s="238" t="s">
        <v>246</v>
      </c>
      <c r="I207" s="238" t="s">
        <v>246</v>
      </c>
      <c r="J207" s="238"/>
      <c r="K207" s="236">
        <v>0.81499999999999995</v>
      </c>
    </row>
    <row r="208" spans="1:12">
      <c r="A208" s="235">
        <v>22753</v>
      </c>
      <c r="B208" s="223" t="s">
        <v>466</v>
      </c>
      <c r="C208" s="223" t="s">
        <v>220</v>
      </c>
      <c r="E208" s="241">
        <v>-0.247</v>
      </c>
      <c r="F208" s="237">
        <v>-3.4000000000000002E-2</v>
      </c>
      <c r="G208" s="237">
        <v>0.254</v>
      </c>
      <c r="H208" s="238" t="s">
        <v>246</v>
      </c>
      <c r="I208" s="237">
        <v>2.7E-2</v>
      </c>
      <c r="J208" s="237"/>
      <c r="K208" s="236">
        <v>0.60499999999999998</v>
      </c>
      <c r="L208" s="113" t="s">
        <v>343</v>
      </c>
    </row>
    <row r="209" spans="1:12">
      <c r="A209" s="235">
        <v>22781</v>
      </c>
      <c r="B209" s="223" t="s">
        <v>467</v>
      </c>
      <c r="C209" s="223" t="s">
        <v>468</v>
      </c>
      <c r="E209" s="241">
        <v>-9.4E-2</v>
      </c>
      <c r="F209" s="237">
        <v>-0.06</v>
      </c>
      <c r="G209" s="237">
        <v>9.1999999999999998E-2</v>
      </c>
      <c r="H209" s="237">
        <v>6.2E-2</v>
      </c>
      <c r="I209" s="238" t="s">
        <v>246</v>
      </c>
      <c r="J209" s="238"/>
      <c r="K209" s="236">
        <v>0.85099999999999998</v>
      </c>
    </row>
    <row r="210" spans="1:12">
      <c r="A210" s="235">
        <v>22803</v>
      </c>
      <c r="B210" s="223" t="s">
        <v>469</v>
      </c>
      <c r="C210" s="223" t="s">
        <v>399</v>
      </c>
      <c r="E210" s="241">
        <v>-0.21199999999999999</v>
      </c>
      <c r="F210" s="237">
        <v>4.2999999999999997E-2</v>
      </c>
      <c r="G210" s="237">
        <v>0.161</v>
      </c>
      <c r="H210" s="238" t="s">
        <v>246</v>
      </c>
      <c r="I210" s="237">
        <v>8.0000000000000002E-3</v>
      </c>
      <c r="J210" s="237"/>
      <c r="K210" s="236">
        <v>0.72199999999999998</v>
      </c>
    </row>
    <row r="211" spans="1:12">
      <c r="A211" s="235">
        <v>22803</v>
      </c>
      <c r="B211" s="223" t="s">
        <v>470</v>
      </c>
      <c r="C211" s="223" t="s">
        <v>273</v>
      </c>
      <c r="E211" s="241">
        <v>-0.252</v>
      </c>
      <c r="F211" s="237">
        <v>-0.114</v>
      </c>
      <c r="G211" s="237">
        <v>0.32500000000000001</v>
      </c>
      <c r="H211" s="238" t="s">
        <v>246</v>
      </c>
      <c r="I211" s="237">
        <v>4.1000000000000002E-2</v>
      </c>
      <c r="J211" s="237"/>
      <c r="K211" s="236">
        <v>0.79400000000000004</v>
      </c>
    </row>
    <row r="212" spans="1:12">
      <c r="A212" s="235">
        <v>22811</v>
      </c>
      <c r="B212" s="223" t="s">
        <v>471</v>
      </c>
      <c r="C212" s="223" t="s">
        <v>220</v>
      </c>
      <c r="E212" s="241">
        <v>-0.28299999999999997</v>
      </c>
      <c r="F212" s="237">
        <v>-9.4E-2</v>
      </c>
      <c r="G212" s="237">
        <v>0.108</v>
      </c>
      <c r="H212" s="237">
        <v>0.23300000000000001</v>
      </c>
      <c r="I212" s="237">
        <v>3.5999999999999997E-2</v>
      </c>
      <c r="J212" s="237"/>
      <c r="K212" s="236">
        <v>0.71099999999999997</v>
      </c>
      <c r="L212" s="113" t="s">
        <v>342</v>
      </c>
    </row>
    <row r="213" spans="1:12">
      <c r="A213" s="235">
        <v>22839</v>
      </c>
      <c r="B213" s="223" t="s">
        <v>329</v>
      </c>
      <c r="C213" s="223" t="s">
        <v>220</v>
      </c>
      <c r="E213" s="241">
        <v>-0.23899999999999999</v>
      </c>
      <c r="F213" s="237">
        <v>-0.104</v>
      </c>
      <c r="G213" s="237">
        <v>0.34300000000000003</v>
      </c>
      <c r="H213" s="238" t="s">
        <v>246</v>
      </c>
      <c r="I213" s="238" t="s">
        <v>246</v>
      </c>
      <c r="J213" s="238"/>
      <c r="K213" s="236">
        <v>0.60799999999999998</v>
      </c>
    </row>
    <row r="214" spans="1:12">
      <c r="A214" s="235">
        <v>22972</v>
      </c>
      <c r="B214" s="223" t="s">
        <v>472</v>
      </c>
      <c r="C214" s="223" t="s">
        <v>399</v>
      </c>
      <c r="E214" s="241">
        <v>-0.18</v>
      </c>
      <c r="F214" s="237">
        <v>-1.2E-2</v>
      </c>
      <c r="G214" s="237">
        <v>6.2E-2</v>
      </c>
      <c r="H214" s="238" t="s">
        <v>246</v>
      </c>
      <c r="I214" s="237">
        <v>0.13</v>
      </c>
      <c r="J214" s="237"/>
      <c r="K214" s="236">
        <v>0.70199999999999996</v>
      </c>
    </row>
    <row r="215" spans="1:12">
      <c r="A215" s="235">
        <v>22972</v>
      </c>
      <c r="B215" s="223" t="s">
        <v>473</v>
      </c>
      <c r="C215" s="223" t="s">
        <v>273</v>
      </c>
      <c r="E215" s="241">
        <v>-0.126</v>
      </c>
      <c r="F215" s="237">
        <v>2.1999999999999999E-2</v>
      </c>
      <c r="G215" s="237">
        <v>7.5999999999999998E-2</v>
      </c>
      <c r="H215" s="238" t="s">
        <v>246</v>
      </c>
      <c r="I215" s="237">
        <v>2.8000000000000001E-2</v>
      </c>
      <c r="J215" s="237"/>
      <c r="K215" s="236">
        <v>0.60199999999999998</v>
      </c>
    </row>
    <row r="216" spans="1:12">
      <c r="A216" s="235">
        <v>22972</v>
      </c>
      <c r="B216" s="223" t="s">
        <v>474</v>
      </c>
      <c r="C216" s="223" t="s">
        <v>273</v>
      </c>
      <c r="E216" s="241">
        <v>-0.158</v>
      </c>
      <c r="F216" s="237">
        <v>-4.3999999999999997E-2</v>
      </c>
      <c r="G216" s="237">
        <v>0.193</v>
      </c>
      <c r="H216" s="238" t="s">
        <v>246</v>
      </c>
      <c r="I216" s="237">
        <v>8.9999999999999993E-3</v>
      </c>
      <c r="J216" s="237"/>
      <c r="K216" s="236">
        <v>0.69</v>
      </c>
    </row>
    <row r="217" spans="1:12">
      <c r="A217" s="235">
        <v>22972</v>
      </c>
      <c r="B217" s="223" t="s">
        <v>475</v>
      </c>
      <c r="C217" s="223" t="s">
        <v>273</v>
      </c>
      <c r="E217" s="241">
        <v>-0.152</v>
      </c>
      <c r="F217" s="237">
        <v>-1.9E-2</v>
      </c>
      <c r="G217" s="237">
        <v>0.156</v>
      </c>
      <c r="H217" s="238" t="s">
        <v>246</v>
      </c>
      <c r="I217" s="237">
        <v>1.4999999999999999E-2</v>
      </c>
      <c r="J217" s="237"/>
      <c r="K217" s="236">
        <v>0.68</v>
      </c>
    </row>
    <row r="218" spans="1:12">
      <c r="A218" s="235">
        <v>22972</v>
      </c>
      <c r="B218" s="223" t="s">
        <v>476</v>
      </c>
      <c r="C218" s="223" t="s">
        <v>399</v>
      </c>
      <c r="E218" s="241">
        <v>-0.191</v>
      </c>
      <c r="F218" s="237">
        <v>-7.0000000000000007E-2</v>
      </c>
      <c r="G218" s="237">
        <v>0.14000000000000001</v>
      </c>
      <c r="H218" s="237">
        <v>0.111</v>
      </c>
      <c r="I218" s="237">
        <v>0.01</v>
      </c>
      <c r="J218" s="237"/>
      <c r="K218" s="236">
        <v>0.54700000000000004</v>
      </c>
    </row>
    <row r="219" spans="1:12">
      <c r="A219" s="235">
        <v>23091</v>
      </c>
      <c r="B219" s="223" t="s">
        <v>477</v>
      </c>
      <c r="C219" s="223" t="s">
        <v>220</v>
      </c>
      <c r="E219" s="241">
        <v>-0.14499999999999999</v>
      </c>
      <c r="F219" s="237">
        <v>1E-3</v>
      </c>
      <c r="G219" s="237">
        <v>0.13700000000000001</v>
      </c>
      <c r="H219" s="238" t="s">
        <v>246</v>
      </c>
      <c r="I219" s="237">
        <v>7.0000000000000001E-3</v>
      </c>
      <c r="J219" s="237"/>
      <c r="K219" s="236">
        <v>0.78900000000000003</v>
      </c>
      <c r="L219" s="113" t="s">
        <v>343</v>
      </c>
    </row>
    <row r="220" spans="1:12">
      <c r="A220" s="235">
        <v>23098</v>
      </c>
      <c r="B220" s="223" t="s">
        <v>478</v>
      </c>
      <c r="C220" s="223" t="s">
        <v>220</v>
      </c>
      <c r="E220" s="241">
        <v>-8.7999999999999995E-2</v>
      </c>
      <c r="F220" s="237">
        <v>6.5000000000000002E-2</v>
      </c>
      <c r="G220" s="238" t="s">
        <v>246</v>
      </c>
      <c r="H220" s="238" t="s">
        <v>246</v>
      </c>
      <c r="I220" s="237">
        <v>2.3E-2</v>
      </c>
      <c r="J220" s="237"/>
      <c r="K220" s="236">
        <v>0.56299999999999994</v>
      </c>
    </row>
    <row r="221" spans="1:12">
      <c r="A221" s="235">
        <v>23098</v>
      </c>
      <c r="B221" s="223" t="s">
        <v>136</v>
      </c>
      <c r="C221" s="223" t="s">
        <v>220</v>
      </c>
      <c r="E221" s="241">
        <v>-0.14699999999999999</v>
      </c>
      <c r="F221" s="237">
        <v>-6.3E-2</v>
      </c>
      <c r="G221" s="237">
        <v>0.158</v>
      </c>
      <c r="H221" s="237">
        <v>-5.2999999999999999E-2</v>
      </c>
      <c r="I221" s="237">
        <v>0.105</v>
      </c>
      <c r="J221" s="237"/>
      <c r="K221" s="236">
        <v>0.55900000000000005</v>
      </c>
    </row>
    <row r="222" spans="1:12">
      <c r="A222" s="235">
        <v>23182</v>
      </c>
      <c r="B222" s="223" t="s">
        <v>479</v>
      </c>
      <c r="C222" s="223" t="s">
        <v>220</v>
      </c>
      <c r="E222" s="241">
        <v>-0.109</v>
      </c>
      <c r="F222" s="237">
        <v>4.3999999999999997E-2</v>
      </c>
      <c r="G222" s="237">
        <v>4.2999999999999997E-2</v>
      </c>
      <c r="H222" s="238" t="s">
        <v>246</v>
      </c>
      <c r="I222" s="237">
        <v>2.1999999999999999E-2</v>
      </c>
      <c r="J222" s="237"/>
      <c r="K222" s="236">
        <v>0.60499999999999998</v>
      </c>
    </row>
    <row r="223" spans="1:12">
      <c r="A223" s="235">
        <v>23196</v>
      </c>
      <c r="B223" s="223" t="s">
        <v>480</v>
      </c>
      <c r="C223" s="223" t="s">
        <v>220</v>
      </c>
      <c r="E223" s="241">
        <v>-0.189</v>
      </c>
      <c r="F223" s="237">
        <v>-3.5999999999999997E-2</v>
      </c>
      <c r="G223" s="237">
        <v>0.22500000000000001</v>
      </c>
      <c r="H223" s="238" t="s">
        <v>246</v>
      </c>
      <c r="I223" s="238" t="s">
        <v>246</v>
      </c>
      <c r="J223" s="238"/>
      <c r="K223" s="236">
        <v>0.441</v>
      </c>
    </row>
    <row r="224" spans="1:12">
      <c r="A224" s="235">
        <v>23196</v>
      </c>
      <c r="B224" s="223" t="s">
        <v>481</v>
      </c>
      <c r="C224" s="223" t="s">
        <v>220</v>
      </c>
      <c r="E224" s="241">
        <v>-0.19</v>
      </c>
      <c r="F224" s="237">
        <v>1.4E-2</v>
      </c>
      <c r="G224" s="237">
        <v>0.17599999999999999</v>
      </c>
      <c r="H224" s="238" t="s">
        <v>246</v>
      </c>
      <c r="I224" s="238" t="s">
        <v>246</v>
      </c>
      <c r="J224" s="238"/>
      <c r="K224" s="236">
        <v>0.55200000000000005</v>
      </c>
    </row>
    <row r="225" spans="1:12">
      <c r="A225" s="235">
        <v>23238</v>
      </c>
      <c r="B225" s="223" t="s">
        <v>482</v>
      </c>
      <c r="C225" s="223" t="s">
        <v>273</v>
      </c>
      <c r="E225" s="241">
        <v>-0.25</v>
      </c>
      <c r="F225" s="237">
        <v>2.5999999999999999E-2</v>
      </c>
      <c r="G225" s="237">
        <v>0.21</v>
      </c>
      <c r="H225" s="238" t="s">
        <v>246</v>
      </c>
      <c r="I225" s="237">
        <v>1.4E-2</v>
      </c>
      <c r="J225" s="237"/>
      <c r="K225" s="236">
        <v>0.69399999999999995</v>
      </c>
    </row>
    <row r="226" spans="1:12">
      <c r="A226" s="235">
        <v>23243</v>
      </c>
      <c r="B226" s="223" t="s">
        <v>333</v>
      </c>
      <c r="C226" s="223" t="s">
        <v>220</v>
      </c>
      <c r="E226" s="241">
        <v>-0.438</v>
      </c>
      <c r="F226" s="237">
        <v>0.23499999999999999</v>
      </c>
      <c r="G226" s="238" t="s">
        <v>246</v>
      </c>
      <c r="H226" s="238" t="s">
        <v>246</v>
      </c>
      <c r="I226" s="237">
        <v>0.20300000000000001</v>
      </c>
      <c r="J226" s="237"/>
      <c r="K226" s="236">
        <v>0.42199999999999999</v>
      </c>
    </row>
    <row r="227" spans="1:12">
      <c r="A227" s="235">
        <v>23322</v>
      </c>
      <c r="B227" s="223" t="s">
        <v>483</v>
      </c>
      <c r="C227" s="223" t="s">
        <v>399</v>
      </c>
      <c r="E227" s="241">
        <v>-0.156</v>
      </c>
      <c r="F227" s="237">
        <v>3.1E-2</v>
      </c>
      <c r="G227" s="237">
        <v>0.114</v>
      </c>
      <c r="H227" s="238" t="s">
        <v>246</v>
      </c>
      <c r="I227" s="237">
        <v>1.0999999999999999E-2</v>
      </c>
      <c r="J227" s="237"/>
      <c r="K227" s="236">
        <v>0.74</v>
      </c>
    </row>
    <row r="228" spans="1:12">
      <c r="A228" s="235">
        <v>23322</v>
      </c>
      <c r="B228" s="223" t="s">
        <v>484</v>
      </c>
      <c r="C228" s="223" t="s">
        <v>273</v>
      </c>
      <c r="E228" s="241">
        <v>-0.108</v>
      </c>
      <c r="F228" s="237">
        <v>-1.6E-2</v>
      </c>
      <c r="G228" s="237">
        <v>0.19500000000000001</v>
      </c>
      <c r="H228" s="237">
        <v>-7.6999999999999999E-2</v>
      </c>
      <c r="I228" s="237">
        <v>6.0000000000000001E-3</v>
      </c>
      <c r="J228" s="237"/>
      <c r="K228" s="236">
        <v>0.76100000000000001</v>
      </c>
      <c r="L228" s="113" t="s">
        <v>343</v>
      </c>
    </row>
    <row r="229" spans="1:12">
      <c r="A229" s="235">
        <v>23336</v>
      </c>
      <c r="B229" s="223" t="s">
        <v>485</v>
      </c>
      <c r="C229" s="223" t="s">
        <v>220</v>
      </c>
      <c r="E229" s="241">
        <v>-8.8999999999999996E-2</v>
      </c>
      <c r="F229" s="237">
        <v>0.01</v>
      </c>
      <c r="G229" s="238" t="s">
        <v>246</v>
      </c>
      <c r="H229" s="237">
        <v>7.3999999999999996E-2</v>
      </c>
      <c r="I229" s="237">
        <v>5.0000000000000001E-3</v>
      </c>
      <c r="J229" s="237"/>
      <c r="K229" s="236">
        <v>0.71599999999999997</v>
      </c>
    </row>
    <row r="230" spans="1:12">
      <c r="A230" s="235">
        <v>23350</v>
      </c>
      <c r="B230" s="223" t="s">
        <v>486</v>
      </c>
      <c r="C230" s="223" t="s">
        <v>273</v>
      </c>
      <c r="E230" s="241">
        <v>-9.6000000000000002E-2</v>
      </c>
      <c r="F230" s="237">
        <v>8.2000000000000003E-2</v>
      </c>
      <c r="G230" s="237">
        <v>1.4E-2</v>
      </c>
      <c r="H230" s="238" t="s">
        <v>246</v>
      </c>
      <c r="I230" s="238" t="s">
        <v>246</v>
      </c>
      <c r="J230" s="238"/>
      <c r="K230" s="236">
        <v>0.442</v>
      </c>
    </row>
    <row r="231" spans="1:12">
      <c r="A231" s="235">
        <v>23350</v>
      </c>
      <c r="B231" s="223" t="s">
        <v>487</v>
      </c>
      <c r="C231" s="223" t="s">
        <v>220</v>
      </c>
      <c r="E231" s="241">
        <v>-0.106</v>
      </c>
      <c r="F231" s="237">
        <v>5.7000000000000002E-2</v>
      </c>
      <c r="G231" s="238" t="s">
        <v>246</v>
      </c>
      <c r="H231" s="238" t="s">
        <v>246</v>
      </c>
      <c r="I231" s="237">
        <v>4.9000000000000002E-2</v>
      </c>
      <c r="J231" s="237"/>
      <c r="K231" s="236">
        <v>0.46100000000000002</v>
      </c>
    </row>
    <row r="232" spans="1:12">
      <c r="A232" s="235">
        <v>23350</v>
      </c>
      <c r="B232" s="223" t="s">
        <v>488</v>
      </c>
      <c r="C232" s="223" t="s">
        <v>273</v>
      </c>
      <c r="E232" s="241">
        <v>-3.4000000000000002E-2</v>
      </c>
      <c r="F232" s="237">
        <v>0.04</v>
      </c>
      <c r="G232" s="237">
        <v>-6.0000000000000001E-3</v>
      </c>
      <c r="H232" s="238" t="s">
        <v>246</v>
      </c>
      <c r="I232" s="238" t="s">
        <v>246</v>
      </c>
      <c r="J232" s="238"/>
      <c r="K232" s="236">
        <v>0.70499999999999996</v>
      </c>
    </row>
    <row r="233" spans="1:12">
      <c r="A233" s="235">
        <v>23357</v>
      </c>
      <c r="B233" s="223" t="s">
        <v>489</v>
      </c>
      <c r="C233" s="223" t="s">
        <v>273</v>
      </c>
      <c r="E233" s="241">
        <v>-0.17499999999999999</v>
      </c>
      <c r="F233" s="237">
        <v>-3.1E-2</v>
      </c>
      <c r="G233" s="237">
        <v>0.109</v>
      </c>
      <c r="H233" s="237">
        <v>9.7000000000000003E-2</v>
      </c>
      <c r="I233" s="238" t="s">
        <v>246</v>
      </c>
      <c r="J233" s="238"/>
      <c r="K233" s="236">
        <v>0.71599999999999997</v>
      </c>
    </row>
    <row r="234" spans="1:12">
      <c r="A234" s="235">
        <v>23511</v>
      </c>
      <c r="B234" s="223" t="s">
        <v>490</v>
      </c>
      <c r="C234" s="223" t="s">
        <v>273</v>
      </c>
      <c r="E234" s="241">
        <v>-0.151</v>
      </c>
      <c r="F234" s="237">
        <v>1.9E-2</v>
      </c>
      <c r="G234" s="237">
        <v>0.13200000000000001</v>
      </c>
      <c r="H234" s="238" t="s">
        <v>246</v>
      </c>
      <c r="I234" s="238" t="s">
        <v>246</v>
      </c>
      <c r="J234" s="238"/>
      <c r="K234" s="236">
        <v>0.68700000000000006</v>
      </c>
    </row>
    <row r="235" spans="1:12">
      <c r="A235" s="235">
        <v>23511</v>
      </c>
      <c r="B235" s="223" t="s">
        <v>491</v>
      </c>
      <c r="C235" s="223" t="s">
        <v>273</v>
      </c>
      <c r="E235" s="241">
        <v>-9.7000000000000003E-2</v>
      </c>
      <c r="F235" s="237">
        <v>2.1999999999999999E-2</v>
      </c>
      <c r="G235" s="237">
        <v>7.4999999999999997E-2</v>
      </c>
      <c r="H235" s="238" t="s">
        <v>246</v>
      </c>
      <c r="I235" s="238" t="s">
        <v>246</v>
      </c>
      <c r="J235" s="238"/>
      <c r="K235" s="236">
        <v>0.746</v>
      </c>
    </row>
    <row r="236" spans="1:12">
      <c r="A236" s="235">
        <v>23511</v>
      </c>
      <c r="B236" s="223" t="s">
        <v>492</v>
      </c>
      <c r="C236" s="223" t="s">
        <v>273</v>
      </c>
      <c r="E236" s="241">
        <v>-4.5999999999999999E-2</v>
      </c>
      <c r="F236" s="237">
        <v>0.01</v>
      </c>
      <c r="G236" s="237">
        <v>0.10299999999999999</v>
      </c>
      <c r="H236" s="238" t="s">
        <v>246</v>
      </c>
      <c r="I236" s="237">
        <v>-6.7000000000000004E-2</v>
      </c>
      <c r="J236" s="237"/>
      <c r="K236" s="236">
        <v>0.75800000000000001</v>
      </c>
    </row>
    <row r="237" spans="1:12">
      <c r="A237" s="235">
        <v>23511</v>
      </c>
      <c r="B237" s="223" t="s">
        <v>493</v>
      </c>
      <c r="C237" s="223" t="s">
        <v>399</v>
      </c>
      <c r="E237" s="241">
        <v>-7.5999999999999998E-2</v>
      </c>
      <c r="F237" s="237">
        <v>7.5999999999999998E-2</v>
      </c>
      <c r="G237" s="238" t="s">
        <v>246</v>
      </c>
      <c r="H237" s="238" t="s">
        <v>246</v>
      </c>
      <c r="I237" s="238" t="s">
        <v>246</v>
      </c>
      <c r="J237" s="238"/>
      <c r="K237" s="236">
        <v>0.82</v>
      </c>
    </row>
    <row r="238" spans="1:12">
      <c r="A238" s="235">
        <v>23532</v>
      </c>
      <c r="B238" s="223" t="s">
        <v>494</v>
      </c>
      <c r="C238" s="223" t="s">
        <v>220</v>
      </c>
      <c r="E238" s="241">
        <v>5.6000000000000001E-2</v>
      </c>
      <c r="F238" s="237">
        <v>4.8000000000000001E-2</v>
      </c>
      <c r="G238" s="238" t="s">
        <v>246</v>
      </c>
      <c r="H238" s="238" t="s">
        <v>246</v>
      </c>
      <c r="I238" s="237">
        <v>8.0000000000000002E-3</v>
      </c>
      <c r="J238" s="237"/>
      <c r="K238" s="236">
        <v>0.748</v>
      </c>
      <c r="L238" s="113" t="s">
        <v>343</v>
      </c>
    </row>
    <row r="239" spans="1:12">
      <c r="A239" s="235">
        <v>23539</v>
      </c>
      <c r="B239" s="223" t="s">
        <v>495</v>
      </c>
      <c r="C239" s="223" t="s">
        <v>220</v>
      </c>
      <c r="E239" s="241">
        <v>-0.125</v>
      </c>
      <c r="F239" s="237">
        <v>0.125</v>
      </c>
      <c r="G239" s="238" t="s">
        <v>246</v>
      </c>
      <c r="H239" s="238" t="s">
        <v>246</v>
      </c>
      <c r="I239" s="238" t="s">
        <v>246</v>
      </c>
      <c r="J239" s="238"/>
      <c r="K239" s="236">
        <v>0.42</v>
      </c>
    </row>
    <row r="240" spans="1:12">
      <c r="A240" s="235"/>
      <c r="E240" s="241"/>
      <c r="F240" s="237"/>
      <c r="G240" s="237"/>
      <c r="H240" s="237"/>
      <c r="I240" s="237"/>
      <c r="J240" s="237"/>
      <c r="K240" s="236"/>
    </row>
    <row r="241" spans="1:12">
      <c r="A241" s="234" t="s">
        <v>792</v>
      </c>
      <c r="E241" s="241"/>
      <c r="F241" s="237"/>
      <c r="G241" s="237"/>
      <c r="H241" s="237"/>
      <c r="I241" s="237"/>
      <c r="J241" s="237"/>
      <c r="K241" s="236"/>
    </row>
    <row r="242" spans="1:12">
      <c r="A242" s="262"/>
      <c r="E242" s="241"/>
      <c r="F242" s="237"/>
      <c r="G242" s="237"/>
      <c r="H242" s="237"/>
      <c r="I242" s="237"/>
      <c r="J242" s="237"/>
      <c r="K242" s="236"/>
    </row>
    <row r="243" spans="1:12">
      <c r="A243" s="235">
        <v>23763</v>
      </c>
      <c r="B243" s="223" t="s">
        <v>496</v>
      </c>
      <c r="C243" s="223" t="s">
        <v>308</v>
      </c>
      <c r="E243" s="241">
        <v>9.2999999999999999E-2</v>
      </c>
      <c r="F243" s="237">
        <v>-7.9000000000000001E-2</v>
      </c>
      <c r="G243" s="237">
        <v>-2.1999999999999999E-2</v>
      </c>
      <c r="H243" s="238" t="s">
        <v>246</v>
      </c>
      <c r="I243" s="237">
        <v>8.0000000000000002E-3</v>
      </c>
      <c r="J243" s="237"/>
      <c r="K243" s="236">
        <v>0.57699999999999996</v>
      </c>
    </row>
    <row r="244" spans="1:12">
      <c r="A244" s="235">
        <v>23763</v>
      </c>
      <c r="B244" s="223" t="s">
        <v>497</v>
      </c>
      <c r="C244" s="223" t="s">
        <v>220</v>
      </c>
      <c r="E244" s="241">
        <v>5.8000000000000003E-2</v>
      </c>
      <c r="F244" s="237">
        <v>-3.7999999999999999E-2</v>
      </c>
      <c r="G244" s="237">
        <v>-0.02</v>
      </c>
      <c r="H244" s="238" t="s">
        <v>246</v>
      </c>
      <c r="I244" s="238" t="s">
        <v>246</v>
      </c>
      <c r="J244" s="238"/>
      <c r="K244" s="236">
        <v>0.60799999999999998</v>
      </c>
      <c r="L244" s="113" t="s">
        <v>342</v>
      </c>
    </row>
    <row r="245" spans="1:12">
      <c r="A245" s="235">
        <v>23777</v>
      </c>
      <c r="B245" s="223" t="s">
        <v>498</v>
      </c>
      <c r="C245" s="223" t="s">
        <v>273</v>
      </c>
      <c r="E245" s="241">
        <v>3.2000000000000001E-2</v>
      </c>
      <c r="F245" s="237">
        <v>0.01</v>
      </c>
      <c r="G245" s="237">
        <v>5.8000000000000003E-2</v>
      </c>
      <c r="H245" s="238" t="s">
        <v>246</v>
      </c>
      <c r="I245" s="237">
        <v>1.6E-2</v>
      </c>
      <c r="J245" s="237"/>
      <c r="K245" s="236">
        <v>0.62</v>
      </c>
    </row>
    <row r="246" spans="1:12">
      <c r="A246" s="235">
        <v>23777</v>
      </c>
      <c r="B246" s="223" t="s">
        <v>499</v>
      </c>
      <c r="C246" s="223" t="s">
        <v>273</v>
      </c>
      <c r="E246" s="241">
        <v>1.7999999999999999E-2</v>
      </c>
      <c r="F246" s="237">
        <v>-6.3E-2</v>
      </c>
      <c r="G246" s="237">
        <v>4.4999999999999998E-2</v>
      </c>
      <c r="H246" s="238" t="s">
        <v>246</v>
      </c>
      <c r="I246" s="238" t="s">
        <v>246</v>
      </c>
      <c r="J246" s="238"/>
      <c r="K246" s="236">
        <v>0.64500000000000002</v>
      </c>
    </row>
    <row r="247" spans="1:12">
      <c r="A247" s="235">
        <v>23777</v>
      </c>
      <c r="B247" s="223" t="s">
        <v>500</v>
      </c>
      <c r="C247" s="223" t="s">
        <v>273</v>
      </c>
      <c r="E247" s="241">
        <v>-1E-3</v>
      </c>
      <c r="F247" s="237">
        <v>0.03</v>
      </c>
      <c r="G247" s="237">
        <v>-4.3999999999999997E-2</v>
      </c>
      <c r="H247" s="238" t="s">
        <v>246</v>
      </c>
      <c r="I247" s="237">
        <v>1.4999999999999999E-2</v>
      </c>
      <c r="J247" s="237"/>
      <c r="K247" s="236">
        <v>0.69099999999999995</v>
      </c>
    </row>
    <row r="248" spans="1:12" ht="12.75" customHeight="1">
      <c r="A248" s="235">
        <v>23824</v>
      </c>
      <c r="B248" s="223" t="s">
        <v>501</v>
      </c>
      <c r="C248" s="223" t="s">
        <v>273</v>
      </c>
      <c r="E248" s="241">
        <v>-8.0000000000000002E-3</v>
      </c>
      <c r="F248" s="237">
        <v>2.1000000000000001E-2</v>
      </c>
      <c r="G248" s="237">
        <v>-1.2999999999999999E-2</v>
      </c>
      <c r="H248" s="238" t="s">
        <v>246</v>
      </c>
      <c r="I248" s="238" t="s">
        <v>246</v>
      </c>
      <c r="J248" s="238"/>
      <c r="K248" s="236">
        <v>0.76100000000000001</v>
      </c>
    </row>
    <row r="249" spans="1:12">
      <c r="A249" s="235">
        <v>23825</v>
      </c>
      <c r="B249" s="223" t="s">
        <v>502</v>
      </c>
      <c r="C249" s="223" t="s">
        <v>418</v>
      </c>
      <c r="D249" s="263"/>
      <c r="E249" s="264">
        <v>-4.2000000000000003E-2</v>
      </c>
      <c r="F249" s="265">
        <v>-4.4999999999999998E-2</v>
      </c>
      <c r="G249" s="265">
        <v>0.10299999999999999</v>
      </c>
      <c r="H249" s="265">
        <v>-2.5000000000000001E-2</v>
      </c>
      <c r="I249" s="265">
        <v>8.9999999999999993E-3</v>
      </c>
      <c r="J249" s="265"/>
      <c r="K249" s="266">
        <v>0.82199999999999995</v>
      </c>
    </row>
    <row r="250" spans="1:12">
      <c r="A250" s="235">
        <v>23833</v>
      </c>
      <c r="B250" s="223" t="s">
        <v>334</v>
      </c>
      <c r="C250" s="223" t="s">
        <v>220</v>
      </c>
      <c r="E250" s="241">
        <v>2E-3</v>
      </c>
      <c r="F250" s="237">
        <v>-6.9000000000000006E-2</v>
      </c>
      <c r="G250" s="238" t="s">
        <v>246</v>
      </c>
      <c r="H250" s="237">
        <v>6.7000000000000004E-2</v>
      </c>
      <c r="I250" s="238" t="s">
        <v>246</v>
      </c>
      <c r="J250" s="238"/>
      <c r="K250" s="236">
        <v>0.63200000000000001</v>
      </c>
      <c r="L250" s="113" t="s">
        <v>343</v>
      </c>
    </row>
    <row r="251" spans="1:12">
      <c r="A251" s="235">
        <v>23868</v>
      </c>
      <c r="B251" s="223" t="s">
        <v>503</v>
      </c>
      <c r="C251" s="223" t="s">
        <v>273</v>
      </c>
      <c r="E251" s="241">
        <v>2.1999999999999999E-2</v>
      </c>
      <c r="F251" s="237">
        <v>-0.03</v>
      </c>
      <c r="G251" s="237">
        <v>8.0000000000000002E-3</v>
      </c>
      <c r="H251" s="238" t="s">
        <v>246</v>
      </c>
      <c r="I251" s="238" t="s">
        <v>246</v>
      </c>
      <c r="J251" s="238"/>
      <c r="K251" s="236">
        <v>0.52400000000000002</v>
      </c>
    </row>
    <row r="252" spans="1:12">
      <c r="A252" s="235">
        <v>23945</v>
      </c>
      <c r="B252" s="223" t="s">
        <v>504</v>
      </c>
      <c r="C252" s="223" t="s">
        <v>273</v>
      </c>
      <c r="E252" s="241">
        <v>-6.2E-2</v>
      </c>
      <c r="F252" s="237">
        <v>-0.11</v>
      </c>
      <c r="G252" s="237">
        <v>0.16900000000000001</v>
      </c>
      <c r="H252" s="238" t="s">
        <v>246</v>
      </c>
      <c r="I252" s="237">
        <v>3.0000000000000001E-3</v>
      </c>
      <c r="J252" s="237"/>
      <c r="K252" s="236">
        <v>0.58499999999999996</v>
      </c>
    </row>
    <row r="253" spans="1:12">
      <c r="A253" s="235">
        <v>24050</v>
      </c>
      <c r="B253" s="223" t="s">
        <v>505</v>
      </c>
      <c r="C253" s="223" t="s">
        <v>273</v>
      </c>
      <c r="D253" s="263"/>
      <c r="E253" s="264">
        <v>1.2E-2</v>
      </c>
      <c r="F253" s="265">
        <v>2.3E-2</v>
      </c>
      <c r="G253" s="265">
        <v>-4.8000000000000001E-2</v>
      </c>
      <c r="H253" s="238" t="s">
        <v>246</v>
      </c>
      <c r="I253" s="238" t="s">
        <v>246</v>
      </c>
      <c r="J253" s="238"/>
      <c r="K253" s="266">
        <v>0.41799999999999998</v>
      </c>
    </row>
    <row r="254" spans="1:12">
      <c r="A254" s="235">
        <v>24057</v>
      </c>
      <c r="B254" s="223" t="s">
        <v>506</v>
      </c>
      <c r="C254" s="223" t="s">
        <v>220</v>
      </c>
      <c r="E254" s="241">
        <v>4.9000000000000002E-2</v>
      </c>
      <c r="F254" s="237">
        <v>2.3E-2</v>
      </c>
      <c r="G254" s="237">
        <v>-7.1999999999999995E-2</v>
      </c>
      <c r="H254" s="238" t="s">
        <v>246</v>
      </c>
      <c r="I254" s="238" t="s">
        <v>246</v>
      </c>
      <c r="J254" s="238"/>
      <c r="K254" s="267">
        <v>-7.5999999999999998E-2</v>
      </c>
      <c r="L254" s="268" t="s">
        <v>1507</v>
      </c>
    </row>
    <row r="255" spans="1:12">
      <c r="A255" s="235">
        <v>24134</v>
      </c>
      <c r="B255" s="223" t="s">
        <v>507</v>
      </c>
      <c r="C255" s="223" t="s">
        <v>220</v>
      </c>
      <c r="E255" s="269" t="s">
        <v>564</v>
      </c>
      <c r="F255" s="237">
        <v>8.8999999999999996E-2</v>
      </c>
      <c r="G255" s="237">
        <v>-9.6000000000000002E-2</v>
      </c>
      <c r="H255" s="238" t="s">
        <v>246</v>
      </c>
      <c r="I255" s="237">
        <v>7.0000000000000001E-3</v>
      </c>
      <c r="J255" s="237"/>
      <c r="K255" s="236">
        <v>0.76300000000000001</v>
      </c>
    </row>
    <row r="256" spans="1:12">
      <c r="A256" s="235"/>
      <c r="E256" s="241"/>
      <c r="F256" s="237"/>
      <c r="G256" s="237"/>
      <c r="H256" s="237"/>
      <c r="I256" s="237"/>
      <c r="J256" s="237"/>
      <c r="K256" s="236"/>
    </row>
    <row r="257" spans="1:12">
      <c r="A257" s="234" t="s">
        <v>793</v>
      </c>
      <c r="E257" s="241"/>
      <c r="F257" s="237"/>
      <c r="G257" s="237"/>
      <c r="H257" s="237"/>
      <c r="I257" s="237"/>
      <c r="J257" s="237"/>
      <c r="K257" s="236"/>
    </row>
    <row r="258" spans="1:12">
      <c r="A258" s="262"/>
      <c r="E258" s="241"/>
      <c r="F258" s="237"/>
      <c r="G258" s="237"/>
      <c r="H258" s="237"/>
      <c r="I258" s="237"/>
      <c r="J258" s="237"/>
      <c r="K258" s="236"/>
    </row>
    <row r="259" spans="1:12">
      <c r="A259" s="235">
        <v>24302</v>
      </c>
      <c r="B259" s="223" t="s">
        <v>508</v>
      </c>
      <c r="C259" s="223" t="s">
        <v>509</v>
      </c>
      <c r="E259" s="241">
        <v>-4.4999999999999998E-2</v>
      </c>
      <c r="F259" s="237">
        <v>-0.13100000000000001</v>
      </c>
      <c r="G259" s="237">
        <v>-5.2999999999999999E-2</v>
      </c>
      <c r="H259" s="237">
        <v>0.22900000000000001</v>
      </c>
      <c r="I259" s="238" t="s">
        <v>246</v>
      </c>
      <c r="J259" s="238"/>
      <c r="K259" s="236">
        <v>0.749</v>
      </c>
    </row>
    <row r="260" spans="1:12">
      <c r="A260" s="235">
        <v>24540</v>
      </c>
      <c r="B260" s="223" t="s">
        <v>497</v>
      </c>
      <c r="C260" s="223" t="s">
        <v>220</v>
      </c>
      <c r="E260" s="241">
        <v>1.0999999999999999E-2</v>
      </c>
      <c r="F260" s="237">
        <v>-0.11799999999999999</v>
      </c>
      <c r="G260" s="237">
        <v>3.1E-2</v>
      </c>
      <c r="H260" s="238" t="s">
        <v>246</v>
      </c>
      <c r="I260" s="237">
        <v>7.5999999999999998E-2</v>
      </c>
      <c r="J260" s="237"/>
      <c r="K260" s="236">
        <v>0.66100000000000003</v>
      </c>
      <c r="L260" s="113" t="s">
        <v>342</v>
      </c>
    </row>
    <row r="261" spans="1:12">
      <c r="A261" s="235">
        <v>24540</v>
      </c>
      <c r="B261" s="223" t="s">
        <v>510</v>
      </c>
      <c r="C261" s="223" t="s">
        <v>220</v>
      </c>
      <c r="E261" s="241">
        <v>-3.5000000000000003E-2</v>
      </c>
      <c r="F261" s="237">
        <v>-0.27100000000000002</v>
      </c>
      <c r="G261" s="238" t="s">
        <v>246</v>
      </c>
      <c r="H261" s="237">
        <v>0.312</v>
      </c>
      <c r="I261" s="237">
        <v>-6.0000000000000001E-3</v>
      </c>
      <c r="J261" s="237"/>
      <c r="K261" s="236">
        <v>0.82199999999999995</v>
      </c>
    </row>
    <row r="262" spans="1:12">
      <c r="A262" s="235">
        <v>24540</v>
      </c>
      <c r="B262" s="223" t="s">
        <v>511</v>
      </c>
      <c r="C262" s="223" t="s">
        <v>308</v>
      </c>
      <c r="E262" s="241">
        <v>-0.107</v>
      </c>
      <c r="F262" s="237">
        <v>-0.21199999999999999</v>
      </c>
      <c r="G262" s="237">
        <v>1.9E-2</v>
      </c>
      <c r="H262" s="237">
        <v>0.28199999999999997</v>
      </c>
      <c r="I262" s="237">
        <v>1.7999999999999999E-2</v>
      </c>
      <c r="J262" s="237"/>
      <c r="K262" s="236">
        <v>0.75700000000000001</v>
      </c>
    </row>
    <row r="263" spans="1:12">
      <c r="A263" s="235">
        <v>24547</v>
      </c>
      <c r="B263" s="223" t="s">
        <v>512</v>
      </c>
      <c r="C263" s="223" t="s">
        <v>273</v>
      </c>
      <c r="E263" s="241">
        <v>2.5000000000000001E-2</v>
      </c>
      <c r="F263" s="237">
        <v>-6.3E-2</v>
      </c>
      <c r="G263" s="237">
        <v>3.7999999999999999E-2</v>
      </c>
      <c r="H263" s="238" t="s">
        <v>246</v>
      </c>
      <c r="I263" s="238" t="s">
        <v>246</v>
      </c>
      <c r="J263" s="238"/>
      <c r="K263" s="236">
        <v>0.72599999999999998</v>
      </c>
      <c r="L263" s="113" t="s">
        <v>342</v>
      </c>
    </row>
    <row r="264" spans="1:12">
      <c r="A264" s="235">
        <v>24589</v>
      </c>
      <c r="B264" s="223" t="s">
        <v>513</v>
      </c>
      <c r="C264" s="223" t="s">
        <v>273</v>
      </c>
      <c r="E264" s="241">
        <v>2.5999999999999999E-2</v>
      </c>
      <c r="F264" s="237">
        <v>-0.126</v>
      </c>
      <c r="G264" s="237">
        <v>7.8E-2</v>
      </c>
      <c r="H264" s="238" t="s">
        <v>246</v>
      </c>
      <c r="I264" s="237">
        <v>2.1999999999999999E-2</v>
      </c>
      <c r="J264" s="237"/>
      <c r="K264" s="236">
        <v>0.68</v>
      </c>
    </row>
    <row r="265" spans="1:12">
      <c r="A265" s="235">
        <v>24736</v>
      </c>
      <c r="B265" s="223" t="s">
        <v>514</v>
      </c>
      <c r="C265" s="223" t="s">
        <v>308</v>
      </c>
      <c r="E265" s="241">
        <v>8.2000000000000003E-2</v>
      </c>
      <c r="F265" s="237">
        <v>-8.8999999999999996E-2</v>
      </c>
      <c r="G265" s="237">
        <v>1.6E-2</v>
      </c>
      <c r="H265" s="238" t="s">
        <v>246</v>
      </c>
      <c r="I265" s="237">
        <v>-8.9999999999999993E-3</v>
      </c>
      <c r="J265" s="237"/>
      <c r="K265" s="236">
        <v>0.65700000000000003</v>
      </c>
    </row>
    <row r="266" spans="1:12">
      <c r="A266" s="235">
        <v>24736</v>
      </c>
      <c r="B266" s="223" t="s">
        <v>391</v>
      </c>
      <c r="C266" s="223" t="s">
        <v>308</v>
      </c>
      <c r="E266" s="241">
        <v>0.122</v>
      </c>
      <c r="F266" s="237">
        <v>-0.24399999999999999</v>
      </c>
      <c r="G266" s="237">
        <v>8.7999999999999995E-2</v>
      </c>
      <c r="H266" s="238" t="s">
        <v>246</v>
      </c>
      <c r="I266" s="237">
        <v>3.4000000000000002E-2</v>
      </c>
      <c r="J266" s="237"/>
      <c r="K266" s="236">
        <v>0.54</v>
      </c>
      <c r="L266" s="113" t="s">
        <v>343</v>
      </c>
    </row>
    <row r="267" spans="1:12">
      <c r="A267" s="235">
        <v>24778</v>
      </c>
      <c r="B267" s="223" t="s">
        <v>515</v>
      </c>
      <c r="C267" s="223" t="s">
        <v>308</v>
      </c>
      <c r="E267" s="241">
        <v>0.10299999999999999</v>
      </c>
      <c r="F267" s="237">
        <v>-0.22800000000000001</v>
      </c>
      <c r="G267" s="237">
        <v>0.125</v>
      </c>
      <c r="H267" s="238" t="s">
        <v>246</v>
      </c>
      <c r="I267" s="238" t="s">
        <v>246</v>
      </c>
      <c r="J267" s="238"/>
      <c r="K267" s="236">
        <v>0.57499999999999996</v>
      </c>
      <c r="L267" s="113" t="s">
        <v>342</v>
      </c>
    </row>
    <row r="268" spans="1:12">
      <c r="A268" s="235">
        <v>24778</v>
      </c>
      <c r="B268" s="223" t="s">
        <v>516</v>
      </c>
      <c r="C268" s="223" t="s">
        <v>220</v>
      </c>
      <c r="E268" s="241">
        <v>4.5999999999999999E-2</v>
      </c>
      <c r="F268" s="237">
        <v>-0.14199999999999999</v>
      </c>
      <c r="G268" s="237">
        <v>5.8999999999999997E-2</v>
      </c>
      <c r="H268" s="238" t="s">
        <v>246</v>
      </c>
      <c r="I268" s="237">
        <v>3.6999999999999998E-2</v>
      </c>
      <c r="J268" s="237"/>
      <c r="K268" s="236">
        <v>0.72399999999999998</v>
      </c>
      <c r="L268" s="113" t="s">
        <v>343</v>
      </c>
    </row>
    <row r="269" spans="1:12">
      <c r="A269" s="235">
        <v>24778</v>
      </c>
      <c r="B269" s="223" t="s">
        <v>517</v>
      </c>
      <c r="C269" s="223" t="s">
        <v>518</v>
      </c>
      <c r="E269" s="241">
        <v>-0.16300000000000001</v>
      </c>
      <c r="F269" s="237">
        <v>-0.29699999999999999</v>
      </c>
      <c r="G269" s="238" t="s">
        <v>246</v>
      </c>
      <c r="H269" s="237">
        <v>0.46</v>
      </c>
      <c r="I269" s="238" t="s">
        <v>246</v>
      </c>
      <c r="J269" s="238"/>
      <c r="K269" s="236">
        <v>0.73699999999999999</v>
      </c>
    </row>
    <row r="270" spans="1:12">
      <c r="A270" s="235">
        <v>24799</v>
      </c>
      <c r="B270" s="223" t="s">
        <v>519</v>
      </c>
      <c r="C270" s="223" t="s">
        <v>273</v>
      </c>
      <c r="E270" s="241">
        <v>7.0000000000000007E-2</v>
      </c>
      <c r="F270" s="237">
        <v>-0.188</v>
      </c>
      <c r="G270" s="237">
        <v>6.6000000000000003E-2</v>
      </c>
      <c r="H270" s="238" t="s">
        <v>246</v>
      </c>
      <c r="I270" s="237">
        <v>5.1999999999999998E-2</v>
      </c>
      <c r="J270" s="237"/>
      <c r="K270" s="236">
        <v>0.64500000000000002</v>
      </c>
      <c r="L270" s="113" t="s">
        <v>342</v>
      </c>
    </row>
    <row r="271" spans="1:12">
      <c r="A271" s="235">
        <v>24911</v>
      </c>
      <c r="B271" s="223" t="s">
        <v>276</v>
      </c>
      <c r="C271" s="223" t="s">
        <v>273</v>
      </c>
      <c r="E271" s="241">
        <v>0.10299999999999999</v>
      </c>
      <c r="F271" s="237">
        <v>-0.112</v>
      </c>
      <c r="G271" s="237">
        <v>-2.5000000000000001E-2</v>
      </c>
      <c r="H271" s="238" t="s">
        <v>246</v>
      </c>
      <c r="I271" s="237">
        <v>3.4000000000000002E-2</v>
      </c>
      <c r="J271" s="237"/>
      <c r="K271" s="236">
        <v>0.4</v>
      </c>
    </row>
    <row r="272" spans="1:12">
      <c r="A272" s="235">
        <v>24925</v>
      </c>
      <c r="B272" s="223" t="s">
        <v>520</v>
      </c>
      <c r="C272" s="223" t="s">
        <v>308</v>
      </c>
      <c r="E272" s="241">
        <v>6.3E-2</v>
      </c>
      <c r="F272" s="237">
        <v>-0.23799999999999999</v>
      </c>
      <c r="G272" s="237">
        <v>0.114</v>
      </c>
      <c r="H272" s="238" t="s">
        <v>246</v>
      </c>
      <c r="I272" s="237">
        <v>6.0999999999999999E-2</v>
      </c>
      <c r="J272" s="237"/>
      <c r="K272" s="236">
        <v>0.59699999999999998</v>
      </c>
      <c r="L272" s="113" t="s">
        <v>342</v>
      </c>
    </row>
    <row r="273" spans="1:12">
      <c r="A273" s="235">
        <v>24925</v>
      </c>
      <c r="B273" s="223" t="s">
        <v>521</v>
      </c>
      <c r="C273" s="223" t="s">
        <v>308</v>
      </c>
      <c r="E273" s="241">
        <v>0.17199999999999999</v>
      </c>
      <c r="F273" s="237">
        <v>-0.251</v>
      </c>
      <c r="G273" s="237">
        <v>7.9000000000000001E-2</v>
      </c>
      <c r="H273" s="238" t="s">
        <v>246</v>
      </c>
      <c r="I273" s="238" t="s">
        <v>246</v>
      </c>
      <c r="J273" s="238"/>
      <c r="K273" s="236">
        <v>0.63500000000000001</v>
      </c>
      <c r="L273" s="113" t="s">
        <v>343</v>
      </c>
    </row>
    <row r="274" spans="1:12">
      <c r="A274" s="235">
        <v>24925</v>
      </c>
      <c r="B274" s="223" t="s">
        <v>522</v>
      </c>
      <c r="C274" s="223" t="s">
        <v>308</v>
      </c>
      <c r="E274" s="241">
        <v>0.184</v>
      </c>
      <c r="F274" s="237">
        <v>-0.184</v>
      </c>
      <c r="G274" s="238" t="s">
        <v>246</v>
      </c>
      <c r="H274" s="238" t="s">
        <v>246</v>
      </c>
      <c r="I274" s="238" t="s">
        <v>246</v>
      </c>
      <c r="J274" s="238"/>
      <c r="K274" s="236">
        <v>0.66</v>
      </c>
    </row>
    <row r="275" spans="1:12">
      <c r="A275" s="235">
        <v>24925</v>
      </c>
      <c r="B275" s="223" t="s">
        <v>523</v>
      </c>
      <c r="C275" s="223" t="s">
        <v>273</v>
      </c>
      <c r="E275" s="241">
        <v>0.16700000000000001</v>
      </c>
      <c r="F275" s="237">
        <v>-0.19600000000000001</v>
      </c>
      <c r="G275" s="237">
        <v>2.9000000000000001E-2</v>
      </c>
      <c r="H275" s="238" t="s">
        <v>246</v>
      </c>
      <c r="I275" s="238" t="s">
        <v>246</v>
      </c>
      <c r="J275" s="238"/>
      <c r="K275" s="236">
        <v>0.58499999999999996</v>
      </c>
      <c r="L275" s="113" t="s">
        <v>342</v>
      </c>
    </row>
    <row r="276" spans="1:12">
      <c r="A276" s="235">
        <v>25002</v>
      </c>
      <c r="B276" s="223" t="s">
        <v>524</v>
      </c>
      <c r="C276" s="223" t="s">
        <v>308</v>
      </c>
      <c r="E276" s="241">
        <v>7.6999999999999999E-2</v>
      </c>
      <c r="F276" s="237">
        <v>-0.27600000000000002</v>
      </c>
      <c r="G276" s="237">
        <v>6.7000000000000004E-2</v>
      </c>
      <c r="H276" s="238" t="s">
        <v>246</v>
      </c>
      <c r="I276" s="237">
        <v>0.13200000000000001</v>
      </c>
      <c r="J276" s="237"/>
      <c r="K276" s="236">
        <v>0.54700000000000004</v>
      </c>
    </row>
    <row r="277" spans="1:12">
      <c r="A277" s="235">
        <v>25002</v>
      </c>
      <c r="B277" s="223" t="s">
        <v>525</v>
      </c>
      <c r="C277" s="223" t="s">
        <v>220</v>
      </c>
      <c r="E277" s="241">
        <v>0.13500000000000001</v>
      </c>
      <c r="F277" s="237">
        <v>-0.20799999999999999</v>
      </c>
      <c r="G277" s="238" t="s">
        <v>246</v>
      </c>
      <c r="H277" s="238" t="s">
        <v>246</v>
      </c>
      <c r="I277" s="237">
        <v>7.2999999999999995E-2</v>
      </c>
      <c r="J277" s="237"/>
      <c r="K277" s="236">
        <v>0.498</v>
      </c>
      <c r="L277" s="113" t="s">
        <v>343</v>
      </c>
    </row>
    <row r="278" spans="1:12">
      <c r="A278" s="235">
        <v>25016</v>
      </c>
      <c r="B278" s="223" t="s">
        <v>526</v>
      </c>
      <c r="C278" s="223" t="s">
        <v>308</v>
      </c>
      <c r="E278" s="241">
        <v>0.11899999999999999</v>
      </c>
      <c r="F278" s="237">
        <v>-0.109</v>
      </c>
      <c r="G278" s="237">
        <v>0.09</v>
      </c>
      <c r="H278" s="238" t="s">
        <v>246</v>
      </c>
      <c r="I278" s="237">
        <v>-0.1</v>
      </c>
      <c r="J278" s="237"/>
      <c r="K278" s="236">
        <v>0.74199999999999999</v>
      </c>
    </row>
    <row r="279" spans="1:12">
      <c r="A279" s="235">
        <v>25037</v>
      </c>
      <c r="B279" s="223" t="s">
        <v>527</v>
      </c>
      <c r="C279" s="223" t="s">
        <v>220</v>
      </c>
      <c r="E279" s="241">
        <v>-4.2000000000000003E-2</v>
      </c>
      <c r="F279" s="237">
        <v>-0.28699999999999998</v>
      </c>
      <c r="G279" s="237">
        <v>3.5999999999999997E-2</v>
      </c>
      <c r="H279" s="237">
        <v>0.29299999999999998</v>
      </c>
      <c r="I279" s="238" t="s">
        <v>246</v>
      </c>
      <c r="J279" s="238"/>
      <c r="K279" s="236">
        <v>0.75900000000000001</v>
      </c>
    </row>
    <row r="280" spans="1:12">
      <c r="A280" s="235">
        <v>25142</v>
      </c>
      <c r="B280" s="223" t="s">
        <v>528</v>
      </c>
      <c r="C280" s="223" t="s">
        <v>220</v>
      </c>
      <c r="E280" s="241">
        <v>9.5000000000000001E-2</v>
      </c>
      <c r="F280" s="237">
        <v>-0.11899999999999999</v>
      </c>
      <c r="G280" s="238" t="s">
        <v>246</v>
      </c>
      <c r="H280" s="238" t="s">
        <v>246</v>
      </c>
      <c r="I280" s="237">
        <v>2.4E-2</v>
      </c>
      <c r="J280" s="237"/>
      <c r="K280" s="236">
        <v>0.68</v>
      </c>
    </row>
    <row r="281" spans="1:12">
      <c r="A281" s="235">
        <v>25149</v>
      </c>
      <c r="B281" s="223" t="s">
        <v>529</v>
      </c>
      <c r="C281" s="223" t="s">
        <v>273</v>
      </c>
      <c r="E281" s="241">
        <v>0.151</v>
      </c>
      <c r="F281" s="237">
        <v>-0.129</v>
      </c>
      <c r="G281" s="237">
        <v>-2.1999999999999999E-2</v>
      </c>
      <c r="H281" s="238" t="s">
        <v>246</v>
      </c>
      <c r="I281" s="238" t="s">
        <v>246</v>
      </c>
      <c r="J281" s="238"/>
      <c r="K281" s="236">
        <v>0.55900000000000005</v>
      </c>
    </row>
    <row r="282" spans="1:12">
      <c r="A282" s="235">
        <v>25289</v>
      </c>
      <c r="B282" s="223" t="s">
        <v>530</v>
      </c>
      <c r="C282" s="223" t="s">
        <v>273</v>
      </c>
      <c r="E282" s="241">
        <v>0.125</v>
      </c>
      <c r="F282" s="237">
        <v>-0.23300000000000001</v>
      </c>
      <c r="G282" s="237">
        <v>0.108</v>
      </c>
      <c r="H282" s="238" t="s">
        <v>246</v>
      </c>
      <c r="I282" s="238" t="s">
        <v>246</v>
      </c>
      <c r="J282" s="238"/>
      <c r="K282" s="236">
        <v>0.45100000000000001</v>
      </c>
      <c r="L282" s="113" t="s">
        <v>343</v>
      </c>
    </row>
    <row r="283" spans="1:12">
      <c r="A283" s="235">
        <v>25289</v>
      </c>
      <c r="B283" s="223" t="s">
        <v>531</v>
      </c>
      <c r="C283" s="223" t="s">
        <v>308</v>
      </c>
      <c r="E283" s="241">
        <v>0.20799999999999999</v>
      </c>
      <c r="F283" s="237">
        <v>-0.11</v>
      </c>
      <c r="G283" s="237">
        <v>-9.8000000000000004E-2</v>
      </c>
      <c r="H283" s="238" t="s">
        <v>246</v>
      </c>
      <c r="I283" s="238" t="s">
        <v>246</v>
      </c>
      <c r="J283" s="238"/>
      <c r="K283" s="236">
        <v>0.51200000000000001</v>
      </c>
    </row>
    <row r="284" spans="1:12">
      <c r="A284" s="235">
        <v>25289</v>
      </c>
      <c r="B284" s="223" t="s">
        <v>421</v>
      </c>
      <c r="C284" s="223" t="s">
        <v>273</v>
      </c>
      <c r="E284" s="241">
        <v>0.13600000000000001</v>
      </c>
      <c r="F284" s="237">
        <v>-0.14199999999999999</v>
      </c>
      <c r="G284" s="237">
        <v>6.0000000000000001E-3</v>
      </c>
      <c r="H284" s="238" t="s">
        <v>246</v>
      </c>
      <c r="I284" s="238" t="s">
        <v>246</v>
      </c>
      <c r="J284" s="238"/>
      <c r="K284" s="236">
        <v>0.60799999999999998</v>
      </c>
    </row>
    <row r="285" spans="1:12">
      <c r="A285" s="235">
        <v>25345</v>
      </c>
      <c r="B285" s="223" t="s">
        <v>426</v>
      </c>
      <c r="C285" s="223" t="s">
        <v>273</v>
      </c>
      <c r="E285" s="241">
        <v>0.17</v>
      </c>
      <c r="F285" s="237">
        <v>-0.129</v>
      </c>
      <c r="G285" s="237">
        <v>-4.1000000000000002E-2</v>
      </c>
      <c r="H285" s="238" t="s">
        <v>246</v>
      </c>
      <c r="I285" s="238" t="s">
        <v>246</v>
      </c>
      <c r="J285" s="238"/>
      <c r="K285" s="236">
        <v>0.53400000000000003</v>
      </c>
    </row>
    <row r="286" spans="1:12">
      <c r="A286" s="235">
        <v>25380</v>
      </c>
      <c r="B286" s="223" t="s">
        <v>133</v>
      </c>
      <c r="C286" s="223" t="s">
        <v>532</v>
      </c>
      <c r="E286" s="241">
        <v>-6.0000000000000001E-3</v>
      </c>
      <c r="F286" s="237">
        <v>-0.33400000000000002</v>
      </c>
      <c r="G286" s="237">
        <v>0.30599999999999999</v>
      </c>
      <c r="H286" s="238" t="s">
        <v>246</v>
      </c>
      <c r="I286" s="237">
        <v>3.4000000000000002E-2</v>
      </c>
      <c r="J286" s="237"/>
      <c r="K286" s="236">
        <v>0.51900000000000002</v>
      </c>
    </row>
    <row r="287" spans="1:12">
      <c r="A287" s="235">
        <v>25506</v>
      </c>
      <c r="B287" s="223" t="s">
        <v>419</v>
      </c>
      <c r="C287" s="223" t="s">
        <v>220</v>
      </c>
      <c r="E287" s="241">
        <v>8.2000000000000003E-2</v>
      </c>
      <c r="F287" s="237">
        <v>-0.10199999999999999</v>
      </c>
      <c r="G287" s="237">
        <v>3.0000000000000001E-3</v>
      </c>
      <c r="H287" s="238" t="s">
        <v>246</v>
      </c>
      <c r="I287" s="237">
        <v>1.7000000000000001E-2</v>
      </c>
      <c r="J287" s="237"/>
      <c r="K287" s="236">
        <v>0.32800000000000001</v>
      </c>
    </row>
    <row r="288" spans="1:12">
      <c r="A288" s="235">
        <v>25506</v>
      </c>
      <c r="B288" s="223" t="s">
        <v>293</v>
      </c>
      <c r="C288" s="223" t="s">
        <v>220</v>
      </c>
      <c r="E288" s="241">
        <v>0.16</v>
      </c>
      <c r="F288" s="237">
        <v>-6.7000000000000004E-2</v>
      </c>
      <c r="G288" s="237">
        <v>-9.2999999999999999E-2</v>
      </c>
      <c r="H288" s="238" t="s">
        <v>246</v>
      </c>
      <c r="I288" s="238" t="s">
        <v>246</v>
      </c>
      <c r="J288" s="238"/>
      <c r="K288" s="236">
        <v>0.46300000000000002</v>
      </c>
    </row>
    <row r="289" spans="1:12">
      <c r="A289" s="235">
        <v>25506</v>
      </c>
      <c r="B289" s="223" t="s">
        <v>533</v>
      </c>
      <c r="C289" s="223" t="s">
        <v>220</v>
      </c>
      <c r="E289" s="241">
        <v>5.7000000000000002E-2</v>
      </c>
      <c r="F289" s="237">
        <v>-0.157</v>
      </c>
      <c r="G289" s="237">
        <v>6.4000000000000001E-2</v>
      </c>
      <c r="H289" s="238" t="s">
        <v>246</v>
      </c>
      <c r="I289" s="237">
        <v>3.5999999999999997E-2</v>
      </c>
      <c r="J289" s="237"/>
      <c r="K289" s="236">
        <v>0.72299999999999998</v>
      </c>
      <c r="L289" s="113" t="s">
        <v>342</v>
      </c>
    </row>
    <row r="290" spans="1:12">
      <c r="A290" s="235">
        <v>25506</v>
      </c>
      <c r="B290" s="223" t="s">
        <v>534</v>
      </c>
      <c r="C290" s="223" t="s">
        <v>308</v>
      </c>
      <c r="E290" s="241">
        <v>5.0999999999999997E-2</v>
      </c>
      <c r="F290" s="237">
        <v>-0.20799999999999999</v>
      </c>
      <c r="G290" s="237">
        <v>0.153</v>
      </c>
      <c r="H290" s="238" t="s">
        <v>246</v>
      </c>
      <c r="I290" s="237">
        <v>4.0000000000000001E-3</v>
      </c>
      <c r="J290" s="237"/>
      <c r="K290" s="236">
        <v>0.69799999999999995</v>
      </c>
    </row>
    <row r="291" spans="1:12">
      <c r="A291" s="235">
        <v>25506</v>
      </c>
      <c r="B291" s="223" t="s">
        <v>315</v>
      </c>
      <c r="C291" s="223" t="s">
        <v>220</v>
      </c>
      <c r="E291" s="241">
        <v>-4.2000000000000003E-2</v>
      </c>
      <c r="F291" s="237">
        <v>-0.19700000000000001</v>
      </c>
      <c r="G291" s="238" t="s">
        <v>246</v>
      </c>
      <c r="H291" s="237">
        <v>0.25</v>
      </c>
      <c r="I291" s="237">
        <v>-1.0999999999999999E-2</v>
      </c>
      <c r="J291" s="237"/>
      <c r="K291" s="236">
        <v>0.58499999999999996</v>
      </c>
    </row>
    <row r="292" spans="1:12">
      <c r="A292" s="235">
        <v>25541</v>
      </c>
      <c r="B292" s="223" t="s">
        <v>535</v>
      </c>
      <c r="C292" s="223" t="s">
        <v>273</v>
      </c>
      <c r="E292" s="241">
        <v>0.11600000000000001</v>
      </c>
      <c r="F292" s="237">
        <v>-0.17</v>
      </c>
      <c r="G292" s="237">
        <v>0.01</v>
      </c>
      <c r="H292" s="238" t="s">
        <v>246</v>
      </c>
      <c r="I292" s="237">
        <v>4.3999999999999997E-2</v>
      </c>
      <c r="J292" s="237"/>
      <c r="K292" s="236">
        <v>0.44700000000000001</v>
      </c>
      <c r="L292" s="113" t="s">
        <v>343</v>
      </c>
    </row>
    <row r="293" spans="1:12">
      <c r="A293" s="235">
        <v>25541</v>
      </c>
      <c r="B293" s="223" t="s">
        <v>536</v>
      </c>
      <c r="C293" s="223" t="s">
        <v>308</v>
      </c>
      <c r="E293" s="241">
        <v>6.8000000000000005E-2</v>
      </c>
      <c r="F293" s="237">
        <v>-0.126</v>
      </c>
      <c r="G293" s="238" t="s">
        <v>246</v>
      </c>
      <c r="H293" s="238" t="s">
        <v>246</v>
      </c>
      <c r="I293" s="237">
        <v>5.8000000000000003E-2</v>
      </c>
      <c r="J293" s="237"/>
      <c r="K293" s="236">
        <v>0.69599999999999995</v>
      </c>
    </row>
    <row r="294" spans="1:12">
      <c r="A294" s="235">
        <v>25639</v>
      </c>
      <c r="B294" s="223" t="s">
        <v>537</v>
      </c>
      <c r="C294" s="223" t="s">
        <v>273</v>
      </c>
      <c r="E294" s="241">
        <v>0.111</v>
      </c>
      <c r="F294" s="237">
        <v>-6.2E-2</v>
      </c>
      <c r="G294" s="237">
        <v>-4.9000000000000002E-2</v>
      </c>
      <c r="H294" s="238" t="s">
        <v>246</v>
      </c>
      <c r="I294" s="238" t="s">
        <v>246</v>
      </c>
      <c r="J294" s="238"/>
      <c r="K294" s="236">
        <v>0.70299999999999996</v>
      </c>
    </row>
    <row r="295" spans="1:12">
      <c r="A295" s="235">
        <v>25646</v>
      </c>
      <c r="B295" s="223" t="s">
        <v>281</v>
      </c>
      <c r="C295" s="223" t="s">
        <v>220</v>
      </c>
      <c r="E295" s="241">
        <v>-7.1999999999999995E-2</v>
      </c>
      <c r="F295" s="237">
        <v>-0.13200000000000001</v>
      </c>
      <c r="G295" s="238" t="s">
        <v>246</v>
      </c>
      <c r="H295" s="237">
        <v>0.20399999999999999</v>
      </c>
      <c r="I295" s="238" t="s">
        <v>246</v>
      </c>
      <c r="J295" s="238"/>
      <c r="K295" s="236">
        <v>0.76300000000000001</v>
      </c>
    </row>
    <row r="296" spans="1:12">
      <c r="A296" s="235"/>
      <c r="E296" s="241"/>
      <c r="F296" s="237"/>
      <c r="G296" s="237"/>
      <c r="H296" s="237"/>
      <c r="I296" s="237"/>
      <c r="J296" s="237"/>
      <c r="K296" s="236"/>
    </row>
    <row r="297" spans="1:12">
      <c r="A297" s="234" t="s">
        <v>794</v>
      </c>
      <c r="E297" s="241"/>
      <c r="F297" s="237"/>
      <c r="G297" s="237"/>
      <c r="H297" s="237"/>
      <c r="I297" s="237"/>
      <c r="J297" s="237"/>
      <c r="K297" s="236"/>
      <c r="L297" s="113" t="s">
        <v>342</v>
      </c>
    </row>
    <row r="298" spans="1:12">
      <c r="A298" s="262"/>
      <c r="E298" s="241"/>
      <c r="F298" s="237"/>
      <c r="G298" s="237"/>
      <c r="H298" s="237"/>
      <c r="I298" s="237"/>
      <c r="J298" s="237"/>
      <c r="K298" s="236"/>
    </row>
    <row r="299" spans="1:12">
      <c r="A299" s="235">
        <v>25863</v>
      </c>
      <c r="B299" s="223" t="s">
        <v>486</v>
      </c>
      <c r="C299" s="223" t="s">
        <v>273</v>
      </c>
      <c r="E299" s="241">
        <v>1.2999999999999999E-2</v>
      </c>
      <c r="F299" s="237">
        <v>-2.3E-2</v>
      </c>
      <c r="G299" s="237">
        <v>-2.4E-2</v>
      </c>
      <c r="H299" s="238" t="s">
        <v>246</v>
      </c>
      <c r="I299" s="237">
        <v>3.4000000000000002E-2</v>
      </c>
      <c r="J299" s="237"/>
      <c r="K299" s="236">
        <v>0.35299999999999998</v>
      </c>
    </row>
    <row r="300" spans="1:12">
      <c r="A300" s="235">
        <v>25891</v>
      </c>
      <c r="B300" s="223" t="s">
        <v>538</v>
      </c>
      <c r="C300" s="223" t="s">
        <v>273</v>
      </c>
      <c r="E300" s="241">
        <v>-6.0000000000000001E-3</v>
      </c>
      <c r="F300" s="237">
        <v>-2E-3</v>
      </c>
      <c r="G300" s="237">
        <v>-5.0000000000000001E-3</v>
      </c>
      <c r="H300" s="238" t="s">
        <v>246</v>
      </c>
      <c r="I300" s="237">
        <v>1.2999999999999999E-2</v>
      </c>
      <c r="J300" s="237"/>
      <c r="K300" s="236">
        <v>0.499</v>
      </c>
    </row>
    <row r="301" spans="1:12">
      <c r="A301" s="235">
        <v>26024</v>
      </c>
      <c r="B301" s="223" t="s">
        <v>495</v>
      </c>
      <c r="C301" s="223" t="s">
        <v>220</v>
      </c>
      <c r="E301" s="241">
        <v>-6.8000000000000005E-2</v>
      </c>
      <c r="F301" s="237">
        <v>-3.5000000000000003E-2</v>
      </c>
      <c r="G301" s="238" t="s">
        <v>246</v>
      </c>
      <c r="H301" s="238" t="s">
        <v>246</v>
      </c>
      <c r="I301" s="237">
        <v>0.10299999999999999</v>
      </c>
      <c r="J301" s="237"/>
      <c r="K301" s="236">
        <v>0.377</v>
      </c>
    </row>
    <row r="302" spans="1:12">
      <c r="A302" s="235">
        <v>26024</v>
      </c>
      <c r="B302" s="223" t="s">
        <v>366</v>
      </c>
      <c r="C302" s="223" t="s">
        <v>273</v>
      </c>
      <c r="E302" s="241">
        <v>3.3000000000000002E-2</v>
      </c>
      <c r="F302" s="237">
        <v>-0.02</v>
      </c>
      <c r="G302" s="237">
        <v>-1.6E-2</v>
      </c>
      <c r="H302" s="238" t="s">
        <v>246</v>
      </c>
      <c r="I302" s="237">
        <v>3.0000000000000001E-3</v>
      </c>
      <c r="J302" s="237"/>
      <c r="K302" s="236">
        <v>0.53100000000000003</v>
      </c>
    </row>
    <row r="303" spans="1:12">
      <c r="A303" s="235">
        <v>26080</v>
      </c>
      <c r="B303" s="223" t="s">
        <v>539</v>
      </c>
      <c r="C303" s="223" t="s">
        <v>220</v>
      </c>
      <c r="E303" s="241">
        <v>0.316</v>
      </c>
      <c r="F303" s="237">
        <v>-0.11799999999999999</v>
      </c>
      <c r="G303" s="237">
        <v>5.3999999999999999E-2</v>
      </c>
      <c r="H303" s="238" t="s">
        <v>246</v>
      </c>
      <c r="I303" s="237">
        <v>-0.252</v>
      </c>
      <c r="J303" s="237"/>
      <c r="K303" s="236">
        <v>0.501</v>
      </c>
    </row>
    <row r="304" spans="1:12">
      <c r="A304" s="235">
        <v>26080</v>
      </c>
      <c r="B304" s="223" t="s">
        <v>540</v>
      </c>
      <c r="C304" s="223" t="s">
        <v>399</v>
      </c>
      <c r="E304" s="241">
        <v>-0.10100000000000001</v>
      </c>
      <c r="F304" s="237">
        <v>0.10100000000000001</v>
      </c>
      <c r="G304" s="238" t="s">
        <v>246</v>
      </c>
      <c r="H304" s="238" t="s">
        <v>246</v>
      </c>
      <c r="I304" s="238" t="s">
        <v>246</v>
      </c>
      <c r="J304" s="238"/>
      <c r="K304" s="236">
        <v>0.67</v>
      </c>
    </row>
    <row r="305" spans="1:12">
      <c r="A305" s="235">
        <v>26080</v>
      </c>
      <c r="B305" s="223" t="s">
        <v>541</v>
      </c>
      <c r="C305" s="223" t="s">
        <v>220</v>
      </c>
      <c r="E305" s="241">
        <v>-8.6999999999999994E-2</v>
      </c>
      <c r="F305" s="237">
        <v>8.6999999999999994E-2</v>
      </c>
      <c r="G305" s="238" t="s">
        <v>246</v>
      </c>
      <c r="H305" s="238" t="s">
        <v>246</v>
      </c>
      <c r="I305" s="238" t="s">
        <v>246</v>
      </c>
      <c r="J305" s="238"/>
      <c r="K305" s="236">
        <v>0.55600000000000005</v>
      </c>
      <c r="L305" s="113" t="s">
        <v>342</v>
      </c>
    </row>
    <row r="306" spans="1:12">
      <c r="A306" s="235">
        <v>26101</v>
      </c>
      <c r="B306" s="223" t="s">
        <v>356</v>
      </c>
      <c r="C306" s="223" t="s">
        <v>220</v>
      </c>
      <c r="E306" s="241">
        <v>-0.159</v>
      </c>
      <c r="F306" s="237">
        <v>0.17</v>
      </c>
      <c r="G306" s="238" t="s">
        <v>246</v>
      </c>
      <c r="H306" s="238" t="s">
        <v>246</v>
      </c>
      <c r="I306" s="237">
        <v>-1.0999999999999999E-2</v>
      </c>
      <c r="J306" s="237"/>
      <c r="K306" s="236">
        <v>0.42299999999999999</v>
      </c>
    </row>
    <row r="307" spans="1:12">
      <c r="A307" s="235">
        <v>26122</v>
      </c>
      <c r="B307" s="223" t="s">
        <v>542</v>
      </c>
      <c r="C307" s="223" t="s">
        <v>220</v>
      </c>
      <c r="E307" s="241">
        <v>-8.3000000000000004E-2</v>
      </c>
      <c r="F307" s="237">
        <v>9.4E-2</v>
      </c>
      <c r="G307" s="237">
        <v>-6.4000000000000001E-2</v>
      </c>
      <c r="H307" s="238" t="s">
        <v>246</v>
      </c>
      <c r="I307" s="237">
        <v>5.2999999999999999E-2</v>
      </c>
      <c r="J307" s="237"/>
      <c r="K307" s="236">
        <v>0.39200000000000002</v>
      </c>
    </row>
    <row r="308" spans="1:12">
      <c r="A308" s="235">
        <v>26192</v>
      </c>
      <c r="B308" s="223" t="s">
        <v>316</v>
      </c>
      <c r="C308" s="223" t="s">
        <v>220</v>
      </c>
      <c r="E308" s="241">
        <v>-0.159</v>
      </c>
      <c r="F308" s="237">
        <v>-4.2000000000000003E-2</v>
      </c>
      <c r="G308" s="238" t="s">
        <v>246</v>
      </c>
      <c r="H308" s="237">
        <v>0.20100000000000001</v>
      </c>
      <c r="I308" s="238" t="s">
        <v>246</v>
      </c>
      <c r="J308" s="238"/>
      <c r="K308" s="236">
        <v>0.6</v>
      </c>
    </row>
    <row r="309" spans="1:12">
      <c r="A309" s="235">
        <v>26199</v>
      </c>
      <c r="B309" s="223" t="s">
        <v>543</v>
      </c>
      <c r="C309" s="223" t="s">
        <v>220</v>
      </c>
      <c r="E309" s="241">
        <v>-0.114</v>
      </c>
      <c r="F309" s="237">
        <v>0.114</v>
      </c>
      <c r="G309" s="238" t="s">
        <v>246</v>
      </c>
      <c r="H309" s="238" t="s">
        <v>246</v>
      </c>
      <c r="I309" s="238" t="s">
        <v>246</v>
      </c>
      <c r="J309" s="238"/>
      <c r="K309" s="236">
        <v>0.45400000000000001</v>
      </c>
    </row>
    <row r="310" spans="1:12">
      <c r="A310" s="235">
        <v>26206</v>
      </c>
      <c r="B310" s="223" t="s">
        <v>544</v>
      </c>
      <c r="C310" s="223" t="s">
        <v>273</v>
      </c>
      <c r="E310" s="241">
        <v>-7.3999999999999996E-2</v>
      </c>
      <c r="F310" s="237">
        <v>9.4E-2</v>
      </c>
      <c r="G310" s="237">
        <v>-3.9E-2</v>
      </c>
      <c r="H310" s="238" t="s">
        <v>246</v>
      </c>
      <c r="I310" s="237">
        <v>1.9E-2</v>
      </c>
      <c r="J310" s="237"/>
      <c r="K310" s="236">
        <v>0.75800000000000001</v>
      </c>
    </row>
    <row r="311" spans="1:12">
      <c r="A311" s="235">
        <v>26402</v>
      </c>
      <c r="B311" s="223" t="s">
        <v>545</v>
      </c>
      <c r="C311" s="223" t="s">
        <v>546</v>
      </c>
      <c r="E311" s="241">
        <v>-2.4E-2</v>
      </c>
      <c r="F311" s="237">
        <v>0.19800000000000001</v>
      </c>
      <c r="G311" s="237">
        <v>2.4E-2</v>
      </c>
      <c r="H311" s="237">
        <v>0.27400000000000002</v>
      </c>
      <c r="I311" s="237">
        <f>0.047-0.519</f>
        <v>-0.47200000000000003</v>
      </c>
      <c r="J311" s="237"/>
      <c r="K311" s="236">
        <v>0.79500000000000004</v>
      </c>
    </row>
    <row r="312" spans="1:12">
      <c r="A312" s="235">
        <v>26423</v>
      </c>
      <c r="B312" s="223" t="s">
        <v>547</v>
      </c>
      <c r="C312" s="223" t="s">
        <v>546</v>
      </c>
      <c r="E312" s="241">
        <v>-0.10100000000000001</v>
      </c>
      <c r="F312" s="237">
        <v>0.12</v>
      </c>
      <c r="G312" s="238" t="s">
        <v>246</v>
      </c>
      <c r="H312" s="238" t="s">
        <v>246</v>
      </c>
      <c r="I312" s="237">
        <v>-1.9E-2</v>
      </c>
      <c r="J312" s="237"/>
      <c r="K312" s="236">
        <v>0.32100000000000001</v>
      </c>
      <c r="L312" s="113" t="s">
        <v>343</v>
      </c>
    </row>
    <row r="313" spans="1:12">
      <c r="A313" s="235">
        <v>26423</v>
      </c>
      <c r="B313" s="223" t="s">
        <v>548</v>
      </c>
      <c r="C313" s="223" t="s">
        <v>273</v>
      </c>
      <c r="E313" s="241">
        <v>-4.2999999999999997E-2</v>
      </c>
      <c r="F313" s="237">
        <v>-7.0000000000000001E-3</v>
      </c>
      <c r="G313" s="237">
        <v>-4.0000000000000001E-3</v>
      </c>
      <c r="H313" s="238" t="s">
        <v>246</v>
      </c>
      <c r="I313" s="237">
        <v>5.3999999999999999E-2</v>
      </c>
      <c r="J313" s="237"/>
      <c r="K313" s="236">
        <v>0.53600000000000003</v>
      </c>
      <c r="L313" s="113" t="s">
        <v>343</v>
      </c>
    </row>
    <row r="314" spans="1:12">
      <c r="A314" s="235">
        <v>26598</v>
      </c>
      <c r="B314" s="223" t="s">
        <v>415</v>
      </c>
      <c r="C314" s="223" t="s">
        <v>532</v>
      </c>
      <c r="E314" s="241">
        <v>-0.10299999999999999</v>
      </c>
      <c r="F314" s="237">
        <v>-0.105</v>
      </c>
      <c r="G314" s="237">
        <v>0.11899999999999999</v>
      </c>
      <c r="H314" s="238" t="s">
        <v>246</v>
      </c>
      <c r="I314" s="237">
        <v>8.8999999999999996E-2</v>
      </c>
      <c r="J314" s="237"/>
      <c r="K314" s="236">
        <v>0.69099999999999995</v>
      </c>
    </row>
    <row r="315" spans="1:12">
      <c r="A315" s="235">
        <v>26640</v>
      </c>
      <c r="B315" s="223" t="s">
        <v>549</v>
      </c>
      <c r="C315" s="223" t="s">
        <v>418</v>
      </c>
      <c r="E315" s="241">
        <v>-0.26200000000000001</v>
      </c>
      <c r="F315" s="237">
        <v>-0.186</v>
      </c>
      <c r="G315" s="237">
        <v>0.39</v>
      </c>
      <c r="H315" s="238" t="s">
        <v>246</v>
      </c>
      <c r="I315" s="237">
        <v>5.8000000000000003E-2</v>
      </c>
      <c r="J315" s="237"/>
      <c r="K315" s="236">
        <v>0.56299999999999994</v>
      </c>
      <c r="L315" s="113" t="s">
        <v>343</v>
      </c>
    </row>
    <row r="316" spans="1:12">
      <c r="A316" s="235">
        <v>26640</v>
      </c>
      <c r="B316" s="223" t="s">
        <v>550</v>
      </c>
      <c r="C316" s="223" t="s">
        <v>273</v>
      </c>
      <c r="E316" s="241">
        <v>-9.4E-2</v>
      </c>
      <c r="F316" s="237">
        <v>-5.0999999999999997E-2</v>
      </c>
      <c r="G316" s="237">
        <v>1.2999999999999999E-2</v>
      </c>
      <c r="H316" s="238" t="s">
        <v>246</v>
      </c>
      <c r="I316" s="237">
        <v>0.13200000000000001</v>
      </c>
      <c r="J316" s="237"/>
      <c r="K316" s="236">
        <v>0.54300000000000004</v>
      </c>
      <c r="L316" s="113" t="s">
        <v>342</v>
      </c>
    </row>
    <row r="317" spans="1:12">
      <c r="A317" s="235">
        <v>26724</v>
      </c>
      <c r="B317" s="223" t="s">
        <v>461</v>
      </c>
      <c r="C317" s="223" t="s">
        <v>551</v>
      </c>
      <c r="E317" s="241">
        <v>-0.215</v>
      </c>
      <c r="F317" s="237">
        <v>-0.27700000000000002</v>
      </c>
      <c r="G317" s="238" t="s">
        <v>246</v>
      </c>
      <c r="H317" s="238" t="s">
        <v>246</v>
      </c>
      <c r="I317" s="237">
        <v>0.49199999999999999</v>
      </c>
      <c r="J317" s="237"/>
      <c r="K317" s="236">
        <v>0.72599999999999998</v>
      </c>
    </row>
    <row r="318" spans="1:12">
      <c r="A318" s="235">
        <v>26724</v>
      </c>
      <c r="B318" s="223" t="s">
        <v>552</v>
      </c>
      <c r="C318" s="223" t="s">
        <v>220</v>
      </c>
      <c r="E318" s="241">
        <v>-0.2</v>
      </c>
      <c r="F318" s="237">
        <v>-0.186</v>
      </c>
      <c r="G318" s="237">
        <v>0.38600000000000001</v>
      </c>
      <c r="H318" s="238" t="s">
        <v>246</v>
      </c>
      <c r="I318" s="238" t="s">
        <v>246</v>
      </c>
      <c r="J318" s="238"/>
      <c r="K318" s="236">
        <v>0.72299999999999998</v>
      </c>
      <c r="L318" s="113" t="s">
        <v>343</v>
      </c>
    </row>
    <row r="319" spans="1:12">
      <c r="A319" s="235">
        <v>26724</v>
      </c>
      <c r="B319" s="223" t="s">
        <v>553</v>
      </c>
      <c r="C319" s="223" t="s">
        <v>220</v>
      </c>
      <c r="E319" s="241">
        <v>-0.17199999999999999</v>
      </c>
      <c r="F319" s="237">
        <v>-0.156</v>
      </c>
      <c r="G319" s="237">
        <v>8.3000000000000004E-2</v>
      </c>
      <c r="H319" s="237">
        <v>0.21299999999999999</v>
      </c>
      <c r="I319" s="237">
        <v>3.2000000000000001E-2</v>
      </c>
      <c r="J319" s="237"/>
      <c r="K319" s="236">
        <v>0.70599999999999996</v>
      </c>
    </row>
    <row r="320" spans="1:12">
      <c r="A320" s="235">
        <v>26808</v>
      </c>
      <c r="B320" s="223" t="s">
        <v>554</v>
      </c>
      <c r="C320" s="223" t="s">
        <v>220</v>
      </c>
      <c r="E320" s="241">
        <v>-0.19400000000000001</v>
      </c>
      <c r="F320" s="237">
        <v>-0.02</v>
      </c>
      <c r="G320" s="238" t="s">
        <v>246</v>
      </c>
      <c r="H320" s="238" t="s">
        <v>246</v>
      </c>
      <c r="I320" s="237">
        <v>0.214</v>
      </c>
      <c r="J320" s="237"/>
      <c r="K320" s="236">
        <v>0.436</v>
      </c>
    </row>
    <row r="321" spans="1:12">
      <c r="A321" s="235">
        <v>26808</v>
      </c>
      <c r="B321" s="223" t="s">
        <v>339</v>
      </c>
      <c r="C321" s="223" t="s">
        <v>220</v>
      </c>
      <c r="E321" s="241">
        <v>-2.3E-2</v>
      </c>
      <c r="F321" s="237">
        <v>1.6E-2</v>
      </c>
      <c r="G321" s="238" t="s">
        <v>246</v>
      </c>
      <c r="H321" s="238" t="s">
        <v>246</v>
      </c>
      <c r="I321" s="237">
        <v>7.0000000000000001E-3</v>
      </c>
      <c r="J321" s="237"/>
      <c r="K321" s="236">
        <v>0.63400000000000001</v>
      </c>
    </row>
    <row r="322" spans="1:12">
      <c r="A322" s="235">
        <v>26842</v>
      </c>
      <c r="B322" s="223" t="s">
        <v>555</v>
      </c>
      <c r="C322" s="223" t="s">
        <v>220</v>
      </c>
      <c r="E322" s="241">
        <v>-0.20699999999999999</v>
      </c>
      <c r="F322" s="237">
        <v>-0.13200000000000001</v>
      </c>
      <c r="G322" s="237">
        <v>0.36499999999999999</v>
      </c>
      <c r="H322" s="238" t="s">
        <v>246</v>
      </c>
      <c r="I322" s="237">
        <v>-2.5999999999999999E-2</v>
      </c>
      <c r="J322" s="237"/>
      <c r="K322" s="236">
        <v>0.437</v>
      </c>
    </row>
    <row r="323" spans="1:12">
      <c r="A323" s="235">
        <v>26871</v>
      </c>
      <c r="B323" s="223" t="s">
        <v>556</v>
      </c>
      <c r="C323" s="223" t="s">
        <v>418</v>
      </c>
      <c r="E323" s="241">
        <v>-0.249</v>
      </c>
      <c r="F323" s="237">
        <v>-0.13400000000000001</v>
      </c>
      <c r="G323" s="237">
        <v>0.38300000000000001</v>
      </c>
      <c r="H323" s="238" t="s">
        <v>246</v>
      </c>
      <c r="I323" s="238" t="s">
        <v>246</v>
      </c>
      <c r="J323" s="238"/>
      <c r="K323" s="236">
        <v>0.65800000000000003</v>
      </c>
    </row>
    <row r="324" spans="1:12">
      <c r="A324" s="235">
        <v>26871</v>
      </c>
      <c r="B324" s="223" t="s">
        <v>557</v>
      </c>
      <c r="C324" s="223" t="s">
        <v>418</v>
      </c>
      <c r="E324" s="241">
        <v>-0.20200000000000001</v>
      </c>
      <c r="F324" s="237">
        <v>-0.123</v>
      </c>
      <c r="G324" s="237">
        <v>0.30399999999999999</v>
      </c>
      <c r="H324" s="238" t="s">
        <v>246</v>
      </c>
      <c r="I324" s="237">
        <v>2.1000000000000001E-2</v>
      </c>
      <c r="J324" s="237"/>
      <c r="K324" s="236">
        <v>0.64300000000000002</v>
      </c>
      <c r="L324" s="113" t="s">
        <v>343</v>
      </c>
    </row>
    <row r="325" spans="1:12">
      <c r="A325" s="235">
        <v>26976</v>
      </c>
      <c r="B325" s="223" t="s">
        <v>504</v>
      </c>
      <c r="C325" s="223" t="s">
        <v>273</v>
      </c>
      <c r="E325" s="241">
        <v>-0.20899999999999999</v>
      </c>
      <c r="F325" s="237">
        <v>-0.19700000000000001</v>
      </c>
      <c r="G325" s="237">
        <v>0.373</v>
      </c>
      <c r="H325" s="238" t="s">
        <v>246</v>
      </c>
      <c r="I325" s="237">
        <v>3.3000000000000002E-2</v>
      </c>
      <c r="J325" s="237"/>
      <c r="K325" s="236">
        <v>0.624</v>
      </c>
      <c r="L325" s="113" t="s">
        <v>342</v>
      </c>
    </row>
    <row r="326" spans="1:12">
      <c r="A326" s="235">
        <v>26976</v>
      </c>
      <c r="B326" s="223" t="s">
        <v>558</v>
      </c>
      <c r="C326" s="223" t="s">
        <v>418</v>
      </c>
      <c r="E326" s="241">
        <v>-0.11</v>
      </c>
      <c r="F326" s="237">
        <v>-7.5999999999999998E-2</v>
      </c>
      <c r="G326" s="237">
        <v>0.18</v>
      </c>
      <c r="H326" s="238" t="s">
        <v>246</v>
      </c>
      <c r="I326" s="237">
        <v>6.0000000000000001E-3</v>
      </c>
      <c r="J326" s="237"/>
      <c r="K326" s="236">
        <v>0.75</v>
      </c>
    </row>
    <row r="327" spans="1:12">
      <c r="A327" s="235">
        <v>26976</v>
      </c>
      <c r="B327" s="223" t="s">
        <v>380</v>
      </c>
      <c r="C327" s="223" t="s">
        <v>273</v>
      </c>
      <c r="E327" s="241">
        <v>-0.14099999999999999</v>
      </c>
      <c r="F327" s="237">
        <v>-0.13100000000000001</v>
      </c>
      <c r="G327" s="237">
        <v>8.3000000000000004E-2</v>
      </c>
      <c r="H327" s="237">
        <v>0.189</v>
      </c>
      <c r="I327" s="238" t="s">
        <v>246</v>
      </c>
      <c r="J327" s="238"/>
      <c r="K327" s="236">
        <v>0.54400000000000004</v>
      </c>
      <c r="L327" s="113" t="s">
        <v>343</v>
      </c>
    </row>
    <row r="328" spans="1:12">
      <c r="A328" s="235">
        <v>26976</v>
      </c>
      <c r="B328" s="223" t="s">
        <v>559</v>
      </c>
      <c r="C328" s="223" t="s">
        <v>518</v>
      </c>
      <c r="E328" s="241">
        <v>-0.16500000000000001</v>
      </c>
      <c r="F328" s="237">
        <v>-0.218</v>
      </c>
      <c r="G328" s="237">
        <v>8.2000000000000003E-2</v>
      </c>
      <c r="H328" s="237">
        <v>0.316</v>
      </c>
      <c r="I328" s="237">
        <v>-1.4999999999999999E-2</v>
      </c>
      <c r="J328" s="237"/>
      <c r="K328" s="236">
        <v>0.51700000000000002</v>
      </c>
    </row>
    <row r="329" spans="1:12">
      <c r="A329" s="235"/>
      <c r="L329" s="113" t="s">
        <v>342</v>
      </c>
    </row>
    <row r="330" spans="1:12">
      <c r="A330" s="234" t="s">
        <v>795</v>
      </c>
      <c r="E330" s="241"/>
      <c r="F330" s="237"/>
      <c r="G330" s="237"/>
      <c r="H330" s="237"/>
      <c r="I330" s="237"/>
      <c r="J330" s="237"/>
      <c r="K330" s="236"/>
    </row>
    <row r="331" spans="1:12">
      <c r="A331" s="262"/>
      <c r="E331" s="241"/>
      <c r="F331" s="237"/>
      <c r="G331" s="237"/>
      <c r="H331" s="237"/>
      <c r="I331" s="237"/>
      <c r="J331" s="237"/>
      <c r="K331" s="236"/>
    </row>
    <row r="332" spans="1:12">
      <c r="A332" s="235">
        <v>27172</v>
      </c>
      <c r="B332" s="223" t="s">
        <v>560</v>
      </c>
      <c r="C332" s="223" t="s">
        <v>220</v>
      </c>
      <c r="E332" s="241">
        <v>-1.0999999999999999E-2</v>
      </c>
      <c r="F332" s="237">
        <v>-3.4000000000000002E-2</v>
      </c>
      <c r="G332" s="237">
        <v>-2.3E-2</v>
      </c>
      <c r="H332" s="238" t="s">
        <v>246</v>
      </c>
      <c r="I332" s="237">
        <v>6.8000000000000005E-2</v>
      </c>
      <c r="J332" s="237"/>
      <c r="K332" s="236">
        <v>0.25900000000000001</v>
      </c>
    </row>
    <row r="333" spans="1:12">
      <c r="A333" s="262"/>
      <c r="E333" s="241"/>
      <c r="F333" s="237"/>
      <c r="G333" s="237"/>
      <c r="H333" s="237"/>
      <c r="I333" s="237"/>
      <c r="J333" s="237"/>
      <c r="K333" s="236"/>
    </row>
    <row r="334" spans="1:12">
      <c r="A334" s="234" t="s">
        <v>796</v>
      </c>
      <c r="E334" s="241"/>
      <c r="F334" s="237"/>
      <c r="G334" s="237"/>
      <c r="H334" s="237"/>
      <c r="I334" s="237"/>
      <c r="J334" s="237"/>
      <c r="K334" s="236"/>
    </row>
    <row r="335" spans="1:12" ht="12.75" customHeight="1">
      <c r="A335" s="235"/>
      <c r="E335" s="241"/>
      <c r="F335" s="237"/>
      <c r="G335" s="237"/>
      <c r="H335" s="237"/>
      <c r="I335" s="237"/>
      <c r="J335" s="237"/>
      <c r="K335" s="236"/>
      <c r="L335" s="113" t="s">
        <v>343</v>
      </c>
    </row>
    <row r="336" spans="1:12">
      <c r="A336" s="235">
        <v>27571</v>
      </c>
      <c r="B336" s="223" t="s">
        <v>561</v>
      </c>
      <c r="C336" s="223" t="s">
        <v>308</v>
      </c>
      <c r="E336" s="241">
        <v>0.10199999999999999</v>
      </c>
      <c r="F336" s="237">
        <v>-0.05</v>
      </c>
      <c r="G336" s="237">
        <v>-0.09</v>
      </c>
      <c r="H336" s="238" t="s">
        <v>246</v>
      </c>
      <c r="I336" s="237">
        <v>3.7999999999999999E-2</v>
      </c>
      <c r="J336" s="237"/>
      <c r="K336" s="236">
        <v>0.623</v>
      </c>
    </row>
    <row r="337" spans="1:14">
      <c r="A337" s="235">
        <v>27823</v>
      </c>
      <c r="B337" s="223" t="s">
        <v>562</v>
      </c>
      <c r="C337" s="223" t="s">
        <v>220</v>
      </c>
      <c r="E337" s="241">
        <v>5.8000000000000003E-2</v>
      </c>
      <c r="F337" s="237">
        <v>-4.2000000000000003E-2</v>
      </c>
      <c r="G337" s="237">
        <v>-4.3999999999999997E-2</v>
      </c>
      <c r="H337" s="238" t="s">
        <v>246</v>
      </c>
      <c r="I337" s="237">
        <v>2.8000000000000001E-2</v>
      </c>
      <c r="J337" s="237"/>
      <c r="K337" s="236">
        <v>0.72899999999999998</v>
      </c>
    </row>
    <row r="338" spans="1:14">
      <c r="A338" s="235">
        <v>27830</v>
      </c>
      <c r="B338" s="223" t="s">
        <v>563</v>
      </c>
      <c r="C338" s="223" t="s">
        <v>273</v>
      </c>
      <c r="E338" s="241">
        <v>6.3E-2</v>
      </c>
      <c r="F338" s="237">
        <v>-0.104</v>
      </c>
      <c r="G338" s="237">
        <v>-1.7000000000000001E-2</v>
      </c>
      <c r="H338" s="238" t="s">
        <v>246</v>
      </c>
      <c r="I338" s="237">
        <v>5.8000000000000003E-2</v>
      </c>
      <c r="J338" s="237"/>
      <c r="K338" s="236">
        <v>0.60499999999999998</v>
      </c>
    </row>
    <row r="339" spans="1:14">
      <c r="A339" s="235">
        <v>27830</v>
      </c>
      <c r="B339" s="223" t="s">
        <v>565</v>
      </c>
      <c r="C339" s="223" t="s">
        <v>273</v>
      </c>
      <c r="E339" s="241">
        <v>0.16</v>
      </c>
      <c r="F339" s="237">
        <v>-0.113</v>
      </c>
      <c r="G339" s="237">
        <v>-6.2E-2</v>
      </c>
      <c r="H339" s="238" t="s">
        <v>246</v>
      </c>
      <c r="I339" s="237">
        <v>1.4999999999999999E-2</v>
      </c>
      <c r="J339" s="237"/>
      <c r="K339" s="236">
        <v>0.55500000000000005</v>
      </c>
    </row>
    <row r="340" spans="1:14">
      <c r="A340" s="235">
        <v>27935</v>
      </c>
      <c r="B340" s="223" t="s">
        <v>478</v>
      </c>
      <c r="C340" s="223" t="s">
        <v>220</v>
      </c>
      <c r="E340" s="241">
        <v>0.126</v>
      </c>
      <c r="F340" s="237">
        <v>-0.13900000000000001</v>
      </c>
      <c r="G340" s="237">
        <v>-5.5E-2</v>
      </c>
      <c r="H340" s="238" t="s">
        <v>246</v>
      </c>
      <c r="I340" s="237">
        <v>6.8000000000000005E-2</v>
      </c>
      <c r="J340" s="237"/>
      <c r="K340" s="236">
        <v>0.46800000000000003</v>
      </c>
    </row>
    <row r="341" spans="1:14">
      <c r="A341" s="235">
        <v>27956</v>
      </c>
      <c r="B341" s="223" t="s">
        <v>566</v>
      </c>
      <c r="C341" s="223" t="s">
        <v>220</v>
      </c>
      <c r="E341" s="241">
        <v>0.11</v>
      </c>
      <c r="F341" s="237">
        <v>-0.10299999999999999</v>
      </c>
      <c r="G341" s="237">
        <v>-7.8E-2</v>
      </c>
      <c r="H341" s="238" t="s">
        <v>246</v>
      </c>
      <c r="I341" s="237">
        <v>7.0999999999999994E-2</v>
      </c>
      <c r="J341" s="237"/>
      <c r="K341" s="236">
        <v>0.54100000000000004</v>
      </c>
    </row>
    <row r="342" spans="1:14" ht="12.75" customHeight="1">
      <c r="A342" s="235">
        <v>28068</v>
      </c>
      <c r="B342" s="223" t="s">
        <v>405</v>
      </c>
      <c r="C342" s="223" t="s">
        <v>220</v>
      </c>
      <c r="E342" s="241">
        <v>3.2000000000000001E-2</v>
      </c>
      <c r="F342" s="237">
        <v>-0.24199999999999999</v>
      </c>
      <c r="G342" s="237">
        <v>0.17299999999999999</v>
      </c>
      <c r="H342" s="238" t="s">
        <v>246</v>
      </c>
      <c r="I342" s="237">
        <v>3.6999999999999998E-2</v>
      </c>
      <c r="J342" s="237"/>
      <c r="K342" s="236">
        <v>0.41</v>
      </c>
      <c r="L342" s="113" t="s">
        <v>342</v>
      </c>
    </row>
    <row r="343" spans="1:14" ht="12.75" customHeight="1">
      <c r="A343" s="235">
        <v>28068</v>
      </c>
      <c r="B343" s="223" t="s">
        <v>567</v>
      </c>
      <c r="C343" s="223" t="s">
        <v>568</v>
      </c>
      <c r="E343" s="241">
        <v>0.17299999999999999</v>
      </c>
      <c r="F343" s="237">
        <v>-0.27900000000000003</v>
      </c>
      <c r="G343" s="237">
        <v>-0.10199999999999999</v>
      </c>
      <c r="H343" s="238" t="s">
        <v>246</v>
      </c>
      <c r="I343" s="237">
        <v>0.20799999999999999</v>
      </c>
      <c r="J343" s="237"/>
      <c r="K343" s="236">
        <v>0.51500000000000001</v>
      </c>
      <c r="L343" s="113" t="s">
        <v>342</v>
      </c>
    </row>
    <row r="344" spans="1:14">
      <c r="A344" s="235">
        <v>28068</v>
      </c>
      <c r="B344" s="223" t="s">
        <v>569</v>
      </c>
      <c r="C344" s="223" t="s">
        <v>308</v>
      </c>
      <c r="E344" s="241">
        <v>0.159</v>
      </c>
      <c r="F344" s="237">
        <v>-0.104</v>
      </c>
      <c r="G344" s="237">
        <v>-5.5E-2</v>
      </c>
      <c r="H344" s="238" t="s">
        <v>246</v>
      </c>
      <c r="I344" s="238" t="s">
        <v>246</v>
      </c>
      <c r="J344" s="238"/>
      <c r="K344" s="236">
        <v>0.74199999999999999</v>
      </c>
    </row>
    <row r="345" spans="1:14">
      <c r="A345" s="235">
        <v>28096</v>
      </c>
      <c r="B345" s="223" t="s">
        <v>514</v>
      </c>
      <c r="C345" s="223" t="s">
        <v>273</v>
      </c>
      <c r="E345" s="241">
        <v>9.8000000000000004E-2</v>
      </c>
      <c r="F345" s="237">
        <v>-0.1</v>
      </c>
      <c r="G345" s="237">
        <v>-2.8000000000000001E-2</v>
      </c>
      <c r="H345" s="238" t="s">
        <v>246</v>
      </c>
      <c r="I345" s="237">
        <v>0.03</v>
      </c>
      <c r="J345" s="237"/>
      <c r="K345" s="236">
        <v>0.49199999999999999</v>
      </c>
    </row>
    <row r="346" spans="1:14" s="223" customFormat="1" ht="12.75" customHeight="1">
      <c r="A346" s="235">
        <v>28180</v>
      </c>
      <c r="B346" s="223" t="s">
        <v>570</v>
      </c>
      <c r="C346" s="223" t="s">
        <v>273</v>
      </c>
      <c r="D346" s="263"/>
      <c r="E346" s="264">
        <v>7.3999999999999996E-2</v>
      </c>
      <c r="F346" s="265">
        <v>-0.112</v>
      </c>
      <c r="G346" s="265">
        <v>-5.0999999999999997E-2</v>
      </c>
      <c r="H346" s="238" t="s">
        <v>246</v>
      </c>
      <c r="I346" s="265">
        <v>8.8999999999999996E-2</v>
      </c>
      <c r="J346" s="265"/>
      <c r="K346" s="266">
        <v>0.39600000000000002</v>
      </c>
      <c r="L346" s="223" t="s">
        <v>342</v>
      </c>
      <c r="N346" s="224"/>
    </row>
    <row r="347" spans="1:14">
      <c r="A347" s="235">
        <v>28215</v>
      </c>
      <c r="B347" s="223" t="s">
        <v>571</v>
      </c>
      <c r="C347" s="223" t="s">
        <v>308</v>
      </c>
      <c r="E347" s="241">
        <v>0.156</v>
      </c>
      <c r="F347" s="237">
        <v>-0.19600000000000001</v>
      </c>
      <c r="G347" s="237">
        <v>-6.6000000000000003E-2</v>
      </c>
      <c r="H347" s="238" t="s">
        <v>246</v>
      </c>
      <c r="I347" s="237">
        <v>0.106</v>
      </c>
      <c r="J347" s="237"/>
      <c r="K347" s="236">
        <v>0.58799999999999997</v>
      </c>
    </row>
    <row r="348" spans="1:14">
      <c r="A348" s="235">
        <v>28243</v>
      </c>
      <c r="B348" s="223" t="s">
        <v>572</v>
      </c>
      <c r="C348" s="223" t="s">
        <v>308</v>
      </c>
      <c r="E348" s="241">
        <v>0.20799999999999999</v>
      </c>
      <c r="F348" s="237">
        <v>-0.20899999999999999</v>
      </c>
      <c r="G348" s="237">
        <v>-4.7E-2</v>
      </c>
      <c r="H348" s="238" t="s">
        <v>246</v>
      </c>
      <c r="I348" s="237">
        <v>4.8000000000000001E-2</v>
      </c>
      <c r="J348" s="237"/>
      <c r="K348" s="236">
        <v>0.59699999999999998</v>
      </c>
      <c r="L348" s="113" t="s">
        <v>342</v>
      </c>
    </row>
    <row r="349" spans="1:14">
      <c r="A349" s="235">
        <v>28243</v>
      </c>
      <c r="B349" s="223" t="s">
        <v>573</v>
      </c>
      <c r="C349" s="223" t="s">
        <v>220</v>
      </c>
      <c r="E349" s="241">
        <v>0.13800000000000001</v>
      </c>
      <c r="F349" s="237">
        <v>-2E-3</v>
      </c>
      <c r="G349" s="237">
        <v>-0.13900000000000001</v>
      </c>
      <c r="H349" s="238" t="s">
        <v>246</v>
      </c>
      <c r="I349" s="237">
        <v>3.0000000000000001E-3</v>
      </c>
      <c r="J349" s="237"/>
      <c r="K349" s="236">
        <v>0.70199999999999996</v>
      </c>
    </row>
    <row r="350" spans="1:14">
      <c r="A350" s="235">
        <v>28313</v>
      </c>
      <c r="B350" s="223" t="s">
        <v>501</v>
      </c>
      <c r="C350" s="223" t="s">
        <v>273</v>
      </c>
      <c r="E350" s="241">
        <v>0.12</v>
      </c>
      <c r="F350" s="237">
        <v>-0.114</v>
      </c>
      <c r="G350" s="237">
        <v>-5.0999999999999997E-2</v>
      </c>
      <c r="H350" s="238" t="s">
        <v>246</v>
      </c>
      <c r="I350" s="237">
        <v>4.4999999999999998E-2</v>
      </c>
      <c r="J350" s="237"/>
      <c r="K350" s="236">
        <v>0.64800000000000002</v>
      </c>
    </row>
    <row r="351" spans="1:14">
      <c r="A351" s="235">
        <v>28355</v>
      </c>
      <c r="B351" s="223" t="s">
        <v>133</v>
      </c>
      <c r="C351" s="223" t="s">
        <v>220</v>
      </c>
      <c r="E351" s="241">
        <v>6.3E-2</v>
      </c>
      <c r="F351" s="237">
        <v>-0.114</v>
      </c>
      <c r="G351" s="237">
        <v>-8.5000000000000006E-2</v>
      </c>
      <c r="H351" s="238" t="s">
        <v>246</v>
      </c>
      <c r="I351" s="237">
        <v>0.13600000000000001</v>
      </c>
      <c r="J351" s="237"/>
      <c r="K351" s="236">
        <v>0.42599999999999999</v>
      </c>
    </row>
    <row r="352" spans="1:14">
      <c r="A352" s="235">
        <v>28453</v>
      </c>
      <c r="B352" s="223" t="s">
        <v>574</v>
      </c>
      <c r="C352" s="223" t="s">
        <v>273</v>
      </c>
      <c r="E352" s="241">
        <v>0.11700000000000001</v>
      </c>
      <c r="F352" s="237">
        <v>-5.7000000000000002E-2</v>
      </c>
      <c r="G352" s="237">
        <v>-0.11799999999999999</v>
      </c>
      <c r="H352" s="238" t="s">
        <v>246</v>
      </c>
      <c r="I352" s="237">
        <v>5.8000000000000003E-2</v>
      </c>
      <c r="J352" s="237"/>
      <c r="K352" s="236">
        <v>0.42599999999999999</v>
      </c>
      <c r="L352" s="113" t="s">
        <v>343</v>
      </c>
    </row>
    <row r="353" spans="1:12">
      <c r="A353" s="235">
        <v>28551</v>
      </c>
      <c r="B353" s="223" t="s">
        <v>575</v>
      </c>
      <c r="C353" s="223" t="s">
        <v>308</v>
      </c>
      <c r="E353" s="241">
        <v>9.4E-2</v>
      </c>
      <c r="F353" s="237">
        <v>-4.4999999999999998E-2</v>
      </c>
      <c r="G353" s="237">
        <v>-0.11600000000000001</v>
      </c>
      <c r="H353" s="238" t="s">
        <v>246</v>
      </c>
      <c r="I353" s="237">
        <v>6.7000000000000004E-2</v>
      </c>
      <c r="J353" s="237"/>
      <c r="K353" s="236">
        <v>0.69099999999999995</v>
      </c>
    </row>
    <row r="354" spans="1:12">
      <c r="A354" s="235">
        <v>28593</v>
      </c>
      <c r="B354" s="223" t="s">
        <v>576</v>
      </c>
      <c r="C354" s="223" t="s">
        <v>220</v>
      </c>
      <c r="E354" s="241">
        <v>5.6000000000000001E-2</v>
      </c>
      <c r="F354" s="237">
        <v>-5.5E-2</v>
      </c>
      <c r="G354" s="237">
        <v>-0.05</v>
      </c>
      <c r="H354" s="237">
        <v>1.7000000000000001E-2</v>
      </c>
      <c r="I354" s="237">
        <v>3.2000000000000001E-2</v>
      </c>
      <c r="J354" s="237"/>
      <c r="K354" s="236">
        <v>0.69099999999999995</v>
      </c>
    </row>
    <row r="355" spans="1:12">
      <c r="A355" s="235">
        <v>28600</v>
      </c>
      <c r="B355" s="223" t="s">
        <v>577</v>
      </c>
      <c r="C355" s="223" t="s">
        <v>220</v>
      </c>
      <c r="E355" s="241">
        <v>8.2000000000000003E-2</v>
      </c>
      <c r="F355" s="237">
        <v>-0.107</v>
      </c>
      <c r="G355" s="237">
        <v>-7.1999999999999995E-2</v>
      </c>
      <c r="H355" s="238" t="s">
        <v>246</v>
      </c>
      <c r="I355" s="237">
        <v>9.7000000000000003E-2</v>
      </c>
      <c r="J355" s="237"/>
      <c r="K355" s="236">
        <v>0.44500000000000001</v>
      </c>
    </row>
    <row r="356" spans="1:12">
      <c r="A356" s="235">
        <v>28607</v>
      </c>
      <c r="B356" s="223" t="s">
        <v>578</v>
      </c>
      <c r="C356" s="223" t="s">
        <v>273</v>
      </c>
      <c r="E356" s="241">
        <v>9.5000000000000001E-2</v>
      </c>
      <c r="F356" s="237">
        <v>-2.8000000000000001E-2</v>
      </c>
      <c r="G356" s="237">
        <v>-0.13800000000000001</v>
      </c>
      <c r="H356" s="238" t="s">
        <v>246</v>
      </c>
      <c r="I356" s="237">
        <v>7.0999999999999994E-2</v>
      </c>
      <c r="J356" s="237"/>
      <c r="K356" s="236">
        <v>0.54900000000000004</v>
      </c>
    </row>
    <row r="357" spans="1:12">
      <c r="A357" s="235">
        <v>28607</v>
      </c>
      <c r="B357" s="223" t="s">
        <v>349</v>
      </c>
      <c r="C357" s="223" t="s">
        <v>273</v>
      </c>
      <c r="E357" s="241">
        <v>0.13700000000000001</v>
      </c>
      <c r="F357" s="237">
        <v>-2.3E-2</v>
      </c>
      <c r="G357" s="237">
        <v>-0.12</v>
      </c>
      <c r="H357" s="238" t="s">
        <v>246</v>
      </c>
      <c r="I357" s="237">
        <v>6.0000000000000001E-3</v>
      </c>
      <c r="J357" s="237"/>
      <c r="K357" s="236">
        <v>0.59</v>
      </c>
    </row>
    <row r="358" spans="1:12">
      <c r="A358" s="235">
        <v>28641</v>
      </c>
      <c r="B358" s="223" t="s">
        <v>517</v>
      </c>
      <c r="C358" s="223" t="s">
        <v>220</v>
      </c>
      <c r="E358" s="241">
        <v>3.5000000000000003E-2</v>
      </c>
      <c r="F358" s="237">
        <v>3.5000000000000003E-2</v>
      </c>
      <c r="G358" s="237">
        <v>-1.4E-2</v>
      </c>
      <c r="H358" s="237">
        <v>-5.6000000000000001E-2</v>
      </c>
      <c r="I358" s="238" t="s">
        <v>246</v>
      </c>
      <c r="J358" s="238"/>
      <c r="K358" s="236">
        <v>0.72099999999999997</v>
      </c>
    </row>
    <row r="359" spans="1:12">
      <c r="A359" s="235">
        <v>28684</v>
      </c>
      <c r="B359" s="223" t="s">
        <v>457</v>
      </c>
      <c r="C359" s="223" t="s">
        <v>220</v>
      </c>
      <c r="E359" s="241">
        <v>6.3E-2</v>
      </c>
      <c r="F359" s="237">
        <v>-7.0000000000000001E-3</v>
      </c>
      <c r="G359" s="237">
        <v>-8.4000000000000005E-2</v>
      </c>
      <c r="H359" s="238" t="s">
        <v>246</v>
      </c>
      <c r="I359" s="237">
        <v>2.8000000000000001E-2</v>
      </c>
      <c r="J359" s="237"/>
      <c r="K359" s="236">
        <v>0.51600000000000001</v>
      </c>
    </row>
    <row r="360" spans="1:12">
      <c r="A360" s="235">
        <v>28684</v>
      </c>
      <c r="B360" s="223" t="s">
        <v>432</v>
      </c>
      <c r="C360" s="223" t="s">
        <v>220</v>
      </c>
      <c r="E360" s="241">
        <v>8.8999999999999996E-2</v>
      </c>
      <c r="F360" s="237">
        <v>-8.6999999999999994E-2</v>
      </c>
      <c r="G360" s="237">
        <v>-2E-3</v>
      </c>
      <c r="H360" s="238" t="s">
        <v>246</v>
      </c>
      <c r="I360" s="238" t="s">
        <v>246</v>
      </c>
      <c r="J360" s="238"/>
      <c r="K360" s="236">
        <v>0.59799999999999998</v>
      </c>
    </row>
    <row r="361" spans="1:12">
      <c r="A361" s="235">
        <v>28789</v>
      </c>
      <c r="B361" s="223" t="s">
        <v>580</v>
      </c>
      <c r="C361" s="223" t="s">
        <v>220</v>
      </c>
      <c r="E361" s="241">
        <v>0.111</v>
      </c>
      <c r="F361" s="237">
        <v>-4.5999999999999999E-2</v>
      </c>
      <c r="G361" s="237">
        <v>-5.3999999999999999E-2</v>
      </c>
      <c r="H361" s="238" t="s">
        <v>246</v>
      </c>
      <c r="I361" s="237">
        <v>-1.0999999999999999E-2</v>
      </c>
      <c r="J361" s="237"/>
      <c r="K361" s="236">
        <v>0.48899999999999999</v>
      </c>
    </row>
    <row r="362" spans="1:12">
      <c r="A362" s="235">
        <v>28789</v>
      </c>
      <c r="B362" s="223" t="s">
        <v>579</v>
      </c>
      <c r="C362" s="223" t="s">
        <v>220</v>
      </c>
      <c r="E362" s="241">
        <v>2.5999999999999999E-2</v>
      </c>
      <c r="F362" s="237">
        <v>4.1000000000000002E-2</v>
      </c>
      <c r="G362" s="237">
        <v>-2.3E-2</v>
      </c>
      <c r="H362" s="237">
        <v>-4.3999999999999997E-2</v>
      </c>
      <c r="I362" s="238" t="s">
        <v>246</v>
      </c>
      <c r="J362" s="238"/>
      <c r="K362" s="236">
        <v>0.71199999999999997</v>
      </c>
    </row>
    <row r="363" spans="1:12">
      <c r="A363" s="235">
        <v>28915</v>
      </c>
      <c r="B363" s="223" t="s">
        <v>581</v>
      </c>
      <c r="C363" s="223" t="s">
        <v>273</v>
      </c>
      <c r="E363" s="241">
        <v>0.17</v>
      </c>
      <c r="F363" s="237">
        <v>-2.8000000000000001E-2</v>
      </c>
      <c r="G363" s="237">
        <v>-0.14199999999999999</v>
      </c>
      <c r="H363" s="238" t="s">
        <v>246</v>
      </c>
      <c r="I363" s="238" t="s">
        <v>246</v>
      </c>
      <c r="J363" s="238"/>
      <c r="K363" s="236">
        <v>0.628</v>
      </c>
    </row>
    <row r="364" spans="1:12">
      <c r="A364" s="235">
        <v>28915</v>
      </c>
      <c r="B364" s="223" t="s">
        <v>582</v>
      </c>
      <c r="C364" s="223" t="s">
        <v>273</v>
      </c>
      <c r="E364" s="241">
        <v>0.161</v>
      </c>
      <c r="F364" s="237">
        <v>-7.0000000000000007E-2</v>
      </c>
      <c r="G364" s="237">
        <v>-0.106</v>
      </c>
      <c r="H364" s="238" t="s">
        <v>246</v>
      </c>
      <c r="I364" s="237">
        <v>1.4999999999999999E-2</v>
      </c>
      <c r="J364" s="237"/>
      <c r="K364" s="236">
        <v>0.57199999999999995</v>
      </c>
    </row>
    <row r="365" spans="1:12">
      <c r="A365" s="235">
        <v>28943</v>
      </c>
      <c r="B365" s="223" t="s">
        <v>301</v>
      </c>
      <c r="C365" s="223" t="s">
        <v>532</v>
      </c>
      <c r="E365" s="241">
        <v>-0.114</v>
      </c>
      <c r="F365" s="237">
        <v>-0.28100000000000003</v>
      </c>
      <c r="G365" s="237">
        <v>0.36799999999999999</v>
      </c>
      <c r="H365" s="238" t="s">
        <v>246</v>
      </c>
      <c r="I365" s="237">
        <v>2.7E-2</v>
      </c>
      <c r="J365" s="237"/>
      <c r="K365" s="236">
        <v>0.57199999999999995</v>
      </c>
    </row>
    <row r="366" spans="1:12">
      <c r="A366" s="235"/>
      <c r="E366" s="241"/>
      <c r="F366" s="241"/>
      <c r="G366" s="241"/>
      <c r="H366" s="241"/>
      <c r="I366" s="241"/>
      <c r="J366" s="241"/>
      <c r="K366" s="236"/>
      <c r="L366" s="113" t="s">
        <v>343</v>
      </c>
    </row>
    <row r="367" spans="1:12">
      <c r="A367" s="234" t="s">
        <v>797</v>
      </c>
      <c r="E367" s="241"/>
      <c r="F367" s="237"/>
      <c r="G367" s="237"/>
      <c r="H367" s="237"/>
      <c r="I367" s="237"/>
      <c r="J367" s="237"/>
      <c r="K367" s="236"/>
    </row>
    <row r="368" spans="1:12">
      <c r="A368" s="262"/>
      <c r="E368" s="241"/>
      <c r="F368" s="237"/>
      <c r="G368" s="237"/>
      <c r="H368" s="237"/>
      <c r="I368" s="237"/>
      <c r="J368" s="237"/>
      <c r="K368" s="236"/>
    </row>
    <row r="369" spans="1:12">
      <c r="A369" s="235">
        <v>29125</v>
      </c>
      <c r="B369" s="223" t="s">
        <v>131</v>
      </c>
      <c r="C369" s="223" t="s">
        <v>220</v>
      </c>
      <c r="E369" s="241">
        <v>-0.10100000000000001</v>
      </c>
      <c r="F369" s="237">
        <v>-1E-3</v>
      </c>
      <c r="G369" s="237">
        <v>8.8999999999999996E-2</v>
      </c>
      <c r="H369" s="238" t="s">
        <v>246</v>
      </c>
      <c r="I369" s="237">
        <v>1.2999999999999999E-2</v>
      </c>
      <c r="J369" s="237"/>
      <c r="K369" s="236">
        <v>0.33600000000000002</v>
      </c>
    </row>
    <row r="370" spans="1:12">
      <c r="A370" s="235">
        <v>29202</v>
      </c>
      <c r="B370" s="223" t="s">
        <v>583</v>
      </c>
      <c r="C370" s="223" t="s">
        <v>273</v>
      </c>
      <c r="E370" s="241">
        <v>-8.7999999999999995E-2</v>
      </c>
      <c r="F370" s="269" t="s">
        <v>564</v>
      </c>
      <c r="G370" s="237">
        <v>7.3999999999999996E-2</v>
      </c>
      <c r="H370" s="238" t="s">
        <v>246</v>
      </c>
      <c r="I370" s="237">
        <v>1.4E-2</v>
      </c>
      <c r="J370" s="237"/>
      <c r="K370" s="236">
        <v>0.48299999999999998</v>
      </c>
    </row>
    <row r="371" spans="1:12">
      <c r="A371" s="235">
        <v>29293</v>
      </c>
      <c r="B371" s="223" t="s">
        <v>584</v>
      </c>
      <c r="C371" s="223" t="s">
        <v>273</v>
      </c>
      <c r="E371" s="241">
        <v>-0.193</v>
      </c>
      <c r="F371" s="237">
        <v>6.5000000000000002E-2</v>
      </c>
      <c r="G371" s="237">
        <v>0.12</v>
      </c>
      <c r="H371" s="238" t="s">
        <v>246</v>
      </c>
      <c r="I371" s="237">
        <v>8.0000000000000002E-3</v>
      </c>
      <c r="J371" s="237"/>
      <c r="K371" s="236">
        <v>0.625</v>
      </c>
    </row>
    <row r="372" spans="1:12">
      <c r="A372" s="235">
        <v>29398</v>
      </c>
      <c r="B372" s="223" t="s">
        <v>585</v>
      </c>
      <c r="C372" s="223" t="s">
        <v>220</v>
      </c>
      <c r="E372" s="241">
        <v>-7.5999999999999998E-2</v>
      </c>
      <c r="F372" s="237">
        <v>-0.11700000000000001</v>
      </c>
      <c r="G372" s="238" t="s">
        <v>246</v>
      </c>
      <c r="H372" s="237">
        <v>0.152</v>
      </c>
      <c r="I372" s="237">
        <v>4.1000000000000002E-2</v>
      </c>
      <c r="J372" s="237"/>
      <c r="K372" s="236">
        <v>0.42799999999999999</v>
      </c>
    </row>
    <row r="373" spans="1:12">
      <c r="A373" s="235">
        <v>29783</v>
      </c>
      <c r="B373" s="223" t="s">
        <v>456</v>
      </c>
      <c r="C373" s="223" t="s">
        <v>220</v>
      </c>
      <c r="E373" s="241">
        <v>-0.217</v>
      </c>
      <c r="F373" s="237">
        <v>-0.13200000000000001</v>
      </c>
      <c r="G373" s="237">
        <v>0.33300000000000002</v>
      </c>
      <c r="H373" s="238" t="s">
        <v>246</v>
      </c>
      <c r="I373" s="237">
        <v>1.6E-2</v>
      </c>
      <c r="J373" s="237"/>
      <c r="K373" s="236">
        <v>0.67</v>
      </c>
    </row>
    <row r="374" spans="1:12">
      <c r="A374" s="235">
        <v>29881</v>
      </c>
      <c r="B374" s="223" t="s">
        <v>586</v>
      </c>
      <c r="C374" s="223" t="s">
        <v>418</v>
      </c>
      <c r="E374" s="241">
        <v>-0.189</v>
      </c>
      <c r="F374" s="237">
        <v>-0.14099999999999999</v>
      </c>
      <c r="G374" s="237">
        <v>0.29499999999999998</v>
      </c>
      <c r="H374" s="238" t="s">
        <v>246</v>
      </c>
      <c r="I374" s="237">
        <v>3.5000000000000003E-2</v>
      </c>
      <c r="J374" s="237"/>
      <c r="K374" s="236">
        <v>0.628</v>
      </c>
    </row>
    <row r="375" spans="1:12">
      <c r="A375" s="235">
        <v>29916</v>
      </c>
      <c r="B375" s="223" t="s">
        <v>361</v>
      </c>
      <c r="C375" s="223" t="s">
        <v>587</v>
      </c>
      <c r="E375" s="241">
        <v>-0.17199999999999999</v>
      </c>
      <c r="F375" s="237">
        <v>-0.159</v>
      </c>
      <c r="G375" s="237">
        <v>0.33800000000000002</v>
      </c>
      <c r="H375" s="238" t="s">
        <v>246</v>
      </c>
      <c r="I375" s="237">
        <v>-7.0000000000000001E-3</v>
      </c>
      <c r="J375" s="237"/>
      <c r="K375" s="236">
        <v>0.69299999999999995</v>
      </c>
      <c r="L375" s="113" t="s">
        <v>342</v>
      </c>
    </row>
    <row r="376" spans="1:12">
      <c r="A376" s="235">
        <v>30035</v>
      </c>
      <c r="B376" s="223" t="s">
        <v>318</v>
      </c>
      <c r="C376" s="223" t="s">
        <v>587</v>
      </c>
      <c r="E376" s="241">
        <v>-0.14499999999999999</v>
      </c>
      <c r="F376" s="237">
        <v>-8.5000000000000006E-2</v>
      </c>
      <c r="G376" s="237">
        <v>0.19</v>
      </c>
      <c r="H376" s="237">
        <v>1.2E-2</v>
      </c>
      <c r="I376" s="237">
        <v>2.8000000000000001E-2</v>
      </c>
      <c r="J376" s="237"/>
      <c r="K376" s="236">
        <v>0.76400000000000001</v>
      </c>
      <c r="L376" s="113" t="s">
        <v>342</v>
      </c>
    </row>
    <row r="377" spans="1:12">
      <c r="A377" s="235">
        <v>30098</v>
      </c>
      <c r="B377" s="223" t="s">
        <v>588</v>
      </c>
      <c r="C377" s="223" t="s">
        <v>273</v>
      </c>
      <c r="E377" s="241">
        <v>1E-3</v>
      </c>
      <c r="F377" s="237">
        <v>-9.7000000000000003E-2</v>
      </c>
      <c r="G377" s="237">
        <v>9.7000000000000003E-2</v>
      </c>
      <c r="H377" s="238" t="s">
        <v>246</v>
      </c>
      <c r="I377" s="237">
        <v>-1E-3</v>
      </c>
      <c r="J377" s="237"/>
      <c r="K377" s="236">
        <v>0.53900000000000003</v>
      </c>
      <c r="L377" s="113" t="s">
        <v>342</v>
      </c>
    </row>
    <row r="378" spans="1:12">
      <c r="A378" s="235">
        <v>30105</v>
      </c>
      <c r="B378" s="223" t="s">
        <v>589</v>
      </c>
      <c r="C378" s="223" t="s">
        <v>308</v>
      </c>
      <c r="E378" s="241">
        <v>-5.0000000000000001E-3</v>
      </c>
      <c r="F378" s="237">
        <v>-0.20799999999999999</v>
      </c>
      <c r="G378" s="237">
        <v>0.20499999999999999</v>
      </c>
      <c r="H378" s="238" t="s">
        <v>246</v>
      </c>
      <c r="I378" s="237">
        <v>8.0000000000000002E-3</v>
      </c>
      <c r="J378" s="237"/>
      <c r="K378" s="236">
        <v>0.48499999999999999</v>
      </c>
    </row>
    <row r="379" spans="1:12">
      <c r="A379" s="235">
        <v>30126</v>
      </c>
      <c r="B379" s="223" t="s">
        <v>590</v>
      </c>
      <c r="C379" s="223" t="s">
        <v>220</v>
      </c>
      <c r="E379" s="241">
        <v>-1.2999999999999999E-2</v>
      </c>
      <c r="F379" s="237">
        <v>-5.8000000000000003E-2</v>
      </c>
      <c r="G379" s="237">
        <v>8.2000000000000003E-2</v>
      </c>
      <c r="H379" s="237">
        <v>-1.0999999999999999E-2</v>
      </c>
      <c r="I379" s="238" t="s">
        <v>246</v>
      </c>
      <c r="J379" s="238"/>
      <c r="K379" s="236">
        <v>0.56299999999999994</v>
      </c>
      <c r="L379" s="113" t="s">
        <v>343</v>
      </c>
    </row>
    <row r="380" spans="1:12">
      <c r="A380" s="235">
        <v>30210</v>
      </c>
      <c r="B380" s="223" t="s">
        <v>591</v>
      </c>
      <c r="C380" s="223" t="s">
        <v>220</v>
      </c>
      <c r="E380" s="241">
        <v>-8.4000000000000005E-2</v>
      </c>
      <c r="F380" s="237">
        <v>-9.7000000000000003E-2</v>
      </c>
      <c r="G380" s="237">
        <v>0.16</v>
      </c>
      <c r="H380" s="237">
        <v>1.4999999999999999E-2</v>
      </c>
      <c r="I380" s="237">
        <v>6.0000000000000001E-3</v>
      </c>
      <c r="J380" s="237"/>
      <c r="K380" s="236">
        <v>0.65400000000000003</v>
      </c>
    </row>
    <row r="381" spans="1:12">
      <c r="A381" s="235">
        <v>30252</v>
      </c>
      <c r="B381" s="223" t="s">
        <v>592</v>
      </c>
      <c r="C381" s="223" t="s">
        <v>220</v>
      </c>
      <c r="E381" s="241">
        <v>-0.157</v>
      </c>
      <c r="F381" s="237">
        <v>-9.5000000000000001E-2</v>
      </c>
      <c r="G381" s="237">
        <v>0.252</v>
      </c>
      <c r="H381" s="238" t="s">
        <v>246</v>
      </c>
      <c r="I381" s="269" t="s">
        <v>564</v>
      </c>
      <c r="J381" s="269"/>
      <c r="K381" s="236">
        <v>0.38</v>
      </c>
    </row>
    <row r="382" spans="1:12">
      <c r="A382" s="235">
        <v>30252</v>
      </c>
      <c r="B382" s="223" t="s">
        <v>593</v>
      </c>
      <c r="C382" s="223" t="s">
        <v>399</v>
      </c>
      <c r="E382" s="241">
        <v>-9.8000000000000004E-2</v>
      </c>
      <c r="F382" s="237">
        <v>-8.7999999999999995E-2</v>
      </c>
      <c r="G382" s="237">
        <v>0.18</v>
      </c>
      <c r="H382" s="238" t="s">
        <v>246</v>
      </c>
      <c r="I382" s="237">
        <v>6.0000000000000001E-3</v>
      </c>
      <c r="J382" s="237"/>
      <c r="K382" s="236">
        <v>0.55000000000000004</v>
      </c>
    </row>
    <row r="383" spans="1:12">
      <c r="A383" s="235">
        <v>30287</v>
      </c>
      <c r="B383" s="223" t="s">
        <v>594</v>
      </c>
      <c r="C383" s="223" t="s">
        <v>220</v>
      </c>
      <c r="E383" s="241">
        <v>-0.12</v>
      </c>
      <c r="F383" s="237">
        <v>-8.4000000000000005E-2</v>
      </c>
      <c r="G383" s="237">
        <v>9.4E-2</v>
      </c>
      <c r="H383" s="237">
        <v>0.10299999999999999</v>
      </c>
      <c r="I383" s="237">
        <v>7.0000000000000001E-3</v>
      </c>
      <c r="J383" s="237"/>
      <c r="K383" s="236">
        <v>0.47</v>
      </c>
      <c r="L383" s="113" t="s">
        <v>342</v>
      </c>
    </row>
    <row r="384" spans="1:12">
      <c r="A384" s="235">
        <v>30371</v>
      </c>
      <c r="B384" s="223" t="s">
        <v>595</v>
      </c>
      <c r="C384" s="223" t="s">
        <v>596</v>
      </c>
      <c r="E384" s="241">
        <v>-0.19400000000000001</v>
      </c>
      <c r="F384" s="237">
        <v>-0.375</v>
      </c>
      <c r="G384" s="237">
        <v>0.50900000000000001</v>
      </c>
      <c r="H384" s="238" t="s">
        <v>246</v>
      </c>
      <c r="I384" s="237">
        <v>0.06</v>
      </c>
      <c r="J384" s="237"/>
      <c r="K384" s="236">
        <v>0.57699999999999996</v>
      </c>
    </row>
    <row r="385" spans="1:12">
      <c r="A385" s="235">
        <v>30399</v>
      </c>
      <c r="B385" s="223" t="s">
        <v>597</v>
      </c>
      <c r="C385" s="223" t="s">
        <v>220</v>
      </c>
      <c r="E385" s="241">
        <v>-8.5000000000000006E-2</v>
      </c>
      <c r="F385" s="237">
        <v>-0.06</v>
      </c>
      <c r="G385" s="237">
        <v>0.14299999999999999</v>
      </c>
      <c r="H385" s="238" t="s">
        <v>246</v>
      </c>
      <c r="I385" s="237">
        <v>2E-3</v>
      </c>
      <c r="J385" s="237"/>
      <c r="K385" s="236">
        <v>0.8</v>
      </c>
      <c r="L385" s="113" t="s">
        <v>343</v>
      </c>
    </row>
    <row r="386" spans="1:12">
      <c r="A386" s="235"/>
      <c r="E386" s="241"/>
      <c r="F386" s="237"/>
      <c r="G386" s="237"/>
      <c r="H386" s="237"/>
      <c r="I386" s="237"/>
      <c r="J386" s="237"/>
      <c r="K386" s="236"/>
    </row>
    <row r="387" spans="1:12">
      <c r="A387" s="234" t="s">
        <v>798</v>
      </c>
      <c r="E387" s="241"/>
      <c r="F387" s="237"/>
      <c r="G387" s="237"/>
      <c r="H387" s="237"/>
      <c r="I387" s="237"/>
      <c r="J387" s="237"/>
      <c r="K387" s="236"/>
    </row>
    <row r="388" spans="1:12">
      <c r="A388" s="262"/>
      <c r="E388" s="241"/>
      <c r="F388" s="237"/>
      <c r="G388" s="237"/>
      <c r="H388" s="237"/>
      <c r="I388" s="237"/>
      <c r="J388" s="237"/>
      <c r="K388" s="236"/>
    </row>
    <row r="389" spans="1:12">
      <c r="A389" s="235">
        <v>30525</v>
      </c>
      <c r="B389" s="223" t="s">
        <v>598</v>
      </c>
      <c r="C389" s="223" t="s">
        <v>273</v>
      </c>
      <c r="E389" s="241">
        <v>-0.128</v>
      </c>
      <c r="F389" s="237">
        <v>-5.8999999999999997E-2</v>
      </c>
      <c r="G389" s="237">
        <v>0.16700000000000001</v>
      </c>
      <c r="H389" s="238" t="s">
        <v>246</v>
      </c>
      <c r="I389" s="237">
        <v>0.02</v>
      </c>
      <c r="J389" s="237"/>
      <c r="K389" s="236">
        <v>0.55700000000000005</v>
      </c>
    </row>
    <row r="390" spans="1:12">
      <c r="A390" s="235">
        <v>30742</v>
      </c>
      <c r="B390" s="223" t="s">
        <v>599</v>
      </c>
      <c r="C390" s="223" t="s">
        <v>220</v>
      </c>
      <c r="E390" s="241">
        <v>-0.17199999999999999</v>
      </c>
      <c r="F390" s="237">
        <v>-1.6E-2</v>
      </c>
      <c r="G390" s="237">
        <v>0.152</v>
      </c>
      <c r="H390" s="238" t="s">
        <v>246</v>
      </c>
      <c r="I390" s="237">
        <v>3.5999999999999997E-2</v>
      </c>
      <c r="J390" s="237"/>
      <c r="K390" s="236">
        <v>0.76900000000000002</v>
      </c>
    </row>
    <row r="391" spans="1:12">
      <c r="A391" s="235">
        <v>30805</v>
      </c>
      <c r="B391" s="223" t="s">
        <v>600</v>
      </c>
      <c r="C391" s="223" t="s">
        <v>273</v>
      </c>
      <c r="E391" s="241">
        <v>-0.108</v>
      </c>
      <c r="F391" s="237">
        <v>3.6999999999999998E-2</v>
      </c>
      <c r="G391" s="237">
        <v>7.0999999999999994E-2</v>
      </c>
      <c r="H391" s="238" t="s">
        <v>246</v>
      </c>
      <c r="I391" s="269" t="s">
        <v>564</v>
      </c>
      <c r="J391" s="269"/>
      <c r="K391" s="236">
        <v>0.65600000000000003</v>
      </c>
    </row>
    <row r="392" spans="1:12">
      <c r="A392" s="235">
        <v>30805</v>
      </c>
      <c r="B392" s="235" t="s">
        <v>601</v>
      </c>
      <c r="C392" s="223" t="s">
        <v>273</v>
      </c>
      <c r="E392" s="241">
        <v>-0.104</v>
      </c>
      <c r="F392" s="237">
        <v>-1.4999999999999999E-2</v>
      </c>
      <c r="G392" s="237">
        <v>0.113</v>
      </c>
      <c r="H392" s="238" t="s">
        <v>246</v>
      </c>
      <c r="I392" s="237">
        <v>6.0000000000000001E-3</v>
      </c>
      <c r="J392" s="237"/>
      <c r="K392" s="236">
        <v>0.61699999999999999</v>
      </c>
    </row>
    <row r="393" spans="1:12">
      <c r="A393" s="235">
        <v>30805</v>
      </c>
      <c r="B393" s="223" t="s">
        <v>139</v>
      </c>
      <c r="C393" s="223" t="s">
        <v>220</v>
      </c>
      <c r="E393" s="241">
        <v>-6.8000000000000005E-2</v>
      </c>
      <c r="F393" s="237">
        <v>2.8000000000000001E-2</v>
      </c>
      <c r="G393" s="237">
        <v>-7.0000000000000001E-3</v>
      </c>
      <c r="H393" s="237">
        <v>1.7999999999999999E-2</v>
      </c>
      <c r="I393" s="237">
        <v>2.9000000000000001E-2</v>
      </c>
      <c r="J393" s="237"/>
      <c r="K393" s="236">
        <v>0.65700000000000003</v>
      </c>
    </row>
    <row r="394" spans="1:12">
      <c r="A394" s="235">
        <v>30847</v>
      </c>
      <c r="B394" s="223" t="s">
        <v>602</v>
      </c>
      <c r="C394" s="223" t="s">
        <v>587</v>
      </c>
      <c r="E394" s="241">
        <v>-0.157</v>
      </c>
      <c r="F394" s="237">
        <v>3.9E-2</v>
      </c>
      <c r="G394" s="237">
        <v>0.122</v>
      </c>
      <c r="H394" s="238" t="s">
        <v>246</v>
      </c>
      <c r="I394" s="237">
        <v>-4.0000000000000001E-3</v>
      </c>
      <c r="J394" s="237"/>
      <c r="K394" s="236">
        <v>0.54500000000000004</v>
      </c>
    </row>
    <row r="395" spans="1:12">
      <c r="A395" s="235">
        <v>31029</v>
      </c>
      <c r="B395" s="223" t="s">
        <v>603</v>
      </c>
      <c r="C395" s="223" t="s">
        <v>273</v>
      </c>
      <c r="E395" s="241">
        <v>-8.5000000000000006E-2</v>
      </c>
      <c r="F395" s="237">
        <v>-5.8999999999999997E-2</v>
      </c>
      <c r="G395" s="237">
        <v>0.122</v>
      </c>
      <c r="H395" s="238" t="s">
        <v>246</v>
      </c>
      <c r="I395" s="237">
        <v>2.1999999999999999E-2</v>
      </c>
      <c r="J395" s="237"/>
      <c r="K395" s="236">
        <v>0.50600000000000001</v>
      </c>
      <c r="L395" s="113" t="s">
        <v>342</v>
      </c>
    </row>
    <row r="396" spans="1:12">
      <c r="A396" s="235">
        <v>31232</v>
      </c>
      <c r="B396" s="223" t="s">
        <v>604</v>
      </c>
      <c r="C396" s="223" t="s">
        <v>418</v>
      </c>
      <c r="E396" s="241">
        <v>-0.20499999999999999</v>
      </c>
      <c r="F396" s="237">
        <v>9.4E-2</v>
      </c>
      <c r="G396" s="237">
        <v>0.114</v>
      </c>
      <c r="H396" s="237">
        <v>-6.0000000000000001E-3</v>
      </c>
      <c r="I396" s="237">
        <v>3.0000000000000001E-3</v>
      </c>
      <c r="J396" s="237"/>
      <c r="K396" s="236">
        <v>0.79400000000000004</v>
      </c>
    </row>
    <row r="397" spans="1:12">
      <c r="A397" s="235">
        <v>31386</v>
      </c>
      <c r="B397" s="223" t="s">
        <v>605</v>
      </c>
      <c r="C397" s="223" t="s">
        <v>220</v>
      </c>
      <c r="E397" s="241">
        <v>-0.14099999999999999</v>
      </c>
      <c r="F397" s="237">
        <v>1.2999999999999999E-2</v>
      </c>
      <c r="G397" s="237">
        <v>0.114</v>
      </c>
      <c r="H397" s="238" t="s">
        <v>246</v>
      </c>
      <c r="I397" s="237">
        <v>1.4E-2</v>
      </c>
      <c r="J397" s="237"/>
      <c r="K397" s="236">
        <v>0.38100000000000001</v>
      </c>
      <c r="L397" s="113" t="s">
        <v>343</v>
      </c>
    </row>
    <row r="398" spans="1:12">
      <c r="A398" s="235">
        <v>31512</v>
      </c>
      <c r="B398" s="223" t="s">
        <v>344</v>
      </c>
      <c r="C398" s="223" t="s">
        <v>399</v>
      </c>
      <c r="E398" s="241">
        <v>-0.113</v>
      </c>
      <c r="F398" s="237">
        <v>0.104</v>
      </c>
      <c r="G398" s="237">
        <v>5.0000000000000001E-3</v>
      </c>
      <c r="H398" s="238" t="s">
        <v>246</v>
      </c>
      <c r="I398" s="237">
        <v>4.0000000000000001E-3</v>
      </c>
      <c r="J398" s="237"/>
      <c r="K398" s="236">
        <v>0.70799999999999996</v>
      </c>
    </row>
    <row r="399" spans="1:12">
      <c r="A399" s="235">
        <v>31540</v>
      </c>
      <c r="B399" s="223" t="s">
        <v>519</v>
      </c>
      <c r="C399" s="223" t="s">
        <v>273</v>
      </c>
      <c r="E399" s="241">
        <v>-0.16400000000000001</v>
      </c>
      <c r="F399" s="237">
        <v>2.7E-2</v>
      </c>
      <c r="G399" s="237">
        <v>0.124</v>
      </c>
      <c r="H399" s="238" t="s">
        <v>246</v>
      </c>
      <c r="I399" s="237">
        <v>1.2999999999999999E-2</v>
      </c>
      <c r="J399" s="237"/>
      <c r="K399" s="236">
        <v>0.71899999999999997</v>
      </c>
      <c r="L399" s="113" t="s">
        <v>342</v>
      </c>
    </row>
    <row r="400" spans="1:12">
      <c r="A400" s="235">
        <v>31540</v>
      </c>
      <c r="B400" s="223" t="s">
        <v>606</v>
      </c>
      <c r="C400" s="223" t="s">
        <v>418</v>
      </c>
      <c r="E400" s="241">
        <v>-0.17899999999999999</v>
      </c>
      <c r="F400" s="237">
        <v>-1.9E-2</v>
      </c>
      <c r="G400" s="237">
        <v>0.19800000000000001</v>
      </c>
      <c r="H400" s="238" t="s">
        <v>246</v>
      </c>
      <c r="I400" s="238" t="s">
        <v>246</v>
      </c>
      <c r="J400" s="238"/>
      <c r="K400" s="236">
        <v>0.67300000000000004</v>
      </c>
    </row>
    <row r="401" spans="1:14">
      <c r="A401" s="235">
        <v>31610</v>
      </c>
      <c r="B401" s="223" t="s">
        <v>533</v>
      </c>
      <c r="C401" s="223" t="s">
        <v>220</v>
      </c>
      <c r="E401" s="241">
        <v>-0.17399999999999999</v>
      </c>
      <c r="F401" s="237">
        <v>-1.2E-2</v>
      </c>
      <c r="G401" s="237">
        <v>0.17199999999999999</v>
      </c>
      <c r="H401" s="238" t="s">
        <v>246</v>
      </c>
      <c r="I401" s="237">
        <v>1.4E-2</v>
      </c>
      <c r="J401" s="237"/>
      <c r="K401" s="236">
        <v>0.622</v>
      </c>
      <c r="L401" s="113" t="s">
        <v>342</v>
      </c>
    </row>
    <row r="402" spans="1:14">
      <c r="A402" s="235">
        <v>31729</v>
      </c>
      <c r="B402" s="223" t="s">
        <v>607</v>
      </c>
      <c r="C402" s="223" t="s">
        <v>220</v>
      </c>
      <c r="E402" s="241">
        <v>-0.13800000000000001</v>
      </c>
      <c r="F402" s="237">
        <v>-8.2000000000000003E-2</v>
      </c>
      <c r="G402" s="237">
        <v>0.19800000000000001</v>
      </c>
      <c r="H402" s="238" t="s">
        <v>246</v>
      </c>
      <c r="I402" s="237">
        <v>2.1999999999999999E-2</v>
      </c>
      <c r="J402" s="237"/>
      <c r="K402" s="236">
        <v>0.57299999999999995</v>
      </c>
      <c r="L402" s="113" t="s">
        <v>343</v>
      </c>
    </row>
    <row r="403" spans="1:14">
      <c r="A403" s="235">
        <v>31834</v>
      </c>
      <c r="B403" s="223" t="s">
        <v>542</v>
      </c>
      <c r="C403" s="223" t="s">
        <v>608</v>
      </c>
      <c r="E403" s="241">
        <v>-0.23599999999999999</v>
      </c>
      <c r="F403" s="237">
        <v>-4.4999999999999998E-2</v>
      </c>
      <c r="G403" s="237">
        <v>0.27900000000000003</v>
      </c>
      <c r="H403" s="238" t="s">
        <v>246</v>
      </c>
      <c r="I403" s="237">
        <v>2E-3</v>
      </c>
      <c r="J403" s="237"/>
      <c r="K403" s="236">
        <v>0.68200000000000005</v>
      </c>
    </row>
    <row r="404" spans="1:14">
      <c r="A404" s="235">
        <v>31848</v>
      </c>
      <c r="B404" s="223" t="s">
        <v>609</v>
      </c>
      <c r="C404" s="223" t="s">
        <v>468</v>
      </c>
      <c r="E404" s="241">
        <v>-6.5000000000000002E-2</v>
      </c>
      <c r="F404" s="237">
        <v>2.5000000000000001E-2</v>
      </c>
      <c r="G404" s="237">
        <v>3.1E-2</v>
      </c>
      <c r="H404" s="238" t="s">
        <v>246</v>
      </c>
      <c r="I404" s="237">
        <v>8.9999999999999993E-3</v>
      </c>
      <c r="J404" s="237"/>
      <c r="K404" s="236">
        <v>0.70299999999999996</v>
      </c>
    </row>
    <row r="405" spans="1:14">
      <c r="A405" s="235"/>
      <c r="E405" s="241"/>
      <c r="F405" s="237"/>
      <c r="G405" s="237"/>
      <c r="H405" s="237"/>
      <c r="I405" s="237"/>
      <c r="J405" s="237"/>
      <c r="K405" s="236"/>
    </row>
    <row r="406" spans="1:14" ht="14">
      <c r="A406" s="234" t="s">
        <v>799</v>
      </c>
      <c r="B406" s="270"/>
      <c r="C406" s="271"/>
      <c r="D406" s="272"/>
      <c r="E406" s="273" t="s">
        <v>221</v>
      </c>
      <c r="F406" s="274"/>
      <c r="G406" s="119"/>
      <c r="H406" s="275" t="s">
        <v>221</v>
      </c>
      <c r="I406" s="276" t="s">
        <v>221</v>
      </c>
      <c r="J406" s="276"/>
      <c r="K406" s="236" t="s">
        <v>221</v>
      </c>
      <c r="L406" s="272"/>
      <c r="M406" s="277" t="s">
        <v>1167</v>
      </c>
      <c r="N406" s="278" t="s">
        <v>1113</v>
      </c>
    </row>
    <row r="407" spans="1:14">
      <c r="A407" s="262"/>
      <c r="B407" s="270"/>
      <c r="C407" s="270"/>
      <c r="D407" s="119"/>
      <c r="E407" s="241"/>
      <c r="F407" s="237"/>
      <c r="G407" s="237"/>
      <c r="H407" s="237"/>
      <c r="I407" s="254"/>
      <c r="J407" s="254"/>
      <c r="K407" s="236"/>
      <c r="L407" s="272"/>
      <c r="M407" s="232" t="s">
        <v>1166</v>
      </c>
      <c r="N407" s="279"/>
    </row>
    <row r="408" spans="1:14">
      <c r="A408" s="242">
        <v>32338</v>
      </c>
      <c r="B408" s="270" t="s">
        <v>610</v>
      </c>
      <c r="C408" s="270" t="s">
        <v>273</v>
      </c>
      <c r="D408" s="119"/>
      <c r="E408" s="280">
        <v>-5.8999999999999997E-2</v>
      </c>
      <c r="F408" s="254">
        <v>4.9000000000000002E-2</v>
      </c>
      <c r="G408" s="254">
        <v>-6.4000000000000001E-2</v>
      </c>
      <c r="H408" s="247" t="s">
        <v>246</v>
      </c>
      <c r="I408" s="281">
        <v>7.3999999999999996E-2</v>
      </c>
      <c r="J408" s="281"/>
      <c r="K408" s="282">
        <v>0.51600000000000001</v>
      </c>
      <c r="L408" s="272"/>
      <c r="M408" s="232" t="s">
        <v>176</v>
      </c>
      <c r="N408" s="279"/>
    </row>
    <row r="409" spans="1:14">
      <c r="A409" s="242">
        <v>32457</v>
      </c>
      <c r="B409" s="270" t="s">
        <v>559</v>
      </c>
      <c r="C409" s="270" t="s">
        <v>518</v>
      </c>
      <c r="D409" s="119"/>
      <c r="E409" s="241">
        <v>-4.5999999999999999E-2</v>
      </c>
      <c r="F409" s="254">
        <v>-0.27900000000000003</v>
      </c>
      <c r="G409" s="254">
        <v>-8.2000000000000003E-2</v>
      </c>
      <c r="H409" s="237">
        <v>0.38400000000000001</v>
      </c>
      <c r="I409" s="150">
        <v>2.300000000000002E-2</v>
      </c>
      <c r="J409" s="150"/>
      <c r="K409" s="283">
        <v>0.60199999999999998</v>
      </c>
      <c r="L409" s="272" t="s">
        <v>342</v>
      </c>
      <c r="M409" s="232" t="s">
        <v>176</v>
      </c>
      <c r="N409" s="279" t="s">
        <v>221</v>
      </c>
    </row>
    <row r="410" spans="1:14">
      <c r="A410" s="242">
        <v>32492</v>
      </c>
      <c r="B410" s="270" t="s">
        <v>611</v>
      </c>
      <c r="C410" s="270" t="s">
        <v>273</v>
      </c>
      <c r="D410" s="119"/>
      <c r="E410" s="241">
        <v>-0.214</v>
      </c>
      <c r="F410" s="237">
        <v>3.0000000000000001E-3</v>
      </c>
      <c r="G410" s="254">
        <v>6.6000000000000003E-2</v>
      </c>
      <c r="H410" s="238" t="s">
        <v>246</v>
      </c>
      <c r="I410" s="150">
        <v>0.14499999999999999</v>
      </c>
      <c r="J410" s="150"/>
      <c r="K410" s="283">
        <v>0.49099999999999999</v>
      </c>
      <c r="L410" s="272"/>
      <c r="M410" s="232" t="s">
        <v>1125</v>
      </c>
      <c r="N410" s="279"/>
    </row>
    <row r="411" spans="1:14">
      <c r="A411" s="242">
        <v>32562</v>
      </c>
      <c r="B411" s="270" t="s">
        <v>613</v>
      </c>
      <c r="C411" s="270" t="s">
        <v>273</v>
      </c>
      <c r="D411" s="119"/>
      <c r="E411" s="280">
        <v>-0.24</v>
      </c>
      <c r="F411" s="254">
        <v>-6.9000000000000006E-2</v>
      </c>
      <c r="G411" s="254">
        <v>-0.05</v>
      </c>
      <c r="H411" s="238" t="s">
        <v>246</v>
      </c>
      <c r="I411" s="150">
        <v>0.35899999999999999</v>
      </c>
      <c r="J411" s="150"/>
      <c r="K411" s="283">
        <v>0.64400000000000002</v>
      </c>
      <c r="L411" s="272"/>
      <c r="M411" s="232" t="s">
        <v>176</v>
      </c>
      <c r="N411" s="279"/>
    </row>
    <row r="412" spans="1:14">
      <c r="A412" s="242">
        <v>32562</v>
      </c>
      <c r="B412" s="271" t="s">
        <v>612</v>
      </c>
      <c r="C412" s="271" t="s">
        <v>220</v>
      </c>
      <c r="D412" s="272"/>
      <c r="E412" s="280">
        <v>-0.06</v>
      </c>
      <c r="F412" s="254">
        <v>-0.03</v>
      </c>
      <c r="G412" s="254">
        <v>-0.15</v>
      </c>
      <c r="H412" s="237">
        <v>0.2</v>
      </c>
      <c r="I412" s="150">
        <v>3.8999999999999979E-2</v>
      </c>
      <c r="J412" s="150"/>
      <c r="K412" s="283">
        <v>0.622</v>
      </c>
      <c r="L412" s="272"/>
      <c r="M412" s="232" t="s">
        <v>53</v>
      </c>
      <c r="N412" s="279" t="s">
        <v>1126</v>
      </c>
    </row>
    <row r="413" spans="1:14">
      <c r="A413" s="242">
        <v>32632</v>
      </c>
      <c r="B413" s="270" t="s">
        <v>138</v>
      </c>
      <c r="C413" s="270" t="s">
        <v>399</v>
      </c>
      <c r="D413" s="119"/>
      <c r="E413" s="241">
        <v>-0.105</v>
      </c>
      <c r="F413" s="237">
        <v>0.14199999999999999</v>
      </c>
      <c r="G413" s="237">
        <v>-0.125</v>
      </c>
      <c r="H413" s="237">
        <v>1.7000000000000001E-2</v>
      </c>
      <c r="I413" s="150">
        <v>7.1000000000000008E-2</v>
      </c>
      <c r="J413" s="150"/>
      <c r="K413" s="283">
        <v>0.70699999999999996</v>
      </c>
      <c r="L413" s="272" t="s">
        <v>342</v>
      </c>
      <c r="M413" s="232" t="s">
        <v>176</v>
      </c>
      <c r="N413" s="279"/>
    </row>
    <row r="414" spans="1:14">
      <c r="A414" s="242">
        <v>32674</v>
      </c>
      <c r="B414" s="270" t="s">
        <v>585</v>
      </c>
      <c r="C414" s="270" t="s">
        <v>220</v>
      </c>
      <c r="D414" s="119"/>
      <c r="E414" s="241">
        <v>-5.3999999999999999E-2</v>
      </c>
      <c r="F414" s="237">
        <v>-9.9000000000000005E-2</v>
      </c>
      <c r="G414" s="237">
        <v>-0.09</v>
      </c>
      <c r="H414" s="237">
        <v>0.20200000000000001</v>
      </c>
      <c r="I414" s="150">
        <v>4.0999999999999981E-2</v>
      </c>
      <c r="J414" s="150"/>
      <c r="K414" s="283">
        <v>0.52800000000000002</v>
      </c>
      <c r="L414" s="272"/>
      <c r="M414" s="232" t="s">
        <v>176</v>
      </c>
      <c r="N414" s="279"/>
    </row>
    <row r="415" spans="1:14">
      <c r="A415" s="242">
        <v>32674</v>
      </c>
      <c r="B415" s="270" t="s">
        <v>614</v>
      </c>
      <c r="C415" s="270" t="s">
        <v>220</v>
      </c>
      <c r="D415" s="119"/>
      <c r="E415" s="241">
        <v>-0.10199999999999999</v>
      </c>
      <c r="F415" s="237">
        <v>2.5999999999999999E-2</v>
      </c>
      <c r="G415" s="237">
        <v>-7.0000000000000001E-3</v>
      </c>
      <c r="H415" s="238" t="s">
        <v>246</v>
      </c>
      <c r="I415" s="150">
        <v>8.3000000000000004E-2</v>
      </c>
      <c r="J415" s="150"/>
      <c r="K415" s="283">
        <v>0.44400000000000001</v>
      </c>
      <c r="L415" s="272" t="s">
        <v>221</v>
      </c>
      <c r="M415" s="232" t="s">
        <v>176</v>
      </c>
      <c r="N415" s="279"/>
    </row>
    <row r="416" spans="1:14">
      <c r="A416" s="242">
        <v>32954</v>
      </c>
      <c r="B416" s="271" t="s">
        <v>615</v>
      </c>
      <c r="C416" s="270" t="s">
        <v>399</v>
      </c>
      <c r="D416" s="119"/>
      <c r="E416" s="280">
        <v>-0.183</v>
      </c>
      <c r="F416" s="254">
        <v>0.24399999999999999</v>
      </c>
      <c r="G416" s="254">
        <v>-0.12</v>
      </c>
      <c r="H416" s="247" t="s">
        <v>246</v>
      </c>
      <c r="I416" s="281">
        <v>0.06</v>
      </c>
      <c r="J416" s="281"/>
      <c r="K416" s="283">
        <v>0.77500000000000002</v>
      </c>
      <c r="L416" s="272" t="s">
        <v>342</v>
      </c>
      <c r="M416" s="232" t="s">
        <v>107</v>
      </c>
      <c r="N416" s="279" t="s">
        <v>1127</v>
      </c>
    </row>
    <row r="417" spans="1:14">
      <c r="A417" s="242">
        <v>33017</v>
      </c>
      <c r="B417" s="270" t="s">
        <v>616</v>
      </c>
      <c r="C417" s="270" t="s">
        <v>220</v>
      </c>
      <c r="D417" s="119"/>
      <c r="E417" s="241">
        <v>-0.11</v>
      </c>
      <c r="F417" s="237">
        <v>8.5000000000000006E-2</v>
      </c>
      <c r="G417" s="237">
        <v>-0.04</v>
      </c>
      <c r="H417" s="238" t="s">
        <v>246</v>
      </c>
      <c r="I417" s="150">
        <v>6.5000000000000002E-2</v>
      </c>
      <c r="J417" s="150"/>
      <c r="K417" s="283">
        <v>0.50600000000000001</v>
      </c>
      <c r="L417" s="272"/>
      <c r="M417" s="232" t="s">
        <v>176</v>
      </c>
      <c r="N417" s="279"/>
    </row>
    <row r="418" spans="1:14">
      <c r="A418" s="242">
        <v>33143</v>
      </c>
      <c r="B418" s="270" t="s">
        <v>623</v>
      </c>
      <c r="C418" s="270" t="s">
        <v>220</v>
      </c>
      <c r="D418" s="119"/>
      <c r="E418" s="241">
        <v>-6.4000000000000001E-2</v>
      </c>
      <c r="F418" s="237">
        <v>4.2999999999999997E-2</v>
      </c>
      <c r="G418" s="237">
        <v>-5.3999999999999999E-2</v>
      </c>
      <c r="H418" s="238" t="s">
        <v>246</v>
      </c>
      <c r="I418" s="150">
        <v>7.5000000000000011E-2</v>
      </c>
      <c r="J418" s="150"/>
      <c r="K418" s="283">
        <v>0.33400000000000002</v>
      </c>
      <c r="L418" s="272"/>
      <c r="M418" s="232" t="s">
        <v>176</v>
      </c>
      <c r="N418" s="279"/>
    </row>
    <row r="419" spans="1:14">
      <c r="A419" s="242">
        <v>33164</v>
      </c>
      <c r="B419" s="270" t="s">
        <v>624</v>
      </c>
      <c r="C419" s="270" t="s">
        <v>648</v>
      </c>
      <c r="D419" s="119"/>
      <c r="E419" s="241">
        <v>-0.19</v>
      </c>
      <c r="F419" s="237">
        <v>-3.7999999999999999E-2</v>
      </c>
      <c r="G419" s="237">
        <v>0.21099999999999999</v>
      </c>
      <c r="H419" s="238" t="s">
        <v>246</v>
      </c>
      <c r="I419" s="150">
        <v>1.7000000000000015E-2</v>
      </c>
      <c r="J419" s="150"/>
      <c r="K419" s="283">
        <v>0.60699999999999998</v>
      </c>
      <c r="L419" s="272" t="s">
        <v>342</v>
      </c>
      <c r="M419" s="232" t="s">
        <v>176</v>
      </c>
      <c r="N419" s="279"/>
    </row>
    <row r="420" spans="1:14">
      <c r="A420" s="242">
        <v>33185</v>
      </c>
      <c r="B420" s="270" t="s">
        <v>616</v>
      </c>
      <c r="C420" s="270" t="s">
        <v>220</v>
      </c>
      <c r="D420" s="119"/>
      <c r="E420" s="241">
        <v>-0.109</v>
      </c>
      <c r="F420" s="237">
        <v>0.115</v>
      </c>
      <c r="G420" s="237">
        <v>-5.0999999999999997E-2</v>
      </c>
      <c r="H420" s="238" t="s">
        <v>246</v>
      </c>
      <c r="I420" s="150">
        <v>4.4999999999999991E-2</v>
      </c>
      <c r="J420" s="150"/>
      <c r="K420" s="283">
        <v>0.39700000000000002</v>
      </c>
      <c r="L420" s="272"/>
      <c r="M420" s="232" t="s">
        <v>176</v>
      </c>
      <c r="N420" s="279"/>
    </row>
    <row r="421" spans="1:14">
      <c r="A421" s="242">
        <v>33185</v>
      </c>
      <c r="B421" s="270" t="s">
        <v>617</v>
      </c>
      <c r="C421" s="270" t="s">
        <v>220</v>
      </c>
      <c r="D421" s="119"/>
      <c r="E421" s="241">
        <v>-0.22700000000000001</v>
      </c>
      <c r="F421" s="237">
        <v>8.8999999999999996E-2</v>
      </c>
      <c r="G421" s="237">
        <v>7.5999999999999998E-2</v>
      </c>
      <c r="H421" s="238" t="s">
        <v>246</v>
      </c>
      <c r="I421" s="150">
        <v>6.2000000000000013E-2</v>
      </c>
      <c r="J421" s="150"/>
      <c r="K421" s="283">
        <v>0.53400000000000003</v>
      </c>
      <c r="L421" s="272"/>
      <c r="M421" s="232" t="s">
        <v>176</v>
      </c>
      <c r="N421" s="279"/>
    </row>
    <row r="422" spans="1:14">
      <c r="A422" s="242">
        <v>33206</v>
      </c>
      <c r="B422" s="270" t="s">
        <v>618</v>
      </c>
      <c r="C422" s="270" t="s">
        <v>220</v>
      </c>
      <c r="D422" s="119"/>
      <c r="E422" s="241">
        <v>-0.01</v>
      </c>
      <c r="F422" s="237">
        <v>-0.115</v>
      </c>
      <c r="G422" s="237">
        <v>-7.4999999999999997E-2</v>
      </c>
      <c r="H422" s="237">
        <v>0.16500000000000001</v>
      </c>
      <c r="I422" s="150">
        <v>3.5000000000000003E-2</v>
      </c>
      <c r="J422" s="150"/>
      <c r="K422" s="283">
        <v>0.53700000000000003</v>
      </c>
      <c r="L422" s="272"/>
      <c r="M422" s="232" t="s">
        <v>176</v>
      </c>
      <c r="N422" s="279"/>
    </row>
    <row r="423" spans="1:14">
      <c r="A423" s="242">
        <v>33206</v>
      </c>
      <c r="B423" s="270" t="s">
        <v>619</v>
      </c>
      <c r="C423" s="270" t="s">
        <v>220</v>
      </c>
      <c r="D423" s="119"/>
      <c r="E423" s="241">
        <v>-1.2999999999999999E-2</v>
      </c>
      <c r="F423" s="237">
        <v>-0.10100000000000001</v>
      </c>
      <c r="G423" s="237">
        <v>-5.2999999999999999E-2</v>
      </c>
      <c r="H423" s="237">
        <v>0.13500000000000001</v>
      </c>
      <c r="I423" s="150">
        <v>3.2000000000000001E-2</v>
      </c>
      <c r="J423" s="150"/>
      <c r="K423" s="283">
        <v>0.55000000000000004</v>
      </c>
      <c r="L423" s="272"/>
      <c r="M423" s="232" t="s">
        <v>176</v>
      </c>
      <c r="N423" s="279"/>
    </row>
    <row r="424" spans="1:14">
      <c r="A424" s="242">
        <v>33304</v>
      </c>
      <c r="B424" s="270" t="s">
        <v>620</v>
      </c>
      <c r="C424" s="270" t="s">
        <v>648</v>
      </c>
      <c r="D424" s="119"/>
      <c r="E424" s="241">
        <v>-0.224</v>
      </c>
      <c r="F424" s="237">
        <v>-8.3000000000000004E-2</v>
      </c>
      <c r="G424" s="237">
        <v>0.27100000000000002</v>
      </c>
      <c r="H424" s="238" t="s">
        <v>246</v>
      </c>
      <c r="I424" s="150">
        <v>3.5999999999999976E-2</v>
      </c>
      <c r="J424" s="150"/>
      <c r="K424" s="283">
        <v>0.71199999999999997</v>
      </c>
      <c r="L424" s="272" t="s">
        <v>342</v>
      </c>
      <c r="M424" s="232" t="s">
        <v>176</v>
      </c>
      <c r="N424" s="279"/>
    </row>
    <row r="425" spans="1:14">
      <c r="A425" s="242">
        <v>33332</v>
      </c>
      <c r="B425" s="271" t="s">
        <v>621</v>
      </c>
      <c r="C425" s="271" t="s">
        <v>220</v>
      </c>
      <c r="D425" s="272"/>
      <c r="E425" s="280">
        <v>-7.4999999999999997E-2</v>
      </c>
      <c r="F425" s="254">
        <v>-0.11600000000000001</v>
      </c>
      <c r="G425" s="254">
        <v>-8.3000000000000004E-2</v>
      </c>
      <c r="H425" s="254">
        <v>0.17</v>
      </c>
      <c r="I425" s="281">
        <v>0.10400000000000001</v>
      </c>
      <c r="J425" s="281"/>
      <c r="K425" s="282">
        <v>0.63700000000000001</v>
      </c>
      <c r="L425" s="272"/>
      <c r="M425" s="250" t="s">
        <v>1103</v>
      </c>
      <c r="N425" s="232" t="s">
        <v>1164</v>
      </c>
    </row>
    <row r="426" spans="1:14">
      <c r="A426" s="242">
        <v>33374</v>
      </c>
      <c r="B426" s="271" t="s">
        <v>137</v>
      </c>
      <c r="C426" s="271" t="s">
        <v>399</v>
      </c>
      <c r="D426" s="272"/>
      <c r="E426" s="280">
        <v>-0.13500000000000001</v>
      </c>
      <c r="F426" s="254">
        <v>0.11600000000000001</v>
      </c>
      <c r="G426" s="254">
        <v>8.0000000000000002E-3</v>
      </c>
      <c r="H426" s="254">
        <v>-2E-3</v>
      </c>
      <c r="I426" s="281">
        <v>1.3000000000000003E-2</v>
      </c>
      <c r="J426" s="281"/>
      <c r="K426" s="282">
        <v>0.75800000000000001</v>
      </c>
      <c r="L426" s="272" t="s">
        <v>342</v>
      </c>
      <c r="M426" s="232" t="s">
        <v>176</v>
      </c>
      <c r="N426" s="279"/>
    </row>
    <row r="427" spans="1:14">
      <c r="A427" s="242">
        <v>33423</v>
      </c>
      <c r="B427" s="270" t="s">
        <v>622</v>
      </c>
      <c r="C427" s="270" t="s">
        <v>220</v>
      </c>
      <c r="D427" s="119"/>
      <c r="E427" s="241">
        <v>-0.115</v>
      </c>
      <c r="F427" s="237">
        <v>-0.113</v>
      </c>
      <c r="G427" s="237">
        <v>0.14799999999999999</v>
      </c>
      <c r="H427" s="238" t="s">
        <v>246</v>
      </c>
      <c r="I427" s="150">
        <v>8.0000000000000016E-2</v>
      </c>
      <c r="J427" s="150"/>
      <c r="K427" s="283">
        <v>0.56699999999999995</v>
      </c>
      <c r="L427" s="272"/>
      <c r="M427" s="232" t="s">
        <v>176</v>
      </c>
      <c r="N427" s="279"/>
    </row>
    <row r="428" spans="1:14" ht="14">
      <c r="A428" s="242">
        <v>33549</v>
      </c>
      <c r="B428" s="270" t="s">
        <v>284</v>
      </c>
      <c r="C428" s="284" t="s">
        <v>1104</v>
      </c>
      <c r="D428" s="284"/>
      <c r="E428" s="241">
        <v>-6.7000000000000004E-2</v>
      </c>
      <c r="F428" s="237">
        <v>-7.0000000000000001E-3</v>
      </c>
      <c r="G428" s="237">
        <v>4.2999999999999997E-2</v>
      </c>
      <c r="H428" s="238" t="s">
        <v>246</v>
      </c>
      <c r="I428" s="150">
        <v>3.1000000000000014E-2</v>
      </c>
      <c r="J428" s="150"/>
      <c r="K428" s="283">
        <v>0.42599999999999999</v>
      </c>
      <c r="L428" s="272"/>
      <c r="M428" s="232" t="s">
        <v>176</v>
      </c>
      <c r="N428" s="279"/>
    </row>
    <row r="429" spans="1:14">
      <c r="A429" s="242">
        <v>33549</v>
      </c>
      <c r="B429" s="270" t="s">
        <v>625</v>
      </c>
      <c r="C429" s="270" t="s">
        <v>648</v>
      </c>
      <c r="D429" s="119"/>
      <c r="E429" s="280">
        <v>-0.10100000000000001</v>
      </c>
      <c r="F429" s="237">
        <v>-8.2000000000000003E-2</v>
      </c>
      <c r="G429" s="237">
        <v>0.127</v>
      </c>
      <c r="H429" s="254">
        <v>4.7E-2</v>
      </c>
      <c r="I429" s="150">
        <v>7.9999999999999932E-3</v>
      </c>
      <c r="J429" s="150"/>
      <c r="K429" s="283">
        <v>0.64600000000000002</v>
      </c>
      <c r="L429" s="272" t="s">
        <v>342</v>
      </c>
      <c r="M429" s="232" t="s">
        <v>1128</v>
      </c>
      <c r="N429" s="279" t="s">
        <v>1129</v>
      </c>
    </row>
    <row r="430" spans="1:14">
      <c r="A430" s="242">
        <v>33549</v>
      </c>
      <c r="B430" s="270" t="s">
        <v>626</v>
      </c>
      <c r="C430" s="270" t="s">
        <v>399</v>
      </c>
      <c r="D430" s="119"/>
      <c r="E430" s="241">
        <v>-2.5999999999999999E-2</v>
      </c>
      <c r="F430" s="237">
        <v>4.4999999999999998E-2</v>
      </c>
      <c r="G430" s="237">
        <v>-3.7999999999999999E-2</v>
      </c>
      <c r="H430" s="238" t="s">
        <v>246</v>
      </c>
      <c r="I430" s="150">
        <v>1.9E-2</v>
      </c>
      <c r="J430" s="150"/>
      <c r="K430" s="236">
        <v>0.65300000000000002</v>
      </c>
      <c r="L430" s="272" t="s">
        <v>342</v>
      </c>
      <c r="M430" s="232" t="s">
        <v>176</v>
      </c>
      <c r="N430" s="279"/>
    </row>
    <row r="431" spans="1:14">
      <c r="A431" s="242"/>
      <c r="B431" s="270"/>
      <c r="C431" s="270"/>
      <c r="D431" s="119"/>
      <c r="E431" s="241"/>
      <c r="F431" s="237"/>
      <c r="G431" s="237"/>
      <c r="H431" s="285"/>
      <c r="I431" s="286"/>
      <c r="J431" s="286"/>
      <c r="K431" s="236"/>
      <c r="L431" s="272"/>
      <c r="M431" s="232"/>
      <c r="N431" s="279"/>
    </row>
    <row r="432" spans="1:14">
      <c r="A432" s="287" t="s">
        <v>800</v>
      </c>
      <c r="B432" s="270"/>
      <c r="C432" s="270"/>
      <c r="D432" s="119"/>
      <c r="E432" s="241"/>
      <c r="F432" s="237"/>
      <c r="G432" s="237"/>
      <c r="H432" s="237"/>
      <c r="I432" s="286" t="s">
        <v>221</v>
      </c>
      <c r="J432" s="286"/>
      <c r="K432" s="288"/>
      <c r="L432" s="272"/>
      <c r="M432" s="277" t="s">
        <v>1167</v>
      </c>
      <c r="N432" s="278" t="s">
        <v>1113</v>
      </c>
    </row>
    <row r="433" spans="1:14">
      <c r="A433" s="289"/>
      <c r="B433" s="270"/>
      <c r="C433" s="270"/>
      <c r="D433" s="119"/>
      <c r="E433" s="241"/>
      <c r="F433" s="237"/>
      <c r="G433" s="237"/>
      <c r="H433" s="237"/>
      <c r="I433" s="286" t="s">
        <v>221</v>
      </c>
      <c r="J433" s="286"/>
      <c r="K433" s="288"/>
      <c r="L433" s="272"/>
      <c r="M433" s="232" t="s">
        <v>1166</v>
      </c>
      <c r="N433" s="279" t="s">
        <v>221</v>
      </c>
    </row>
    <row r="434" spans="1:14">
      <c r="A434" s="242">
        <v>34095</v>
      </c>
      <c r="B434" s="270" t="s">
        <v>627</v>
      </c>
      <c r="C434" s="290" t="s">
        <v>648</v>
      </c>
      <c r="D434" s="291"/>
      <c r="E434" s="280">
        <v>-0.29024692061962098</v>
      </c>
      <c r="F434" s="280">
        <v>-3.97332952975675E-2</v>
      </c>
      <c r="G434" s="280">
        <v>0.277565969276931</v>
      </c>
      <c r="H434" s="238" t="s">
        <v>246</v>
      </c>
      <c r="I434" s="150">
        <v>5.2414246640257511E-2</v>
      </c>
      <c r="J434" s="150"/>
      <c r="K434" s="292">
        <v>0.71253437920104601</v>
      </c>
      <c r="L434" s="272" t="s">
        <v>343</v>
      </c>
      <c r="M434" s="232" t="s">
        <v>176</v>
      </c>
      <c r="N434" s="279"/>
    </row>
    <row r="435" spans="1:14">
      <c r="A435" s="242">
        <v>34179</v>
      </c>
      <c r="B435" s="270" t="s">
        <v>628</v>
      </c>
      <c r="C435" s="270" t="s">
        <v>648</v>
      </c>
      <c r="D435" s="293"/>
      <c r="E435" s="280">
        <v>-0.32156912017133299</v>
      </c>
      <c r="F435" s="280">
        <v>-9.4126678658834395E-2</v>
      </c>
      <c r="G435" s="280">
        <v>0.385532637920251</v>
      </c>
      <c r="H435" s="238" t="s">
        <v>246</v>
      </c>
      <c r="I435" s="150">
        <v>3.0163160909916387E-2</v>
      </c>
      <c r="J435" s="150"/>
      <c r="K435" s="292">
        <v>0.74233316636055002</v>
      </c>
      <c r="L435" s="272" t="s">
        <v>342</v>
      </c>
      <c r="M435" s="232" t="s">
        <v>107</v>
      </c>
      <c r="N435" s="279"/>
    </row>
    <row r="436" spans="1:14">
      <c r="A436" s="242">
        <v>34459</v>
      </c>
      <c r="B436" s="270" t="s">
        <v>478</v>
      </c>
      <c r="C436" s="270" t="s">
        <v>220</v>
      </c>
      <c r="D436" s="293"/>
      <c r="E436" s="280">
        <v>-0.138633053012296</v>
      </c>
      <c r="F436" s="280">
        <v>-8.3198391085151494E-2</v>
      </c>
      <c r="G436" s="280">
        <v>0.17381980491219101</v>
      </c>
      <c r="H436" s="238" t="s">
        <v>246</v>
      </c>
      <c r="I436" s="150">
        <v>4.8011639185256472E-2</v>
      </c>
      <c r="J436" s="150"/>
      <c r="K436" s="292">
        <v>0.43709948309879798</v>
      </c>
      <c r="L436" s="272" t="s">
        <v>221</v>
      </c>
      <c r="M436" s="232" t="s">
        <v>107</v>
      </c>
      <c r="N436" s="279"/>
    </row>
    <row r="437" spans="1:14">
      <c r="A437" s="242">
        <v>34494</v>
      </c>
      <c r="B437" s="270" t="s">
        <v>629</v>
      </c>
      <c r="C437" s="270" t="s">
        <v>220</v>
      </c>
      <c r="D437" s="293"/>
      <c r="E437" s="280">
        <v>-0.23466516665621501</v>
      </c>
      <c r="F437" s="280">
        <v>0.20454782515616601</v>
      </c>
      <c r="G437" s="280">
        <v>-2.49386610240084E-2</v>
      </c>
      <c r="H437" s="238" t="s">
        <v>246</v>
      </c>
      <c r="I437" s="150">
        <v>5.5056002524057394E-2</v>
      </c>
      <c r="J437" s="150"/>
      <c r="K437" s="292">
        <v>0.38313689936536699</v>
      </c>
      <c r="L437" s="272" t="s">
        <v>221</v>
      </c>
      <c r="M437" s="232" t="s">
        <v>176</v>
      </c>
      <c r="N437" s="279"/>
    </row>
    <row r="438" spans="1:14">
      <c r="A438" s="242">
        <v>34494</v>
      </c>
      <c r="B438" s="270" t="s">
        <v>630</v>
      </c>
      <c r="C438" s="270" t="s">
        <v>648</v>
      </c>
      <c r="D438" s="293"/>
      <c r="E438" s="280">
        <v>-0.26525574704617999</v>
      </c>
      <c r="F438" s="280">
        <v>6.8364065730419005E-2</v>
      </c>
      <c r="G438" s="280">
        <v>0.162871920901734</v>
      </c>
      <c r="H438" s="238" t="s">
        <v>246</v>
      </c>
      <c r="I438" s="150">
        <v>3.4019760414026989E-2</v>
      </c>
      <c r="J438" s="150"/>
      <c r="K438" s="292">
        <v>0.58716902545794503</v>
      </c>
      <c r="L438" s="272" t="s">
        <v>343</v>
      </c>
      <c r="M438" s="232" t="s">
        <v>1131</v>
      </c>
      <c r="N438" s="279"/>
    </row>
    <row r="439" spans="1:14">
      <c r="A439" s="242">
        <v>34494</v>
      </c>
      <c r="B439" s="270" t="s">
        <v>631</v>
      </c>
      <c r="C439" s="270" t="s">
        <v>220</v>
      </c>
      <c r="D439" s="293"/>
      <c r="E439" s="280">
        <v>-0.15952787744313601</v>
      </c>
      <c r="F439" s="280">
        <v>0.16639562068493899</v>
      </c>
      <c r="G439" s="280">
        <v>-6.9913776042089204E-2</v>
      </c>
      <c r="H439" s="238" t="s">
        <v>246</v>
      </c>
      <c r="I439" s="150">
        <v>6.3046032800286228E-2</v>
      </c>
      <c r="J439" s="150"/>
      <c r="K439" s="292">
        <v>0.348100590453155</v>
      </c>
      <c r="L439" s="272"/>
      <c r="M439" s="232" t="s">
        <v>1130</v>
      </c>
      <c r="N439" s="279"/>
    </row>
    <row r="440" spans="1:14">
      <c r="A440" s="242">
        <v>34494</v>
      </c>
      <c r="B440" s="270" t="s">
        <v>324</v>
      </c>
      <c r="C440" s="270" t="s">
        <v>220</v>
      </c>
      <c r="D440" s="293"/>
      <c r="E440" s="280">
        <v>-0.20599999999999999</v>
      </c>
      <c r="F440" s="280">
        <v>7.6999999999999999E-2</v>
      </c>
      <c r="G440" s="280">
        <v>0.10159142422614199</v>
      </c>
      <c r="H440" s="238" t="s">
        <v>246</v>
      </c>
      <c r="I440" s="150">
        <v>2.740857577385801E-2</v>
      </c>
      <c r="J440" s="150"/>
      <c r="K440" s="292">
        <v>0.44235554724471698</v>
      </c>
      <c r="L440" s="272" t="s">
        <v>221</v>
      </c>
      <c r="M440" s="232" t="s">
        <v>176</v>
      </c>
      <c r="N440" s="279"/>
    </row>
    <row r="441" spans="1:14">
      <c r="A441" s="242">
        <v>34494</v>
      </c>
      <c r="B441" s="270" t="s">
        <v>632</v>
      </c>
      <c r="C441" s="270" t="s">
        <v>220</v>
      </c>
      <c r="D441" s="293"/>
      <c r="E441" s="280">
        <v>-0.26378127442968102</v>
      </c>
      <c r="F441" s="280">
        <v>0.197330581179812</v>
      </c>
      <c r="G441" s="280">
        <v>-3.05156197968461E-2</v>
      </c>
      <c r="H441" s="238" t="s">
        <v>246</v>
      </c>
      <c r="I441" s="150">
        <v>9.6966313046715116E-2</v>
      </c>
      <c r="J441" s="150"/>
      <c r="K441" s="292">
        <v>0.36976756189460303</v>
      </c>
      <c r="L441" s="272"/>
      <c r="M441" s="232" t="s">
        <v>827</v>
      </c>
      <c r="N441" s="279"/>
    </row>
    <row r="442" spans="1:14">
      <c r="A442" s="242">
        <v>34515</v>
      </c>
      <c r="B442" s="270" t="s">
        <v>633</v>
      </c>
      <c r="C442" s="270" t="s">
        <v>220</v>
      </c>
      <c r="D442" s="293"/>
      <c r="E442" s="280">
        <v>-0.13703577089462701</v>
      </c>
      <c r="F442" s="280">
        <v>-0.115304607006793</v>
      </c>
      <c r="G442" s="280">
        <v>-2.0456633899310701E-2</v>
      </c>
      <c r="H442" s="280">
        <v>0.26900000000000002</v>
      </c>
      <c r="I442" s="150">
        <v>3.7970118007306652E-3</v>
      </c>
      <c r="J442" s="150"/>
      <c r="K442" s="292">
        <v>0.69953205812330699</v>
      </c>
      <c r="L442" s="272"/>
      <c r="M442" s="232" t="s">
        <v>219</v>
      </c>
      <c r="N442" s="279"/>
    </row>
    <row r="443" spans="1:14">
      <c r="A443" s="242">
        <v>34683</v>
      </c>
      <c r="B443" s="270" t="s">
        <v>634</v>
      </c>
      <c r="C443" s="270" t="s">
        <v>399</v>
      </c>
      <c r="D443" s="293"/>
      <c r="E443" s="280">
        <v>-0.30179551882995098</v>
      </c>
      <c r="F443" s="280">
        <v>0.280588305283479</v>
      </c>
      <c r="G443" s="280">
        <v>-2.8348551820172301E-2</v>
      </c>
      <c r="H443" s="238" t="s">
        <v>246</v>
      </c>
      <c r="I443" s="150">
        <v>4.9555765366644286E-2</v>
      </c>
      <c r="J443" s="150"/>
      <c r="K443" s="292">
        <v>0.46954712863183701</v>
      </c>
      <c r="L443" s="272" t="s">
        <v>343</v>
      </c>
      <c r="M443" s="232" t="s">
        <v>1132</v>
      </c>
      <c r="N443" s="279"/>
    </row>
    <row r="444" spans="1:14">
      <c r="A444" s="242">
        <v>34746</v>
      </c>
      <c r="B444" s="270" t="s">
        <v>635</v>
      </c>
      <c r="C444" s="270" t="s">
        <v>220</v>
      </c>
      <c r="D444" s="293"/>
      <c r="E444" s="280">
        <v>-0.109171488125479</v>
      </c>
      <c r="F444" s="280">
        <v>-5.1999999999999998E-2</v>
      </c>
      <c r="G444" s="280">
        <v>4.9124128849082599E-2</v>
      </c>
      <c r="H444" s="280">
        <v>8.7999999999999995E-2</v>
      </c>
      <c r="I444" s="150">
        <v>2.3190811721349791E-2</v>
      </c>
      <c r="J444" s="150"/>
      <c r="K444" s="292">
        <v>0.45110410094637199</v>
      </c>
      <c r="L444" s="272"/>
      <c r="M444" s="232" t="s">
        <v>1133</v>
      </c>
      <c r="N444" s="279" t="s">
        <v>1157</v>
      </c>
    </row>
    <row r="445" spans="1:14">
      <c r="A445" s="242">
        <v>34844</v>
      </c>
      <c r="B445" s="270" t="s">
        <v>636</v>
      </c>
      <c r="C445" s="270" t="s">
        <v>649</v>
      </c>
      <c r="D445" s="293"/>
      <c r="E445" s="280">
        <v>-0.187361763138402</v>
      </c>
      <c r="F445" s="280">
        <v>0.104682111260952</v>
      </c>
      <c r="G445" s="280">
        <v>4.4005432749900401E-3</v>
      </c>
      <c r="H445" s="280">
        <v>4.3999999999999997E-2</v>
      </c>
      <c r="I445" s="150">
        <v>3.4279108602459959E-2</v>
      </c>
      <c r="J445" s="150"/>
      <c r="K445" s="292">
        <v>0.62084480359944405</v>
      </c>
      <c r="L445" s="272" t="s">
        <v>343</v>
      </c>
      <c r="M445" s="232" t="s">
        <v>1158</v>
      </c>
      <c r="N445" s="279"/>
    </row>
    <row r="446" spans="1:14">
      <c r="A446" s="242">
        <v>34907</v>
      </c>
      <c r="B446" s="270" t="s">
        <v>647</v>
      </c>
      <c r="C446" s="270" t="s">
        <v>648</v>
      </c>
      <c r="D446" s="293"/>
      <c r="E446" s="280">
        <v>-0.20673666220818701</v>
      </c>
      <c r="F446" s="280">
        <v>0.138929764169819</v>
      </c>
      <c r="G446" s="280">
        <v>2.66781720083702E-2</v>
      </c>
      <c r="H446" s="238" t="s">
        <v>246</v>
      </c>
      <c r="I446" s="150">
        <v>4.1128726029997807E-2</v>
      </c>
      <c r="J446" s="150"/>
      <c r="K446" s="292">
        <v>0.64383833753533504</v>
      </c>
      <c r="L446" s="272" t="s">
        <v>342</v>
      </c>
      <c r="M446" s="232" t="s">
        <v>1132</v>
      </c>
      <c r="N446" s="279"/>
    </row>
    <row r="447" spans="1:14">
      <c r="A447" s="242">
        <v>35096</v>
      </c>
      <c r="B447" s="270" t="s">
        <v>284</v>
      </c>
      <c r="C447" s="270" t="s">
        <v>220</v>
      </c>
      <c r="D447" s="293"/>
      <c r="E447" s="280">
        <v>-9.7945354209974106E-2</v>
      </c>
      <c r="F447" s="280">
        <v>1.0999999999999999E-2</v>
      </c>
      <c r="G447" s="280">
        <v>-3.6659518281131502E-2</v>
      </c>
      <c r="H447" s="238" t="s">
        <v>246</v>
      </c>
      <c r="I447" s="150">
        <v>0.12360487249110561</v>
      </c>
      <c r="J447" s="150"/>
      <c r="K447" s="292">
        <v>0.39508476096510903</v>
      </c>
      <c r="L447" s="272" t="s">
        <v>221</v>
      </c>
      <c r="M447" s="232" t="s">
        <v>827</v>
      </c>
      <c r="N447" s="279"/>
    </row>
    <row r="448" spans="1:14">
      <c r="A448" s="242">
        <v>35166</v>
      </c>
      <c r="B448" s="270" t="s">
        <v>637</v>
      </c>
      <c r="C448" s="270" t="s">
        <v>399</v>
      </c>
      <c r="D448" s="293"/>
      <c r="E448" s="280">
        <v>-0.22165463720707401</v>
      </c>
      <c r="F448" s="280">
        <v>0.219589607126711</v>
      </c>
      <c r="G448" s="280">
        <v>-4.9229780037820699E-2</v>
      </c>
      <c r="H448" s="238" t="s">
        <v>246</v>
      </c>
      <c r="I448" s="150">
        <v>5.1294810118183716E-2</v>
      </c>
      <c r="J448" s="150"/>
      <c r="K448" s="292">
        <v>0.59574322380945899</v>
      </c>
      <c r="L448" s="272" t="s">
        <v>343</v>
      </c>
      <c r="M448" s="232" t="s">
        <v>53</v>
      </c>
      <c r="N448" s="279"/>
    </row>
    <row r="449" spans="1:14">
      <c r="A449" s="242">
        <v>35411</v>
      </c>
      <c r="B449" s="270" t="s">
        <v>638</v>
      </c>
      <c r="C449" s="270" t="s">
        <v>220</v>
      </c>
      <c r="D449" s="293"/>
      <c r="E449" s="280">
        <v>-6.9084540085937493E-2</v>
      </c>
      <c r="F449" s="280">
        <v>-7.47446927090101E-3</v>
      </c>
      <c r="G449" s="280">
        <v>-2.54713589455816E-3</v>
      </c>
      <c r="H449" s="238" t="s">
        <v>246</v>
      </c>
      <c r="I449" s="150">
        <v>7.9106145251396656E-2</v>
      </c>
      <c r="J449" s="150"/>
      <c r="K449" s="292">
        <v>0.33637132387484697</v>
      </c>
      <c r="L449" s="272"/>
      <c r="M449" s="232" t="s">
        <v>1134</v>
      </c>
      <c r="N449" s="279"/>
    </row>
    <row r="450" spans="1:14">
      <c r="A450" s="242">
        <v>35488</v>
      </c>
      <c r="B450" s="270" t="s">
        <v>130</v>
      </c>
      <c r="C450" s="270" t="s">
        <v>399</v>
      </c>
      <c r="D450" s="293"/>
      <c r="E450" s="294">
        <v>-0.164621449653098</v>
      </c>
      <c r="F450" s="294">
        <v>0.180120619077067</v>
      </c>
      <c r="G450" s="294">
        <v>-3.0080815683292201E-2</v>
      </c>
      <c r="H450" s="238" t="s">
        <v>246</v>
      </c>
      <c r="I450" s="281">
        <v>1.4581646259323195E-2</v>
      </c>
      <c r="J450" s="281"/>
      <c r="K450" s="292">
        <v>0.73021522061800004</v>
      </c>
      <c r="L450" s="272" t="s">
        <v>343</v>
      </c>
      <c r="M450" s="232" t="s">
        <v>107</v>
      </c>
      <c r="N450" s="279"/>
    </row>
    <row r="451" spans="1:14">
      <c r="A451" s="242" t="s">
        <v>221</v>
      </c>
      <c r="B451" s="270"/>
      <c r="C451" s="270"/>
      <c r="D451" s="119"/>
      <c r="E451" s="280" t="s">
        <v>221</v>
      </c>
      <c r="F451" s="280" t="s">
        <v>221</v>
      </c>
      <c r="G451" s="280" t="s">
        <v>221</v>
      </c>
      <c r="H451" s="280" t="s">
        <v>221</v>
      </c>
      <c r="I451" s="286" t="s">
        <v>221</v>
      </c>
      <c r="J451" s="286"/>
      <c r="K451" s="236" t="s">
        <v>221</v>
      </c>
      <c r="L451" s="272"/>
      <c r="N451" s="279"/>
    </row>
    <row r="452" spans="1:14">
      <c r="A452" s="287" t="s">
        <v>801</v>
      </c>
      <c r="B452" s="270"/>
      <c r="C452" s="270"/>
      <c r="D452" s="119"/>
      <c r="E452" s="241"/>
      <c r="F452" s="237"/>
      <c r="G452" s="237"/>
      <c r="H452" s="237"/>
      <c r="I452" s="254"/>
      <c r="J452" s="254"/>
      <c r="K452" s="288"/>
      <c r="L452" s="272" t="s">
        <v>221</v>
      </c>
      <c r="M452" s="277" t="s">
        <v>1167</v>
      </c>
      <c r="N452" s="278" t="s">
        <v>1113</v>
      </c>
    </row>
    <row r="453" spans="1:14">
      <c r="A453" s="289"/>
      <c r="B453" s="270"/>
      <c r="C453" s="271"/>
      <c r="D453" s="272"/>
      <c r="E453" s="280"/>
      <c r="F453" s="254"/>
      <c r="G453" s="254"/>
      <c r="H453" s="254"/>
      <c r="I453" s="254"/>
      <c r="J453" s="254"/>
      <c r="K453" s="295"/>
      <c r="L453" s="272"/>
      <c r="M453" s="232" t="s">
        <v>1166</v>
      </c>
    </row>
    <row r="454" spans="1:14">
      <c r="A454" s="242">
        <v>35642</v>
      </c>
      <c r="B454" s="271" t="s">
        <v>550</v>
      </c>
      <c r="C454" s="271" t="s">
        <v>273</v>
      </c>
      <c r="D454" s="272"/>
      <c r="E454" s="280">
        <v>7.5999999999999998E-2</v>
      </c>
      <c r="F454" s="254">
        <v>-2.5000000000000001E-2</v>
      </c>
      <c r="G454" s="254">
        <v>-5.2999999999999999E-2</v>
      </c>
      <c r="H454" s="247" t="s">
        <v>246</v>
      </c>
      <c r="I454" s="281">
        <v>2.0000000000000018E-3</v>
      </c>
      <c r="J454" s="281"/>
      <c r="K454" s="248">
        <v>0.55500000000000005</v>
      </c>
      <c r="L454" s="272"/>
      <c r="M454" s="296" t="s">
        <v>107</v>
      </c>
      <c r="N454" s="279"/>
    </row>
    <row r="455" spans="1:14">
      <c r="A455" s="242">
        <v>35740</v>
      </c>
      <c r="B455" s="271" t="s">
        <v>619</v>
      </c>
      <c r="C455" s="271" t="s">
        <v>220</v>
      </c>
      <c r="D455" s="272"/>
      <c r="E455" s="280">
        <v>-1.7000000000000001E-2</v>
      </c>
      <c r="F455" s="254">
        <v>-0.13400000000000001</v>
      </c>
      <c r="G455" s="254">
        <v>1.6E-2</v>
      </c>
      <c r="H455" s="254">
        <v>9.0999999999999998E-2</v>
      </c>
      <c r="I455" s="281">
        <v>4.4000000000000011E-2</v>
      </c>
      <c r="J455" s="281"/>
      <c r="K455" s="248">
        <v>0.43099999999999999</v>
      </c>
      <c r="L455" s="272" t="s">
        <v>221</v>
      </c>
      <c r="M455" s="232" t="s">
        <v>219</v>
      </c>
      <c r="N455" s="279"/>
    </row>
    <row r="456" spans="1:14">
      <c r="A456" s="242">
        <v>35754</v>
      </c>
      <c r="B456" s="271" t="s">
        <v>404</v>
      </c>
      <c r="C456" s="271" t="s">
        <v>273</v>
      </c>
      <c r="D456" s="272"/>
      <c r="E456" s="280">
        <v>-1.2E-2</v>
      </c>
      <c r="F456" s="254">
        <v>0.04</v>
      </c>
      <c r="G456" s="254">
        <v>2E-3</v>
      </c>
      <c r="H456" s="247" t="s">
        <v>246</v>
      </c>
      <c r="I456" s="281">
        <v>-0.03</v>
      </c>
      <c r="J456" s="281"/>
      <c r="K456" s="248">
        <v>0.436</v>
      </c>
      <c r="L456" s="272"/>
      <c r="M456" s="232" t="s">
        <v>1132</v>
      </c>
      <c r="N456" s="279"/>
    </row>
    <row r="457" spans="1:14" ht="15">
      <c r="A457" s="242">
        <v>35754</v>
      </c>
      <c r="B457" s="271" t="s">
        <v>1533</v>
      </c>
      <c r="C457" s="271" t="s">
        <v>1105</v>
      </c>
      <c r="D457" s="272"/>
      <c r="E457" s="280">
        <v>-0.13600000000000001</v>
      </c>
      <c r="F457" s="254">
        <v>-8.7999999999999995E-2</v>
      </c>
      <c r="G457" s="254">
        <v>0.26</v>
      </c>
      <c r="H457" s="247" t="s">
        <v>246</v>
      </c>
      <c r="I457" s="281">
        <v>-3.6000000000000004E-2</v>
      </c>
      <c r="J457" s="281"/>
      <c r="K457" s="248">
        <v>0.68700000000000006</v>
      </c>
      <c r="L457" s="272"/>
      <c r="M457" s="232" t="s">
        <v>1132</v>
      </c>
      <c r="N457" s="279"/>
    </row>
    <row r="458" spans="1:14">
      <c r="A458" s="242">
        <v>36321</v>
      </c>
      <c r="B458" s="271" t="s">
        <v>134</v>
      </c>
      <c r="C458" s="271" t="s">
        <v>220</v>
      </c>
      <c r="D458" s="272"/>
      <c r="E458" s="280">
        <v>-1.4E-2</v>
      </c>
      <c r="F458" s="254">
        <v>-0.214</v>
      </c>
      <c r="G458" s="254">
        <v>0.19600000000000001</v>
      </c>
      <c r="H458" s="247" t="s">
        <v>246</v>
      </c>
      <c r="I458" s="281">
        <v>3.2000000000000001E-2</v>
      </c>
      <c r="J458" s="281"/>
      <c r="K458" s="248">
        <v>0.19600000000000001</v>
      </c>
      <c r="L458" s="272"/>
      <c r="M458" s="232" t="s">
        <v>827</v>
      </c>
      <c r="N458" s="279"/>
    </row>
    <row r="459" spans="1:14">
      <c r="A459" s="242">
        <v>36363</v>
      </c>
      <c r="B459" s="271" t="s">
        <v>639</v>
      </c>
      <c r="C459" s="271" t="s">
        <v>273</v>
      </c>
      <c r="D459" s="272"/>
      <c r="E459" s="280">
        <v>2.3E-2</v>
      </c>
      <c r="F459" s="297" t="s">
        <v>564</v>
      </c>
      <c r="G459" s="254">
        <v>6.0000000000000001E-3</v>
      </c>
      <c r="H459" s="247" t="s">
        <v>246</v>
      </c>
      <c r="I459" s="281">
        <v>-2.8999999999999998E-2</v>
      </c>
      <c r="J459" s="281"/>
      <c r="K459" s="248">
        <v>0.51400000000000001</v>
      </c>
      <c r="L459" s="272"/>
      <c r="M459" s="232" t="s">
        <v>1135</v>
      </c>
      <c r="N459" s="279"/>
    </row>
    <row r="460" spans="1:14">
      <c r="A460" s="242">
        <v>36426</v>
      </c>
      <c r="B460" s="271" t="s">
        <v>640</v>
      </c>
      <c r="C460" s="271" t="s">
        <v>220</v>
      </c>
      <c r="D460" s="272"/>
      <c r="E460" s="280">
        <v>-1.4E-2</v>
      </c>
      <c r="F460" s="254">
        <v>-0.28699999999999998</v>
      </c>
      <c r="G460" s="254">
        <v>-1.9E-2</v>
      </c>
      <c r="H460" s="254">
        <v>0.16400000000000001</v>
      </c>
      <c r="I460" s="281">
        <v>0.156</v>
      </c>
      <c r="J460" s="281"/>
      <c r="K460" s="248">
        <v>0.41299999999999998</v>
      </c>
      <c r="L460" s="272"/>
      <c r="M460" s="232" t="s">
        <v>827</v>
      </c>
      <c r="N460" s="279"/>
    </row>
    <row r="461" spans="1:14">
      <c r="A461" s="242">
        <v>36426</v>
      </c>
      <c r="B461" s="271" t="s">
        <v>311</v>
      </c>
      <c r="C461" s="271" t="s">
        <v>220</v>
      </c>
      <c r="D461" s="272"/>
      <c r="E461" s="280">
        <v>1.0999999999999999E-2</v>
      </c>
      <c r="F461" s="254">
        <v>-0.09</v>
      </c>
      <c r="G461" s="254">
        <v>3.3000000000000002E-2</v>
      </c>
      <c r="H461" s="247" t="s">
        <v>246</v>
      </c>
      <c r="I461" s="281">
        <v>4.5999999999999999E-2</v>
      </c>
      <c r="J461" s="281"/>
      <c r="K461" s="248">
        <v>0.25</v>
      </c>
      <c r="L461" s="272"/>
      <c r="M461" s="232" t="s">
        <v>219</v>
      </c>
      <c r="N461" s="279"/>
    </row>
    <row r="462" spans="1:14">
      <c r="A462" s="242">
        <v>36489</v>
      </c>
      <c r="B462" s="271" t="s">
        <v>641</v>
      </c>
      <c r="C462" s="271" t="s">
        <v>273</v>
      </c>
      <c r="D462" s="272"/>
      <c r="E462" s="280">
        <v>2.8000000000000001E-2</v>
      </c>
      <c r="F462" s="254">
        <v>-5.8999999999999997E-2</v>
      </c>
      <c r="G462" s="254">
        <v>-5.8999999999999997E-2</v>
      </c>
      <c r="H462" s="247" t="s">
        <v>246</v>
      </c>
      <c r="I462" s="281">
        <v>0.09</v>
      </c>
      <c r="J462" s="281"/>
      <c r="K462" s="248">
        <v>0.29699999999999999</v>
      </c>
      <c r="L462" s="272"/>
      <c r="M462" s="232" t="s">
        <v>219</v>
      </c>
      <c r="N462" s="279"/>
    </row>
    <row r="463" spans="1:14">
      <c r="A463" s="242">
        <v>36559</v>
      </c>
      <c r="B463" s="271" t="s">
        <v>642</v>
      </c>
      <c r="C463" s="271" t="s">
        <v>650</v>
      </c>
      <c r="D463" s="272"/>
      <c r="E463" s="280">
        <v>1.6E-2</v>
      </c>
      <c r="F463" s="254">
        <v>-9.9000000000000005E-2</v>
      </c>
      <c r="G463" s="254">
        <v>6.5000000000000002E-2</v>
      </c>
      <c r="H463" s="254">
        <v>1.0999999999999999E-2</v>
      </c>
      <c r="I463" s="281">
        <v>7.0000000000000027E-3</v>
      </c>
      <c r="J463" s="281"/>
      <c r="K463" s="248">
        <v>0.45600000000000002</v>
      </c>
      <c r="L463" s="272"/>
      <c r="M463" s="232" t="s">
        <v>101</v>
      </c>
      <c r="N463" s="279"/>
    </row>
    <row r="464" spans="1:14">
      <c r="A464" s="242">
        <v>36650</v>
      </c>
      <c r="B464" s="271" t="s">
        <v>643</v>
      </c>
      <c r="C464" s="271" t="s">
        <v>648</v>
      </c>
      <c r="D464" s="272"/>
      <c r="E464" s="280">
        <v>-0.04</v>
      </c>
      <c r="F464" s="254">
        <v>-0.14799999999999999</v>
      </c>
      <c r="G464" s="254">
        <v>0.21099999999999999</v>
      </c>
      <c r="H464" s="247" t="s">
        <v>246</v>
      </c>
      <c r="I464" s="281">
        <v>-2.2999999999999993E-2</v>
      </c>
      <c r="J464" s="281"/>
      <c r="K464" s="248">
        <v>0.55500000000000005</v>
      </c>
      <c r="L464" s="272" t="s">
        <v>343</v>
      </c>
      <c r="M464" s="232" t="s">
        <v>1134</v>
      </c>
      <c r="N464" s="279"/>
    </row>
    <row r="465" spans="1:14">
      <c r="A465" s="242">
        <v>36699</v>
      </c>
      <c r="B465" s="271" t="s">
        <v>644</v>
      </c>
      <c r="C465" s="271" t="s">
        <v>220</v>
      </c>
      <c r="D465" s="272"/>
      <c r="E465" s="280">
        <v>3.0000000000000001E-3</v>
      </c>
      <c r="F465" s="254">
        <v>-0.158</v>
      </c>
      <c r="G465" s="254">
        <v>8.3000000000000004E-2</v>
      </c>
      <c r="H465" s="247" t="s">
        <v>246</v>
      </c>
      <c r="I465" s="281">
        <v>7.1999999999999995E-2</v>
      </c>
      <c r="J465" s="281"/>
      <c r="K465" s="248">
        <v>0.254</v>
      </c>
      <c r="L465" s="272"/>
      <c r="M465" s="232" t="s">
        <v>176</v>
      </c>
      <c r="N465" s="279"/>
    </row>
    <row r="466" spans="1:14">
      <c r="A466" s="242">
        <v>36853</v>
      </c>
      <c r="B466" s="271" t="s">
        <v>645</v>
      </c>
      <c r="C466" s="271" t="s">
        <v>220</v>
      </c>
      <c r="D466" s="272"/>
      <c r="E466" s="280">
        <v>-6.0000000000000001E-3</v>
      </c>
      <c r="F466" s="254">
        <v>-9.7000000000000003E-2</v>
      </c>
      <c r="G466" s="254">
        <v>8.0000000000000002E-3</v>
      </c>
      <c r="H466" s="254">
        <v>3.6999999999999998E-2</v>
      </c>
      <c r="I466" s="281">
        <v>5.8000000000000003E-2</v>
      </c>
      <c r="J466" s="281"/>
      <c r="K466" s="248">
        <v>0.38400000000000001</v>
      </c>
      <c r="L466" s="272" t="s">
        <v>221</v>
      </c>
      <c r="M466" s="232" t="s">
        <v>1136</v>
      </c>
      <c r="N466" s="279"/>
    </row>
    <row r="467" spans="1:14">
      <c r="A467" s="242">
        <v>36853</v>
      </c>
      <c r="B467" s="271" t="s">
        <v>278</v>
      </c>
      <c r="C467" s="271" t="s">
        <v>220</v>
      </c>
      <c r="D467" s="272"/>
      <c r="E467" s="280">
        <v>3.1E-2</v>
      </c>
      <c r="F467" s="254">
        <v>-0.151</v>
      </c>
      <c r="G467" s="254">
        <v>1.4999999999999999E-2</v>
      </c>
      <c r="H467" s="247" t="s">
        <v>246</v>
      </c>
      <c r="I467" s="281">
        <v>0.105</v>
      </c>
      <c r="J467" s="281"/>
      <c r="K467" s="248">
        <v>0.29599999999999999</v>
      </c>
      <c r="L467" s="272"/>
      <c r="M467" s="232" t="s">
        <v>176</v>
      </c>
      <c r="N467" s="279"/>
    </row>
    <row r="468" spans="1:14" ht="15">
      <c r="A468" s="242">
        <v>36853</v>
      </c>
      <c r="B468" s="271" t="s">
        <v>1534</v>
      </c>
      <c r="C468" s="271" t="s">
        <v>651</v>
      </c>
      <c r="D468" s="272"/>
      <c r="E468" s="280" t="s">
        <v>691</v>
      </c>
      <c r="F468" s="254"/>
      <c r="G468" s="254"/>
      <c r="H468" s="247" t="s">
        <v>221</v>
      </c>
      <c r="I468" s="281" t="s">
        <v>221</v>
      </c>
      <c r="J468" s="281"/>
      <c r="K468" s="248">
        <v>0.27600000000000002</v>
      </c>
      <c r="L468" s="272" t="s">
        <v>1454</v>
      </c>
      <c r="M468" s="250" t="s">
        <v>1457</v>
      </c>
      <c r="N468" s="279" t="s">
        <v>221</v>
      </c>
    </row>
    <row r="469" spans="1:14">
      <c r="A469" s="242">
        <v>36881</v>
      </c>
      <c r="B469" s="271" t="s">
        <v>646</v>
      </c>
      <c r="C469" s="271" t="s">
        <v>220</v>
      </c>
      <c r="D469" s="272"/>
      <c r="E469" s="280">
        <v>-3.7999999999999999E-2</v>
      </c>
      <c r="F469" s="254">
        <v>-0.158</v>
      </c>
      <c r="G469" s="254">
        <v>-0.02</v>
      </c>
      <c r="H469" s="254">
        <v>0.16500000000000001</v>
      </c>
      <c r="I469" s="281">
        <v>5.099999999999999E-2</v>
      </c>
      <c r="J469" s="281"/>
      <c r="K469" s="248">
        <v>0.36199999999999999</v>
      </c>
      <c r="L469" s="272"/>
      <c r="M469" s="232" t="s">
        <v>827</v>
      </c>
      <c r="N469" s="279"/>
    </row>
    <row r="470" spans="1:14">
      <c r="B470" s="270"/>
      <c r="C470" s="270"/>
      <c r="D470" s="119"/>
      <c r="E470" s="241" t="s">
        <v>221</v>
      </c>
      <c r="F470" s="241" t="s">
        <v>221</v>
      </c>
      <c r="G470" s="241" t="s">
        <v>221</v>
      </c>
      <c r="H470" s="241" t="s">
        <v>221</v>
      </c>
      <c r="I470" s="254" t="s">
        <v>221</v>
      </c>
      <c r="J470" s="254"/>
      <c r="K470" s="236"/>
      <c r="L470" s="272"/>
    </row>
    <row r="471" spans="1:14">
      <c r="A471" s="287" t="s">
        <v>802</v>
      </c>
      <c r="B471" s="270"/>
      <c r="C471" s="270"/>
      <c r="D471" s="119"/>
      <c r="E471" s="241"/>
      <c r="F471" s="237"/>
      <c r="G471" s="237"/>
      <c r="H471" s="237"/>
      <c r="I471" s="254"/>
      <c r="J471" s="254"/>
      <c r="K471" s="288"/>
      <c r="L471" s="272"/>
      <c r="M471" s="277" t="s">
        <v>1167</v>
      </c>
    </row>
    <row r="472" spans="1:14">
      <c r="A472" s="289"/>
      <c r="B472" s="270"/>
      <c r="C472" s="270"/>
      <c r="D472" s="119"/>
      <c r="E472" s="280"/>
      <c r="F472" s="254"/>
      <c r="G472" s="254"/>
      <c r="H472" s="254"/>
      <c r="I472" s="295"/>
      <c r="J472" s="295"/>
      <c r="K472" s="288"/>
      <c r="L472" s="272"/>
      <c r="M472" s="232" t="s">
        <v>1166</v>
      </c>
    </row>
    <row r="473" spans="1:14">
      <c r="A473" s="242">
        <v>37217</v>
      </c>
      <c r="B473" s="270" t="s">
        <v>411</v>
      </c>
      <c r="C473" s="270" t="s">
        <v>220</v>
      </c>
      <c r="D473" s="119"/>
      <c r="E473" s="280">
        <v>-2.1000000000000001E-2</v>
      </c>
      <c r="F473" s="254">
        <v>-0.08</v>
      </c>
      <c r="G473" s="254">
        <v>7.1999999999999995E-2</v>
      </c>
      <c r="H473" s="247" t="s">
        <v>246</v>
      </c>
      <c r="I473" s="150">
        <v>2.9000000000000012E-2</v>
      </c>
      <c r="J473" s="150"/>
      <c r="K473" s="236">
        <v>0.40200000000000002</v>
      </c>
      <c r="L473" s="272"/>
      <c r="M473" s="232" t="s">
        <v>53</v>
      </c>
      <c r="N473" s="224" t="s">
        <v>1159</v>
      </c>
    </row>
    <row r="474" spans="1:14">
      <c r="A474" s="242">
        <v>37301</v>
      </c>
      <c r="B474" s="270" t="s">
        <v>286</v>
      </c>
      <c r="C474" s="270" t="s">
        <v>220</v>
      </c>
      <c r="D474" s="119"/>
      <c r="E474" s="280">
        <v>-3.6999999999999998E-2</v>
      </c>
      <c r="F474" s="254">
        <v>-0.10100000000000001</v>
      </c>
      <c r="G474" s="254">
        <v>-0.04</v>
      </c>
      <c r="H474" s="254">
        <v>6.8000000000000005E-2</v>
      </c>
      <c r="I474" s="150">
        <v>0.11000000000000001</v>
      </c>
      <c r="J474" s="150"/>
      <c r="K474" s="248">
        <v>0.35199999999999998</v>
      </c>
      <c r="L474" s="272"/>
      <c r="M474" s="232" t="s">
        <v>1138</v>
      </c>
    </row>
    <row r="475" spans="1:14">
      <c r="A475" s="242">
        <v>37882</v>
      </c>
      <c r="B475" s="270" t="s">
        <v>700</v>
      </c>
      <c r="C475" s="270" t="s">
        <v>446</v>
      </c>
      <c r="D475" s="119"/>
      <c r="E475" s="280">
        <v>-2.1000000000000001E-2</v>
      </c>
      <c r="F475" s="280">
        <v>-0.29399999999999998</v>
      </c>
      <c r="G475" s="254">
        <v>0.28599999999999998</v>
      </c>
      <c r="H475" s="247" t="s">
        <v>246</v>
      </c>
      <c r="I475" s="150">
        <v>2.9000000000000026E-2</v>
      </c>
      <c r="J475" s="150"/>
      <c r="K475" s="236">
        <v>0.36199999999999999</v>
      </c>
      <c r="L475" s="272" t="s">
        <v>343</v>
      </c>
      <c r="M475" s="232" t="s">
        <v>827</v>
      </c>
      <c r="N475" s="224" t="s">
        <v>1160</v>
      </c>
    </row>
    <row r="476" spans="1:14">
      <c r="A476" s="242">
        <v>38183</v>
      </c>
      <c r="B476" s="270" t="s">
        <v>445</v>
      </c>
      <c r="C476" s="270" t="s">
        <v>220</v>
      </c>
      <c r="D476" s="119"/>
      <c r="E476" s="280">
        <v>-2.5999999999999999E-2</v>
      </c>
      <c r="F476" s="280">
        <v>-0.27400000000000002</v>
      </c>
      <c r="G476" s="280">
        <v>0.26100000000000001</v>
      </c>
      <c r="H476" s="247" t="s">
        <v>246</v>
      </c>
      <c r="I476" s="150">
        <v>3.9E-2</v>
      </c>
      <c r="J476" s="150"/>
      <c r="K476" s="292">
        <v>0.379</v>
      </c>
      <c r="L476" s="272"/>
      <c r="M476" s="232" t="s">
        <v>1137</v>
      </c>
      <c r="N476" s="224" t="s">
        <v>1127</v>
      </c>
    </row>
    <row r="477" spans="1:14">
      <c r="A477" s="242">
        <v>38183</v>
      </c>
      <c r="B477" s="270" t="s">
        <v>444</v>
      </c>
      <c r="C477" s="270" t="s">
        <v>448</v>
      </c>
      <c r="D477" s="119"/>
      <c r="E477" s="280">
        <v>-3.3000000000000002E-2</v>
      </c>
      <c r="F477" s="280">
        <v>-0.252</v>
      </c>
      <c r="G477" s="280">
        <v>0.17699999999999999</v>
      </c>
      <c r="H477" s="247" t="s">
        <v>246</v>
      </c>
      <c r="I477" s="150">
        <v>0.10800000000000004</v>
      </c>
      <c r="J477" s="150"/>
      <c r="K477" s="292">
        <v>0.40600000000000003</v>
      </c>
      <c r="L477" s="272" t="s">
        <v>342</v>
      </c>
      <c r="M477" s="232" t="s">
        <v>1138</v>
      </c>
      <c r="N477" s="224" t="s">
        <v>1159</v>
      </c>
    </row>
    <row r="478" spans="1:14">
      <c r="A478" s="242">
        <v>38260</v>
      </c>
      <c r="B478" s="270" t="s">
        <v>814</v>
      </c>
      <c r="C478" s="270" t="s">
        <v>220</v>
      </c>
      <c r="D478" s="119"/>
      <c r="E478" s="280">
        <v>-0.111</v>
      </c>
      <c r="F478" s="280">
        <v>-0.185</v>
      </c>
      <c r="G478" s="280">
        <v>0.192</v>
      </c>
      <c r="H478" s="247" t="s">
        <v>246</v>
      </c>
      <c r="I478" s="150">
        <v>0.10399999999999998</v>
      </c>
      <c r="J478" s="150"/>
      <c r="K478" s="292">
        <v>0.45800000000000002</v>
      </c>
      <c r="L478" s="272"/>
      <c r="M478" s="232" t="s">
        <v>1137</v>
      </c>
      <c r="N478" s="224" t="s">
        <v>1159</v>
      </c>
    </row>
    <row r="479" spans="1:14">
      <c r="A479" s="242"/>
      <c r="B479" s="270"/>
      <c r="C479" s="270"/>
      <c r="D479" s="119"/>
      <c r="E479" s="280"/>
      <c r="F479" s="280"/>
      <c r="G479" s="280"/>
      <c r="H479" s="247"/>
      <c r="I479" s="150"/>
      <c r="J479" s="150"/>
      <c r="K479" s="292"/>
      <c r="L479" s="272"/>
    </row>
    <row r="480" spans="1:14">
      <c r="A480" s="287" t="s">
        <v>714</v>
      </c>
      <c r="B480" s="270"/>
      <c r="C480" s="270"/>
      <c r="D480" s="119"/>
      <c r="E480" s="119"/>
      <c r="F480" s="119"/>
      <c r="G480" s="119"/>
      <c r="H480" s="119"/>
      <c r="I480" s="272"/>
      <c r="J480" s="272"/>
      <c r="K480" s="288"/>
      <c r="L480" s="272"/>
      <c r="M480" s="277" t="s">
        <v>1167</v>
      </c>
    </row>
    <row r="481" spans="1:14">
      <c r="A481" s="271"/>
      <c r="B481" s="270"/>
      <c r="C481" s="270"/>
      <c r="D481" s="119"/>
      <c r="E481" s="241"/>
      <c r="F481" s="237"/>
      <c r="G481" s="237"/>
      <c r="H481" s="237"/>
      <c r="I481" s="272"/>
      <c r="J481" s="272"/>
      <c r="K481" s="288"/>
      <c r="L481" s="272"/>
      <c r="M481" s="232" t="s">
        <v>1166</v>
      </c>
    </row>
    <row r="482" spans="1:14">
      <c r="A482" s="242">
        <v>38547</v>
      </c>
      <c r="B482" s="298" t="s">
        <v>261</v>
      </c>
      <c r="C482" s="299" t="s">
        <v>1105</v>
      </c>
      <c r="D482" s="300"/>
      <c r="E482" s="294">
        <v>0.02</v>
      </c>
      <c r="F482" s="294">
        <v>-4.2000000000000003E-2</v>
      </c>
      <c r="G482" s="294">
        <v>3.3000000000000002E-2</v>
      </c>
      <c r="H482" s="247" t="s">
        <v>246</v>
      </c>
      <c r="I482" s="281">
        <v>-1.0999999999999999E-2</v>
      </c>
      <c r="J482" s="281"/>
      <c r="K482" s="248">
        <v>0.55200000000000005</v>
      </c>
      <c r="L482" s="272"/>
      <c r="M482" s="232" t="s">
        <v>176</v>
      </c>
    </row>
    <row r="483" spans="1:14">
      <c r="A483" s="242">
        <v>38624</v>
      </c>
      <c r="B483" s="301" t="s">
        <v>262</v>
      </c>
      <c r="C483" s="299" t="s">
        <v>220</v>
      </c>
      <c r="D483" s="300"/>
      <c r="E483" s="282">
        <v>-3.4000000000000002E-2</v>
      </c>
      <c r="F483" s="282">
        <v>-9.2999999999999999E-2</v>
      </c>
      <c r="G483" s="282">
        <v>-6.0000000000000001E-3</v>
      </c>
      <c r="H483" s="282">
        <v>0.111</v>
      </c>
      <c r="I483" s="281">
        <v>2.2000000000000006E-2</v>
      </c>
      <c r="J483" s="281"/>
      <c r="K483" s="248">
        <v>0.38600000000000001</v>
      </c>
      <c r="L483" s="272"/>
      <c r="M483" s="232" t="s">
        <v>107</v>
      </c>
      <c r="N483" s="224" t="s">
        <v>1161</v>
      </c>
    </row>
    <row r="484" spans="1:14">
      <c r="A484" s="242">
        <v>38757</v>
      </c>
      <c r="B484" s="298" t="s">
        <v>909</v>
      </c>
      <c r="C484" s="302" t="s">
        <v>446</v>
      </c>
      <c r="D484" s="303"/>
      <c r="E484" s="282">
        <v>-2.5000000000000001E-2</v>
      </c>
      <c r="F484" s="282">
        <v>-0.16800000000000001</v>
      </c>
      <c r="G484" s="282">
        <v>0.157</v>
      </c>
      <c r="H484" s="282">
        <v>2.1000000000000001E-2</v>
      </c>
      <c r="I484" s="281">
        <v>1.6E-2</v>
      </c>
      <c r="J484" s="281"/>
      <c r="K484" s="248">
        <v>0.48699999999999999</v>
      </c>
      <c r="L484" s="272" t="s">
        <v>342</v>
      </c>
      <c r="M484" s="232" t="s">
        <v>1162</v>
      </c>
      <c r="N484" s="279" t="s">
        <v>1163</v>
      </c>
    </row>
    <row r="485" spans="1:14">
      <c r="A485" s="242">
        <v>38897</v>
      </c>
      <c r="B485" s="298" t="s">
        <v>263</v>
      </c>
      <c r="C485" s="299" t="s">
        <v>910</v>
      </c>
      <c r="D485" s="300"/>
      <c r="E485" s="282">
        <v>1.4E-2</v>
      </c>
      <c r="F485" s="282">
        <v>4.7E-2</v>
      </c>
      <c r="G485" s="282">
        <v>1.2E-2</v>
      </c>
      <c r="H485" s="282">
        <v>4.1000000000000002E-2</v>
      </c>
      <c r="I485" s="281">
        <v>-0.11399999999999999</v>
      </c>
      <c r="J485" s="281"/>
      <c r="K485" s="248">
        <v>0.51700000000000002</v>
      </c>
      <c r="L485" s="272" t="s">
        <v>342</v>
      </c>
      <c r="M485" s="232" t="s">
        <v>176</v>
      </c>
    </row>
    <row r="486" spans="1:14">
      <c r="A486" s="242">
        <v>38897</v>
      </c>
      <c r="B486" s="304" t="s">
        <v>264</v>
      </c>
      <c r="C486" s="299" t="s">
        <v>273</v>
      </c>
      <c r="D486" s="300"/>
      <c r="E486" s="305">
        <v>-0.111</v>
      </c>
      <c r="F486" s="305">
        <v>-0.156</v>
      </c>
      <c r="G486" s="305">
        <v>0.17499999999999999</v>
      </c>
      <c r="H486" s="238" t="s">
        <v>246</v>
      </c>
      <c r="I486" s="150">
        <v>9.2000000000000026E-2</v>
      </c>
      <c r="J486" s="150"/>
      <c r="K486" s="306">
        <v>0.40500000000000003</v>
      </c>
      <c r="L486" s="272"/>
      <c r="M486" s="232"/>
    </row>
    <row r="487" spans="1:14">
      <c r="A487" s="242">
        <v>39282</v>
      </c>
      <c r="B487" s="298" t="s">
        <v>732</v>
      </c>
      <c r="C487" s="299" t="s">
        <v>220</v>
      </c>
      <c r="D487" s="300"/>
      <c r="E487" s="305">
        <v>8.9999999999999993E-3</v>
      </c>
      <c r="F487" s="305">
        <v>-7.2999999999999995E-2</v>
      </c>
      <c r="G487" s="305">
        <v>3.2000000000000001E-2</v>
      </c>
      <c r="H487" s="238" t="s">
        <v>246</v>
      </c>
      <c r="I487" s="150">
        <v>3.2000000000000001E-2</v>
      </c>
      <c r="J487" s="150"/>
      <c r="K487" s="306">
        <v>0.42899999999999999</v>
      </c>
      <c r="L487" s="272"/>
    </row>
    <row r="488" spans="1:14">
      <c r="A488" s="242">
        <v>39282</v>
      </c>
      <c r="B488" s="298" t="s">
        <v>733</v>
      </c>
      <c r="C488" s="299" t="s">
        <v>220</v>
      </c>
      <c r="D488" s="300"/>
      <c r="E488" s="305">
        <v>2E-3</v>
      </c>
      <c r="F488" s="305">
        <v>-0.14099999999999999</v>
      </c>
      <c r="G488" s="305">
        <v>0.08</v>
      </c>
      <c r="H488" s="238" t="s">
        <v>246</v>
      </c>
      <c r="I488" s="150">
        <v>5.8999999999999983E-2</v>
      </c>
      <c r="J488" s="150"/>
      <c r="K488" s="306">
        <v>0.41499999999999998</v>
      </c>
      <c r="L488" s="272"/>
    </row>
    <row r="489" spans="1:14">
      <c r="A489" s="242">
        <v>39590</v>
      </c>
      <c r="B489" s="304" t="s">
        <v>728</v>
      </c>
      <c r="C489" s="302" t="s">
        <v>308</v>
      </c>
      <c r="D489" s="303"/>
      <c r="E489" s="307">
        <v>0.16900000000000001</v>
      </c>
      <c r="F489" s="307">
        <v>-0.183</v>
      </c>
      <c r="G489" s="308">
        <v>-0.04</v>
      </c>
      <c r="H489" s="238" t="s">
        <v>246</v>
      </c>
      <c r="I489" s="150">
        <v>5.3999999999999986E-2</v>
      </c>
      <c r="J489" s="150"/>
      <c r="K489" s="306">
        <v>0.57699999999999996</v>
      </c>
      <c r="L489" s="272"/>
    </row>
    <row r="490" spans="1:14">
      <c r="A490" s="242">
        <v>39625</v>
      </c>
      <c r="B490" s="304" t="s">
        <v>911</v>
      </c>
      <c r="C490" s="299" t="s">
        <v>273</v>
      </c>
      <c r="D490" s="300"/>
      <c r="E490" s="307">
        <v>3.5000000000000003E-2</v>
      </c>
      <c r="F490" s="307">
        <v>-0.11700000000000001</v>
      </c>
      <c r="G490" s="309">
        <v>1.7999999999999999E-2</v>
      </c>
      <c r="H490" s="238" t="s">
        <v>246</v>
      </c>
      <c r="I490" s="150">
        <v>6.4000000000000001E-2</v>
      </c>
      <c r="J490" s="150"/>
      <c r="K490" s="306">
        <v>0.503</v>
      </c>
      <c r="L490" s="272"/>
    </row>
    <row r="491" spans="1:14" ht="15">
      <c r="A491" s="242">
        <v>39639</v>
      </c>
      <c r="B491" s="304" t="s">
        <v>1535</v>
      </c>
      <c r="C491" s="299" t="s">
        <v>273</v>
      </c>
      <c r="D491" s="300"/>
      <c r="E491" s="310">
        <v>0.24114907682682291</v>
      </c>
      <c r="F491" s="247" t="s">
        <v>246</v>
      </c>
      <c r="G491" s="247" t="s">
        <v>246</v>
      </c>
      <c r="H491" s="247" t="s">
        <v>246</v>
      </c>
      <c r="I491" s="281">
        <v>0.25396845633022802</v>
      </c>
      <c r="J491" s="281"/>
      <c r="K491" s="248">
        <v>0.34100000000000003</v>
      </c>
      <c r="L491" s="311" t="s">
        <v>1456</v>
      </c>
      <c r="M491" s="312" t="s">
        <v>1457</v>
      </c>
    </row>
    <row r="492" spans="1:14">
      <c r="A492" s="242">
        <v>39653</v>
      </c>
      <c r="B492" s="304" t="s">
        <v>912</v>
      </c>
      <c r="C492" s="302" t="s">
        <v>518</v>
      </c>
      <c r="D492" s="303"/>
      <c r="E492" s="310">
        <v>-6.0000000000000001E-3</v>
      </c>
      <c r="F492" s="313">
        <v>-0.19</v>
      </c>
      <c r="G492" s="314">
        <v>-8.4000000000000005E-2</v>
      </c>
      <c r="H492" s="313">
        <v>0.26100000000000001</v>
      </c>
      <c r="I492" s="281">
        <v>1.9000000000000017E-2</v>
      </c>
      <c r="J492" s="281"/>
      <c r="K492" s="248">
        <v>0.42199999999999999</v>
      </c>
      <c r="L492" s="272" t="s">
        <v>342</v>
      </c>
    </row>
    <row r="493" spans="1:14">
      <c r="A493" s="242">
        <v>39758</v>
      </c>
      <c r="B493" s="304" t="s">
        <v>913</v>
      </c>
      <c r="C493" s="299" t="s">
        <v>220</v>
      </c>
      <c r="D493" s="300"/>
      <c r="E493" s="310">
        <v>-3.3000000000000002E-2</v>
      </c>
      <c r="F493" s="313">
        <v>3.2000000000000001E-2</v>
      </c>
      <c r="G493" s="314">
        <v>-0.1</v>
      </c>
      <c r="H493" s="313">
        <v>0.13100000000000001</v>
      </c>
      <c r="I493" s="281">
        <v>-0.03</v>
      </c>
      <c r="J493" s="281"/>
      <c r="K493" s="248">
        <v>0.52300000000000002</v>
      </c>
      <c r="L493" s="272"/>
    </row>
    <row r="494" spans="1:14">
      <c r="A494" s="242">
        <v>40017</v>
      </c>
      <c r="B494" s="304" t="s">
        <v>914</v>
      </c>
      <c r="C494" s="302" t="s">
        <v>308</v>
      </c>
      <c r="D494" s="303"/>
      <c r="E494" s="310">
        <v>6.3E-2</v>
      </c>
      <c r="F494" s="313">
        <v>-0.26700000000000002</v>
      </c>
      <c r="G494" s="314">
        <v>-2.1999999999999999E-2</v>
      </c>
      <c r="H494" s="247" t="s">
        <v>246</v>
      </c>
      <c r="I494" s="281">
        <v>0.22600000000000001</v>
      </c>
      <c r="J494" s="281"/>
      <c r="K494" s="248">
        <v>0.45800000000000002</v>
      </c>
      <c r="L494" s="272"/>
    </row>
    <row r="495" spans="1:14" ht="15">
      <c r="A495" s="242">
        <v>40129</v>
      </c>
      <c r="B495" s="304" t="s">
        <v>1536</v>
      </c>
      <c r="C495" s="315" t="s">
        <v>651</v>
      </c>
      <c r="D495" s="316"/>
      <c r="E495" s="280" t="s">
        <v>691</v>
      </c>
      <c r="F495" s="317"/>
      <c r="G495" s="317"/>
      <c r="H495" s="313" t="s">
        <v>221</v>
      </c>
      <c r="I495" s="286" t="s">
        <v>221</v>
      </c>
      <c r="J495" s="286"/>
      <c r="K495" s="248">
        <v>0.33</v>
      </c>
      <c r="L495" s="311" t="s">
        <v>1455</v>
      </c>
      <c r="M495" s="312" t="s">
        <v>1457</v>
      </c>
    </row>
    <row r="496" spans="1:14">
      <c r="A496" s="318"/>
      <c r="B496" s="304"/>
      <c r="C496" s="315"/>
      <c r="D496" s="316"/>
      <c r="E496" s="319"/>
      <c r="F496" s="320"/>
      <c r="G496" s="320"/>
      <c r="H496" s="319"/>
      <c r="I496" s="313"/>
      <c r="J496" s="313"/>
      <c r="K496" s="306"/>
      <c r="L496" s="272"/>
    </row>
    <row r="497" spans="1:26">
      <c r="A497" s="287" t="s">
        <v>979</v>
      </c>
      <c r="B497" s="304"/>
      <c r="C497" s="315"/>
      <c r="D497" s="316"/>
      <c r="E497" s="319"/>
      <c r="F497" s="320"/>
      <c r="G497" s="320"/>
      <c r="H497" s="319"/>
      <c r="I497" s="313"/>
      <c r="J497" s="313"/>
      <c r="K497" s="306"/>
      <c r="L497" s="272"/>
    </row>
    <row r="498" spans="1:26">
      <c r="A498" s="242"/>
      <c r="B498" s="304"/>
      <c r="C498" s="315"/>
      <c r="D498" s="316"/>
      <c r="E498" s="319"/>
      <c r="F498" s="320"/>
      <c r="G498" s="320"/>
      <c r="H498" s="319"/>
      <c r="I498" s="313"/>
      <c r="J498" s="313"/>
      <c r="K498" s="306"/>
      <c r="L498" s="272"/>
    </row>
    <row r="499" spans="1:26">
      <c r="A499" s="242">
        <v>40556</v>
      </c>
      <c r="B499" s="270" t="s">
        <v>978</v>
      </c>
      <c r="C499" s="270" t="s">
        <v>220</v>
      </c>
      <c r="D499" s="119"/>
      <c r="E499" s="150">
        <v>-0.13615780527812135</v>
      </c>
      <c r="F499" s="150">
        <v>0.10271369333455771</v>
      </c>
      <c r="G499" s="150">
        <v>3.1663956844506513E-3</v>
      </c>
      <c r="H499" s="238" t="s">
        <v>246</v>
      </c>
      <c r="I499" s="281">
        <v>3.0277716259112991E-2</v>
      </c>
      <c r="J499" s="281"/>
      <c r="K499" s="306">
        <v>0.48</v>
      </c>
      <c r="L499" s="272"/>
    </row>
    <row r="500" spans="1:26">
      <c r="A500" s="242">
        <v>40577</v>
      </c>
      <c r="B500" s="304" t="s">
        <v>980</v>
      </c>
      <c r="C500" s="270" t="s">
        <v>220</v>
      </c>
      <c r="D500" s="119"/>
      <c r="E500" s="319">
        <v>-9.0105479766707103E-2</v>
      </c>
      <c r="F500" s="320">
        <v>0.13534358562988813</v>
      </c>
      <c r="G500" s="320">
        <v>-0.13102076525587603</v>
      </c>
      <c r="H500" s="238" t="s">
        <v>246</v>
      </c>
      <c r="I500" s="150">
        <v>8.5782659392694999E-2</v>
      </c>
      <c r="J500" s="150"/>
      <c r="K500" s="306">
        <v>0.36991950634632126</v>
      </c>
      <c r="L500" s="272"/>
    </row>
    <row r="501" spans="1:26">
      <c r="A501" s="242">
        <v>40668</v>
      </c>
      <c r="B501" s="304" t="s">
        <v>447</v>
      </c>
      <c r="C501" s="270" t="s">
        <v>220</v>
      </c>
      <c r="D501" s="119"/>
      <c r="E501" s="150">
        <v>-6.2E-2</v>
      </c>
      <c r="F501" s="150">
        <v>0.123</v>
      </c>
      <c r="G501" s="150">
        <v>-4.3999999999999997E-2</v>
      </c>
      <c r="H501" s="238" t="s">
        <v>246</v>
      </c>
      <c r="I501" s="150">
        <v>-1.7000000000000001E-2</v>
      </c>
      <c r="J501" s="150"/>
      <c r="K501" s="292">
        <v>0.439</v>
      </c>
      <c r="L501" s="272"/>
    </row>
    <row r="502" spans="1:26">
      <c r="A502" s="242">
        <v>40724</v>
      </c>
      <c r="B502" s="304" t="s">
        <v>1064</v>
      </c>
      <c r="C502" s="270" t="s">
        <v>220</v>
      </c>
      <c r="D502" s="119"/>
      <c r="E502" s="150">
        <v>-2.1000000000000001E-2</v>
      </c>
      <c r="F502" s="150">
        <v>-2.1999999999999999E-2</v>
      </c>
      <c r="G502" s="150">
        <v>-0.111</v>
      </c>
      <c r="H502" s="150">
        <v>0.155</v>
      </c>
      <c r="I502" s="150">
        <v>-1.0000000000000009E-3</v>
      </c>
      <c r="J502" s="150"/>
      <c r="K502" s="292">
        <v>0.45400000000000001</v>
      </c>
      <c r="L502" s="272"/>
      <c r="M502" s="321" t="s">
        <v>221</v>
      </c>
    </row>
    <row r="503" spans="1:26">
      <c r="A503" s="242">
        <v>40893</v>
      </c>
      <c r="B503" s="322" t="s">
        <v>1106</v>
      </c>
      <c r="C503" s="270" t="s">
        <v>220</v>
      </c>
      <c r="D503" s="119"/>
      <c r="E503" s="281">
        <v>-6.3E-2</v>
      </c>
      <c r="F503" s="281">
        <v>0.108</v>
      </c>
      <c r="G503" s="281">
        <v>-7.9000000000000001E-2</v>
      </c>
      <c r="H503" s="238" t="s">
        <v>246</v>
      </c>
      <c r="I503" s="150">
        <v>3.5000000000000003E-2</v>
      </c>
      <c r="J503" s="150"/>
      <c r="K503" s="323">
        <v>0.28699999999999998</v>
      </c>
      <c r="L503" s="272"/>
    </row>
    <row r="504" spans="1:26">
      <c r="A504" s="242">
        <v>40997</v>
      </c>
      <c r="B504" s="271" t="s">
        <v>1107</v>
      </c>
      <c r="C504" s="271" t="s">
        <v>1169</v>
      </c>
      <c r="D504" s="272"/>
      <c r="E504" s="281">
        <v>-0.22800000000000001</v>
      </c>
      <c r="F504" s="281">
        <v>-0.20399999999999999</v>
      </c>
      <c r="G504" s="281">
        <v>-7.0999999999999994E-2</v>
      </c>
      <c r="H504" s="247" t="s">
        <v>246</v>
      </c>
      <c r="I504" s="281">
        <v>0.502</v>
      </c>
      <c r="J504" s="281"/>
      <c r="K504" s="323">
        <v>0.50800000000000001</v>
      </c>
      <c r="L504" s="272"/>
    </row>
    <row r="505" spans="1:26" s="149" customFormat="1">
      <c r="A505" s="338">
        <v>41228</v>
      </c>
      <c r="B505" s="339" t="s">
        <v>1300</v>
      </c>
      <c r="C505" s="339" t="s">
        <v>220</v>
      </c>
      <c r="D505" s="340"/>
      <c r="E505" s="341">
        <v>-8.4000000000000005E-2</v>
      </c>
      <c r="F505" s="341">
        <v>8.4000000000000005E-2</v>
      </c>
      <c r="G505" s="341">
        <v>-0.114</v>
      </c>
      <c r="H505" s="342">
        <v>5.3999999999999999E-2</v>
      </c>
      <c r="I505" s="343">
        <v>6.0999999999999999E-2</v>
      </c>
      <c r="J505" s="341"/>
      <c r="K505" s="344" t="s">
        <v>246</v>
      </c>
      <c r="L505" s="340"/>
      <c r="M505" s="342"/>
      <c r="N505" s="341"/>
      <c r="O505" s="345"/>
      <c r="P505" s="345"/>
      <c r="Q505" s="345"/>
      <c r="R505" s="345"/>
      <c r="S505" s="345"/>
      <c r="T505" s="345"/>
      <c r="U505" s="345"/>
      <c r="V505" s="345"/>
      <c r="W505" s="345"/>
      <c r="X505" s="345"/>
      <c r="Y505" s="345"/>
      <c r="Z505" s="345"/>
    </row>
    <row r="506" spans="1:26" s="149" customFormat="1">
      <c r="A506" s="338">
        <v>41228</v>
      </c>
      <c r="B506" s="339" t="s">
        <v>1294</v>
      </c>
      <c r="C506" s="339" t="s">
        <v>399</v>
      </c>
      <c r="D506" s="340"/>
      <c r="E506" s="341">
        <v>-0.157</v>
      </c>
      <c r="F506" s="341">
        <v>9.6000000000000002E-2</v>
      </c>
      <c r="G506" s="341">
        <v>-9.5000000000000001E-2</v>
      </c>
      <c r="H506" s="342" t="s">
        <v>246</v>
      </c>
      <c r="I506" s="343">
        <v>0.154</v>
      </c>
      <c r="J506" s="341"/>
      <c r="K506" s="344">
        <v>0.44800000000000001</v>
      </c>
      <c r="L506" s="346"/>
      <c r="M506" s="342"/>
      <c r="N506" s="341"/>
      <c r="O506" s="345"/>
      <c r="P506" s="345"/>
      <c r="Q506" s="345"/>
      <c r="R506" s="345"/>
      <c r="S506" s="345"/>
      <c r="T506" s="345"/>
      <c r="U506" s="345"/>
      <c r="V506" s="345"/>
      <c r="W506" s="345"/>
      <c r="X506" s="345"/>
      <c r="Y506" s="345"/>
      <c r="Z506" s="345"/>
    </row>
    <row r="507" spans="1:26" s="149" customFormat="1">
      <c r="A507" s="338">
        <v>41228</v>
      </c>
      <c r="B507" s="339" t="s">
        <v>131</v>
      </c>
      <c r="C507" s="339" t="s">
        <v>220</v>
      </c>
      <c r="D507" s="340"/>
      <c r="E507" s="347">
        <v>-7.2524286784939454E-2</v>
      </c>
      <c r="F507" s="347">
        <v>0.16375656386215753</v>
      </c>
      <c r="G507" s="347">
        <v>-0.17161973382537982</v>
      </c>
      <c r="H507" s="342" t="s">
        <v>246</v>
      </c>
      <c r="I507" s="343">
        <v>8.0387456748161751E-2</v>
      </c>
      <c r="J507" s="341"/>
      <c r="K507" s="348">
        <v>0.18156436766566331</v>
      </c>
      <c r="L507" s="340"/>
      <c r="M507" s="342"/>
      <c r="N507" s="349"/>
      <c r="O507" s="345"/>
      <c r="P507" s="345"/>
      <c r="Q507" s="345"/>
      <c r="R507" s="345"/>
      <c r="S507" s="345"/>
      <c r="T507" s="345"/>
      <c r="U507" s="345"/>
      <c r="V507" s="345"/>
      <c r="W507" s="345"/>
      <c r="X507" s="345"/>
      <c r="Y507" s="345"/>
      <c r="Z507" s="345"/>
    </row>
    <row r="508" spans="1:26" s="149" customFormat="1">
      <c r="A508" s="338">
        <v>41237</v>
      </c>
      <c r="B508" s="339" t="s">
        <v>312</v>
      </c>
      <c r="C508" s="339" t="s">
        <v>220</v>
      </c>
      <c r="D508" s="340"/>
      <c r="E508" s="350">
        <v>-7.2844066311122863E-2</v>
      </c>
      <c r="F508" s="350">
        <v>8.6938595863528589E-2</v>
      </c>
      <c r="G508" s="350">
        <v>-0.10482791999415036</v>
      </c>
      <c r="H508" s="342" t="s">
        <v>246</v>
      </c>
      <c r="I508" s="343">
        <v>9.0733390441744721E-2</v>
      </c>
      <c r="J508" s="341"/>
      <c r="K508" s="351">
        <v>0.47871214588082056</v>
      </c>
      <c r="L508" s="340"/>
      <c r="M508" s="352"/>
      <c r="N508" s="352"/>
      <c r="O508" s="345"/>
      <c r="P508" s="345"/>
      <c r="Q508" s="345"/>
      <c r="R508" s="345"/>
      <c r="S508" s="345"/>
      <c r="T508" s="345"/>
      <c r="U508" s="345"/>
      <c r="V508" s="345"/>
      <c r="W508" s="345"/>
      <c r="X508" s="345"/>
      <c r="Y508" s="345"/>
      <c r="Z508" s="345"/>
    </row>
    <row r="509" spans="1:26" s="149" customFormat="1">
      <c r="A509" s="338">
        <v>41242</v>
      </c>
      <c r="B509" s="339" t="s">
        <v>841</v>
      </c>
      <c r="C509" s="339" t="s">
        <v>220</v>
      </c>
      <c r="D509" s="340"/>
      <c r="E509" s="350">
        <v>-0.12477830695620182</v>
      </c>
      <c r="F509" s="350">
        <v>0.14597109912036998</v>
      </c>
      <c r="G509" s="350">
        <v>-9.9998810815089129E-2</v>
      </c>
      <c r="H509" s="342" t="s">
        <v>246</v>
      </c>
      <c r="I509" s="343">
        <v>7.8806018650920934E-2</v>
      </c>
      <c r="J509" s="341"/>
      <c r="K509" s="348">
        <v>0.25909824103233736</v>
      </c>
      <c r="L509" s="340"/>
      <c r="M509" s="352"/>
      <c r="N509" s="353"/>
      <c r="O509" s="345"/>
      <c r="P509" s="345"/>
      <c r="Q509" s="345"/>
      <c r="R509" s="345"/>
      <c r="S509" s="345"/>
      <c r="T509" s="345"/>
      <c r="U509" s="345"/>
      <c r="V509" s="345"/>
      <c r="W509" s="345"/>
      <c r="X509" s="345"/>
      <c r="Y509" s="345"/>
      <c r="Z509" s="345"/>
    </row>
    <row r="510" spans="1:26" s="149" customFormat="1">
      <c r="A510" s="338">
        <v>41242</v>
      </c>
      <c r="B510" s="339" t="s">
        <v>1539</v>
      </c>
      <c r="C510" s="339" t="s">
        <v>220</v>
      </c>
      <c r="D510" s="340"/>
      <c r="E510" s="347">
        <v>-0.11347381994638435</v>
      </c>
      <c r="F510" s="347">
        <v>1.8260134788690208E-2</v>
      </c>
      <c r="G510" s="347">
        <v>-0.13878878866560837</v>
      </c>
      <c r="H510" s="342" t="s">
        <v>246</v>
      </c>
      <c r="I510" s="343">
        <v>0.23400247382330247</v>
      </c>
      <c r="J510" s="341"/>
      <c r="K510" s="348">
        <v>0.33822138126773887</v>
      </c>
      <c r="L510" s="340"/>
      <c r="M510" s="349"/>
      <c r="N510" s="353"/>
      <c r="O510" s="345"/>
      <c r="P510" s="345"/>
      <c r="Q510" s="345"/>
      <c r="R510" s="345"/>
      <c r="S510" s="345"/>
      <c r="T510" s="345"/>
      <c r="U510" s="345"/>
      <c r="V510" s="345"/>
      <c r="W510" s="345"/>
      <c r="X510" s="345"/>
      <c r="Y510" s="345"/>
      <c r="Z510" s="345"/>
    </row>
    <row r="511" spans="1:26" s="149" customFormat="1">
      <c r="A511" s="338">
        <v>41333</v>
      </c>
      <c r="B511" s="339" t="s">
        <v>630</v>
      </c>
      <c r="C511" s="339" t="s">
        <v>1105</v>
      </c>
      <c r="D511" s="340"/>
      <c r="E511" s="348">
        <v>0.39332712022367194</v>
      </c>
      <c r="F511" s="348">
        <v>9.6048462255358805E-2</v>
      </c>
      <c r="G511" s="348">
        <v>0.46534948741845295</v>
      </c>
      <c r="H511" s="342" t="s">
        <v>246</v>
      </c>
      <c r="I511" s="343">
        <v>7.6188791105865433E-2</v>
      </c>
      <c r="J511" s="341"/>
      <c r="K511" s="348">
        <v>0.52675813882841371</v>
      </c>
      <c r="L511" s="340"/>
      <c r="M511" s="354"/>
      <c r="N511" s="349"/>
      <c r="O511" s="345"/>
      <c r="P511" s="345"/>
      <c r="Q511" s="345"/>
      <c r="R511" s="345"/>
      <c r="S511" s="345"/>
      <c r="T511" s="345"/>
      <c r="U511" s="345"/>
      <c r="V511" s="345"/>
      <c r="W511" s="345"/>
      <c r="X511" s="345"/>
      <c r="Y511" s="345"/>
      <c r="Z511" s="345"/>
    </row>
    <row r="512" spans="1:26" s="149" customFormat="1">
      <c r="A512" s="338">
        <v>41396</v>
      </c>
      <c r="B512" s="339" t="s">
        <v>1540</v>
      </c>
      <c r="C512" s="339" t="s">
        <v>220</v>
      </c>
      <c r="D512" s="340"/>
      <c r="E512" s="355">
        <v>-0.10044862288402033</v>
      </c>
      <c r="F512" s="350">
        <v>-1.5101080864833638E-2</v>
      </c>
      <c r="G512" s="355">
        <v>-0.12786403798668958</v>
      </c>
      <c r="H512" s="342" t="s">
        <v>246</v>
      </c>
      <c r="I512" s="356">
        <v>0.24341374173554348</v>
      </c>
      <c r="J512" s="341"/>
      <c r="K512" s="348">
        <v>0.57699999999999996</v>
      </c>
      <c r="L512" s="340"/>
      <c r="M512" s="345"/>
      <c r="N512" s="357"/>
      <c r="O512" s="345"/>
      <c r="P512" s="345"/>
      <c r="Q512" s="345"/>
      <c r="R512" s="345"/>
      <c r="S512" s="345"/>
      <c r="T512" s="345"/>
      <c r="U512" s="345"/>
      <c r="V512" s="345"/>
      <c r="W512" s="345"/>
      <c r="X512" s="345"/>
      <c r="Y512" s="345"/>
      <c r="Z512" s="345"/>
    </row>
    <row r="513" spans="1:26" s="149" customFormat="1">
      <c r="A513" s="338">
        <v>41683</v>
      </c>
      <c r="B513" s="339" t="s">
        <v>1541</v>
      </c>
      <c r="C513" s="339" t="s">
        <v>220</v>
      </c>
      <c r="D513" s="340"/>
      <c r="E513" s="358">
        <v>-0.11030865841474577</v>
      </c>
      <c r="F513" s="358">
        <v>0.11205306690495148</v>
      </c>
      <c r="G513" s="358">
        <v>-0.17439942382384233</v>
      </c>
      <c r="H513" s="342" t="s">
        <v>246</v>
      </c>
      <c r="I513" s="356">
        <v>0.16864850475394458</v>
      </c>
      <c r="J513" s="341"/>
      <c r="K513" s="348">
        <v>0.28170189752874508</v>
      </c>
      <c r="L513" s="340"/>
      <c r="M513" s="345"/>
      <c r="N513" s="357"/>
      <c r="O513" s="345"/>
      <c r="P513" s="345"/>
      <c r="Q513" s="345"/>
      <c r="R513" s="345"/>
      <c r="S513" s="345"/>
      <c r="T513" s="345"/>
      <c r="U513" s="345"/>
      <c r="V513" s="345"/>
      <c r="W513" s="345"/>
      <c r="X513" s="345"/>
      <c r="Y513" s="345"/>
      <c r="Z513" s="345"/>
    </row>
    <row r="514" spans="1:26" s="149" customFormat="1">
      <c r="A514" s="338">
        <v>41795</v>
      </c>
      <c r="B514" s="339" t="s">
        <v>1297</v>
      </c>
      <c r="C514" s="339" t="s">
        <v>273</v>
      </c>
      <c r="D514" s="340"/>
      <c r="E514" s="358">
        <v>-8.8668018704627094E-2</v>
      </c>
      <c r="F514" s="358">
        <v>-4.623610716407886E-2</v>
      </c>
      <c r="G514" s="350">
        <v>-0.17406153925646525</v>
      </c>
      <c r="H514" s="342" t="s">
        <v>246</v>
      </c>
      <c r="I514" s="343">
        <v>0.30896566512517115</v>
      </c>
      <c r="J514" s="341"/>
      <c r="K514" s="356">
        <v>0.52672617913616204</v>
      </c>
      <c r="L514" s="340"/>
      <c r="M514" s="345"/>
      <c r="N514" s="357"/>
      <c r="O514" s="345"/>
      <c r="P514" s="345"/>
      <c r="Q514" s="345"/>
      <c r="R514" s="345"/>
      <c r="S514" s="345"/>
      <c r="T514" s="345"/>
      <c r="U514" s="345"/>
      <c r="V514" s="345"/>
      <c r="W514" s="345"/>
      <c r="X514" s="345"/>
      <c r="Y514" s="345"/>
      <c r="Z514" s="345"/>
    </row>
    <row r="515" spans="1:26" s="149" customFormat="1">
      <c r="A515" s="338">
        <v>41921</v>
      </c>
      <c r="B515" s="339" t="s">
        <v>1295</v>
      </c>
      <c r="C515" s="339" t="s">
        <v>1542</v>
      </c>
      <c r="D515" s="340"/>
      <c r="E515" s="347">
        <v>-0.28382528551085784</v>
      </c>
      <c r="F515" s="347">
        <v>-0.13844743124863798</v>
      </c>
      <c r="G515" s="347">
        <v>-0.11565973082612442</v>
      </c>
      <c r="H515" s="342" t="s">
        <v>246</v>
      </c>
      <c r="I515" s="356">
        <v>0.53793244758562031</v>
      </c>
      <c r="J515" s="341"/>
      <c r="K515" s="359">
        <v>0.51127058074597065</v>
      </c>
      <c r="L515" s="340"/>
      <c r="M515" s="345"/>
      <c r="N515" s="357"/>
      <c r="O515" s="345"/>
      <c r="P515" s="345"/>
      <c r="Q515" s="345"/>
      <c r="R515" s="345"/>
      <c r="S515" s="345"/>
      <c r="T515" s="345"/>
      <c r="U515" s="345"/>
      <c r="V515" s="345"/>
      <c r="W515" s="345"/>
      <c r="X515" s="345"/>
      <c r="Y515" s="345"/>
      <c r="Z515" s="345"/>
    </row>
    <row r="516" spans="1:26" s="149" customFormat="1">
      <c r="A516" s="338">
        <v>41921</v>
      </c>
      <c r="B516" s="339" t="s">
        <v>1301</v>
      </c>
      <c r="C516" s="339" t="s">
        <v>220</v>
      </c>
      <c r="D516" s="340"/>
      <c r="E516" s="347">
        <v>-0.14882245629424545</v>
      </c>
      <c r="F516" s="347">
        <v>7.5145168057468847E-3</v>
      </c>
      <c r="G516" s="347">
        <v>-0.17590550845941166</v>
      </c>
      <c r="H516" s="342" t="s">
        <v>246</v>
      </c>
      <c r="I516" s="356">
        <v>0.31721344794791018</v>
      </c>
      <c r="J516" s="341"/>
      <c r="K516" s="348">
        <v>0.35963117342427686</v>
      </c>
      <c r="L516" s="340"/>
      <c r="M516" s="345"/>
      <c r="N516" s="357"/>
      <c r="O516" s="345"/>
      <c r="P516" s="345"/>
      <c r="Q516" s="345"/>
      <c r="R516" s="345"/>
      <c r="S516" s="345"/>
      <c r="T516" s="345"/>
      <c r="U516" s="345"/>
      <c r="V516" s="345"/>
      <c r="W516" s="345"/>
      <c r="X516" s="345"/>
      <c r="Y516" s="345"/>
      <c r="Z516" s="345"/>
    </row>
    <row r="517" spans="1:26" s="149" customFormat="1">
      <c r="A517" s="338">
        <v>41963</v>
      </c>
      <c r="B517" s="339" t="s">
        <v>1296</v>
      </c>
      <c r="C517" s="339" t="s">
        <v>1542</v>
      </c>
      <c r="D517" s="340"/>
      <c r="E517" s="348">
        <v>0.34810932235117931</v>
      </c>
      <c r="F517" s="348">
        <v>0.16755272681891925</v>
      </c>
      <c r="G517" s="348">
        <v>8.7108448770747537E-3</v>
      </c>
      <c r="H517" s="342" t="s">
        <v>246</v>
      </c>
      <c r="I517" s="356">
        <v>0.41484038063961659</v>
      </c>
      <c r="J517" s="341"/>
      <c r="K517" s="348">
        <v>0.50610765130174451</v>
      </c>
      <c r="L517" s="340"/>
      <c r="M517" s="345"/>
      <c r="N517" s="357"/>
      <c r="O517" s="345"/>
      <c r="P517" s="345"/>
      <c r="Q517" s="345"/>
      <c r="R517" s="345"/>
      <c r="S517" s="345"/>
      <c r="T517" s="345"/>
      <c r="U517" s="345"/>
      <c r="V517" s="345"/>
      <c r="W517" s="345"/>
      <c r="X517" s="345"/>
      <c r="Y517" s="345"/>
      <c r="Z517" s="345"/>
    </row>
    <row r="518" spans="1:26" s="149" customFormat="1">
      <c r="A518" s="338"/>
      <c r="B518" s="339"/>
      <c r="C518" s="339"/>
      <c r="D518" s="340"/>
      <c r="E518" s="348"/>
      <c r="F518" s="348"/>
      <c r="G518" s="348"/>
      <c r="H518" s="342"/>
      <c r="I518" s="356"/>
      <c r="J518" s="341"/>
      <c r="K518" s="348"/>
      <c r="L518" s="340"/>
      <c r="M518" s="345"/>
      <c r="N518" s="357"/>
      <c r="O518" s="345"/>
      <c r="P518" s="345"/>
      <c r="Q518" s="345"/>
      <c r="R518" s="345"/>
      <c r="S518" s="345"/>
      <c r="T518" s="345"/>
      <c r="U518" s="345"/>
      <c r="V518" s="345"/>
      <c r="W518" s="345"/>
      <c r="X518" s="345"/>
      <c r="Y518" s="345"/>
      <c r="Z518" s="345"/>
    </row>
    <row r="519" spans="1:26">
      <c r="A519" s="651" t="s">
        <v>1543</v>
      </c>
      <c r="B519" s="652"/>
      <c r="C519" s="652"/>
      <c r="D519" s="653"/>
      <c r="E519" s="654"/>
      <c r="F519" s="654"/>
      <c r="G519" s="654"/>
      <c r="H519" s="655"/>
      <c r="I519" s="654"/>
      <c r="J519" s="654"/>
      <c r="K519" s="656"/>
      <c r="L519" s="272"/>
    </row>
    <row r="520" spans="1:26">
      <c r="A520" s="651"/>
      <c r="B520" s="652"/>
      <c r="C520" s="652"/>
      <c r="D520" s="653"/>
      <c r="E520" s="654"/>
      <c r="F520" s="654"/>
      <c r="G520" s="654"/>
      <c r="H520" s="655"/>
      <c r="I520" s="654"/>
      <c r="J520" s="654"/>
      <c r="K520" s="656"/>
      <c r="L520" s="272"/>
    </row>
    <row r="521" spans="1:26">
      <c r="A521" s="772">
        <v>42341</v>
      </c>
      <c r="B521" s="773" t="s">
        <v>1698</v>
      </c>
      <c r="C521" s="773" t="s">
        <v>220</v>
      </c>
      <c r="D521" s="774"/>
      <c r="E521" s="274">
        <v>-9.6000000000000002E-2</v>
      </c>
      <c r="F521" s="274">
        <v>7.2999999999999995E-2</v>
      </c>
      <c r="G521" s="775" t="s">
        <v>246</v>
      </c>
      <c r="H521" s="775" t="s">
        <v>246</v>
      </c>
      <c r="I521" s="274">
        <v>-5.0000000000000001E-3</v>
      </c>
      <c r="J521" s="274"/>
      <c r="K521" s="656">
        <v>0.40100000000000002</v>
      </c>
      <c r="L521" s="295"/>
      <c r="M521" s="233"/>
    </row>
    <row r="522" spans="1:26" s="153" customFormat="1">
      <c r="A522" s="363">
        <v>42495</v>
      </c>
      <c r="B522" s="764" t="s">
        <v>1957</v>
      </c>
      <c r="C522" s="290" t="s">
        <v>220</v>
      </c>
      <c r="D522" s="288"/>
      <c r="E522" s="237">
        <v>5.3999999999999999E-2</v>
      </c>
      <c r="F522" s="237">
        <v>1.6E-2</v>
      </c>
      <c r="G522" s="365">
        <v>-0.155</v>
      </c>
      <c r="H522" s="365" t="s">
        <v>246</v>
      </c>
      <c r="I522" s="254">
        <v>0.02</v>
      </c>
      <c r="J522" s="254"/>
      <c r="K522" s="292">
        <v>0.33200000000000002</v>
      </c>
      <c r="L522" s="233"/>
      <c r="M522" s="233"/>
      <c r="N522" s="233"/>
      <c r="O522" s="233"/>
    </row>
    <row r="523" spans="1:26" ht="14" thickBot="1">
      <c r="A523" s="765">
        <v>42495</v>
      </c>
      <c r="B523" s="766" t="s">
        <v>286</v>
      </c>
      <c r="C523" s="767" t="s">
        <v>220</v>
      </c>
      <c r="D523" s="768"/>
      <c r="E523" s="769">
        <v>-3.3000000000000002E-2</v>
      </c>
      <c r="F523" s="769">
        <v>-3.0000000000000001E-3</v>
      </c>
      <c r="G523" s="771">
        <v>0</v>
      </c>
      <c r="H523" s="769">
        <v>5.6000000000000001E-2</v>
      </c>
      <c r="I523" s="770">
        <v>1.2E-2</v>
      </c>
      <c r="J523" s="770"/>
      <c r="K523" s="768"/>
      <c r="L523" s="223"/>
      <c r="N523" s="223"/>
      <c r="P523" s="113"/>
      <c r="Q523" s="113"/>
      <c r="R523" s="113"/>
      <c r="S523" s="113"/>
      <c r="T523" s="113"/>
      <c r="U523" s="113"/>
      <c r="V523" s="113"/>
      <c r="W523" s="113"/>
      <c r="X523" s="113"/>
      <c r="Y523" s="113"/>
      <c r="Z523" s="113"/>
    </row>
    <row r="524" spans="1:26" s="326" customFormat="1" ht="11">
      <c r="A524" s="330"/>
      <c r="B524" s="330"/>
      <c r="C524" s="330"/>
      <c r="D524" s="330"/>
      <c r="E524" s="327">
        <f>AVERAGE(E521:E523)</f>
        <v>-2.5000000000000005E-2</v>
      </c>
      <c r="F524" s="327">
        <f t="shared" ref="F524:K524" si="0">AVERAGE(F521:F523)</f>
        <v>2.8666666666666663E-2</v>
      </c>
      <c r="G524" s="327">
        <f t="shared" si="0"/>
        <v>-7.7499999999999999E-2</v>
      </c>
      <c r="H524" s="327">
        <f t="shared" si="0"/>
        <v>5.6000000000000001E-2</v>
      </c>
      <c r="I524" s="327">
        <f t="shared" si="0"/>
        <v>8.9999999999999993E-3</v>
      </c>
      <c r="J524" s="327" t="e">
        <f t="shared" si="0"/>
        <v>#DIV/0!</v>
      </c>
      <c r="K524" s="327">
        <f t="shared" si="0"/>
        <v>0.36650000000000005</v>
      </c>
    </row>
    <row r="525" spans="1:26" s="326" customFormat="1" ht="11">
      <c r="A525" s="3436" t="s">
        <v>1113</v>
      </c>
      <c r="B525" s="3436"/>
      <c r="C525" s="3436"/>
      <c r="D525" s="3436"/>
      <c r="E525" s="3436"/>
      <c r="F525" s="3436"/>
      <c r="G525" s="3436"/>
      <c r="H525" s="3436"/>
      <c r="I525" s="3436"/>
      <c r="J525" s="3436"/>
      <c r="K525" s="3436"/>
      <c r="L525" s="325"/>
      <c r="N525" s="327"/>
    </row>
    <row r="526" spans="1:26" s="326" customFormat="1" ht="11.25" customHeight="1">
      <c r="A526" s="3436" t="s">
        <v>1474</v>
      </c>
      <c r="B526" s="3436"/>
      <c r="C526" s="3436"/>
      <c r="D526" s="3436"/>
      <c r="E526" s="3436"/>
      <c r="F526" s="3436"/>
      <c r="G526" s="3436"/>
      <c r="H526" s="3436"/>
      <c r="I526" s="3436"/>
      <c r="J526" s="3436"/>
      <c r="K526" s="3436"/>
      <c r="L526" s="325"/>
      <c r="N526" s="327"/>
    </row>
    <row r="527" spans="1:26" s="326" customFormat="1" ht="11">
      <c r="A527" s="324" t="s">
        <v>1475</v>
      </c>
      <c r="B527" s="324"/>
      <c r="C527" s="324"/>
      <c r="D527" s="324"/>
      <c r="E527" s="324"/>
      <c r="F527" s="324"/>
      <c r="G527" s="324"/>
      <c r="H527" s="324"/>
      <c r="I527" s="324"/>
      <c r="J527" s="324"/>
      <c r="K527" s="324"/>
      <c r="L527" s="325"/>
      <c r="N527" s="327"/>
    </row>
    <row r="528" spans="1:26" s="326" customFormat="1" ht="22.5" customHeight="1">
      <c r="A528" s="3437" t="s">
        <v>1476</v>
      </c>
      <c r="B528" s="3437"/>
      <c r="C528" s="3437"/>
      <c r="D528" s="3437"/>
      <c r="E528" s="3437"/>
      <c r="F528" s="3437"/>
      <c r="G528" s="3437"/>
      <c r="H528" s="3437"/>
      <c r="I528" s="3437"/>
      <c r="J528" s="3437"/>
      <c r="K528" s="3437"/>
      <c r="L528" s="325"/>
      <c r="N528" s="327"/>
    </row>
    <row r="529" spans="1:26" s="127" customFormat="1" ht="11">
      <c r="A529" s="3438" t="s">
        <v>1477</v>
      </c>
      <c r="B529" s="3438"/>
      <c r="C529" s="3438"/>
      <c r="D529" s="3438"/>
      <c r="E529" s="3438"/>
      <c r="F529" s="3438"/>
      <c r="G529" s="3438"/>
      <c r="H529" s="3438"/>
      <c r="I529" s="3438"/>
      <c r="J529" s="3438"/>
      <c r="K529" s="3438"/>
      <c r="L529" s="329"/>
      <c r="M529" s="326"/>
      <c r="N529" s="327"/>
      <c r="O529" s="326"/>
      <c r="P529" s="326"/>
      <c r="Q529" s="326"/>
      <c r="R529" s="326"/>
      <c r="S529" s="326"/>
      <c r="T529" s="326"/>
      <c r="U529" s="326"/>
      <c r="V529" s="326"/>
      <c r="W529" s="326"/>
      <c r="X529" s="326"/>
      <c r="Y529" s="326"/>
      <c r="Z529" s="326"/>
    </row>
    <row r="530" spans="1:26" s="127" customFormat="1" ht="11">
      <c r="A530" s="324" t="s">
        <v>1480</v>
      </c>
      <c r="B530" s="328"/>
      <c r="C530" s="328"/>
      <c r="D530" s="328"/>
      <c r="E530" s="328"/>
      <c r="F530" s="328"/>
      <c r="G530" s="328"/>
      <c r="H530" s="328"/>
      <c r="I530" s="328"/>
      <c r="J530" s="328"/>
      <c r="K530" s="328"/>
      <c r="L530" s="329"/>
      <c r="M530" s="326"/>
      <c r="N530" s="327"/>
      <c r="O530" s="326"/>
      <c r="P530" s="326"/>
      <c r="Q530" s="326"/>
      <c r="R530" s="326"/>
      <c r="S530" s="326"/>
      <c r="T530" s="326"/>
      <c r="U530" s="326"/>
      <c r="V530" s="326"/>
      <c r="W530" s="326"/>
      <c r="X530" s="326"/>
      <c r="Y530" s="326"/>
      <c r="Z530" s="326"/>
    </row>
    <row r="531" spans="1:26" s="127" customFormat="1" ht="11.25" customHeight="1">
      <c r="A531" s="127" t="s">
        <v>1479</v>
      </c>
      <c r="L531" s="329"/>
      <c r="M531" s="326"/>
      <c r="N531" s="327"/>
      <c r="O531" s="326"/>
      <c r="P531" s="326"/>
      <c r="Q531" s="326"/>
      <c r="R531" s="326"/>
      <c r="S531" s="326"/>
      <c r="T531" s="326"/>
      <c r="U531" s="326"/>
      <c r="V531" s="326"/>
      <c r="W531" s="326"/>
      <c r="X531" s="326"/>
      <c r="Y531" s="326"/>
      <c r="Z531" s="326"/>
    </row>
    <row r="532" spans="1:26" s="127" customFormat="1" ht="11.25" customHeight="1">
      <c r="A532" s="3438" t="s">
        <v>1478</v>
      </c>
      <c r="B532" s="3438"/>
      <c r="C532" s="3438"/>
      <c r="D532" s="3438"/>
      <c r="E532" s="3438"/>
      <c r="F532" s="3438"/>
      <c r="G532" s="3438"/>
      <c r="H532" s="3438"/>
      <c r="I532" s="3438"/>
      <c r="J532" s="3438"/>
      <c r="K532" s="3438"/>
      <c r="L532" s="329"/>
      <c r="M532" s="326"/>
      <c r="N532" s="327"/>
      <c r="O532" s="326"/>
      <c r="P532" s="326"/>
      <c r="Q532" s="326"/>
      <c r="R532" s="326"/>
      <c r="S532" s="326"/>
      <c r="T532" s="326"/>
      <c r="U532" s="326"/>
      <c r="V532" s="326"/>
      <c r="W532" s="326"/>
      <c r="X532" s="326"/>
      <c r="Y532" s="326"/>
      <c r="Z532" s="326"/>
    </row>
    <row r="533" spans="1:26" s="127" customFormat="1" ht="11.25" customHeight="1">
      <c r="A533" s="330"/>
      <c r="B533" s="330"/>
      <c r="C533" s="330"/>
      <c r="D533" s="331"/>
      <c r="E533" s="332"/>
      <c r="F533" s="333"/>
      <c r="G533" s="333"/>
      <c r="H533" s="333"/>
      <c r="I533" s="334"/>
      <c r="J533" s="334"/>
      <c r="K533" s="335"/>
      <c r="L533" s="329"/>
      <c r="M533" s="326"/>
      <c r="N533" s="327"/>
      <c r="O533" s="326"/>
      <c r="P533" s="326"/>
      <c r="Q533" s="326"/>
      <c r="R533" s="326"/>
      <c r="S533" s="326"/>
      <c r="T533" s="326"/>
      <c r="U533" s="326"/>
      <c r="V533" s="326"/>
      <c r="W533" s="326"/>
      <c r="X533" s="326"/>
      <c r="Y533" s="326"/>
      <c r="Z533" s="326"/>
    </row>
    <row r="534" spans="1:26" s="127" customFormat="1" ht="11">
      <c r="A534" s="3437" t="s">
        <v>1463</v>
      </c>
      <c r="B534" s="3437"/>
      <c r="C534" s="3437"/>
      <c r="D534" s="3437"/>
      <c r="E534" s="3437"/>
      <c r="F534" s="3437"/>
      <c r="G534" s="3437"/>
      <c r="H534" s="3437"/>
      <c r="I534" s="3437"/>
      <c r="J534" s="3437"/>
      <c r="K534" s="3437"/>
      <c r="L534" s="329"/>
      <c r="M534" s="326"/>
      <c r="N534" s="327"/>
      <c r="O534" s="326"/>
      <c r="P534" s="326"/>
      <c r="Q534" s="326"/>
      <c r="R534" s="326"/>
      <c r="S534" s="326"/>
      <c r="T534" s="326"/>
      <c r="U534" s="326"/>
      <c r="V534" s="326"/>
      <c r="W534" s="326"/>
      <c r="X534" s="326"/>
      <c r="Y534" s="326"/>
      <c r="Z534" s="326"/>
    </row>
    <row r="535" spans="1:26" s="127" customFormat="1" ht="11">
      <c r="A535" s="3440" t="s">
        <v>1537</v>
      </c>
      <c r="B535" s="3440"/>
      <c r="C535" s="3440"/>
      <c r="D535" s="3440"/>
      <c r="E535" s="3440"/>
      <c r="F535" s="3440"/>
      <c r="G535" s="3440"/>
      <c r="H535" s="3440"/>
      <c r="I535" s="3440"/>
      <c r="J535" s="3440"/>
      <c r="K535" s="3440"/>
      <c r="L535" s="329"/>
      <c r="M535" s="326"/>
      <c r="N535" s="327"/>
      <c r="O535" s="326"/>
      <c r="P535" s="326"/>
      <c r="Q535" s="326"/>
      <c r="R535" s="326"/>
      <c r="S535" s="326"/>
      <c r="T535" s="326"/>
      <c r="U535" s="326"/>
      <c r="V535" s="326"/>
      <c r="W535" s="326"/>
      <c r="X535" s="326"/>
      <c r="Y535" s="326"/>
      <c r="Z535" s="326"/>
    </row>
    <row r="536" spans="1:26" s="127" customFormat="1" ht="11">
      <c r="A536" s="3440" t="s">
        <v>1512</v>
      </c>
      <c r="B536" s="3440"/>
      <c r="C536" s="3440"/>
      <c r="D536" s="3440"/>
      <c r="E536" s="3440"/>
      <c r="F536" s="3440"/>
      <c r="G536" s="3440"/>
      <c r="H536" s="3440"/>
      <c r="I536" s="3440"/>
      <c r="J536" s="3440"/>
      <c r="K536" s="3440"/>
      <c r="L536" s="329"/>
      <c r="M536" s="326"/>
      <c r="N536" s="327"/>
      <c r="O536" s="326"/>
      <c r="P536" s="326"/>
      <c r="Q536" s="326"/>
      <c r="R536" s="326"/>
      <c r="S536" s="326"/>
      <c r="T536" s="326"/>
      <c r="U536" s="326"/>
      <c r="V536" s="326"/>
      <c r="W536" s="326"/>
      <c r="X536" s="326"/>
      <c r="Y536" s="326"/>
      <c r="Z536" s="326"/>
    </row>
    <row r="537" spans="1:26" s="127" customFormat="1" ht="11">
      <c r="A537" s="3439" t="s">
        <v>1538</v>
      </c>
      <c r="B537" s="3439"/>
      <c r="C537" s="3439"/>
      <c r="D537" s="3439"/>
      <c r="E537" s="3439"/>
      <c r="F537" s="3439"/>
      <c r="G537" s="3439"/>
      <c r="H537" s="3439"/>
      <c r="I537" s="3439"/>
      <c r="J537" s="3439"/>
      <c r="K537" s="3439"/>
      <c r="L537" s="329"/>
      <c r="M537" s="326"/>
      <c r="N537" s="327"/>
      <c r="O537" s="326"/>
      <c r="P537" s="326"/>
      <c r="Q537" s="326"/>
      <c r="R537" s="326"/>
      <c r="S537" s="326"/>
      <c r="T537" s="326"/>
      <c r="U537" s="326"/>
      <c r="V537" s="326"/>
      <c r="W537" s="326"/>
      <c r="X537" s="326"/>
      <c r="Y537" s="326"/>
      <c r="Z537" s="326"/>
    </row>
    <row r="538" spans="1:26">
      <c r="A538" s="270"/>
      <c r="B538" s="270"/>
      <c r="C538" s="270"/>
      <c r="D538" s="119"/>
      <c r="E538" s="241"/>
      <c r="F538" s="237"/>
      <c r="G538" s="237"/>
      <c r="H538" s="237"/>
      <c r="I538" s="237"/>
      <c r="J538" s="237"/>
      <c r="K538" s="288"/>
      <c r="L538" s="272"/>
    </row>
    <row r="539" spans="1:26">
      <c r="A539" s="336"/>
      <c r="B539" s="270"/>
      <c r="C539" s="270"/>
      <c r="D539" s="119"/>
      <c r="E539" s="241"/>
      <c r="F539" s="237"/>
      <c r="G539" s="237"/>
      <c r="H539" s="237"/>
      <c r="I539" s="237"/>
      <c r="J539" s="237"/>
      <c r="K539" s="288"/>
      <c r="L539" s="272"/>
    </row>
    <row r="540" spans="1:26">
      <c r="A540" s="270"/>
      <c r="B540" s="270"/>
      <c r="C540" s="270"/>
      <c r="D540" s="119"/>
      <c r="E540" s="241"/>
      <c r="F540" s="237"/>
      <c r="G540" s="237"/>
      <c r="H540" s="237"/>
      <c r="I540" s="237"/>
      <c r="J540" s="237"/>
      <c r="K540" s="288"/>
      <c r="L540" s="272"/>
    </row>
    <row r="630" spans="3:8">
      <c r="C630" s="337"/>
      <c r="D630" s="241"/>
      <c r="E630" s="237"/>
      <c r="F630" s="237"/>
      <c r="G630" s="237"/>
      <c r="H630" s="237"/>
    </row>
    <row r="631" spans="3:8">
      <c r="C631" s="337"/>
      <c r="D631" s="241"/>
      <c r="E631" s="237"/>
      <c r="F631" s="237"/>
      <c r="G631" s="237"/>
      <c r="H631" s="237"/>
    </row>
    <row r="632" spans="3:8">
      <c r="C632" s="337"/>
      <c r="D632" s="241"/>
      <c r="E632" s="237"/>
      <c r="F632" s="237"/>
      <c r="G632" s="237"/>
      <c r="H632" s="237"/>
    </row>
    <row r="633" spans="3:8">
      <c r="C633" s="337"/>
      <c r="D633" s="241"/>
      <c r="E633" s="237"/>
      <c r="F633" s="237"/>
      <c r="G633" s="237"/>
      <c r="H633" s="237"/>
    </row>
    <row r="634" spans="3:8">
      <c r="C634" s="337"/>
      <c r="D634" s="241"/>
      <c r="E634" s="237"/>
      <c r="F634" s="237"/>
      <c r="G634" s="237"/>
      <c r="H634" s="237"/>
    </row>
    <row r="635" spans="3:8">
      <c r="C635" s="337"/>
      <c r="D635" s="241"/>
      <c r="E635" s="237"/>
      <c r="F635" s="237"/>
      <c r="G635" s="237"/>
      <c r="H635" s="237"/>
    </row>
    <row r="636" spans="3:8">
      <c r="C636" s="337"/>
      <c r="D636" s="241"/>
      <c r="E636" s="237"/>
      <c r="F636" s="237"/>
      <c r="G636" s="237"/>
      <c r="H636" s="237"/>
    </row>
    <row r="637" spans="3:8">
      <c r="C637" s="337"/>
      <c r="D637" s="241"/>
      <c r="E637" s="237"/>
      <c r="F637" s="237"/>
      <c r="G637" s="237"/>
      <c r="H637" s="237"/>
    </row>
    <row r="638" spans="3:8">
      <c r="C638" s="337"/>
      <c r="D638" s="241"/>
      <c r="E638" s="237"/>
      <c r="F638" s="237"/>
      <c r="G638" s="237"/>
      <c r="H638" s="237"/>
    </row>
    <row r="639" spans="3:8">
      <c r="C639" s="337"/>
      <c r="D639" s="241"/>
      <c r="E639" s="237"/>
      <c r="F639" s="237"/>
      <c r="G639" s="237"/>
      <c r="H639" s="237"/>
    </row>
    <row r="640" spans="3:8">
      <c r="C640" s="337"/>
      <c r="D640" s="241"/>
      <c r="E640" s="237"/>
      <c r="F640" s="237"/>
      <c r="G640" s="237"/>
      <c r="H640" s="237"/>
    </row>
    <row r="641" spans="3:8">
      <c r="C641" s="337"/>
      <c r="D641" s="241"/>
      <c r="E641" s="237"/>
      <c r="F641" s="237"/>
      <c r="G641" s="237"/>
      <c r="H641" s="237"/>
    </row>
    <row r="642" spans="3:8">
      <c r="C642" s="337"/>
      <c r="D642" s="241"/>
      <c r="E642" s="237"/>
      <c r="F642" s="237"/>
      <c r="G642" s="237"/>
      <c r="H642" s="237"/>
    </row>
    <row r="643" spans="3:8">
      <c r="C643" s="337"/>
      <c r="D643" s="241"/>
      <c r="E643" s="237"/>
      <c r="F643" s="237"/>
      <c r="G643" s="237"/>
      <c r="H643" s="237"/>
    </row>
    <row r="644" spans="3:8">
      <c r="C644" s="337"/>
      <c r="D644" s="241"/>
      <c r="E644" s="237"/>
      <c r="F644" s="237"/>
      <c r="G644" s="237"/>
      <c r="H644" s="237"/>
    </row>
    <row r="645" spans="3:8">
      <c r="C645" s="337"/>
      <c r="D645" s="241"/>
      <c r="E645" s="237"/>
      <c r="F645" s="237"/>
      <c r="G645" s="237"/>
      <c r="H645" s="237"/>
    </row>
    <row r="646" spans="3:8">
      <c r="C646" s="337"/>
      <c r="D646" s="241"/>
      <c r="E646" s="237"/>
      <c r="F646" s="237"/>
      <c r="G646" s="237"/>
      <c r="H646" s="237"/>
    </row>
    <row r="647" spans="3:8">
      <c r="C647" s="337"/>
      <c r="D647" s="241"/>
      <c r="E647" s="237"/>
      <c r="F647" s="237"/>
      <c r="G647" s="237"/>
      <c r="H647" s="237"/>
    </row>
    <row r="648" spans="3:8">
      <c r="C648" s="337"/>
      <c r="D648" s="241"/>
      <c r="E648" s="237"/>
      <c r="F648" s="237"/>
      <c r="G648" s="237"/>
      <c r="H648" s="237"/>
    </row>
    <row r="649" spans="3:8">
      <c r="C649" s="337"/>
      <c r="D649" s="241"/>
      <c r="E649" s="237"/>
      <c r="F649" s="237"/>
      <c r="G649" s="237"/>
      <c r="H649" s="237"/>
    </row>
    <row r="650" spans="3:8">
      <c r="C650" s="337"/>
      <c r="D650" s="241"/>
      <c r="E650" s="237"/>
      <c r="F650" s="237"/>
      <c r="G650" s="237"/>
      <c r="H650" s="237"/>
    </row>
    <row r="651" spans="3:8">
      <c r="C651" s="337"/>
      <c r="D651" s="241"/>
      <c r="E651" s="237"/>
      <c r="F651" s="237"/>
      <c r="G651" s="237"/>
      <c r="H651" s="237"/>
    </row>
    <row r="652" spans="3:8">
      <c r="C652" s="337"/>
      <c r="D652" s="241"/>
      <c r="E652" s="237"/>
      <c r="F652" s="237"/>
      <c r="G652" s="237"/>
      <c r="H652" s="237"/>
    </row>
    <row r="653" spans="3:8">
      <c r="C653" s="337"/>
      <c r="D653" s="241"/>
      <c r="E653" s="237"/>
      <c r="F653" s="237"/>
      <c r="G653" s="237"/>
      <c r="H653" s="237"/>
    </row>
    <row r="654" spans="3:8">
      <c r="C654" s="337"/>
      <c r="D654" s="241"/>
      <c r="E654" s="237"/>
      <c r="F654" s="237"/>
      <c r="G654" s="237"/>
      <c r="H654" s="237"/>
    </row>
    <row r="655" spans="3:8">
      <c r="C655" s="337"/>
      <c r="D655" s="241"/>
      <c r="E655" s="237"/>
      <c r="F655" s="237"/>
      <c r="G655" s="237"/>
      <c r="H655" s="237"/>
    </row>
    <row r="656" spans="3:8">
      <c r="C656" s="337"/>
      <c r="D656" s="241"/>
      <c r="E656" s="237"/>
      <c r="F656" s="237"/>
      <c r="G656" s="237"/>
      <c r="H656" s="237"/>
    </row>
    <row r="657" spans="3:8">
      <c r="C657" s="337"/>
      <c r="D657" s="241"/>
      <c r="E657" s="237"/>
      <c r="F657" s="237"/>
      <c r="G657" s="237"/>
      <c r="H657" s="237"/>
    </row>
    <row r="658" spans="3:8">
      <c r="C658" s="337"/>
      <c r="D658" s="241"/>
      <c r="E658" s="237"/>
      <c r="F658" s="237"/>
      <c r="G658" s="237"/>
      <c r="H658" s="237"/>
    </row>
    <row r="659" spans="3:8">
      <c r="C659" s="337"/>
      <c r="D659" s="241"/>
      <c r="E659" s="237"/>
      <c r="F659" s="237"/>
      <c r="G659" s="237"/>
      <c r="H659" s="237"/>
    </row>
    <row r="660" spans="3:8">
      <c r="C660" s="337"/>
      <c r="D660" s="241"/>
      <c r="E660" s="237"/>
      <c r="F660" s="237"/>
      <c r="G660" s="237"/>
      <c r="H660" s="237"/>
    </row>
    <row r="661" spans="3:8">
      <c r="C661" s="337"/>
      <c r="D661" s="241"/>
      <c r="E661" s="237"/>
      <c r="F661" s="237"/>
      <c r="G661" s="237"/>
      <c r="H661" s="237"/>
    </row>
    <row r="662" spans="3:8">
      <c r="C662" s="337"/>
      <c r="D662" s="241"/>
      <c r="E662" s="237"/>
      <c r="F662" s="237"/>
      <c r="G662" s="237"/>
      <c r="H662" s="237"/>
    </row>
    <row r="663" spans="3:8">
      <c r="C663" s="337"/>
      <c r="D663" s="241"/>
      <c r="E663" s="237"/>
      <c r="F663" s="237"/>
      <c r="G663" s="237"/>
      <c r="H663" s="237"/>
    </row>
    <row r="664" spans="3:8">
      <c r="C664" s="337"/>
      <c r="D664" s="241"/>
      <c r="E664" s="237"/>
      <c r="F664" s="237"/>
      <c r="G664" s="237"/>
      <c r="H664" s="237"/>
    </row>
    <row r="665" spans="3:8">
      <c r="C665" s="337"/>
      <c r="D665" s="241"/>
      <c r="E665" s="237"/>
      <c r="F665" s="237"/>
      <c r="G665" s="237"/>
      <c r="H665" s="237"/>
    </row>
    <row r="666" spans="3:8">
      <c r="C666" s="337"/>
      <c r="D666" s="241"/>
      <c r="E666" s="237"/>
      <c r="F666" s="237"/>
      <c r="G666" s="237"/>
      <c r="H666" s="237"/>
    </row>
    <row r="667" spans="3:8">
      <c r="C667" s="337"/>
      <c r="D667" s="241"/>
      <c r="E667" s="237"/>
      <c r="F667" s="237"/>
      <c r="G667" s="237"/>
      <c r="H667" s="237"/>
    </row>
    <row r="668" spans="3:8">
      <c r="C668" s="337"/>
      <c r="D668" s="241"/>
      <c r="E668" s="237"/>
      <c r="F668" s="237"/>
      <c r="G668" s="237"/>
      <c r="H668" s="237"/>
    </row>
    <row r="669" spans="3:8">
      <c r="C669" s="337"/>
      <c r="D669" s="241"/>
      <c r="E669" s="237"/>
      <c r="F669" s="237"/>
      <c r="G669" s="237"/>
      <c r="H669" s="237"/>
    </row>
    <row r="670" spans="3:8">
      <c r="C670" s="337"/>
      <c r="D670" s="241"/>
      <c r="E670" s="237"/>
      <c r="F670" s="237"/>
      <c r="G670" s="237"/>
      <c r="H670" s="237"/>
    </row>
    <row r="671" spans="3:8">
      <c r="C671" s="337"/>
      <c r="D671" s="241"/>
      <c r="E671" s="237"/>
      <c r="F671" s="237"/>
      <c r="G671" s="237"/>
      <c r="H671" s="237"/>
    </row>
    <row r="672" spans="3:8">
      <c r="C672" s="337"/>
      <c r="D672" s="241"/>
      <c r="E672" s="237"/>
      <c r="F672" s="237"/>
      <c r="G672" s="237"/>
      <c r="H672" s="237"/>
    </row>
    <row r="673" spans="3:8">
      <c r="C673" s="337"/>
      <c r="D673" s="241"/>
      <c r="E673" s="237"/>
      <c r="F673" s="237"/>
      <c r="G673" s="237"/>
      <c r="H673" s="237"/>
    </row>
    <row r="674" spans="3:8">
      <c r="C674" s="337"/>
      <c r="D674" s="241"/>
      <c r="E674" s="237"/>
      <c r="F674" s="237"/>
      <c r="G674" s="237"/>
      <c r="H674" s="237"/>
    </row>
    <row r="675" spans="3:8">
      <c r="C675" s="337"/>
      <c r="D675" s="241"/>
      <c r="E675" s="237"/>
      <c r="F675" s="237"/>
      <c r="G675" s="237"/>
      <c r="H675" s="237"/>
    </row>
    <row r="676" spans="3:8">
      <c r="C676" s="337"/>
      <c r="D676" s="241"/>
      <c r="E676" s="237"/>
      <c r="F676" s="237"/>
      <c r="G676" s="237"/>
      <c r="H676" s="237"/>
    </row>
    <row r="677" spans="3:8">
      <c r="C677" s="337"/>
      <c r="D677" s="241"/>
      <c r="E677" s="237"/>
      <c r="F677" s="237"/>
      <c r="G677" s="237"/>
      <c r="H677" s="237"/>
    </row>
    <row r="678" spans="3:8">
      <c r="C678" s="337"/>
      <c r="D678" s="241"/>
      <c r="E678" s="237"/>
      <c r="F678" s="237"/>
      <c r="G678" s="237"/>
      <c r="H678" s="237"/>
    </row>
    <row r="679" spans="3:8">
      <c r="C679" s="337"/>
      <c r="D679" s="241"/>
      <c r="E679" s="237"/>
      <c r="F679" s="237"/>
      <c r="G679" s="237"/>
      <c r="H679" s="237"/>
    </row>
    <row r="680" spans="3:8">
      <c r="C680" s="337"/>
      <c r="D680" s="241"/>
      <c r="E680" s="237"/>
      <c r="F680" s="237"/>
      <c r="G680" s="237"/>
      <c r="H680" s="237"/>
    </row>
    <row r="681" spans="3:8">
      <c r="C681" s="337"/>
      <c r="D681" s="241"/>
      <c r="E681" s="237"/>
      <c r="F681" s="237"/>
      <c r="G681" s="237"/>
      <c r="H681" s="237"/>
    </row>
    <row r="682" spans="3:8">
      <c r="C682" s="337"/>
      <c r="D682" s="241"/>
      <c r="E682" s="237"/>
      <c r="F682" s="237"/>
      <c r="G682" s="237"/>
      <c r="H682" s="237"/>
    </row>
    <row r="683" spans="3:8">
      <c r="C683" s="337"/>
      <c r="D683" s="241"/>
      <c r="E683" s="237"/>
      <c r="F683" s="237"/>
      <c r="G683" s="237"/>
      <c r="H683" s="237"/>
    </row>
    <row r="684" spans="3:8">
      <c r="C684" s="337"/>
      <c r="D684" s="241"/>
      <c r="E684" s="237"/>
      <c r="F684" s="237"/>
      <c r="G684" s="237"/>
      <c r="H684" s="237"/>
    </row>
    <row r="685" spans="3:8">
      <c r="C685" s="337"/>
      <c r="D685" s="241"/>
      <c r="E685" s="237"/>
      <c r="F685" s="237"/>
      <c r="G685" s="237"/>
      <c r="H685" s="237"/>
    </row>
    <row r="686" spans="3:8">
      <c r="C686" s="337"/>
      <c r="D686" s="241"/>
      <c r="E686" s="237"/>
      <c r="F686" s="237"/>
      <c r="G686" s="237"/>
      <c r="H686" s="237"/>
    </row>
    <row r="687" spans="3:8">
      <c r="C687" s="337"/>
      <c r="D687" s="241"/>
      <c r="E687" s="237"/>
      <c r="F687" s="237"/>
      <c r="G687" s="237"/>
      <c r="H687" s="237"/>
    </row>
    <row r="688" spans="3:8">
      <c r="C688" s="337"/>
      <c r="D688" s="241"/>
      <c r="E688" s="237"/>
      <c r="F688" s="237"/>
      <c r="G688" s="237"/>
      <c r="H688" s="237"/>
    </row>
    <row r="689" spans="3:8">
      <c r="C689" s="337"/>
      <c r="D689" s="241"/>
      <c r="E689" s="237"/>
      <c r="F689" s="237"/>
      <c r="G689" s="237"/>
      <c r="H689" s="237"/>
    </row>
    <row r="690" spans="3:8">
      <c r="C690" s="337"/>
      <c r="D690" s="241"/>
      <c r="E690" s="237"/>
      <c r="F690" s="237"/>
      <c r="G690" s="237"/>
      <c r="H690" s="237"/>
    </row>
    <row r="691" spans="3:8">
      <c r="C691" s="337"/>
      <c r="D691" s="241"/>
      <c r="E691" s="237"/>
      <c r="F691" s="237"/>
      <c r="G691" s="237"/>
      <c r="H691" s="237"/>
    </row>
    <row r="692" spans="3:8">
      <c r="C692" s="337"/>
      <c r="D692" s="241"/>
      <c r="E692" s="237"/>
      <c r="F692" s="237"/>
      <c r="G692" s="237"/>
      <c r="H692" s="237"/>
    </row>
    <row r="693" spans="3:8">
      <c r="C693" s="337"/>
      <c r="D693" s="241"/>
      <c r="E693" s="237"/>
      <c r="F693" s="237"/>
      <c r="G693" s="237"/>
      <c r="H693" s="237"/>
    </row>
    <row r="694" spans="3:8">
      <c r="C694" s="337"/>
      <c r="D694" s="241"/>
      <c r="E694" s="237"/>
      <c r="F694" s="237"/>
      <c r="G694" s="237"/>
      <c r="H694" s="237"/>
    </row>
    <row r="695" spans="3:8">
      <c r="C695" s="337"/>
      <c r="D695" s="241"/>
      <c r="E695" s="237"/>
      <c r="F695" s="237"/>
      <c r="G695" s="237"/>
      <c r="H695" s="237"/>
    </row>
    <row r="696" spans="3:8">
      <c r="C696" s="337"/>
      <c r="D696" s="241"/>
      <c r="E696" s="237"/>
      <c r="F696" s="237"/>
      <c r="G696" s="237"/>
      <c r="H696" s="237"/>
    </row>
    <row r="697" spans="3:8">
      <c r="C697" s="337"/>
      <c r="D697" s="241"/>
      <c r="E697" s="237"/>
      <c r="F697" s="237"/>
      <c r="G697" s="237"/>
      <c r="H697" s="237"/>
    </row>
    <row r="698" spans="3:8">
      <c r="C698" s="337"/>
      <c r="D698" s="241"/>
      <c r="E698" s="237"/>
      <c r="F698" s="237"/>
      <c r="G698" s="237"/>
      <c r="H698" s="237"/>
    </row>
    <row r="699" spans="3:8">
      <c r="C699" s="337"/>
      <c r="D699" s="241"/>
      <c r="E699" s="237"/>
      <c r="F699" s="237"/>
      <c r="G699" s="237"/>
      <c r="H699" s="237"/>
    </row>
    <row r="700" spans="3:8">
      <c r="C700" s="337"/>
      <c r="D700" s="241"/>
      <c r="E700" s="237"/>
      <c r="F700" s="237"/>
      <c r="G700" s="237"/>
      <c r="H700" s="237"/>
    </row>
    <row r="701" spans="3:8">
      <c r="C701" s="337"/>
      <c r="D701" s="241"/>
      <c r="E701" s="237"/>
      <c r="F701" s="237"/>
      <c r="G701" s="237"/>
      <c r="H701" s="237"/>
    </row>
    <row r="702" spans="3:8">
      <c r="C702" s="337"/>
      <c r="D702" s="241"/>
      <c r="E702" s="237"/>
      <c r="F702" s="237"/>
      <c r="G702" s="237"/>
      <c r="H702" s="237"/>
    </row>
    <row r="703" spans="3:8">
      <c r="C703" s="337"/>
      <c r="D703" s="241"/>
      <c r="E703" s="237"/>
      <c r="F703" s="237"/>
      <c r="G703" s="237"/>
      <c r="H703" s="237"/>
    </row>
    <row r="704" spans="3:8">
      <c r="C704" s="337"/>
      <c r="D704" s="241"/>
      <c r="E704" s="237"/>
      <c r="F704" s="237"/>
      <c r="G704" s="237"/>
      <c r="H704" s="237"/>
    </row>
    <row r="705" spans="3:8">
      <c r="C705" s="337"/>
      <c r="D705" s="241"/>
      <c r="E705" s="237"/>
      <c r="F705" s="237"/>
      <c r="G705" s="237"/>
      <c r="H705" s="237"/>
    </row>
    <row r="706" spans="3:8">
      <c r="C706" s="337"/>
      <c r="D706" s="241"/>
      <c r="E706" s="237"/>
      <c r="F706" s="237"/>
      <c r="G706" s="237"/>
      <c r="H706" s="237"/>
    </row>
    <row r="707" spans="3:8">
      <c r="C707" s="337"/>
      <c r="D707" s="241"/>
      <c r="E707" s="237"/>
      <c r="F707" s="237"/>
      <c r="G707" s="237"/>
      <c r="H707" s="237"/>
    </row>
    <row r="708" spans="3:8">
      <c r="C708" s="337"/>
      <c r="D708" s="241"/>
      <c r="E708" s="237"/>
      <c r="F708" s="237"/>
      <c r="G708" s="237"/>
      <c r="H708" s="237"/>
    </row>
    <row r="709" spans="3:8">
      <c r="C709" s="337"/>
      <c r="D709" s="241"/>
      <c r="E709" s="237"/>
      <c r="F709" s="237"/>
      <c r="G709" s="237"/>
      <c r="H709" s="237"/>
    </row>
    <row r="710" spans="3:8">
      <c r="C710" s="337"/>
      <c r="D710" s="241"/>
      <c r="E710" s="237"/>
      <c r="F710" s="237"/>
      <c r="G710" s="237"/>
      <c r="H710" s="237"/>
    </row>
    <row r="711" spans="3:8">
      <c r="C711" s="337"/>
      <c r="D711" s="241"/>
      <c r="E711" s="237"/>
      <c r="F711" s="237"/>
      <c r="G711" s="237"/>
      <c r="H711" s="237"/>
    </row>
    <row r="712" spans="3:8">
      <c r="C712" s="337"/>
      <c r="D712" s="241"/>
      <c r="E712" s="237"/>
      <c r="F712" s="237"/>
      <c r="G712" s="237"/>
      <c r="H712" s="237"/>
    </row>
    <row r="713" spans="3:8">
      <c r="C713" s="337"/>
      <c r="D713" s="241"/>
      <c r="E713" s="237"/>
      <c r="F713" s="237"/>
      <c r="G713" s="237"/>
      <c r="H713" s="237"/>
    </row>
    <row r="714" spans="3:8">
      <c r="C714" s="337"/>
      <c r="D714" s="241"/>
      <c r="E714" s="237"/>
      <c r="F714" s="237"/>
      <c r="G714" s="237"/>
      <c r="H714" s="237"/>
    </row>
    <row r="715" spans="3:8">
      <c r="C715" s="337"/>
      <c r="D715" s="241"/>
      <c r="E715" s="237"/>
      <c r="F715" s="237"/>
      <c r="G715" s="237"/>
      <c r="H715" s="237"/>
    </row>
    <row r="716" spans="3:8">
      <c r="C716" s="337"/>
      <c r="D716" s="241"/>
      <c r="E716" s="237"/>
      <c r="F716" s="237"/>
      <c r="G716" s="237"/>
      <c r="H716" s="237"/>
    </row>
    <row r="717" spans="3:8">
      <c r="C717" s="337"/>
      <c r="D717" s="241"/>
      <c r="E717" s="237"/>
      <c r="F717" s="237"/>
      <c r="G717" s="237"/>
      <c r="H717" s="237"/>
    </row>
    <row r="718" spans="3:8">
      <c r="C718" s="337"/>
      <c r="D718" s="241"/>
      <c r="E718" s="237"/>
      <c r="F718" s="237"/>
      <c r="G718" s="237"/>
      <c r="H718" s="237"/>
    </row>
    <row r="719" spans="3:8">
      <c r="C719" s="337"/>
      <c r="D719" s="241"/>
      <c r="E719" s="237"/>
      <c r="F719" s="237"/>
      <c r="G719" s="237"/>
      <c r="H719" s="237"/>
    </row>
    <row r="720" spans="3:8">
      <c r="C720" s="337"/>
      <c r="D720" s="241"/>
      <c r="E720" s="237"/>
      <c r="F720" s="237"/>
      <c r="G720" s="237"/>
      <c r="H720" s="237"/>
    </row>
    <row r="721" spans="3:8">
      <c r="C721" s="337"/>
      <c r="D721" s="241"/>
      <c r="E721" s="237"/>
      <c r="F721" s="237"/>
      <c r="G721" s="237"/>
      <c r="H721" s="237"/>
    </row>
    <row r="722" spans="3:8">
      <c r="C722" s="337"/>
      <c r="D722" s="241"/>
      <c r="E722" s="237"/>
      <c r="F722" s="237"/>
      <c r="G722" s="237"/>
      <c r="H722" s="237"/>
    </row>
    <row r="723" spans="3:8">
      <c r="C723" s="337"/>
      <c r="D723" s="241"/>
      <c r="E723" s="237"/>
      <c r="F723" s="237"/>
      <c r="G723" s="237"/>
      <c r="H723" s="237"/>
    </row>
    <row r="724" spans="3:8">
      <c r="C724" s="337"/>
      <c r="D724" s="241"/>
      <c r="E724" s="237"/>
      <c r="F724" s="237"/>
      <c r="G724" s="237"/>
      <c r="H724" s="237"/>
    </row>
    <row r="725" spans="3:8">
      <c r="C725" s="337"/>
      <c r="D725" s="241"/>
      <c r="E725" s="237"/>
      <c r="F725" s="237"/>
      <c r="G725" s="237"/>
      <c r="H725" s="237"/>
    </row>
    <row r="726" spans="3:8">
      <c r="C726" s="337"/>
      <c r="D726" s="241"/>
      <c r="E726" s="237"/>
      <c r="F726" s="237"/>
      <c r="G726" s="237"/>
      <c r="H726" s="237"/>
    </row>
    <row r="727" spans="3:8">
      <c r="C727" s="337"/>
      <c r="D727" s="241"/>
      <c r="E727" s="237"/>
      <c r="F727" s="237"/>
      <c r="G727" s="237"/>
      <c r="H727" s="237"/>
    </row>
    <row r="728" spans="3:8">
      <c r="C728" s="337"/>
      <c r="D728" s="241"/>
      <c r="E728" s="237"/>
      <c r="F728" s="237"/>
      <c r="G728" s="237"/>
      <c r="H728" s="237"/>
    </row>
    <row r="729" spans="3:8">
      <c r="C729" s="337"/>
      <c r="D729" s="241"/>
      <c r="E729" s="237"/>
      <c r="F729" s="237"/>
      <c r="G729" s="237"/>
      <c r="H729" s="237"/>
    </row>
    <row r="730" spans="3:8">
      <c r="C730" s="337"/>
      <c r="D730" s="241"/>
      <c r="E730" s="237"/>
      <c r="F730" s="237"/>
      <c r="G730" s="237"/>
      <c r="H730" s="237"/>
    </row>
    <row r="731" spans="3:8">
      <c r="C731" s="337"/>
      <c r="D731" s="241"/>
      <c r="E731" s="237"/>
      <c r="F731" s="237"/>
      <c r="G731" s="237"/>
      <c r="H731" s="237"/>
    </row>
    <row r="732" spans="3:8">
      <c r="C732" s="337"/>
      <c r="D732" s="241"/>
      <c r="E732" s="237"/>
      <c r="F732" s="237"/>
      <c r="G732" s="237"/>
      <c r="H732" s="237"/>
    </row>
    <row r="733" spans="3:8">
      <c r="C733" s="337"/>
      <c r="D733" s="241"/>
      <c r="E733" s="237"/>
      <c r="F733" s="237"/>
      <c r="G733" s="237"/>
      <c r="H733" s="237"/>
    </row>
    <row r="734" spans="3:8">
      <c r="C734" s="337"/>
      <c r="D734" s="241"/>
      <c r="E734" s="237"/>
      <c r="F734" s="237"/>
      <c r="G734" s="237"/>
      <c r="H734" s="237"/>
    </row>
    <row r="735" spans="3:8">
      <c r="C735" s="337"/>
      <c r="D735" s="241"/>
      <c r="E735" s="237"/>
      <c r="F735" s="237"/>
      <c r="G735" s="237"/>
      <c r="H735" s="237"/>
    </row>
    <row r="736" spans="3:8">
      <c r="C736" s="337"/>
      <c r="D736" s="241"/>
      <c r="E736" s="237"/>
      <c r="F736" s="237"/>
      <c r="G736" s="237"/>
      <c r="H736" s="237"/>
    </row>
    <row r="737" spans="3:8">
      <c r="C737" s="337"/>
      <c r="D737" s="241"/>
      <c r="E737" s="237"/>
      <c r="F737" s="237"/>
      <c r="G737" s="237"/>
      <c r="H737" s="237"/>
    </row>
    <row r="738" spans="3:8">
      <c r="C738" s="337"/>
      <c r="D738" s="241"/>
      <c r="E738" s="237"/>
      <c r="F738" s="237"/>
      <c r="G738" s="237"/>
      <c r="H738" s="237"/>
    </row>
    <row r="739" spans="3:8">
      <c r="C739" s="337"/>
      <c r="D739" s="241"/>
      <c r="E739" s="237"/>
      <c r="F739" s="237"/>
      <c r="G739" s="237"/>
      <c r="H739" s="237"/>
    </row>
    <row r="740" spans="3:8">
      <c r="C740" s="337"/>
      <c r="D740" s="241"/>
      <c r="E740" s="237"/>
      <c r="F740" s="237"/>
      <c r="G740" s="237"/>
      <c r="H740" s="237"/>
    </row>
    <row r="741" spans="3:8">
      <c r="C741" s="337"/>
      <c r="D741" s="241"/>
      <c r="E741" s="237"/>
      <c r="F741" s="237"/>
      <c r="G741" s="237"/>
      <c r="H741" s="237"/>
    </row>
    <row r="742" spans="3:8">
      <c r="C742" s="337"/>
      <c r="D742" s="241"/>
      <c r="E742" s="237"/>
      <c r="F742" s="237"/>
      <c r="G742" s="237"/>
      <c r="H742" s="237"/>
    </row>
    <row r="743" spans="3:8">
      <c r="C743" s="337"/>
      <c r="D743" s="241"/>
      <c r="E743" s="237"/>
      <c r="F743" s="237"/>
      <c r="G743" s="237"/>
      <c r="H743" s="237"/>
    </row>
    <row r="744" spans="3:8">
      <c r="C744" s="337"/>
      <c r="D744" s="241"/>
      <c r="E744" s="237"/>
      <c r="F744" s="237"/>
      <c r="G744" s="237"/>
      <c r="H744" s="237"/>
    </row>
    <row r="745" spans="3:8">
      <c r="C745" s="337"/>
      <c r="D745" s="241"/>
      <c r="E745" s="237"/>
      <c r="F745" s="237"/>
      <c r="G745" s="237"/>
      <c r="H745" s="237"/>
    </row>
    <row r="746" spans="3:8">
      <c r="C746" s="337"/>
      <c r="D746" s="241"/>
      <c r="E746" s="237"/>
      <c r="F746" s="237"/>
      <c r="G746" s="237"/>
      <c r="H746" s="237"/>
    </row>
    <row r="747" spans="3:8">
      <c r="C747" s="337"/>
      <c r="D747" s="241"/>
      <c r="E747" s="237"/>
      <c r="F747" s="237"/>
      <c r="G747" s="237"/>
      <c r="H747" s="237"/>
    </row>
    <row r="748" spans="3:8">
      <c r="C748" s="337"/>
      <c r="D748" s="241"/>
      <c r="E748" s="237"/>
      <c r="F748" s="237"/>
      <c r="G748" s="237"/>
      <c r="H748" s="237"/>
    </row>
    <row r="749" spans="3:8">
      <c r="C749" s="337"/>
      <c r="D749" s="241"/>
      <c r="E749" s="237"/>
      <c r="F749" s="237"/>
      <c r="G749" s="237"/>
      <c r="H749" s="237"/>
    </row>
    <row r="750" spans="3:8">
      <c r="C750" s="337"/>
      <c r="D750" s="241"/>
      <c r="E750" s="237"/>
      <c r="F750" s="237"/>
      <c r="G750" s="237"/>
      <c r="H750" s="237"/>
    </row>
    <row r="751" spans="3:8">
      <c r="C751" s="337"/>
      <c r="D751" s="241"/>
      <c r="E751" s="237"/>
      <c r="F751" s="237"/>
      <c r="G751" s="237"/>
      <c r="H751" s="237"/>
    </row>
    <row r="752" spans="3:8">
      <c r="C752" s="337"/>
      <c r="D752" s="241"/>
      <c r="E752" s="237"/>
      <c r="F752" s="237"/>
      <c r="G752" s="237"/>
      <c r="H752" s="237"/>
    </row>
    <row r="753" spans="3:8">
      <c r="C753" s="337"/>
      <c r="D753" s="241"/>
      <c r="E753" s="237"/>
      <c r="F753" s="237"/>
      <c r="G753" s="237"/>
      <c r="H753" s="237"/>
    </row>
    <row r="754" spans="3:8">
      <c r="C754" s="337"/>
      <c r="D754" s="241"/>
      <c r="E754" s="237"/>
      <c r="F754" s="237"/>
      <c r="G754" s="237"/>
      <c r="H754" s="237"/>
    </row>
    <row r="755" spans="3:8">
      <c r="C755" s="337"/>
      <c r="D755" s="241"/>
      <c r="E755" s="237"/>
      <c r="F755" s="237"/>
      <c r="G755" s="237"/>
      <c r="H755" s="237"/>
    </row>
    <row r="756" spans="3:8">
      <c r="C756" s="337"/>
      <c r="D756" s="241"/>
      <c r="E756" s="237"/>
      <c r="F756" s="237"/>
      <c r="G756" s="237"/>
      <c r="H756" s="237"/>
    </row>
    <row r="757" spans="3:8">
      <c r="C757" s="337"/>
      <c r="D757" s="241"/>
      <c r="E757" s="237"/>
      <c r="F757" s="237"/>
      <c r="G757" s="237"/>
      <c r="H757" s="237"/>
    </row>
    <row r="758" spans="3:8">
      <c r="C758" s="337"/>
      <c r="D758" s="241"/>
      <c r="E758" s="237"/>
      <c r="F758" s="237"/>
      <c r="G758" s="237"/>
      <c r="H758" s="237"/>
    </row>
    <row r="759" spans="3:8">
      <c r="C759" s="337"/>
      <c r="D759" s="241"/>
      <c r="E759" s="237"/>
      <c r="F759" s="237"/>
      <c r="G759" s="237"/>
      <c r="H759" s="237"/>
    </row>
    <row r="760" spans="3:8">
      <c r="C760" s="337"/>
      <c r="D760" s="241"/>
      <c r="E760" s="237"/>
      <c r="F760" s="237"/>
      <c r="G760" s="237"/>
      <c r="H760" s="237"/>
    </row>
    <row r="761" spans="3:8">
      <c r="C761" s="337"/>
      <c r="D761" s="241"/>
      <c r="E761" s="237"/>
      <c r="F761" s="237"/>
      <c r="G761" s="237"/>
      <c r="H761" s="237"/>
    </row>
    <row r="762" spans="3:8">
      <c r="C762" s="337"/>
      <c r="D762" s="241"/>
      <c r="E762" s="237"/>
      <c r="F762" s="237"/>
      <c r="G762" s="237"/>
      <c r="H762" s="237"/>
    </row>
    <row r="763" spans="3:8">
      <c r="C763" s="337"/>
      <c r="D763" s="241"/>
      <c r="E763" s="237"/>
      <c r="F763" s="237"/>
      <c r="G763" s="237"/>
      <c r="H763" s="237"/>
    </row>
    <row r="764" spans="3:8">
      <c r="C764" s="337"/>
      <c r="D764" s="241"/>
      <c r="E764" s="237"/>
      <c r="F764" s="237"/>
      <c r="G764" s="237"/>
      <c r="H764" s="237"/>
    </row>
    <row r="765" spans="3:8">
      <c r="C765" s="337"/>
      <c r="D765" s="241"/>
      <c r="E765" s="237"/>
      <c r="F765" s="237"/>
      <c r="G765" s="237"/>
      <c r="H765" s="237"/>
    </row>
    <row r="766" spans="3:8">
      <c r="C766" s="337"/>
      <c r="D766" s="241"/>
      <c r="E766" s="237"/>
      <c r="F766" s="237"/>
      <c r="G766" s="237"/>
      <c r="H766" s="237"/>
    </row>
    <row r="767" spans="3:8">
      <c r="C767" s="337"/>
      <c r="D767" s="241"/>
      <c r="E767" s="237"/>
      <c r="F767" s="237"/>
      <c r="G767" s="237"/>
      <c r="H767" s="237"/>
    </row>
    <row r="768" spans="3:8">
      <c r="C768" s="337"/>
      <c r="D768" s="241"/>
      <c r="E768" s="237"/>
      <c r="F768" s="237"/>
      <c r="G768" s="237"/>
      <c r="H768" s="237"/>
    </row>
    <row r="769" spans="3:8">
      <c r="C769" s="337"/>
      <c r="D769" s="241"/>
      <c r="E769" s="237"/>
      <c r="F769" s="237"/>
      <c r="G769" s="237"/>
      <c r="H769" s="237"/>
    </row>
    <row r="770" spans="3:8">
      <c r="C770" s="337"/>
      <c r="D770" s="241"/>
      <c r="E770" s="237"/>
      <c r="F770" s="237"/>
      <c r="G770" s="237"/>
      <c r="H770" s="237"/>
    </row>
    <row r="771" spans="3:8">
      <c r="C771" s="337"/>
      <c r="D771" s="241"/>
      <c r="E771" s="237"/>
      <c r="F771" s="237"/>
      <c r="G771" s="237"/>
      <c r="H771" s="237"/>
    </row>
    <row r="772" spans="3:8">
      <c r="C772" s="337"/>
      <c r="D772" s="241"/>
      <c r="E772" s="237"/>
      <c r="F772" s="237"/>
      <c r="G772" s="237"/>
      <c r="H772" s="237"/>
    </row>
    <row r="773" spans="3:8">
      <c r="C773" s="337"/>
      <c r="D773" s="241"/>
      <c r="E773" s="237"/>
      <c r="F773" s="237"/>
      <c r="G773" s="237"/>
      <c r="H773" s="237"/>
    </row>
    <row r="774" spans="3:8">
      <c r="C774" s="337"/>
      <c r="D774" s="241"/>
      <c r="E774" s="237"/>
      <c r="F774" s="237"/>
      <c r="G774" s="237"/>
      <c r="H774" s="237"/>
    </row>
    <row r="775" spans="3:8">
      <c r="C775" s="337"/>
      <c r="D775" s="241"/>
      <c r="E775" s="237"/>
      <c r="F775" s="237"/>
      <c r="G775" s="237"/>
      <c r="H775" s="237"/>
    </row>
    <row r="776" spans="3:8">
      <c r="C776" s="337"/>
      <c r="D776" s="241"/>
      <c r="E776" s="237"/>
      <c r="F776" s="237"/>
      <c r="G776" s="237"/>
      <c r="H776" s="237"/>
    </row>
    <row r="777" spans="3:8">
      <c r="C777" s="337"/>
      <c r="D777" s="241"/>
      <c r="E777" s="237"/>
      <c r="F777" s="237"/>
      <c r="G777" s="237"/>
      <c r="H777" s="237"/>
    </row>
    <row r="778" spans="3:8">
      <c r="C778" s="337"/>
      <c r="D778" s="241"/>
      <c r="E778" s="237"/>
      <c r="F778" s="237"/>
      <c r="G778" s="237"/>
      <c r="H778" s="237"/>
    </row>
    <row r="779" spans="3:8">
      <c r="C779" s="337"/>
      <c r="D779" s="241"/>
      <c r="E779" s="237"/>
      <c r="F779" s="237"/>
      <c r="G779" s="237"/>
      <c r="H779" s="237"/>
    </row>
    <row r="780" spans="3:8">
      <c r="C780" s="337"/>
      <c r="D780" s="241"/>
      <c r="E780" s="237"/>
      <c r="F780" s="237"/>
      <c r="G780" s="237"/>
      <c r="H780" s="237"/>
    </row>
    <row r="781" spans="3:8">
      <c r="C781" s="337"/>
      <c r="D781" s="241"/>
      <c r="E781" s="237"/>
      <c r="F781" s="237"/>
      <c r="G781" s="237"/>
      <c r="H781" s="237"/>
    </row>
    <row r="782" spans="3:8">
      <c r="C782" s="337"/>
      <c r="D782" s="241"/>
      <c r="E782" s="237"/>
      <c r="F782" s="237"/>
      <c r="G782" s="237"/>
      <c r="H782" s="237"/>
    </row>
    <row r="783" spans="3:8">
      <c r="C783" s="337"/>
      <c r="D783" s="241"/>
      <c r="E783" s="237"/>
      <c r="F783" s="237"/>
      <c r="G783" s="237"/>
      <c r="H783" s="237"/>
    </row>
    <row r="784" spans="3:8">
      <c r="C784" s="337"/>
      <c r="D784" s="241"/>
      <c r="E784" s="237"/>
      <c r="F784" s="237"/>
      <c r="G784" s="237"/>
      <c r="H784" s="237"/>
    </row>
    <row r="785" spans="3:8">
      <c r="C785" s="337"/>
      <c r="D785" s="241"/>
      <c r="E785" s="237"/>
      <c r="F785" s="237"/>
      <c r="G785" s="237"/>
      <c r="H785" s="237"/>
    </row>
    <row r="786" spans="3:8">
      <c r="C786" s="337"/>
      <c r="D786" s="241"/>
      <c r="E786" s="237"/>
      <c r="F786" s="237"/>
      <c r="G786" s="237"/>
      <c r="H786" s="237"/>
    </row>
    <row r="787" spans="3:8">
      <c r="C787" s="337"/>
      <c r="D787" s="241"/>
      <c r="E787" s="237"/>
      <c r="F787" s="237"/>
      <c r="G787" s="237"/>
      <c r="H787" s="237"/>
    </row>
    <row r="788" spans="3:8">
      <c r="C788" s="337"/>
      <c r="D788" s="241"/>
      <c r="E788" s="237"/>
      <c r="F788" s="237"/>
      <c r="G788" s="237"/>
      <c r="H788" s="237"/>
    </row>
    <row r="789" spans="3:8">
      <c r="C789" s="337"/>
      <c r="D789" s="241"/>
      <c r="E789" s="237"/>
      <c r="F789" s="237"/>
      <c r="G789" s="237"/>
      <c r="H789" s="237"/>
    </row>
    <row r="790" spans="3:8">
      <c r="C790" s="337"/>
      <c r="D790" s="241"/>
      <c r="E790" s="237"/>
      <c r="F790" s="237"/>
      <c r="G790" s="237"/>
      <c r="H790" s="237"/>
    </row>
    <row r="791" spans="3:8">
      <c r="C791" s="337"/>
      <c r="D791" s="241"/>
      <c r="E791" s="237"/>
      <c r="F791" s="237"/>
      <c r="G791" s="237"/>
      <c r="H791" s="237"/>
    </row>
    <row r="792" spans="3:8">
      <c r="C792" s="337"/>
      <c r="D792" s="241"/>
      <c r="E792" s="237"/>
      <c r="F792" s="237"/>
      <c r="G792" s="237"/>
      <c r="H792" s="237"/>
    </row>
    <row r="793" spans="3:8">
      <c r="C793" s="337"/>
      <c r="D793" s="241"/>
      <c r="E793" s="237"/>
      <c r="F793" s="237"/>
      <c r="G793" s="237"/>
      <c r="H793" s="237"/>
    </row>
    <row r="794" spans="3:8">
      <c r="C794" s="337"/>
      <c r="D794" s="241"/>
      <c r="E794" s="237"/>
      <c r="F794" s="237"/>
      <c r="G794" s="237"/>
      <c r="H794" s="237"/>
    </row>
    <row r="795" spans="3:8">
      <c r="C795" s="337"/>
      <c r="D795" s="241"/>
      <c r="E795" s="237"/>
      <c r="F795" s="237"/>
      <c r="G795" s="237"/>
      <c r="H795" s="237"/>
    </row>
    <row r="796" spans="3:8">
      <c r="C796" s="337"/>
      <c r="D796" s="241"/>
      <c r="E796" s="237"/>
      <c r="F796" s="237"/>
      <c r="G796" s="237"/>
      <c r="H796" s="237"/>
    </row>
    <row r="797" spans="3:8">
      <c r="C797" s="337"/>
      <c r="D797" s="241"/>
      <c r="E797" s="237"/>
      <c r="F797" s="237"/>
      <c r="G797" s="237"/>
      <c r="H797" s="237"/>
    </row>
    <row r="798" spans="3:8">
      <c r="C798" s="337"/>
      <c r="D798" s="241"/>
      <c r="E798" s="237"/>
      <c r="F798" s="237"/>
      <c r="G798" s="237"/>
      <c r="H798" s="237"/>
    </row>
    <row r="799" spans="3:8">
      <c r="C799" s="337"/>
      <c r="D799" s="241"/>
      <c r="E799" s="237"/>
      <c r="F799" s="237"/>
      <c r="G799" s="237"/>
      <c r="H799" s="237"/>
    </row>
    <row r="800" spans="3:8">
      <c r="C800" s="337"/>
      <c r="D800" s="241"/>
      <c r="E800" s="237"/>
      <c r="F800" s="237"/>
      <c r="G800" s="237"/>
      <c r="H800" s="237"/>
    </row>
    <row r="801" spans="3:10">
      <c r="C801" s="337"/>
      <c r="D801" s="241"/>
      <c r="E801" s="237"/>
      <c r="F801" s="237"/>
      <c r="G801" s="237"/>
      <c r="H801" s="237"/>
    </row>
    <row r="802" spans="3:10">
      <c r="C802" s="337"/>
      <c r="D802" s="241"/>
      <c r="E802" s="237"/>
      <c r="F802" s="237"/>
      <c r="G802" s="237"/>
      <c r="H802" s="237"/>
    </row>
    <row r="803" spans="3:10">
      <c r="E803" s="241"/>
      <c r="F803" s="237"/>
      <c r="G803" s="237"/>
      <c r="H803" s="237"/>
      <c r="I803" s="237"/>
      <c r="J803" s="237"/>
    </row>
    <row r="804" spans="3:10">
      <c r="E804" s="241"/>
      <c r="F804" s="237"/>
      <c r="G804" s="237"/>
      <c r="H804" s="237"/>
      <c r="I804" s="237"/>
      <c r="J804" s="237"/>
    </row>
    <row r="805" spans="3:10">
      <c r="E805" s="241"/>
      <c r="F805" s="237"/>
      <c r="G805" s="237"/>
      <c r="H805" s="237"/>
      <c r="I805" s="237"/>
      <c r="J805" s="237"/>
    </row>
    <row r="806" spans="3:10">
      <c r="E806" s="241"/>
      <c r="F806" s="237"/>
      <c r="G806" s="237"/>
      <c r="H806" s="237"/>
      <c r="I806" s="237"/>
      <c r="J806" s="237"/>
    </row>
    <row r="807" spans="3:10">
      <c r="E807" s="241"/>
      <c r="F807" s="237"/>
      <c r="G807" s="237"/>
      <c r="H807" s="237"/>
      <c r="I807" s="237"/>
      <c r="J807" s="237"/>
    </row>
    <row r="808" spans="3:10">
      <c r="E808" s="241"/>
      <c r="F808" s="237"/>
      <c r="G808" s="237"/>
      <c r="H808" s="237"/>
      <c r="I808" s="237"/>
      <c r="J808" s="237"/>
    </row>
    <row r="809" spans="3:10">
      <c r="E809" s="241"/>
      <c r="F809" s="237"/>
      <c r="G809" s="237"/>
      <c r="H809" s="237"/>
      <c r="I809" s="237"/>
      <c r="J809" s="237"/>
    </row>
    <row r="810" spans="3:10">
      <c r="E810" s="241"/>
      <c r="F810" s="237"/>
      <c r="G810" s="237"/>
      <c r="H810" s="237"/>
      <c r="I810" s="237"/>
      <c r="J810" s="237"/>
    </row>
    <row r="811" spans="3:10">
      <c r="E811" s="241"/>
      <c r="F811" s="237"/>
      <c r="G811" s="237"/>
      <c r="H811" s="237"/>
      <c r="I811" s="237"/>
      <c r="J811" s="237"/>
    </row>
    <row r="812" spans="3:10">
      <c r="E812" s="241"/>
      <c r="F812" s="237"/>
      <c r="G812" s="237"/>
      <c r="H812" s="237"/>
      <c r="I812" s="237"/>
      <c r="J812" s="237"/>
    </row>
    <row r="813" spans="3:10">
      <c r="E813" s="241"/>
      <c r="F813" s="237"/>
      <c r="G813" s="237"/>
      <c r="H813" s="237"/>
      <c r="I813" s="237"/>
      <c r="J813" s="237"/>
    </row>
    <row r="814" spans="3:10">
      <c r="E814" s="241"/>
      <c r="F814" s="237"/>
      <c r="G814" s="237"/>
      <c r="H814" s="237"/>
      <c r="I814" s="237"/>
      <c r="J814" s="237"/>
    </row>
    <row r="815" spans="3:10">
      <c r="E815" s="241"/>
      <c r="F815" s="237"/>
      <c r="G815" s="237"/>
      <c r="H815" s="237"/>
      <c r="I815" s="237"/>
      <c r="J815" s="237"/>
    </row>
    <row r="816" spans="3:10">
      <c r="E816" s="241"/>
      <c r="F816" s="237"/>
      <c r="G816" s="237"/>
      <c r="H816" s="237"/>
      <c r="I816" s="237"/>
      <c r="J816" s="237"/>
    </row>
    <row r="817" spans="5:10">
      <c r="E817" s="241"/>
      <c r="F817" s="237"/>
      <c r="G817" s="237"/>
      <c r="H817" s="237"/>
      <c r="I817" s="237"/>
      <c r="J817" s="237"/>
    </row>
    <row r="818" spans="5:10">
      <c r="E818" s="241"/>
      <c r="F818" s="237"/>
      <c r="G818" s="237"/>
      <c r="H818" s="237"/>
      <c r="I818" s="237"/>
      <c r="J818" s="237"/>
    </row>
    <row r="819" spans="5:10">
      <c r="E819" s="241"/>
      <c r="F819" s="237"/>
      <c r="G819" s="237"/>
      <c r="H819" s="237"/>
      <c r="I819" s="237"/>
      <c r="J819" s="237"/>
    </row>
    <row r="820" spans="5:10">
      <c r="E820" s="241"/>
      <c r="F820" s="237"/>
      <c r="G820" s="237"/>
      <c r="H820" s="237"/>
      <c r="I820" s="237"/>
      <c r="J820" s="237"/>
    </row>
    <row r="821" spans="5:10">
      <c r="E821" s="241"/>
      <c r="F821" s="237"/>
      <c r="G821" s="237"/>
      <c r="H821" s="237"/>
      <c r="I821" s="237"/>
      <c r="J821" s="237"/>
    </row>
    <row r="822" spans="5:10">
      <c r="E822" s="241"/>
      <c r="F822" s="237"/>
      <c r="G822" s="237"/>
      <c r="H822" s="237"/>
      <c r="I822" s="237"/>
      <c r="J822" s="237"/>
    </row>
    <row r="823" spans="5:10">
      <c r="E823" s="241"/>
      <c r="F823" s="237"/>
      <c r="G823" s="237"/>
      <c r="H823" s="237"/>
      <c r="I823" s="237"/>
      <c r="J823" s="237"/>
    </row>
    <row r="824" spans="5:10">
      <c r="E824" s="241"/>
      <c r="F824" s="237"/>
      <c r="G824" s="237"/>
      <c r="H824" s="237"/>
      <c r="I824" s="237"/>
      <c r="J824" s="237"/>
    </row>
    <row r="825" spans="5:10">
      <c r="E825" s="241"/>
      <c r="F825" s="237"/>
      <c r="G825" s="237"/>
      <c r="H825" s="237"/>
      <c r="I825" s="237"/>
      <c r="J825" s="237"/>
    </row>
    <row r="826" spans="5:10">
      <c r="E826" s="241"/>
      <c r="F826" s="237"/>
      <c r="G826" s="237"/>
      <c r="H826" s="237"/>
      <c r="I826" s="237"/>
      <c r="J826" s="237"/>
    </row>
    <row r="827" spans="5:10">
      <c r="E827" s="241"/>
      <c r="F827" s="237"/>
      <c r="G827" s="237"/>
      <c r="H827" s="237"/>
      <c r="I827" s="237"/>
      <c r="J827" s="237"/>
    </row>
    <row r="828" spans="5:10">
      <c r="E828" s="241"/>
      <c r="F828" s="237"/>
      <c r="G828" s="237"/>
      <c r="H828" s="237"/>
      <c r="I828" s="237"/>
      <c r="J828" s="237"/>
    </row>
    <row r="829" spans="5:10">
      <c r="E829" s="241"/>
      <c r="F829" s="237"/>
      <c r="G829" s="237"/>
      <c r="H829" s="237"/>
      <c r="I829" s="237"/>
      <c r="J829" s="237"/>
    </row>
    <row r="830" spans="5:10">
      <c r="E830" s="241"/>
      <c r="F830" s="237"/>
      <c r="G830" s="237"/>
      <c r="H830" s="237"/>
      <c r="I830" s="237"/>
      <c r="J830" s="237"/>
    </row>
    <row r="831" spans="5:10">
      <c r="E831" s="241"/>
      <c r="F831" s="237"/>
      <c r="G831" s="237"/>
      <c r="H831" s="237"/>
      <c r="I831" s="237"/>
      <c r="J831" s="237"/>
    </row>
    <row r="832" spans="5:10">
      <c r="E832" s="241"/>
      <c r="F832" s="237"/>
      <c r="G832" s="237"/>
      <c r="H832" s="237"/>
      <c r="I832" s="237"/>
      <c r="J832" s="237"/>
    </row>
    <row r="833" spans="5:10">
      <c r="E833" s="241"/>
      <c r="F833" s="237"/>
      <c r="G833" s="237"/>
      <c r="H833" s="237"/>
      <c r="I833" s="237"/>
      <c r="J833" s="237"/>
    </row>
    <row r="834" spans="5:10">
      <c r="E834" s="241"/>
      <c r="F834" s="237"/>
      <c r="G834" s="237"/>
      <c r="H834" s="237"/>
      <c r="I834" s="237"/>
      <c r="J834" s="237"/>
    </row>
    <row r="835" spans="5:10">
      <c r="E835" s="241"/>
      <c r="F835" s="237"/>
      <c r="G835" s="237"/>
      <c r="H835" s="237"/>
      <c r="I835" s="237"/>
      <c r="J835" s="237"/>
    </row>
    <row r="836" spans="5:10">
      <c r="E836" s="241"/>
      <c r="F836" s="237"/>
      <c r="G836" s="237"/>
      <c r="H836" s="237"/>
      <c r="I836" s="237"/>
      <c r="J836" s="237"/>
    </row>
    <row r="837" spans="5:10">
      <c r="E837" s="241"/>
      <c r="F837" s="237"/>
      <c r="G837" s="237"/>
      <c r="H837" s="237"/>
      <c r="I837" s="237"/>
      <c r="J837" s="237"/>
    </row>
    <row r="838" spans="5:10">
      <c r="E838" s="241"/>
      <c r="F838" s="237"/>
      <c r="G838" s="237"/>
      <c r="H838" s="237"/>
      <c r="I838" s="237"/>
      <c r="J838" s="237"/>
    </row>
    <row r="839" spans="5:10">
      <c r="E839" s="241"/>
      <c r="F839" s="237"/>
      <c r="G839" s="237"/>
      <c r="H839" s="237"/>
      <c r="I839" s="237"/>
      <c r="J839" s="237"/>
    </row>
    <row r="840" spans="5:10">
      <c r="E840" s="241"/>
      <c r="F840" s="237"/>
      <c r="G840" s="237"/>
      <c r="H840" s="237"/>
      <c r="I840" s="237"/>
      <c r="J840" s="237"/>
    </row>
    <row r="841" spans="5:10">
      <c r="E841" s="241"/>
      <c r="F841" s="237"/>
      <c r="G841" s="237"/>
      <c r="H841" s="237"/>
      <c r="I841" s="237"/>
      <c r="J841" s="237"/>
    </row>
    <row r="842" spans="5:10">
      <c r="E842" s="241"/>
      <c r="F842" s="237"/>
      <c r="G842" s="237"/>
      <c r="H842" s="237"/>
      <c r="I842" s="237"/>
      <c r="J842" s="237"/>
    </row>
    <row r="843" spans="5:10">
      <c r="E843" s="241"/>
      <c r="F843" s="237"/>
      <c r="G843" s="237"/>
      <c r="H843" s="237"/>
      <c r="I843" s="237"/>
      <c r="J843" s="237"/>
    </row>
    <row r="844" spans="5:10">
      <c r="E844" s="241"/>
      <c r="F844" s="237"/>
      <c r="G844" s="237"/>
      <c r="H844" s="237"/>
      <c r="I844" s="237"/>
      <c r="J844" s="237"/>
    </row>
    <row r="845" spans="5:10">
      <c r="E845" s="241"/>
      <c r="F845" s="237"/>
      <c r="G845" s="237"/>
      <c r="H845" s="237"/>
      <c r="I845" s="237"/>
      <c r="J845" s="237"/>
    </row>
    <row r="846" spans="5:10">
      <c r="E846" s="241"/>
      <c r="F846" s="237"/>
      <c r="G846" s="237"/>
      <c r="H846" s="237"/>
      <c r="I846" s="237"/>
      <c r="J846" s="237"/>
    </row>
    <row r="847" spans="5:10">
      <c r="E847" s="241"/>
      <c r="F847" s="237"/>
      <c r="G847" s="237"/>
      <c r="H847" s="237"/>
      <c r="I847" s="237"/>
      <c r="J847" s="237"/>
    </row>
    <row r="848" spans="5:10">
      <c r="E848" s="241"/>
      <c r="F848" s="237"/>
      <c r="G848" s="237"/>
      <c r="H848" s="237"/>
      <c r="I848" s="237"/>
      <c r="J848" s="237"/>
    </row>
    <row r="849" spans="5:10">
      <c r="E849" s="241"/>
      <c r="F849" s="237"/>
      <c r="G849" s="237"/>
      <c r="H849" s="237"/>
      <c r="I849" s="237"/>
      <c r="J849" s="237"/>
    </row>
    <row r="850" spans="5:10">
      <c r="E850" s="241"/>
      <c r="F850" s="237"/>
      <c r="G850" s="237"/>
      <c r="H850" s="237"/>
      <c r="I850" s="237"/>
      <c r="J850" s="237"/>
    </row>
    <row r="851" spans="5:10">
      <c r="E851" s="241"/>
      <c r="F851" s="237"/>
      <c r="G851" s="237"/>
      <c r="H851" s="237"/>
      <c r="I851" s="237"/>
      <c r="J851" s="237"/>
    </row>
    <row r="852" spans="5:10">
      <c r="E852" s="241"/>
      <c r="F852" s="237"/>
      <c r="G852" s="237"/>
      <c r="H852" s="237"/>
      <c r="I852" s="237"/>
      <c r="J852" s="237"/>
    </row>
    <row r="853" spans="5:10">
      <c r="E853" s="241"/>
      <c r="F853" s="237"/>
      <c r="G853" s="237"/>
      <c r="H853" s="237"/>
      <c r="I853" s="237"/>
      <c r="J853" s="237"/>
    </row>
    <row r="854" spans="5:10">
      <c r="E854" s="241"/>
      <c r="F854" s="237"/>
      <c r="G854" s="237"/>
      <c r="H854" s="237"/>
      <c r="I854" s="237"/>
      <c r="J854" s="237"/>
    </row>
    <row r="855" spans="5:10">
      <c r="E855" s="241"/>
      <c r="F855" s="237"/>
      <c r="G855" s="237"/>
      <c r="H855" s="237"/>
      <c r="I855" s="237"/>
      <c r="J855" s="237"/>
    </row>
    <row r="856" spans="5:10">
      <c r="E856" s="241"/>
      <c r="F856" s="237"/>
      <c r="G856" s="237"/>
      <c r="H856" s="237"/>
      <c r="I856" s="237"/>
      <c r="J856" s="237"/>
    </row>
    <row r="857" spans="5:10">
      <c r="E857" s="241"/>
      <c r="F857" s="237"/>
      <c r="G857" s="237"/>
      <c r="H857" s="237"/>
      <c r="I857" s="237"/>
      <c r="J857" s="237"/>
    </row>
    <row r="858" spans="5:10">
      <c r="E858" s="241"/>
      <c r="F858" s="237"/>
      <c r="G858" s="237"/>
      <c r="H858" s="237"/>
      <c r="I858" s="237"/>
      <c r="J858" s="237"/>
    </row>
    <row r="859" spans="5:10">
      <c r="E859" s="241"/>
      <c r="F859" s="237"/>
      <c r="G859" s="237"/>
      <c r="H859" s="237"/>
      <c r="I859" s="237"/>
      <c r="J859" s="237"/>
    </row>
    <row r="860" spans="5:10">
      <c r="E860" s="241"/>
      <c r="F860" s="237"/>
      <c r="G860" s="237"/>
      <c r="H860" s="237"/>
      <c r="I860" s="237"/>
      <c r="J860" s="237"/>
    </row>
    <row r="861" spans="5:10">
      <c r="E861" s="241"/>
      <c r="F861" s="237"/>
      <c r="G861" s="237"/>
      <c r="H861" s="237"/>
      <c r="I861" s="237"/>
      <c r="J861" s="237"/>
    </row>
    <row r="862" spans="5:10">
      <c r="E862" s="241"/>
      <c r="F862" s="237"/>
      <c r="G862" s="237"/>
      <c r="H862" s="237"/>
      <c r="I862" s="237"/>
      <c r="J862" s="237"/>
    </row>
    <row r="863" spans="5:10">
      <c r="E863" s="241"/>
      <c r="F863" s="237"/>
      <c r="G863" s="237"/>
      <c r="H863" s="237"/>
      <c r="I863" s="237"/>
      <c r="J863" s="237"/>
    </row>
    <row r="864" spans="5:10">
      <c r="E864" s="241"/>
      <c r="F864" s="237"/>
      <c r="G864" s="237"/>
      <c r="H864" s="237"/>
      <c r="I864" s="237"/>
      <c r="J864" s="237"/>
    </row>
    <row r="865" spans="5:10">
      <c r="E865" s="241"/>
      <c r="F865" s="237"/>
      <c r="G865" s="237"/>
      <c r="H865" s="237"/>
      <c r="I865" s="237"/>
      <c r="J865" s="237"/>
    </row>
    <row r="866" spans="5:10">
      <c r="E866" s="241"/>
      <c r="F866" s="237"/>
      <c r="G866" s="237"/>
      <c r="H866" s="237"/>
      <c r="I866" s="237"/>
      <c r="J866" s="237"/>
    </row>
    <row r="867" spans="5:10">
      <c r="E867" s="241"/>
      <c r="F867" s="237"/>
      <c r="G867" s="237"/>
      <c r="H867" s="237"/>
      <c r="I867" s="237"/>
      <c r="J867" s="237"/>
    </row>
    <row r="868" spans="5:10">
      <c r="E868" s="241"/>
      <c r="F868" s="237"/>
      <c r="G868" s="237"/>
      <c r="H868" s="237"/>
      <c r="I868" s="237"/>
      <c r="J868" s="237"/>
    </row>
    <row r="869" spans="5:10">
      <c r="E869" s="241"/>
      <c r="F869" s="237"/>
      <c r="G869" s="237"/>
      <c r="H869" s="237"/>
      <c r="I869" s="237"/>
      <c r="J869" s="237"/>
    </row>
    <row r="870" spans="5:10">
      <c r="E870" s="241"/>
      <c r="F870" s="237"/>
      <c r="G870" s="237"/>
      <c r="H870" s="237"/>
      <c r="I870" s="237"/>
      <c r="J870" s="237"/>
    </row>
    <row r="871" spans="5:10">
      <c r="E871" s="241"/>
      <c r="F871" s="237"/>
      <c r="G871" s="237"/>
      <c r="H871" s="237"/>
      <c r="I871" s="237"/>
      <c r="J871" s="237"/>
    </row>
    <row r="872" spans="5:10">
      <c r="E872" s="241"/>
      <c r="F872" s="237"/>
      <c r="G872" s="237"/>
      <c r="H872" s="237"/>
      <c r="I872" s="237"/>
      <c r="J872" s="237"/>
    </row>
    <row r="873" spans="5:10">
      <c r="E873" s="241"/>
      <c r="F873" s="237"/>
      <c r="G873" s="237"/>
      <c r="H873" s="237"/>
      <c r="I873" s="237"/>
      <c r="J873" s="237"/>
    </row>
    <row r="874" spans="5:10">
      <c r="E874" s="241"/>
      <c r="F874" s="237"/>
      <c r="G874" s="237"/>
      <c r="H874" s="237"/>
      <c r="I874" s="237"/>
      <c r="J874" s="237"/>
    </row>
    <row r="875" spans="5:10">
      <c r="E875" s="241"/>
      <c r="F875" s="237"/>
      <c r="G875" s="237"/>
      <c r="H875" s="237"/>
      <c r="I875" s="237"/>
      <c r="J875" s="237"/>
    </row>
    <row r="876" spans="5:10">
      <c r="E876" s="241"/>
      <c r="F876" s="237"/>
      <c r="G876" s="237"/>
      <c r="H876" s="237"/>
      <c r="I876" s="237"/>
      <c r="J876" s="237"/>
    </row>
    <row r="877" spans="5:10">
      <c r="E877" s="241"/>
      <c r="F877" s="237"/>
      <c r="G877" s="237"/>
      <c r="H877" s="237"/>
      <c r="I877" s="237"/>
      <c r="J877" s="237"/>
    </row>
    <row r="878" spans="5:10">
      <c r="E878" s="241"/>
      <c r="F878" s="237"/>
      <c r="G878" s="237"/>
      <c r="H878" s="237"/>
      <c r="I878" s="237"/>
      <c r="J878" s="237"/>
    </row>
    <row r="879" spans="5:10">
      <c r="E879" s="241"/>
      <c r="F879" s="237"/>
      <c r="G879" s="237"/>
      <c r="H879" s="237"/>
      <c r="I879" s="237"/>
      <c r="J879" s="237"/>
    </row>
    <row r="880" spans="5:10">
      <c r="E880" s="241"/>
      <c r="F880" s="237"/>
      <c r="G880" s="237"/>
      <c r="H880" s="237"/>
      <c r="I880" s="237"/>
      <c r="J880" s="237"/>
    </row>
    <row r="881" spans="5:10">
      <c r="E881" s="241"/>
      <c r="F881" s="237"/>
      <c r="G881" s="237"/>
      <c r="H881" s="237"/>
      <c r="I881" s="237"/>
      <c r="J881" s="237"/>
    </row>
    <row r="882" spans="5:10">
      <c r="E882" s="241"/>
      <c r="F882" s="237"/>
      <c r="G882" s="237"/>
      <c r="H882" s="237"/>
      <c r="I882" s="237"/>
      <c r="J882" s="237"/>
    </row>
    <row r="883" spans="5:10">
      <c r="E883" s="241"/>
      <c r="F883" s="237"/>
      <c r="G883" s="237"/>
      <c r="H883" s="237"/>
      <c r="I883" s="237"/>
      <c r="J883" s="237"/>
    </row>
    <row r="884" spans="5:10">
      <c r="E884" s="241"/>
      <c r="F884" s="237"/>
      <c r="G884" s="237"/>
      <c r="H884" s="237"/>
      <c r="I884" s="237"/>
      <c r="J884" s="237"/>
    </row>
    <row r="885" spans="5:10">
      <c r="E885" s="241"/>
      <c r="F885" s="237"/>
      <c r="G885" s="237"/>
      <c r="H885" s="237"/>
      <c r="I885" s="237"/>
      <c r="J885" s="237"/>
    </row>
    <row r="886" spans="5:10">
      <c r="E886" s="241"/>
      <c r="F886" s="237"/>
      <c r="G886" s="237"/>
      <c r="H886" s="237"/>
      <c r="I886" s="237"/>
      <c r="J886" s="237"/>
    </row>
    <row r="887" spans="5:10">
      <c r="E887" s="241"/>
      <c r="F887" s="237"/>
      <c r="G887" s="237"/>
      <c r="H887" s="237"/>
      <c r="I887" s="237"/>
      <c r="J887" s="237"/>
    </row>
    <row r="888" spans="5:10">
      <c r="E888" s="241"/>
      <c r="F888" s="237"/>
      <c r="G888" s="237"/>
      <c r="H888" s="237"/>
      <c r="I888" s="237"/>
      <c r="J888" s="237"/>
    </row>
    <row r="889" spans="5:10">
      <c r="E889" s="241"/>
      <c r="F889" s="237"/>
      <c r="G889" s="237"/>
      <c r="H889" s="237"/>
      <c r="I889" s="237"/>
      <c r="J889" s="237"/>
    </row>
    <row r="890" spans="5:10">
      <c r="E890" s="241"/>
      <c r="F890" s="237"/>
      <c r="G890" s="237"/>
      <c r="H890" s="237"/>
      <c r="I890" s="237"/>
      <c r="J890" s="237"/>
    </row>
    <row r="891" spans="5:10">
      <c r="E891" s="241"/>
      <c r="F891" s="237"/>
      <c r="G891" s="237"/>
      <c r="H891" s="237"/>
      <c r="I891" s="237"/>
      <c r="J891" s="237"/>
    </row>
    <row r="892" spans="5:10">
      <c r="E892" s="241"/>
      <c r="F892" s="237"/>
      <c r="G892" s="237"/>
      <c r="H892" s="237"/>
      <c r="I892" s="237"/>
      <c r="J892" s="237"/>
    </row>
    <row r="893" spans="5:10">
      <c r="E893" s="241"/>
      <c r="F893" s="237"/>
      <c r="G893" s="237"/>
      <c r="H893" s="237"/>
      <c r="I893" s="237"/>
      <c r="J893" s="237"/>
    </row>
    <row r="894" spans="5:10">
      <c r="E894" s="241"/>
      <c r="F894" s="237"/>
      <c r="G894" s="237"/>
      <c r="H894" s="237"/>
      <c r="I894" s="237"/>
      <c r="J894" s="237"/>
    </row>
    <row r="895" spans="5:10">
      <c r="E895" s="241"/>
      <c r="F895" s="237"/>
      <c r="G895" s="237"/>
      <c r="H895" s="237"/>
      <c r="I895" s="237"/>
      <c r="J895" s="237"/>
    </row>
    <row r="896" spans="5:10">
      <c r="E896" s="241"/>
      <c r="F896" s="237"/>
      <c r="G896" s="237"/>
      <c r="H896" s="237"/>
      <c r="I896" s="237"/>
      <c r="J896" s="237"/>
    </row>
    <row r="897" spans="5:10">
      <c r="E897" s="241"/>
      <c r="F897" s="237"/>
      <c r="G897" s="237"/>
      <c r="H897" s="237"/>
      <c r="I897" s="237"/>
      <c r="J897" s="237"/>
    </row>
    <row r="898" spans="5:10">
      <c r="E898" s="241"/>
      <c r="F898" s="237"/>
      <c r="G898" s="237"/>
      <c r="H898" s="237"/>
      <c r="I898" s="237"/>
      <c r="J898" s="237"/>
    </row>
    <row r="899" spans="5:10">
      <c r="E899" s="241"/>
      <c r="F899" s="237"/>
      <c r="G899" s="237"/>
      <c r="H899" s="237"/>
      <c r="I899" s="237"/>
      <c r="J899" s="237"/>
    </row>
    <row r="900" spans="5:10">
      <c r="E900" s="241"/>
      <c r="F900" s="237"/>
      <c r="G900" s="237"/>
      <c r="H900" s="237"/>
      <c r="I900" s="237"/>
      <c r="J900" s="237"/>
    </row>
    <row r="901" spans="5:10">
      <c r="E901" s="241"/>
      <c r="F901" s="237"/>
      <c r="G901" s="237"/>
      <c r="H901" s="237"/>
      <c r="I901" s="237"/>
      <c r="J901" s="237"/>
    </row>
    <row r="902" spans="5:10">
      <c r="E902" s="241"/>
      <c r="F902" s="237"/>
      <c r="G902" s="237"/>
      <c r="H902" s="237"/>
      <c r="I902" s="237"/>
      <c r="J902" s="237"/>
    </row>
    <row r="903" spans="5:10">
      <c r="E903" s="241"/>
      <c r="F903" s="237"/>
      <c r="G903" s="237"/>
      <c r="H903" s="237"/>
      <c r="I903" s="237"/>
      <c r="J903" s="237"/>
    </row>
    <row r="904" spans="5:10">
      <c r="E904" s="241"/>
      <c r="F904" s="237"/>
      <c r="G904" s="237"/>
      <c r="H904" s="237"/>
      <c r="I904" s="237"/>
      <c r="J904" s="237"/>
    </row>
    <row r="905" spans="5:10">
      <c r="E905" s="241"/>
      <c r="F905" s="237"/>
      <c r="G905" s="237"/>
      <c r="H905" s="237"/>
      <c r="I905" s="237"/>
      <c r="J905" s="237"/>
    </row>
    <row r="906" spans="5:10">
      <c r="E906" s="241"/>
      <c r="F906" s="237"/>
      <c r="G906" s="237"/>
      <c r="H906" s="237"/>
      <c r="I906" s="237"/>
      <c r="J906" s="237"/>
    </row>
    <row r="907" spans="5:10">
      <c r="E907" s="241"/>
      <c r="F907" s="237"/>
      <c r="G907" s="237"/>
      <c r="H907" s="237"/>
      <c r="I907" s="237"/>
      <c r="J907" s="237"/>
    </row>
    <row r="908" spans="5:10">
      <c r="E908" s="241"/>
      <c r="F908" s="237"/>
      <c r="G908" s="237"/>
      <c r="H908" s="237"/>
      <c r="I908" s="237"/>
      <c r="J908" s="237"/>
    </row>
    <row r="909" spans="5:10">
      <c r="E909" s="241"/>
      <c r="F909" s="237"/>
      <c r="G909" s="237"/>
      <c r="H909" s="237"/>
      <c r="I909" s="237"/>
      <c r="J909" s="237"/>
    </row>
    <row r="910" spans="5:10">
      <c r="E910" s="241"/>
      <c r="F910" s="237"/>
      <c r="G910" s="237"/>
      <c r="H910" s="237"/>
      <c r="I910" s="237"/>
      <c r="J910" s="237"/>
    </row>
    <row r="911" spans="5:10">
      <c r="E911" s="241"/>
      <c r="F911" s="237"/>
      <c r="G911" s="237"/>
      <c r="H911" s="237"/>
      <c r="I911" s="237"/>
      <c r="J911" s="237"/>
    </row>
    <row r="912" spans="5:10">
      <c r="E912" s="241"/>
      <c r="F912" s="237"/>
      <c r="G912" s="237"/>
      <c r="H912" s="237"/>
      <c r="I912" s="237"/>
      <c r="J912" s="237"/>
    </row>
    <row r="913" spans="5:10">
      <c r="E913" s="241"/>
      <c r="F913" s="237"/>
      <c r="G913" s="237"/>
      <c r="H913" s="237"/>
      <c r="I913" s="237"/>
      <c r="J913" s="237"/>
    </row>
    <row r="914" spans="5:10">
      <c r="E914" s="241"/>
      <c r="F914" s="237"/>
      <c r="G914" s="237"/>
      <c r="H914" s="237"/>
      <c r="I914" s="237"/>
      <c r="J914" s="237"/>
    </row>
    <row r="915" spans="5:10">
      <c r="E915" s="241"/>
      <c r="F915" s="237"/>
      <c r="G915" s="237"/>
      <c r="H915" s="237"/>
      <c r="I915" s="237"/>
      <c r="J915" s="237"/>
    </row>
    <row r="916" spans="5:10">
      <c r="E916" s="241"/>
      <c r="F916" s="237"/>
      <c r="G916" s="237"/>
      <c r="H916" s="237"/>
      <c r="I916" s="237"/>
      <c r="J916" s="237"/>
    </row>
    <row r="917" spans="5:10">
      <c r="E917" s="241"/>
      <c r="F917" s="237"/>
      <c r="G917" s="237"/>
      <c r="H917" s="237"/>
      <c r="I917" s="237"/>
      <c r="J917" s="237"/>
    </row>
    <row r="918" spans="5:10">
      <c r="E918" s="241"/>
      <c r="F918" s="237"/>
      <c r="G918" s="237"/>
      <c r="H918" s="237"/>
      <c r="I918" s="237"/>
      <c r="J918" s="237"/>
    </row>
    <row r="919" spans="5:10">
      <c r="E919" s="241"/>
      <c r="F919" s="237"/>
      <c r="G919" s="237"/>
      <c r="H919" s="237"/>
      <c r="I919" s="237"/>
      <c r="J919" s="237"/>
    </row>
    <row r="920" spans="5:10">
      <c r="E920" s="241"/>
      <c r="F920" s="237"/>
      <c r="G920" s="237"/>
      <c r="H920" s="237"/>
      <c r="I920" s="237"/>
      <c r="J920" s="237"/>
    </row>
    <row r="921" spans="5:10">
      <c r="E921" s="241"/>
      <c r="F921" s="237"/>
      <c r="G921" s="237"/>
      <c r="H921" s="237"/>
      <c r="I921" s="237"/>
      <c r="J921" s="237"/>
    </row>
    <row r="922" spans="5:10">
      <c r="E922" s="241"/>
      <c r="F922" s="237"/>
      <c r="G922" s="237"/>
      <c r="H922" s="237"/>
      <c r="I922" s="237"/>
      <c r="J922" s="237"/>
    </row>
    <row r="923" spans="5:10">
      <c r="E923" s="241"/>
      <c r="F923" s="237"/>
      <c r="G923" s="237"/>
      <c r="H923" s="237"/>
      <c r="I923" s="237"/>
      <c r="J923" s="237"/>
    </row>
    <row r="924" spans="5:10">
      <c r="E924" s="241"/>
      <c r="F924" s="237"/>
      <c r="G924" s="237"/>
      <c r="H924" s="237"/>
      <c r="I924" s="237"/>
      <c r="J924" s="237"/>
    </row>
    <row r="925" spans="5:10">
      <c r="E925" s="241"/>
      <c r="F925" s="237"/>
      <c r="G925" s="237"/>
      <c r="H925" s="237"/>
      <c r="I925" s="237"/>
      <c r="J925" s="237"/>
    </row>
    <row r="926" spans="5:10">
      <c r="E926" s="241"/>
      <c r="F926" s="237"/>
      <c r="G926" s="237"/>
      <c r="H926" s="237"/>
      <c r="I926" s="237"/>
      <c r="J926" s="237"/>
    </row>
    <row r="927" spans="5:10">
      <c r="E927" s="241"/>
      <c r="F927" s="237"/>
      <c r="G927" s="237"/>
      <c r="H927" s="237"/>
      <c r="I927" s="237"/>
      <c r="J927" s="237"/>
    </row>
    <row r="928" spans="5:10">
      <c r="E928" s="241"/>
      <c r="F928" s="237"/>
      <c r="G928" s="237"/>
      <c r="H928" s="237"/>
      <c r="I928" s="237"/>
      <c r="J928" s="237"/>
    </row>
    <row r="929" spans="5:10">
      <c r="E929" s="241"/>
      <c r="F929" s="237"/>
      <c r="G929" s="237"/>
      <c r="H929" s="237"/>
      <c r="I929" s="237"/>
      <c r="J929" s="237"/>
    </row>
    <row r="930" spans="5:10">
      <c r="E930" s="241"/>
      <c r="F930" s="237"/>
      <c r="G930" s="237"/>
      <c r="H930" s="237"/>
      <c r="I930" s="237"/>
      <c r="J930" s="237"/>
    </row>
    <row r="931" spans="5:10">
      <c r="E931" s="241"/>
      <c r="F931" s="237"/>
      <c r="G931" s="237"/>
      <c r="H931" s="237"/>
      <c r="I931" s="237"/>
      <c r="J931" s="237"/>
    </row>
    <row r="932" spans="5:10">
      <c r="E932" s="241"/>
      <c r="F932" s="237"/>
      <c r="G932" s="237"/>
      <c r="H932" s="237"/>
      <c r="I932" s="237"/>
      <c r="J932" s="237"/>
    </row>
    <row r="933" spans="5:10">
      <c r="E933" s="241"/>
      <c r="F933" s="237"/>
      <c r="G933" s="237"/>
      <c r="H933" s="237"/>
      <c r="I933" s="237"/>
      <c r="J933" s="237"/>
    </row>
    <row r="934" spans="5:10">
      <c r="E934" s="241"/>
      <c r="F934" s="237"/>
      <c r="G934" s="237"/>
      <c r="H934" s="237"/>
      <c r="I934" s="237"/>
      <c r="J934" s="237"/>
    </row>
    <row r="935" spans="5:10">
      <c r="E935" s="241"/>
      <c r="F935" s="237"/>
      <c r="G935" s="237"/>
      <c r="H935" s="237"/>
      <c r="I935" s="237"/>
      <c r="J935" s="237"/>
    </row>
    <row r="936" spans="5:10">
      <c r="E936" s="241"/>
      <c r="F936" s="237"/>
      <c r="G936" s="237"/>
      <c r="H936" s="237"/>
      <c r="I936" s="237"/>
      <c r="J936" s="237"/>
    </row>
    <row r="937" spans="5:10">
      <c r="E937" s="241"/>
      <c r="F937" s="237"/>
      <c r="G937" s="237"/>
      <c r="H937" s="237"/>
      <c r="I937" s="237"/>
      <c r="J937" s="237"/>
    </row>
    <row r="938" spans="5:10">
      <c r="E938" s="241"/>
      <c r="F938" s="237"/>
      <c r="G938" s="237"/>
      <c r="H938" s="237"/>
      <c r="I938" s="237"/>
      <c r="J938" s="237"/>
    </row>
    <row r="939" spans="5:10">
      <c r="E939" s="241"/>
      <c r="F939" s="237"/>
      <c r="G939" s="237"/>
      <c r="H939" s="237"/>
      <c r="I939" s="237"/>
      <c r="J939" s="237"/>
    </row>
    <row r="940" spans="5:10">
      <c r="E940" s="241"/>
      <c r="F940" s="237"/>
      <c r="G940" s="237"/>
      <c r="H940" s="237"/>
      <c r="I940" s="237"/>
      <c r="J940" s="237"/>
    </row>
    <row r="941" spans="5:10">
      <c r="E941" s="241"/>
      <c r="F941" s="237"/>
      <c r="G941" s="237"/>
      <c r="H941" s="237"/>
      <c r="I941" s="237"/>
      <c r="J941" s="237"/>
    </row>
    <row r="942" spans="5:10">
      <c r="E942" s="241"/>
      <c r="F942" s="237"/>
      <c r="G942" s="237"/>
      <c r="H942" s="237"/>
      <c r="I942" s="237"/>
      <c r="J942" s="237"/>
    </row>
    <row r="943" spans="5:10">
      <c r="E943" s="241"/>
      <c r="F943" s="237"/>
      <c r="G943" s="237"/>
      <c r="H943" s="237"/>
      <c r="I943" s="237"/>
      <c r="J943" s="237"/>
    </row>
    <row r="944" spans="5:10">
      <c r="E944" s="241"/>
      <c r="F944" s="237"/>
      <c r="G944" s="237"/>
      <c r="H944" s="237"/>
      <c r="I944" s="237"/>
      <c r="J944" s="237"/>
    </row>
    <row r="945" spans="5:10">
      <c r="E945" s="241"/>
      <c r="F945" s="237"/>
      <c r="G945" s="237"/>
      <c r="H945" s="237"/>
      <c r="I945" s="237"/>
      <c r="J945" s="237"/>
    </row>
    <row r="946" spans="5:10">
      <c r="E946" s="241"/>
      <c r="F946" s="237"/>
      <c r="G946" s="237"/>
      <c r="H946" s="237"/>
      <c r="I946" s="237"/>
      <c r="J946" s="237"/>
    </row>
    <row r="947" spans="5:10">
      <c r="E947" s="241"/>
      <c r="F947" s="237"/>
      <c r="G947" s="237"/>
      <c r="H947" s="237"/>
      <c r="I947" s="237"/>
      <c r="J947" s="237"/>
    </row>
    <row r="948" spans="5:10">
      <c r="E948" s="241"/>
      <c r="F948" s="237"/>
      <c r="G948" s="237"/>
      <c r="H948" s="237"/>
      <c r="I948" s="237"/>
      <c r="J948" s="237"/>
    </row>
    <row r="949" spans="5:10">
      <c r="E949" s="241"/>
      <c r="F949" s="237"/>
      <c r="G949" s="237"/>
      <c r="H949" s="237"/>
      <c r="I949" s="237"/>
      <c r="J949" s="237"/>
    </row>
    <row r="950" spans="5:10">
      <c r="E950" s="241"/>
      <c r="F950" s="237"/>
      <c r="G950" s="237"/>
      <c r="H950" s="237"/>
      <c r="I950" s="237"/>
      <c r="J950" s="237"/>
    </row>
    <row r="951" spans="5:10">
      <c r="E951" s="241"/>
      <c r="F951" s="237"/>
      <c r="G951" s="237"/>
      <c r="H951" s="237"/>
      <c r="I951" s="237"/>
      <c r="J951" s="237"/>
    </row>
    <row r="952" spans="5:10">
      <c r="E952" s="241"/>
      <c r="F952" s="237"/>
      <c r="G952" s="237"/>
      <c r="H952" s="237"/>
      <c r="I952" s="237"/>
      <c r="J952" s="237"/>
    </row>
    <row r="953" spans="5:10">
      <c r="E953" s="241"/>
      <c r="F953" s="237"/>
      <c r="G953" s="237"/>
      <c r="H953" s="237"/>
      <c r="I953" s="237"/>
      <c r="J953" s="237"/>
    </row>
    <row r="954" spans="5:10">
      <c r="E954" s="241"/>
      <c r="F954" s="237"/>
      <c r="G954" s="237"/>
      <c r="H954" s="237"/>
      <c r="I954" s="237"/>
      <c r="J954" s="237"/>
    </row>
    <row r="955" spans="5:10">
      <c r="E955" s="241"/>
      <c r="F955" s="237"/>
      <c r="G955" s="237"/>
      <c r="H955" s="237"/>
      <c r="I955" s="237"/>
      <c r="J955" s="237"/>
    </row>
    <row r="956" spans="5:10">
      <c r="E956" s="241"/>
      <c r="F956" s="237"/>
      <c r="G956" s="237"/>
      <c r="H956" s="237"/>
      <c r="I956" s="237"/>
      <c r="J956" s="237"/>
    </row>
    <row r="957" spans="5:10">
      <c r="E957" s="241"/>
      <c r="F957" s="237"/>
      <c r="G957" s="237"/>
      <c r="H957" s="237"/>
      <c r="I957" s="237"/>
      <c r="J957" s="237"/>
    </row>
    <row r="958" spans="5:10">
      <c r="E958" s="241"/>
      <c r="F958" s="237"/>
      <c r="G958" s="237"/>
      <c r="H958" s="237"/>
      <c r="I958" s="237"/>
      <c r="J958" s="237"/>
    </row>
    <row r="959" spans="5:10">
      <c r="E959" s="241"/>
      <c r="F959" s="237"/>
      <c r="G959" s="237"/>
      <c r="H959" s="237"/>
      <c r="I959" s="237"/>
      <c r="J959" s="237"/>
    </row>
    <row r="960" spans="5:10">
      <c r="E960" s="241"/>
      <c r="F960" s="237"/>
      <c r="G960" s="237"/>
      <c r="H960" s="237"/>
      <c r="I960" s="237"/>
      <c r="J960" s="237"/>
    </row>
    <row r="961" spans="5:10">
      <c r="E961" s="241"/>
      <c r="F961" s="237"/>
      <c r="G961" s="237"/>
      <c r="H961" s="237"/>
      <c r="I961" s="237"/>
      <c r="J961" s="237"/>
    </row>
    <row r="962" spans="5:10">
      <c r="E962" s="241"/>
      <c r="F962" s="237"/>
      <c r="G962" s="237"/>
      <c r="H962" s="237"/>
      <c r="I962" s="237"/>
      <c r="J962" s="237"/>
    </row>
    <row r="963" spans="5:10">
      <c r="E963" s="241"/>
      <c r="F963" s="237"/>
      <c r="G963" s="237"/>
      <c r="H963" s="237"/>
      <c r="I963" s="237"/>
      <c r="J963" s="237"/>
    </row>
    <row r="964" spans="5:10">
      <c r="E964" s="241"/>
      <c r="F964" s="237"/>
      <c r="G964" s="237"/>
      <c r="H964" s="237"/>
      <c r="I964" s="237"/>
      <c r="J964" s="237"/>
    </row>
    <row r="965" spans="5:10">
      <c r="E965" s="241"/>
      <c r="F965" s="237"/>
      <c r="G965" s="237"/>
      <c r="H965" s="237"/>
      <c r="I965" s="237"/>
      <c r="J965" s="237"/>
    </row>
    <row r="966" spans="5:10">
      <c r="E966" s="241"/>
      <c r="F966" s="237"/>
      <c r="G966" s="237"/>
      <c r="H966" s="237"/>
      <c r="I966" s="237"/>
      <c r="J966" s="237"/>
    </row>
    <row r="967" spans="5:10">
      <c r="E967" s="241"/>
      <c r="F967" s="237"/>
      <c r="G967" s="237"/>
      <c r="H967" s="237"/>
      <c r="I967" s="237"/>
      <c r="J967" s="237"/>
    </row>
    <row r="968" spans="5:10">
      <c r="E968" s="241"/>
      <c r="F968" s="237"/>
      <c r="G968" s="237"/>
      <c r="H968" s="237"/>
      <c r="I968" s="237"/>
      <c r="J968" s="237"/>
    </row>
    <row r="969" spans="5:10">
      <c r="E969" s="241"/>
      <c r="F969" s="237"/>
      <c r="G969" s="237"/>
      <c r="H969" s="237"/>
      <c r="I969" s="237"/>
      <c r="J969" s="237"/>
    </row>
    <row r="970" spans="5:10">
      <c r="E970" s="241"/>
      <c r="F970" s="237"/>
      <c r="G970" s="237"/>
      <c r="H970" s="237"/>
      <c r="I970" s="237"/>
      <c r="J970" s="237"/>
    </row>
    <row r="971" spans="5:10">
      <c r="E971" s="241"/>
      <c r="F971" s="237"/>
      <c r="G971" s="237"/>
      <c r="H971" s="237"/>
      <c r="I971" s="237"/>
      <c r="J971" s="237"/>
    </row>
    <row r="972" spans="5:10">
      <c r="E972" s="241"/>
      <c r="F972" s="237"/>
      <c r="G972" s="237"/>
      <c r="H972" s="237"/>
      <c r="I972" s="237"/>
      <c r="J972" s="237"/>
    </row>
    <row r="973" spans="5:10">
      <c r="E973" s="241"/>
      <c r="F973" s="237"/>
      <c r="G973" s="237"/>
      <c r="H973" s="237"/>
      <c r="I973" s="237"/>
      <c r="J973" s="237"/>
    </row>
    <row r="974" spans="5:10">
      <c r="E974" s="241"/>
      <c r="F974" s="237"/>
      <c r="G974" s="237"/>
      <c r="H974" s="237"/>
      <c r="I974" s="237"/>
      <c r="J974" s="237"/>
    </row>
    <row r="975" spans="5:10">
      <c r="E975" s="241"/>
      <c r="F975" s="237"/>
      <c r="G975" s="237"/>
      <c r="H975" s="237"/>
      <c r="I975" s="237"/>
      <c r="J975" s="237"/>
    </row>
    <row r="976" spans="5:10">
      <c r="E976" s="241"/>
      <c r="F976" s="237"/>
      <c r="G976" s="237"/>
      <c r="H976" s="237"/>
      <c r="I976" s="237"/>
      <c r="J976" s="237"/>
    </row>
    <row r="977" spans="5:10">
      <c r="E977" s="241"/>
      <c r="F977" s="237"/>
      <c r="G977" s="237"/>
      <c r="H977" s="237"/>
      <c r="I977" s="237"/>
      <c r="J977" s="237"/>
    </row>
    <row r="978" spans="5:10">
      <c r="E978" s="241"/>
      <c r="F978" s="237"/>
      <c r="G978" s="237"/>
      <c r="H978" s="237"/>
      <c r="I978" s="237"/>
      <c r="J978" s="237"/>
    </row>
    <row r="979" spans="5:10">
      <c r="E979" s="241"/>
      <c r="F979" s="237"/>
      <c r="G979" s="237"/>
      <c r="H979" s="237"/>
      <c r="I979" s="237"/>
      <c r="J979" s="237"/>
    </row>
    <row r="980" spans="5:10">
      <c r="E980" s="241"/>
      <c r="F980" s="237"/>
      <c r="G980" s="237"/>
      <c r="H980" s="237"/>
      <c r="I980" s="237"/>
      <c r="J980" s="237"/>
    </row>
    <row r="981" spans="5:10">
      <c r="E981" s="241"/>
      <c r="F981" s="237"/>
      <c r="G981" s="237"/>
      <c r="H981" s="237"/>
      <c r="I981" s="237"/>
      <c r="J981" s="237"/>
    </row>
    <row r="982" spans="5:10">
      <c r="E982" s="241"/>
      <c r="F982" s="237"/>
      <c r="G982" s="237"/>
      <c r="H982" s="237"/>
      <c r="I982" s="237"/>
      <c r="J982" s="237"/>
    </row>
    <row r="983" spans="5:10">
      <c r="E983" s="241"/>
      <c r="F983" s="237"/>
      <c r="G983" s="237"/>
      <c r="H983" s="237"/>
      <c r="I983" s="237"/>
      <c r="J983" s="237"/>
    </row>
    <row r="984" spans="5:10">
      <c r="E984" s="241"/>
      <c r="F984" s="237"/>
      <c r="G984" s="237"/>
      <c r="H984" s="237"/>
      <c r="I984" s="237"/>
      <c r="J984" s="237"/>
    </row>
    <row r="985" spans="5:10">
      <c r="E985" s="241"/>
      <c r="F985" s="237"/>
      <c r="G985" s="237"/>
      <c r="H985" s="237"/>
      <c r="I985" s="237"/>
      <c r="J985" s="237"/>
    </row>
    <row r="986" spans="5:10">
      <c r="E986" s="241"/>
      <c r="F986" s="237"/>
      <c r="G986" s="237"/>
      <c r="H986" s="237"/>
      <c r="I986" s="237"/>
      <c r="J986" s="237"/>
    </row>
    <row r="987" spans="5:10">
      <c r="E987" s="241"/>
      <c r="F987" s="237"/>
      <c r="G987" s="237"/>
      <c r="H987" s="237"/>
      <c r="I987" s="237"/>
      <c r="J987" s="237"/>
    </row>
    <row r="988" spans="5:10">
      <c r="E988" s="241"/>
      <c r="F988" s="237"/>
      <c r="G988" s="237"/>
      <c r="H988" s="237"/>
      <c r="I988" s="237"/>
      <c r="J988" s="237"/>
    </row>
    <row r="989" spans="5:10">
      <c r="E989" s="241"/>
      <c r="F989" s="237"/>
      <c r="G989" s="237"/>
      <c r="H989" s="237"/>
      <c r="I989" s="237"/>
      <c r="J989" s="237"/>
    </row>
    <row r="990" spans="5:10">
      <c r="E990" s="241"/>
      <c r="F990" s="237"/>
      <c r="G990" s="237"/>
      <c r="H990" s="237"/>
      <c r="I990" s="237"/>
      <c r="J990" s="237"/>
    </row>
    <row r="991" spans="5:10">
      <c r="E991" s="241"/>
      <c r="F991" s="237"/>
      <c r="G991" s="237"/>
      <c r="H991" s="237"/>
      <c r="I991" s="237"/>
      <c r="J991" s="237"/>
    </row>
    <row r="992" spans="5:10">
      <c r="E992" s="241"/>
      <c r="F992" s="237"/>
      <c r="G992" s="237"/>
      <c r="H992" s="237"/>
      <c r="I992" s="237"/>
      <c r="J992" s="237"/>
    </row>
    <row r="993" spans="5:10">
      <c r="E993" s="241"/>
      <c r="F993" s="237"/>
      <c r="G993" s="237"/>
      <c r="H993" s="237"/>
      <c r="I993" s="237"/>
      <c r="J993" s="237"/>
    </row>
    <row r="994" spans="5:10">
      <c r="E994" s="241"/>
      <c r="F994" s="237"/>
      <c r="G994" s="237"/>
      <c r="H994" s="237"/>
      <c r="I994" s="237"/>
      <c r="J994" s="237"/>
    </row>
    <row r="995" spans="5:10">
      <c r="E995" s="241"/>
      <c r="F995" s="237"/>
      <c r="G995" s="237"/>
      <c r="H995" s="237"/>
      <c r="I995" s="237"/>
      <c r="J995" s="237"/>
    </row>
    <row r="996" spans="5:10">
      <c r="E996" s="241"/>
      <c r="F996" s="237"/>
      <c r="G996" s="237"/>
      <c r="H996" s="237"/>
      <c r="I996" s="237"/>
      <c r="J996" s="237"/>
    </row>
    <row r="997" spans="5:10">
      <c r="E997" s="241"/>
      <c r="F997" s="237"/>
      <c r="G997" s="237"/>
      <c r="H997" s="237"/>
      <c r="I997" s="237"/>
      <c r="J997" s="237"/>
    </row>
    <row r="998" spans="5:10">
      <c r="E998" s="241"/>
      <c r="F998" s="237"/>
      <c r="G998" s="237"/>
      <c r="H998" s="237"/>
      <c r="I998" s="237"/>
      <c r="J998" s="237"/>
    </row>
    <row r="999" spans="5:10">
      <c r="E999" s="241"/>
      <c r="F999" s="237"/>
      <c r="G999" s="237"/>
      <c r="H999" s="237"/>
      <c r="I999" s="237"/>
      <c r="J999" s="237"/>
    </row>
    <row r="1000" spans="5:10">
      <c r="E1000" s="241"/>
      <c r="F1000" s="237"/>
      <c r="G1000" s="237"/>
      <c r="H1000" s="237"/>
      <c r="I1000" s="237"/>
      <c r="J1000" s="237"/>
    </row>
    <row r="1001" spans="5:10">
      <c r="E1001" s="241"/>
      <c r="F1001" s="237"/>
      <c r="G1001" s="237"/>
      <c r="H1001" s="237"/>
      <c r="I1001" s="237"/>
      <c r="J1001" s="237"/>
    </row>
    <row r="1002" spans="5:10">
      <c r="E1002" s="241"/>
      <c r="F1002" s="237"/>
      <c r="G1002" s="237"/>
      <c r="H1002" s="237"/>
      <c r="I1002" s="237"/>
      <c r="J1002" s="237"/>
    </row>
    <row r="1003" spans="5:10">
      <c r="E1003" s="241"/>
      <c r="F1003" s="237"/>
      <c r="G1003" s="237"/>
      <c r="H1003" s="237"/>
      <c r="I1003" s="237"/>
      <c r="J1003" s="237"/>
    </row>
    <row r="1004" spans="5:10">
      <c r="E1004" s="241"/>
      <c r="F1004" s="237"/>
      <c r="G1004" s="237"/>
      <c r="H1004" s="237"/>
      <c r="I1004" s="237"/>
      <c r="J1004" s="237"/>
    </row>
    <row r="1005" spans="5:10">
      <c r="E1005" s="241"/>
      <c r="F1005" s="237"/>
      <c r="G1005" s="237"/>
      <c r="H1005" s="237"/>
      <c r="I1005" s="237"/>
      <c r="J1005" s="237"/>
    </row>
    <row r="1006" spans="5:10">
      <c r="E1006" s="241"/>
      <c r="F1006" s="237"/>
      <c r="G1006" s="237"/>
      <c r="H1006" s="237"/>
      <c r="I1006" s="237"/>
      <c r="J1006" s="237"/>
    </row>
    <row r="1007" spans="5:10">
      <c r="E1007" s="241"/>
      <c r="F1007" s="237"/>
      <c r="G1007" s="237"/>
      <c r="H1007" s="237"/>
      <c r="I1007" s="237"/>
      <c r="J1007" s="237"/>
    </row>
    <row r="1008" spans="5:10">
      <c r="E1008" s="241"/>
      <c r="F1008" s="237"/>
      <c r="G1008" s="237"/>
      <c r="H1008" s="237"/>
      <c r="I1008" s="237"/>
      <c r="J1008" s="237"/>
    </row>
    <row r="1009" spans="5:10">
      <c r="E1009" s="241"/>
      <c r="F1009" s="237"/>
      <c r="G1009" s="237"/>
      <c r="H1009" s="237"/>
      <c r="I1009" s="237"/>
      <c r="J1009" s="237"/>
    </row>
    <row r="1010" spans="5:10">
      <c r="E1010" s="241"/>
      <c r="F1010" s="237"/>
      <c r="G1010" s="237"/>
      <c r="H1010" s="237"/>
      <c r="I1010" s="237"/>
      <c r="J1010" s="237"/>
    </row>
    <row r="1011" spans="5:10">
      <c r="E1011" s="241"/>
      <c r="F1011" s="237"/>
      <c r="G1011" s="237"/>
      <c r="H1011" s="237"/>
      <c r="I1011" s="237"/>
      <c r="J1011" s="237"/>
    </row>
    <row r="1012" spans="5:10">
      <c r="E1012" s="241"/>
      <c r="F1012" s="237"/>
      <c r="G1012" s="237"/>
      <c r="H1012" s="237"/>
      <c r="I1012" s="237"/>
      <c r="J1012" s="237"/>
    </row>
    <row r="1013" spans="5:10">
      <c r="E1013" s="241"/>
      <c r="F1013" s="237"/>
      <c r="G1013" s="237"/>
      <c r="H1013" s="237"/>
      <c r="I1013" s="237"/>
      <c r="J1013" s="237"/>
    </row>
    <row r="1014" spans="5:10">
      <c r="E1014" s="241"/>
      <c r="F1014" s="237"/>
      <c r="G1014" s="237"/>
      <c r="H1014" s="237"/>
      <c r="I1014" s="237"/>
      <c r="J1014" s="237"/>
    </row>
    <row r="1015" spans="5:10">
      <c r="E1015" s="241"/>
      <c r="F1015" s="237"/>
      <c r="G1015" s="237"/>
      <c r="H1015" s="237"/>
      <c r="I1015" s="237"/>
      <c r="J1015" s="237"/>
    </row>
    <row r="1016" spans="5:10">
      <c r="E1016" s="241"/>
      <c r="F1016" s="237"/>
      <c r="G1016" s="237"/>
      <c r="H1016" s="237"/>
      <c r="I1016" s="237"/>
      <c r="J1016" s="237"/>
    </row>
    <row r="1017" spans="5:10">
      <c r="E1017" s="241"/>
      <c r="F1017" s="237"/>
      <c r="G1017" s="237"/>
      <c r="H1017" s="237"/>
      <c r="I1017" s="237"/>
      <c r="J1017" s="237"/>
    </row>
    <row r="1018" spans="5:10">
      <c r="E1018" s="241"/>
      <c r="F1018" s="237"/>
      <c r="G1018" s="237"/>
      <c r="H1018" s="237"/>
      <c r="I1018" s="237"/>
      <c r="J1018" s="237"/>
    </row>
  </sheetData>
  <mergeCells count="9">
    <mergeCell ref="A525:K525"/>
    <mergeCell ref="A534:K534"/>
    <mergeCell ref="A532:K532"/>
    <mergeCell ref="A537:K537"/>
    <mergeCell ref="A536:K536"/>
    <mergeCell ref="A535:K535"/>
    <mergeCell ref="A528:K528"/>
    <mergeCell ref="A529:K529"/>
    <mergeCell ref="A526:K526"/>
  </mergeCells>
  <pageMargins left="0.74803149606299213" right="0.74803149606299213" top="0.98425196850393704" bottom="0.98425196850393704" header="0.51181102362204722" footer="0.51181102362204722"/>
  <pageSetup paperSize="9" scale="70" firstPageNumber="24" fitToHeight="0" orientation="portrait" useFirstPageNumber="1"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2" manualBreakCount="2">
    <brk id="77" max="16383" man="1"/>
    <brk id="451"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4">
    <tabColor theme="4"/>
    <pageSetUpPr fitToPage="1"/>
  </sheetPr>
  <dimension ref="A1:AE1076"/>
  <sheetViews>
    <sheetView showGridLines="0" topLeftCell="A539" zoomScale="70" zoomScaleNormal="70" zoomScaleSheetLayoutView="70" zoomScalePageLayoutView="85" workbookViewId="0">
      <selection activeCell="C601" sqref="C601"/>
    </sheetView>
  </sheetViews>
  <sheetFormatPr baseColWidth="10" defaultColWidth="9.3984375" defaultRowHeight="14"/>
  <cols>
    <col min="1" max="1" width="13.796875" style="1272" customWidth="1"/>
    <col min="2" max="2" width="34.19921875" style="1272" customWidth="1"/>
    <col min="3" max="3" width="22.19921875" style="1272" bestFit="1" customWidth="1"/>
    <col min="4" max="4" width="1.19921875" style="850" customWidth="1"/>
    <col min="5" max="7" width="9.796875" style="1274" customWidth="1"/>
    <col min="8" max="8" width="11.3984375" style="1274" customWidth="1"/>
    <col min="9" max="9" width="9.796875" style="1274" customWidth="1"/>
    <col min="10" max="10" width="1.19921875" style="850" customWidth="1"/>
    <col min="11" max="11" width="8.3984375" style="850" customWidth="1"/>
    <col min="12" max="15" width="9.3984375" style="1272"/>
    <col min="16" max="16384" width="9.3984375" style="850"/>
  </cols>
  <sheetData>
    <row r="1" spans="1:15">
      <c r="A1" s="1272" t="s">
        <v>149</v>
      </c>
      <c r="M1" s="1325" t="s">
        <v>1576</v>
      </c>
    </row>
    <row r="2" spans="1:15" ht="7.5" customHeight="1"/>
    <row r="3" spans="1:15" ht="17">
      <c r="A3" s="1326"/>
    </row>
    <row r="4" spans="1:15" ht="20">
      <c r="A4" s="2248" t="s">
        <v>1405</v>
      </c>
      <c r="B4" s="1368"/>
      <c r="C4" s="1368"/>
      <c r="D4" s="853"/>
      <c r="E4" s="1369"/>
      <c r="F4" s="1369"/>
      <c r="G4" s="1369"/>
      <c r="H4" s="1369"/>
      <c r="I4" s="1369"/>
      <c r="J4" s="853"/>
      <c r="K4" s="853"/>
    </row>
    <row r="5" spans="1:15" ht="15.75" customHeight="1" thickBot="1">
      <c r="A5" s="1364"/>
      <c r="B5" s="1364"/>
      <c r="C5" s="1364"/>
      <c r="D5" s="3441" t="s">
        <v>1165</v>
      </c>
      <c r="E5" s="3441"/>
      <c r="F5" s="3441"/>
      <c r="G5" s="3441"/>
      <c r="H5" s="3441"/>
      <c r="I5" s="3441"/>
      <c r="J5" s="3441"/>
      <c r="K5" s="1366"/>
    </row>
    <row r="6" spans="1:15" ht="3" customHeight="1">
      <c r="A6" s="1364"/>
      <c r="B6" s="1364"/>
      <c r="C6" s="1364"/>
      <c r="D6" s="2223"/>
      <c r="E6" s="2223"/>
      <c r="F6" s="2223"/>
      <c r="G6" s="2223"/>
      <c r="H6" s="2223"/>
      <c r="I6" s="2223"/>
      <c r="J6" s="2223"/>
      <c r="K6" s="1366"/>
    </row>
    <row r="7" spans="1:15">
      <c r="A7" s="1364" t="s">
        <v>268</v>
      </c>
      <c r="B7" s="1364" t="s">
        <v>269</v>
      </c>
      <c r="C7" s="1364" t="s">
        <v>216</v>
      </c>
      <c r="D7" s="871"/>
      <c r="E7" s="2243" t="s">
        <v>806</v>
      </c>
      <c r="F7" s="2244" t="s">
        <v>807</v>
      </c>
      <c r="G7" s="2245" t="s">
        <v>808</v>
      </c>
      <c r="H7" s="1363" t="s">
        <v>95</v>
      </c>
      <c r="I7" s="2246" t="s">
        <v>1972</v>
      </c>
      <c r="J7" s="1183"/>
      <c r="K7" s="1183" t="s">
        <v>219</v>
      </c>
    </row>
    <row r="8" spans="1:15" ht="3" customHeight="1">
      <c r="A8" s="1364"/>
      <c r="B8" s="1364"/>
      <c r="C8" s="1364"/>
      <c r="D8" s="871"/>
      <c r="E8" s="1374"/>
      <c r="F8" s="1374"/>
      <c r="G8" s="1374"/>
      <c r="H8" s="1374"/>
      <c r="I8" s="1374"/>
      <c r="J8" s="1183"/>
      <c r="K8" s="1183"/>
    </row>
    <row r="9" spans="1:15" s="867" customFormat="1" ht="5.25" customHeight="1">
      <c r="A9" s="1276"/>
      <c r="B9" s="1276"/>
      <c r="C9" s="1276"/>
      <c r="E9" s="1277"/>
      <c r="F9" s="1277"/>
      <c r="G9" s="1277"/>
      <c r="H9" s="1277"/>
      <c r="I9" s="1277"/>
      <c r="J9" s="862"/>
      <c r="K9" s="862"/>
      <c r="L9" s="1276"/>
      <c r="M9" s="1276"/>
      <c r="N9" s="1276"/>
      <c r="O9" s="1276"/>
    </row>
    <row r="10" spans="1:15">
      <c r="A10" s="2264" t="s">
        <v>1404</v>
      </c>
      <c r="B10" s="2265"/>
      <c r="C10" s="2265"/>
      <c r="D10" s="2218"/>
      <c r="E10" s="2268"/>
      <c r="F10" s="2268"/>
      <c r="G10" s="2268"/>
      <c r="H10" s="2268"/>
      <c r="I10" s="2268"/>
      <c r="J10" s="2269"/>
      <c r="K10" s="2269"/>
    </row>
    <row r="11" spans="1:15" ht="3.75" customHeight="1">
      <c r="E11" s="1273"/>
      <c r="F11" s="1273"/>
      <c r="G11" s="1273"/>
      <c r="H11" s="1273"/>
      <c r="I11" s="1273"/>
      <c r="J11" s="861"/>
      <c r="K11" s="861"/>
    </row>
    <row r="12" spans="1:15">
      <c r="A12" s="1319">
        <v>16711</v>
      </c>
      <c r="B12" s="1272" t="s">
        <v>270</v>
      </c>
      <c r="C12" s="1272" t="s">
        <v>1557</v>
      </c>
      <c r="E12" s="1274">
        <v>-2.9000000000000001E-2</v>
      </c>
      <c r="F12" s="1274">
        <v>2.9000000000000001E-2</v>
      </c>
      <c r="G12" s="1273" t="s">
        <v>246</v>
      </c>
      <c r="H12" s="1273" t="s">
        <v>246</v>
      </c>
      <c r="I12" s="1273" t="s">
        <v>246</v>
      </c>
      <c r="J12" s="861"/>
      <c r="K12" s="1275">
        <v>0.65400000000000003</v>
      </c>
    </row>
    <row r="13" spans="1:15">
      <c r="A13" s="1319">
        <v>16712</v>
      </c>
      <c r="B13" s="1272" t="s">
        <v>271</v>
      </c>
      <c r="C13" s="1272" t="s">
        <v>1557</v>
      </c>
      <c r="E13" s="1274">
        <v>-8.5999999999999993E-2</v>
      </c>
      <c r="F13" s="1274">
        <v>-2.3E-2</v>
      </c>
      <c r="G13" s="1274">
        <v>0.109</v>
      </c>
      <c r="H13" s="1273" t="s">
        <v>246</v>
      </c>
      <c r="I13" s="1273" t="s">
        <v>246</v>
      </c>
      <c r="J13" s="861"/>
      <c r="K13" s="1275">
        <v>0.70499999999999996</v>
      </c>
    </row>
    <row r="14" spans="1:15">
      <c r="A14" s="1319">
        <v>16713</v>
      </c>
      <c r="B14" s="1272" t="s">
        <v>272</v>
      </c>
      <c r="C14" s="1276" t="s">
        <v>1557</v>
      </c>
      <c r="D14" s="867"/>
      <c r="E14" s="1274">
        <v>1.0999999999999999E-2</v>
      </c>
      <c r="F14" s="1274">
        <v>5.1999999999999998E-2</v>
      </c>
      <c r="G14" s="1273" t="s">
        <v>246</v>
      </c>
      <c r="H14" s="1274">
        <v>-6.3E-2</v>
      </c>
      <c r="I14" s="1273" t="s">
        <v>246</v>
      </c>
      <c r="J14" s="861"/>
      <c r="K14" s="1275">
        <v>0.51</v>
      </c>
    </row>
    <row r="15" spans="1:15" ht="12.75" customHeight="1">
      <c r="A15" s="1319">
        <v>16740</v>
      </c>
      <c r="B15" s="1272" t="s">
        <v>137</v>
      </c>
      <c r="C15" s="1276" t="s">
        <v>1545</v>
      </c>
      <c r="D15" s="867"/>
      <c r="E15" s="1274">
        <v>8.0000000000000002E-3</v>
      </c>
      <c r="F15" s="1274">
        <v>-8.0000000000000002E-3</v>
      </c>
      <c r="G15" s="1273" t="s">
        <v>246</v>
      </c>
      <c r="H15" s="1273" t="s">
        <v>246</v>
      </c>
      <c r="I15" s="1273" t="s">
        <v>246</v>
      </c>
      <c r="J15" s="861"/>
      <c r="K15" s="1275">
        <v>0.66700000000000004</v>
      </c>
    </row>
    <row r="16" spans="1:15" s="867" customFormat="1" ht="16">
      <c r="A16" s="1328">
        <v>16741</v>
      </c>
      <c r="B16" s="1276" t="s">
        <v>2319</v>
      </c>
      <c r="C16" s="1276" t="s">
        <v>1546</v>
      </c>
      <c r="E16" s="1277">
        <v>-3.7938538996864946E-2</v>
      </c>
      <c r="F16" s="1277" t="s">
        <v>396</v>
      </c>
      <c r="G16" s="1277">
        <v>0.14003374888803244</v>
      </c>
      <c r="H16" s="1277" t="s">
        <v>396</v>
      </c>
      <c r="I16" s="1277">
        <v>-0.10209520989116755</v>
      </c>
      <c r="J16" s="862"/>
      <c r="K16" s="1278">
        <v>0.51600000000000001</v>
      </c>
      <c r="L16" s="1276"/>
      <c r="M16" s="1276"/>
      <c r="N16" s="1276"/>
      <c r="O16" s="1276"/>
    </row>
    <row r="17" spans="1:15">
      <c r="A17" s="1319">
        <v>16755</v>
      </c>
      <c r="B17" s="1272" t="s">
        <v>274</v>
      </c>
      <c r="C17" s="1276" t="s">
        <v>1545</v>
      </c>
      <c r="D17" s="867"/>
      <c r="E17" s="1274">
        <v>4.5999999999999999E-2</v>
      </c>
      <c r="F17" s="1274">
        <v>0.05</v>
      </c>
      <c r="G17" s="1274">
        <v>-9.6000000000000002E-2</v>
      </c>
      <c r="H17" s="1273" t="s">
        <v>246</v>
      </c>
      <c r="I17" s="1273" t="s">
        <v>246</v>
      </c>
      <c r="J17" s="861"/>
      <c r="K17" s="1275">
        <v>0.56499999999999995</v>
      </c>
    </row>
    <row r="18" spans="1:15">
      <c r="A18" s="1319">
        <v>16756</v>
      </c>
      <c r="B18" s="1272" t="s">
        <v>275</v>
      </c>
      <c r="C18" s="1276" t="s">
        <v>1545</v>
      </c>
      <c r="D18" s="867"/>
      <c r="E18" s="1274">
        <v>-8.6999999999999994E-2</v>
      </c>
      <c r="F18" s="1274">
        <v>0.12</v>
      </c>
      <c r="G18" s="1274">
        <v>-3.3000000000000002E-2</v>
      </c>
      <c r="H18" s="1273" t="s">
        <v>246</v>
      </c>
      <c r="I18" s="1273" t="s">
        <v>246</v>
      </c>
      <c r="J18" s="861"/>
      <c r="K18" s="1275">
        <v>0.56499999999999995</v>
      </c>
    </row>
    <row r="19" spans="1:15">
      <c r="A19" s="1319">
        <v>16761</v>
      </c>
      <c r="B19" s="1272" t="s">
        <v>276</v>
      </c>
      <c r="C19" s="1276" t="s">
        <v>1545</v>
      </c>
      <c r="D19" s="867"/>
      <c r="E19" s="1274">
        <v>0.11899999999999999</v>
      </c>
      <c r="F19" s="1274">
        <v>7.0000000000000007E-2</v>
      </c>
      <c r="G19" s="1274">
        <v>0.189</v>
      </c>
      <c r="H19" s="1273" t="s">
        <v>246</v>
      </c>
      <c r="I19" s="1273" t="s">
        <v>246</v>
      </c>
      <c r="J19" s="861"/>
      <c r="K19" s="1275">
        <v>0.36799999999999999</v>
      </c>
    </row>
    <row r="20" spans="1:15">
      <c r="A20" s="1319">
        <v>16784</v>
      </c>
      <c r="B20" s="1272" t="s">
        <v>277</v>
      </c>
      <c r="C20" s="1276" t="s">
        <v>1557</v>
      </c>
      <c r="D20" s="867"/>
      <c r="E20" s="1274">
        <v>8.2000000000000003E-2</v>
      </c>
      <c r="F20" s="1274">
        <v>-8.2000000000000003E-2</v>
      </c>
      <c r="G20" s="1273" t="s">
        <v>246</v>
      </c>
      <c r="H20" s="1273" t="s">
        <v>246</v>
      </c>
      <c r="I20" s="1273" t="s">
        <v>246</v>
      </c>
      <c r="J20" s="861"/>
      <c r="K20" s="1275">
        <v>0.39500000000000002</v>
      </c>
    </row>
    <row r="21" spans="1:15" s="867" customFormat="1" ht="16">
      <c r="A21" s="1328">
        <v>16833</v>
      </c>
      <c r="B21" s="1276" t="s">
        <v>2320</v>
      </c>
      <c r="C21" s="1276" t="s">
        <v>1558</v>
      </c>
      <c r="E21" s="1277">
        <v>2.6058098372818361E-2</v>
      </c>
      <c r="F21" s="1277" t="s">
        <v>396</v>
      </c>
      <c r="G21" s="1277">
        <v>-6.050229147571036E-2</v>
      </c>
      <c r="H21" s="1277" t="s">
        <v>396</v>
      </c>
      <c r="I21" s="1277">
        <v>-3.7895508707607696E-2</v>
      </c>
      <c r="J21" s="862"/>
      <c r="K21" s="1278">
        <v>0.64900000000000002</v>
      </c>
      <c r="L21" s="1276"/>
      <c r="M21" s="1276"/>
      <c r="N21" s="1276"/>
      <c r="O21" s="1276"/>
    </row>
    <row r="22" spans="1:15">
      <c r="A22" s="1319">
        <v>16840</v>
      </c>
      <c r="B22" s="1272" t="s">
        <v>281</v>
      </c>
      <c r="C22" s="1276" t="s">
        <v>1557</v>
      </c>
      <c r="D22" s="867"/>
      <c r="E22" s="1274">
        <v>-2.3E-2</v>
      </c>
      <c r="F22" s="1274">
        <v>2.3E-2</v>
      </c>
      <c r="G22" s="1273" t="s">
        <v>246</v>
      </c>
      <c r="H22" s="1273" t="s">
        <v>246</v>
      </c>
      <c r="I22" s="1273" t="s">
        <v>246</v>
      </c>
      <c r="J22" s="861"/>
      <c r="K22" s="1275">
        <v>0.69</v>
      </c>
    </row>
    <row r="23" spans="1:15">
      <c r="A23" s="1319">
        <v>16845</v>
      </c>
      <c r="B23" s="1272" t="s">
        <v>282</v>
      </c>
      <c r="C23" s="1276" t="s">
        <v>1545</v>
      </c>
      <c r="D23" s="867"/>
      <c r="E23" s="1274">
        <v>-6.3E-2</v>
      </c>
      <c r="F23" s="1274">
        <v>-4.1000000000000002E-2</v>
      </c>
      <c r="G23" s="1273" t="s">
        <v>246</v>
      </c>
      <c r="H23" s="1274">
        <v>0.104</v>
      </c>
      <c r="I23" s="1273" t="s">
        <v>246</v>
      </c>
      <c r="J23" s="861"/>
      <c r="K23" s="1275">
        <v>0.55600000000000005</v>
      </c>
    </row>
    <row r="24" spans="1:15">
      <c r="A24" s="1319">
        <v>16823</v>
      </c>
      <c r="B24" s="1272" t="s">
        <v>283</v>
      </c>
      <c r="C24" s="1276" t="s">
        <v>1557</v>
      </c>
      <c r="D24" s="867"/>
      <c r="E24" s="1274">
        <v>5.0000000000000001E-3</v>
      </c>
      <c r="F24" s="1274">
        <v>-5.0000000000000001E-3</v>
      </c>
      <c r="G24" s="1273" t="s">
        <v>246</v>
      </c>
      <c r="H24" s="1273" t="s">
        <v>246</v>
      </c>
      <c r="I24" s="1273" t="s">
        <v>246</v>
      </c>
      <c r="J24" s="861"/>
      <c r="K24" s="1275">
        <v>0.75600000000000001</v>
      </c>
    </row>
    <row r="25" spans="1:15">
      <c r="A25" s="1319">
        <v>16855</v>
      </c>
      <c r="B25" s="1272" t="s">
        <v>284</v>
      </c>
      <c r="C25" s="1276" t="s">
        <v>1557</v>
      </c>
      <c r="D25" s="867"/>
      <c r="E25" s="1279" t="s">
        <v>1469</v>
      </c>
      <c r="F25" s="1280"/>
      <c r="G25" s="1277"/>
      <c r="H25" s="1277"/>
      <c r="I25" s="1277"/>
      <c r="J25" s="862"/>
      <c r="K25" s="1278"/>
    </row>
    <row r="26" spans="1:15" s="1272" customFormat="1" ht="16">
      <c r="A26" s="1319">
        <v>16874</v>
      </c>
      <c r="B26" s="1272" t="s">
        <v>2321</v>
      </c>
      <c r="C26" s="1276" t="s">
        <v>1547</v>
      </c>
      <c r="D26" s="1276"/>
      <c r="E26" s="1279" t="s">
        <v>691</v>
      </c>
      <c r="F26" s="1279"/>
      <c r="G26" s="1277"/>
      <c r="H26" s="1277"/>
      <c r="I26" s="1277"/>
      <c r="J26" s="862"/>
      <c r="K26" s="1281">
        <v>0.42099999999999999</v>
      </c>
    </row>
    <row r="27" spans="1:15">
      <c r="A27" s="1319">
        <v>16957</v>
      </c>
      <c r="B27" s="1272" t="s">
        <v>286</v>
      </c>
      <c r="C27" s="1276" t="s">
        <v>1557</v>
      </c>
      <c r="D27" s="867"/>
      <c r="E27" s="1274">
        <v>-0.18</v>
      </c>
      <c r="F27" s="1274">
        <v>-5.8000000000000003E-2</v>
      </c>
      <c r="G27" s="1273" t="s">
        <v>246</v>
      </c>
      <c r="H27" s="1274">
        <v>0.23799999999999999</v>
      </c>
      <c r="I27" s="1273" t="s">
        <v>246</v>
      </c>
      <c r="J27" s="861"/>
      <c r="K27" s="1275">
        <v>0.33100000000000002</v>
      </c>
    </row>
    <row r="28" spans="1:15">
      <c r="A28" s="1319">
        <v>17005</v>
      </c>
      <c r="B28" s="1272" t="s">
        <v>287</v>
      </c>
      <c r="C28" s="1276" t="s">
        <v>1557</v>
      </c>
      <c r="D28" s="867"/>
      <c r="E28" s="1274">
        <v>0.17699999999999999</v>
      </c>
      <c r="F28" s="1274">
        <v>-4.3999999999999997E-2</v>
      </c>
      <c r="G28" s="1274">
        <v>-0.13300000000000001</v>
      </c>
      <c r="H28" s="1273" t="s">
        <v>246</v>
      </c>
      <c r="I28" s="1273" t="s">
        <v>246</v>
      </c>
      <c r="J28" s="861"/>
      <c r="K28" s="1275">
        <v>0.61199999999999999</v>
      </c>
    </row>
    <row r="29" spans="1:15">
      <c r="A29" s="1319">
        <v>17006</v>
      </c>
      <c r="B29" s="1272" t="s">
        <v>288</v>
      </c>
      <c r="C29" s="1276" t="s">
        <v>1557</v>
      </c>
      <c r="D29" s="867"/>
      <c r="E29" s="1274">
        <v>4.1000000000000002E-2</v>
      </c>
      <c r="F29" s="1274">
        <v>-4.1000000000000002E-2</v>
      </c>
      <c r="G29" s="1273" t="s">
        <v>246</v>
      </c>
      <c r="H29" s="1273" t="s">
        <v>246</v>
      </c>
      <c r="I29" s="1273" t="s">
        <v>246</v>
      </c>
      <c r="J29" s="861"/>
      <c r="K29" s="1275">
        <v>0.64800000000000002</v>
      </c>
    </row>
    <row r="30" spans="1:15">
      <c r="A30" s="1319">
        <v>17008</v>
      </c>
      <c r="B30" s="1272" t="s">
        <v>289</v>
      </c>
      <c r="C30" s="1276" t="s">
        <v>1557</v>
      </c>
      <c r="D30" s="867"/>
      <c r="E30" s="1274">
        <v>3.5000000000000003E-2</v>
      </c>
      <c r="F30" s="1274">
        <v>-0.05</v>
      </c>
      <c r="G30" s="1273" t="s">
        <v>246</v>
      </c>
      <c r="H30" s="1273" t="s">
        <v>246</v>
      </c>
      <c r="I30" s="1274">
        <v>1.4999999999999999E-2</v>
      </c>
      <c r="J30" s="1274"/>
      <c r="K30" s="1275">
        <v>0.55400000000000005</v>
      </c>
    </row>
    <row r="31" spans="1:15">
      <c r="A31" s="1319">
        <v>17043</v>
      </c>
      <c r="B31" s="1272" t="s">
        <v>290</v>
      </c>
      <c r="C31" s="1276" t="s">
        <v>291</v>
      </c>
      <c r="D31" s="867"/>
      <c r="E31" s="1274">
        <v>-0.12</v>
      </c>
      <c r="F31" s="1274">
        <v>0.28000000000000003</v>
      </c>
      <c r="G31" s="1273" t="s">
        <v>246</v>
      </c>
      <c r="H31" s="1273" t="s">
        <v>246</v>
      </c>
      <c r="I31" s="1274">
        <v>-0.16</v>
      </c>
      <c r="J31" s="1274"/>
      <c r="K31" s="1275">
        <v>0.53300000000000003</v>
      </c>
    </row>
    <row r="32" spans="1:15">
      <c r="A32" s="1319">
        <v>17125</v>
      </c>
      <c r="B32" s="1272" t="s">
        <v>292</v>
      </c>
      <c r="C32" s="1276" t="s">
        <v>1557</v>
      </c>
      <c r="D32" s="867"/>
      <c r="E32" s="1274">
        <v>-0.112</v>
      </c>
      <c r="F32" s="1274">
        <v>-0.14099999999999999</v>
      </c>
      <c r="G32" s="1274">
        <v>0.253</v>
      </c>
      <c r="H32" s="1273" t="s">
        <v>246</v>
      </c>
      <c r="I32" s="1273" t="s">
        <v>246</v>
      </c>
      <c r="J32" s="861"/>
      <c r="K32" s="1275">
        <v>0.50900000000000001</v>
      </c>
    </row>
    <row r="33" spans="1:11">
      <c r="A33" s="1319">
        <v>17126</v>
      </c>
      <c r="B33" s="1272" t="s">
        <v>293</v>
      </c>
      <c r="C33" s="1276" t="s">
        <v>1557</v>
      </c>
      <c r="D33" s="867"/>
      <c r="E33" s="1274">
        <v>6.0999999999999999E-2</v>
      </c>
      <c r="F33" s="1274">
        <v>-5.6000000000000001E-2</v>
      </c>
      <c r="G33" s="1273" t="s">
        <v>246</v>
      </c>
      <c r="H33" s="1273" t="s">
        <v>246</v>
      </c>
      <c r="I33" s="1274">
        <v>-5.0000000000000001E-3</v>
      </c>
      <c r="J33" s="1274"/>
      <c r="K33" s="1275">
        <v>0.53900000000000003</v>
      </c>
    </row>
    <row r="34" spans="1:11" ht="16">
      <c r="A34" s="1319">
        <v>17128</v>
      </c>
      <c r="B34" s="1272" t="s">
        <v>2322</v>
      </c>
      <c r="C34" s="1276" t="s">
        <v>1547</v>
      </c>
      <c r="D34" s="1282"/>
      <c r="E34" s="1279" t="s">
        <v>691</v>
      </c>
      <c r="F34" s="1279"/>
      <c r="G34" s="1277"/>
      <c r="H34" s="1277"/>
      <c r="I34" s="1277"/>
      <c r="J34" s="862"/>
      <c r="K34" s="1283">
        <v>0.50700000000000001</v>
      </c>
    </row>
    <row r="35" spans="1:11" s="1272" customFormat="1">
      <c r="A35" s="1319">
        <v>17132</v>
      </c>
      <c r="B35" s="1272" t="s">
        <v>296</v>
      </c>
      <c r="C35" s="1276" t="s">
        <v>1545</v>
      </c>
      <c r="D35" s="867"/>
      <c r="E35" s="1274">
        <v>0.08</v>
      </c>
      <c r="F35" s="1274">
        <v>2.9000000000000001E-2</v>
      </c>
      <c r="G35" s="1274">
        <v>-0.109</v>
      </c>
      <c r="H35" s="1273" t="s">
        <v>246</v>
      </c>
      <c r="I35" s="1273" t="s">
        <v>246</v>
      </c>
      <c r="J35" s="861"/>
      <c r="K35" s="1275">
        <v>0.65600000000000003</v>
      </c>
    </row>
    <row r="36" spans="1:11" s="1272" customFormat="1">
      <c r="A36" s="1319">
        <v>17141</v>
      </c>
      <c r="B36" s="1272" t="s">
        <v>297</v>
      </c>
      <c r="C36" s="1276" t="s">
        <v>1557</v>
      </c>
      <c r="D36" s="867"/>
      <c r="E36" s="1274">
        <v>-0.04</v>
      </c>
      <c r="F36" s="1274">
        <v>-0.16</v>
      </c>
      <c r="G36" s="1273" t="s">
        <v>246</v>
      </c>
      <c r="H36" s="1274">
        <v>0.2</v>
      </c>
      <c r="I36" s="1273" t="s">
        <v>246</v>
      </c>
      <c r="J36" s="861"/>
      <c r="K36" s="1275">
        <v>0.65700000000000003</v>
      </c>
    </row>
    <row r="37" spans="1:11" s="1272" customFormat="1">
      <c r="A37" s="1319">
        <v>17141</v>
      </c>
      <c r="B37" s="1272" t="s">
        <v>298</v>
      </c>
      <c r="C37" s="1276" t="s">
        <v>1557</v>
      </c>
      <c r="D37" s="867"/>
      <c r="E37" s="1274">
        <v>-8.1000000000000003E-2</v>
      </c>
      <c r="F37" s="1274">
        <v>3.0000000000000001E-3</v>
      </c>
      <c r="G37" s="1273" t="s">
        <v>246</v>
      </c>
      <c r="H37" s="1274">
        <v>7.8E-2</v>
      </c>
      <c r="I37" s="1273" t="s">
        <v>246</v>
      </c>
      <c r="J37" s="861"/>
      <c r="K37" s="1275">
        <v>0.68400000000000005</v>
      </c>
    </row>
    <row r="38" spans="1:11" s="1272" customFormat="1">
      <c r="A38" s="1319">
        <v>17209</v>
      </c>
      <c r="B38" s="1272" t="s">
        <v>299</v>
      </c>
      <c r="C38" s="1276" t="s">
        <v>1557</v>
      </c>
      <c r="D38" s="867"/>
      <c r="E38" s="1274">
        <v>2.1000000000000001E-2</v>
      </c>
      <c r="F38" s="1274">
        <v>-4.4999999999999998E-2</v>
      </c>
      <c r="G38" s="1273" t="s">
        <v>246</v>
      </c>
      <c r="H38" s="1273" t="s">
        <v>246</v>
      </c>
      <c r="I38" s="1274">
        <v>2.4E-2</v>
      </c>
      <c r="J38" s="1274"/>
      <c r="K38" s="1275">
        <v>0.54600000000000004</v>
      </c>
    </row>
    <row r="39" spans="1:11" s="1272" customFormat="1">
      <c r="A39" s="1319">
        <v>17294</v>
      </c>
      <c r="B39" s="1272" t="s">
        <v>300</v>
      </c>
      <c r="C39" s="1276" t="s">
        <v>1557</v>
      </c>
      <c r="D39" s="867"/>
      <c r="E39" s="1274">
        <v>3.5000000000000003E-2</v>
      </c>
      <c r="F39" s="1274">
        <v>-6.7000000000000004E-2</v>
      </c>
      <c r="G39" s="1273" t="s">
        <v>246</v>
      </c>
      <c r="H39" s="1273" t="s">
        <v>246</v>
      </c>
      <c r="I39" s="1274">
        <v>3.2000000000000001E-2</v>
      </c>
      <c r="J39" s="1274"/>
      <c r="K39" s="1275">
        <v>0.73399999999999999</v>
      </c>
    </row>
    <row r="40" spans="1:11" s="1272" customFormat="1">
      <c r="A40" s="1319">
        <v>17421</v>
      </c>
      <c r="B40" s="1272" t="s">
        <v>301</v>
      </c>
      <c r="C40" s="1276" t="s">
        <v>1557</v>
      </c>
      <c r="D40" s="867"/>
      <c r="E40" s="1274">
        <v>7.4999999999999997E-2</v>
      </c>
      <c r="F40" s="1274">
        <v>-0.128</v>
      </c>
      <c r="G40" s="1274">
        <v>4.3999999999999997E-2</v>
      </c>
      <c r="H40" s="1273" t="s">
        <v>246</v>
      </c>
      <c r="I40" s="1274">
        <v>8.9999999999999993E-3</v>
      </c>
      <c r="J40" s="1274"/>
      <c r="K40" s="1275">
        <v>0.627</v>
      </c>
    </row>
    <row r="41" spans="1:11" s="1272" customFormat="1">
      <c r="A41" s="1319">
        <v>17435</v>
      </c>
      <c r="B41" s="1272" t="s">
        <v>302</v>
      </c>
      <c r="C41" s="1276" t="s">
        <v>1557</v>
      </c>
      <c r="D41" s="867"/>
      <c r="E41" s="1274">
        <v>4.0000000000000001E-3</v>
      </c>
      <c r="F41" s="1274">
        <v>-0.16600000000000001</v>
      </c>
      <c r="G41" s="1274">
        <v>0.16</v>
      </c>
      <c r="H41" s="1273" t="s">
        <v>246</v>
      </c>
      <c r="I41" s="1274">
        <v>2E-3</v>
      </c>
      <c r="J41" s="1274"/>
      <c r="K41" s="1275">
        <v>0.51400000000000001</v>
      </c>
    </row>
    <row r="42" spans="1:11" s="1272" customFormat="1">
      <c r="A42" s="1319">
        <v>17497</v>
      </c>
      <c r="B42" s="1272" t="s">
        <v>303</v>
      </c>
      <c r="C42" s="1276" t="s">
        <v>1557</v>
      </c>
      <c r="D42" s="867"/>
      <c r="E42" s="1274">
        <v>0.129</v>
      </c>
      <c r="F42" s="1274">
        <v>-7.0000000000000001E-3</v>
      </c>
      <c r="G42" s="1274">
        <v>-0.122</v>
      </c>
      <c r="H42" s="1273" t="s">
        <v>246</v>
      </c>
      <c r="I42" s="1273" t="s">
        <v>246</v>
      </c>
      <c r="J42" s="861"/>
      <c r="K42" s="1275">
        <v>0.77300000000000002</v>
      </c>
    </row>
    <row r="43" spans="1:11" s="1272" customFormat="1">
      <c r="A43" s="1319">
        <v>17498</v>
      </c>
      <c r="B43" s="1272" t="s">
        <v>304</v>
      </c>
      <c r="C43" s="1276" t="s">
        <v>1545</v>
      </c>
      <c r="D43" s="867"/>
      <c r="E43" s="1274">
        <v>0.08</v>
      </c>
      <c r="F43" s="1274">
        <v>-3.6999999999999998E-2</v>
      </c>
      <c r="G43" s="1274">
        <v>-4.2999999999999997E-2</v>
      </c>
      <c r="H43" s="1273" t="s">
        <v>246</v>
      </c>
      <c r="I43" s="1273" t="s">
        <v>246</v>
      </c>
      <c r="J43" s="861"/>
      <c r="K43" s="1275">
        <v>0.67</v>
      </c>
    </row>
    <row r="44" spans="1:11" s="1272" customFormat="1">
      <c r="A44" s="1319">
        <v>17498</v>
      </c>
      <c r="B44" s="1272" t="s">
        <v>305</v>
      </c>
      <c r="C44" s="1276" t="s">
        <v>1557</v>
      </c>
      <c r="D44" s="867"/>
      <c r="E44" s="1274">
        <v>-0.03</v>
      </c>
      <c r="F44" s="1274">
        <v>-5.8000000000000003E-2</v>
      </c>
      <c r="G44" s="1274">
        <v>0.10100000000000001</v>
      </c>
      <c r="H44" s="1274">
        <v>-1.2999999999999999E-2</v>
      </c>
      <c r="I44" s="1273" t="s">
        <v>246</v>
      </c>
      <c r="J44" s="861"/>
      <c r="K44" s="1275">
        <v>0.63</v>
      </c>
    </row>
    <row r="45" spans="1:11" s="1272" customFormat="1">
      <c r="A45" s="1319">
        <v>17505</v>
      </c>
      <c r="B45" s="1272" t="s">
        <v>306</v>
      </c>
      <c r="C45" s="1276" t="s">
        <v>1545</v>
      </c>
      <c r="D45" s="867"/>
      <c r="E45" s="1274">
        <v>0.11</v>
      </c>
      <c r="F45" s="1274">
        <v>-6.3E-2</v>
      </c>
      <c r="G45" s="1274">
        <v>-4.7E-2</v>
      </c>
      <c r="H45" s="1273" t="s">
        <v>246</v>
      </c>
      <c r="I45" s="1273" t="s">
        <v>246</v>
      </c>
      <c r="J45" s="861"/>
      <c r="K45" s="1275">
        <v>0.70499999999999996</v>
      </c>
    </row>
    <row r="46" spans="1:11" s="1272" customFormat="1">
      <c r="A46" s="1319">
        <v>17560</v>
      </c>
      <c r="B46" s="1272" t="s">
        <v>307</v>
      </c>
      <c r="C46" s="1276" t="s">
        <v>1548</v>
      </c>
      <c r="D46" s="867"/>
      <c r="E46" s="1274">
        <v>1.4E-2</v>
      </c>
      <c r="F46" s="1274">
        <v>0.42099999999999999</v>
      </c>
      <c r="G46" s="1274">
        <v>1.2E-2</v>
      </c>
      <c r="H46" s="1273" t="s">
        <v>246</v>
      </c>
      <c r="I46" s="1274">
        <f>0.066-0.513</f>
        <v>-0.44700000000000001</v>
      </c>
      <c r="J46" s="1274"/>
      <c r="K46" s="1275">
        <v>0.56799999999999995</v>
      </c>
    </row>
    <row r="47" spans="1:11" s="1272" customFormat="1">
      <c r="A47" s="1319">
        <v>17581</v>
      </c>
      <c r="B47" s="1272" t="s">
        <v>310</v>
      </c>
      <c r="C47" s="1276" t="s">
        <v>1557</v>
      </c>
      <c r="D47" s="867"/>
      <c r="E47" s="1274">
        <v>0.105</v>
      </c>
      <c r="F47" s="1274">
        <v>1.2E-2</v>
      </c>
      <c r="G47" s="1274">
        <v>-0.1</v>
      </c>
      <c r="H47" s="1273" t="s">
        <v>246</v>
      </c>
      <c r="I47" s="1274">
        <v>-1.7000000000000001E-2</v>
      </c>
      <c r="J47" s="1274"/>
      <c r="K47" s="1275">
        <v>0.76</v>
      </c>
    </row>
    <row r="48" spans="1:11" s="1272" customFormat="1">
      <c r="A48" s="1319">
        <v>17596</v>
      </c>
      <c r="B48" s="1272" t="s">
        <v>311</v>
      </c>
      <c r="C48" s="1276" t="s">
        <v>1557</v>
      </c>
      <c r="D48" s="867"/>
      <c r="E48" s="1274">
        <v>3.9E-2</v>
      </c>
      <c r="F48" s="1274">
        <v>-9.1999999999999998E-2</v>
      </c>
      <c r="G48" s="1273" t="s">
        <v>246</v>
      </c>
      <c r="H48" s="1273" t="s">
        <v>246</v>
      </c>
      <c r="I48" s="1274">
        <v>1.9E-2</v>
      </c>
      <c r="J48" s="1274"/>
      <c r="K48" s="1275">
        <v>0.81399999999999995</v>
      </c>
    </row>
    <row r="49" spans="1:15" s="1272" customFormat="1">
      <c r="A49" s="1319">
        <v>17603</v>
      </c>
      <c r="B49" s="1272" t="s">
        <v>312</v>
      </c>
      <c r="C49" s="1276" t="s">
        <v>1545</v>
      </c>
      <c r="D49" s="867"/>
      <c r="E49" s="1274">
        <v>0.129</v>
      </c>
      <c r="F49" s="1274">
        <v>-3.5000000000000003E-2</v>
      </c>
      <c r="G49" s="1274">
        <v>-9.4E-2</v>
      </c>
      <c r="H49" s="1273" t="s">
        <v>246</v>
      </c>
      <c r="I49" s="1273" t="s">
        <v>246</v>
      </c>
      <c r="J49" s="861"/>
      <c r="K49" s="1275">
        <v>0.748</v>
      </c>
    </row>
    <row r="50" spans="1:15" s="1272" customFormat="1">
      <c r="A50" s="1319">
        <v>17616</v>
      </c>
      <c r="B50" s="1272" t="s">
        <v>313</v>
      </c>
      <c r="C50" s="1276" t="s">
        <v>1557</v>
      </c>
      <c r="D50" s="867"/>
      <c r="E50" s="1274">
        <v>4.2999999999999997E-2</v>
      </c>
      <c r="F50" s="1274">
        <v>-4.2999999999999997E-2</v>
      </c>
      <c r="G50" s="1273" t="s">
        <v>246</v>
      </c>
      <c r="H50" s="1273" t="s">
        <v>246</v>
      </c>
      <c r="I50" s="1273" t="s">
        <v>246</v>
      </c>
      <c r="J50" s="861"/>
      <c r="K50" s="1275">
        <v>0.77100000000000002</v>
      </c>
    </row>
    <row r="51" spans="1:15" s="1329" customFormat="1">
      <c r="A51" s="1319">
        <v>17652</v>
      </c>
      <c r="B51" s="1272" t="s">
        <v>314</v>
      </c>
      <c r="C51" s="1276" t="s">
        <v>1557</v>
      </c>
      <c r="D51" s="867"/>
      <c r="E51" s="1274">
        <v>6.5000000000000002E-2</v>
      </c>
      <c r="F51" s="1274">
        <v>-6.5000000000000002E-2</v>
      </c>
      <c r="G51" s="1273" t="s">
        <v>246</v>
      </c>
      <c r="H51" s="1273" t="s">
        <v>246</v>
      </c>
      <c r="I51" s="1273" t="s">
        <v>246</v>
      </c>
      <c r="J51" s="861"/>
      <c r="K51" s="1275">
        <v>0.48699999999999999</v>
      </c>
      <c r="L51" s="1272"/>
      <c r="M51" s="1272"/>
      <c r="N51" s="1272"/>
      <c r="O51" s="1272"/>
    </row>
    <row r="52" spans="1:15" s="1329" customFormat="1">
      <c r="A52" s="1319">
        <v>17806</v>
      </c>
      <c r="B52" s="1272" t="s">
        <v>315</v>
      </c>
      <c r="C52" s="1276" t="s">
        <v>1557</v>
      </c>
      <c r="D52" s="867"/>
      <c r="E52" s="1274">
        <v>8.5999999999999993E-2</v>
      </c>
      <c r="F52" s="1274">
        <v>-0.255</v>
      </c>
      <c r="G52" s="1273" t="s">
        <v>246</v>
      </c>
      <c r="H52" s="1273" t="s">
        <v>246</v>
      </c>
      <c r="I52" s="1274">
        <v>0.16900000000000001</v>
      </c>
      <c r="J52" s="1274"/>
      <c r="K52" s="1275">
        <v>0.5</v>
      </c>
      <c r="L52" s="1272"/>
      <c r="M52" s="1272"/>
      <c r="N52" s="1272"/>
      <c r="O52" s="1272"/>
    </row>
    <row r="53" spans="1:15" s="1329" customFormat="1">
      <c r="A53" s="1319">
        <v>17813</v>
      </c>
      <c r="B53" s="1272" t="s">
        <v>316</v>
      </c>
      <c r="C53" s="1276" t="s">
        <v>1557</v>
      </c>
      <c r="D53" s="867"/>
      <c r="E53" s="1274">
        <v>-1.0999999999999999E-2</v>
      </c>
      <c r="F53" s="1274">
        <v>-7.0999999999999994E-2</v>
      </c>
      <c r="G53" s="1273" t="s">
        <v>246</v>
      </c>
      <c r="H53" s="1274">
        <v>8.2000000000000003E-2</v>
      </c>
      <c r="I53" s="1273" t="s">
        <v>246</v>
      </c>
      <c r="J53" s="861"/>
      <c r="K53" s="1275">
        <v>0.72899999999999998</v>
      </c>
      <c r="L53" s="1272"/>
      <c r="M53" s="1272"/>
      <c r="N53" s="1272"/>
      <c r="O53" s="1272"/>
    </row>
    <row r="54" spans="1:15" s="1329" customFormat="1">
      <c r="A54" s="1319">
        <v>17850</v>
      </c>
      <c r="B54" s="1272" t="s">
        <v>317</v>
      </c>
      <c r="C54" s="1276" t="s">
        <v>1557</v>
      </c>
      <c r="D54" s="867"/>
      <c r="E54" s="1274">
        <v>0.17599999999999999</v>
      </c>
      <c r="F54" s="1274">
        <v>-0.14799999999999999</v>
      </c>
      <c r="G54" s="1273" t="s">
        <v>246</v>
      </c>
      <c r="H54" s="1273" t="s">
        <v>246</v>
      </c>
      <c r="I54" s="1274">
        <v>-2.8000000000000001E-2</v>
      </c>
      <c r="J54" s="1274"/>
      <c r="K54" s="1275">
        <v>0.627</v>
      </c>
      <c r="L54" s="1272"/>
      <c r="M54" s="1272"/>
      <c r="N54" s="1272"/>
      <c r="O54" s="1272"/>
    </row>
    <row r="55" spans="1:15" s="1329" customFormat="1">
      <c r="A55" s="1319">
        <v>17862</v>
      </c>
      <c r="B55" s="1272" t="s">
        <v>318</v>
      </c>
      <c r="C55" s="1276" t="s">
        <v>1545</v>
      </c>
      <c r="D55" s="867"/>
      <c r="E55" s="1274">
        <v>9.9000000000000005E-2</v>
      </c>
      <c r="F55" s="1274">
        <v>-0.02</v>
      </c>
      <c r="G55" s="1274">
        <v>-7.9000000000000001E-2</v>
      </c>
      <c r="H55" s="1273" t="s">
        <v>246</v>
      </c>
      <c r="I55" s="1273" t="s">
        <v>246</v>
      </c>
      <c r="J55" s="861"/>
      <c r="K55" s="1275">
        <v>0.56699999999999995</v>
      </c>
      <c r="L55" s="1272"/>
      <c r="M55" s="1272"/>
      <c r="N55" s="1272"/>
      <c r="O55" s="1272"/>
    </row>
    <row r="56" spans="1:15" s="1329" customFormat="1">
      <c r="A56" s="1319">
        <v>17946</v>
      </c>
      <c r="B56" s="1272" t="s">
        <v>319</v>
      </c>
      <c r="C56" s="1276" t="s">
        <v>1557</v>
      </c>
      <c r="D56" s="867"/>
      <c r="E56" s="1274">
        <v>0.123</v>
      </c>
      <c r="F56" s="1274">
        <v>1.2E-2</v>
      </c>
      <c r="G56" s="1274">
        <v>-0.13500000000000001</v>
      </c>
      <c r="H56" s="1273" t="s">
        <v>246</v>
      </c>
      <c r="I56" s="1273" t="s">
        <v>246</v>
      </c>
      <c r="J56" s="861"/>
      <c r="K56" s="1275">
        <v>0.81299999999999994</v>
      </c>
      <c r="L56" s="1272"/>
      <c r="M56" s="1272"/>
      <c r="N56" s="1272"/>
      <c r="O56" s="1272"/>
    </row>
    <row r="57" spans="1:15" s="1329" customFormat="1">
      <c r="A57" s="1319">
        <v>17953</v>
      </c>
      <c r="B57" s="1272" t="s">
        <v>320</v>
      </c>
      <c r="C57" s="1276" t="s">
        <v>1557</v>
      </c>
      <c r="D57" s="867"/>
      <c r="E57" s="1274">
        <v>5.1999999999999998E-2</v>
      </c>
      <c r="F57" s="1274">
        <v>-5.1999999999999998E-2</v>
      </c>
      <c r="G57" s="1273" t="s">
        <v>246</v>
      </c>
      <c r="H57" s="1273" t="s">
        <v>246</v>
      </c>
      <c r="I57" s="1273" t="s">
        <v>246</v>
      </c>
      <c r="J57" s="861"/>
      <c r="K57" s="1275">
        <v>0.60599999999999998</v>
      </c>
      <c r="L57" s="1272"/>
      <c r="M57" s="1272"/>
      <c r="N57" s="1272"/>
      <c r="O57" s="1272"/>
    </row>
    <row r="58" spans="1:15" s="1329" customFormat="1">
      <c r="A58" s="1319">
        <v>17967</v>
      </c>
      <c r="B58" s="1272" t="s">
        <v>321</v>
      </c>
      <c r="C58" s="1276" t="s">
        <v>1557</v>
      </c>
      <c r="D58" s="867"/>
      <c r="E58" s="1274">
        <v>4.8000000000000001E-2</v>
      </c>
      <c r="F58" s="1274">
        <v>-6.3E-2</v>
      </c>
      <c r="G58" s="1273" t="s">
        <v>246</v>
      </c>
      <c r="H58" s="1273" t="s">
        <v>246</v>
      </c>
      <c r="I58" s="1274">
        <v>1.4999999999999999E-2</v>
      </c>
      <c r="J58" s="1274"/>
      <c r="K58" s="1275">
        <v>0.65100000000000002</v>
      </c>
      <c r="L58" s="1272"/>
      <c r="M58" s="1272"/>
      <c r="N58" s="1272"/>
      <c r="O58" s="1272"/>
    </row>
    <row r="59" spans="1:15" s="1329" customFormat="1">
      <c r="A59" s="1319">
        <v>17973</v>
      </c>
      <c r="B59" s="1272" t="s">
        <v>322</v>
      </c>
      <c r="C59" s="1276" t="s">
        <v>1557</v>
      </c>
      <c r="D59" s="867"/>
      <c r="E59" s="1274">
        <v>0.16</v>
      </c>
      <c r="F59" s="1274">
        <v>2.3E-2</v>
      </c>
      <c r="G59" s="1274">
        <v>-0.183</v>
      </c>
      <c r="H59" s="1273" t="s">
        <v>246</v>
      </c>
      <c r="I59" s="1273" t="s">
        <v>246</v>
      </c>
      <c r="J59" s="861"/>
      <c r="K59" s="1275">
        <v>0.80700000000000005</v>
      </c>
      <c r="L59" s="1272"/>
      <c r="M59" s="1272"/>
      <c r="N59" s="1272"/>
      <c r="O59" s="1272"/>
    </row>
    <row r="60" spans="1:15" s="1329" customFormat="1">
      <c r="A60" s="1319">
        <v>18100</v>
      </c>
      <c r="B60" s="1272" t="s">
        <v>323</v>
      </c>
      <c r="C60" s="1276" t="s">
        <v>1557</v>
      </c>
      <c r="D60" s="867"/>
      <c r="E60" s="1274">
        <v>0.17199999999999999</v>
      </c>
      <c r="F60" s="1274">
        <v>-3.9E-2</v>
      </c>
      <c r="G60" s="1274">
        <v>-0.13300000000000001</v>
      </c>
      <c r="H60" s="1273" t="s">
        <v>246</v>
      </c>
      <c r="I60" s="1273" t="s">
        <v>246</v>
      </c>
      <c r="J60" s="861"/>
      <c r="K60" s="1275">
        <v>0.65100000000000002</v>
      </c>
      <c r="L60" s="1272"/>
      <c r="M60" s="1272"/>
      <c r="N60" s="1272"/>
      <c r="O60" s="1272"/>
    </row>
    <row r="61" spans="1:15" s="1329" customFormat="1">
      <c r="A61" s="1319">
        <v>18240</v>
      </c>
      <c r="B61" s="1272" t="s">
        <v>324</v>
      </c>
      <c r="C61" s="1276" t="s">
        <v>1557</v>
      </c>
      <c r="D61" s="867"/>
      <c r="E61" s="1274">
        <v>9.2999999999999999E-2</v>
      </c>
      <c r="F61" s="1274">
        <v>-1.2E-2</v>
      </c>
      <c r="G61" s="1274">
        <v>-0.14399999999999999</v>
      </c>
      <c r="H61" s="1273" t="s">
        <v>246</v>
      </c>
      <c r="I61" s="1274">
        <v>6.3E-2</v>
      </c>
      <c r="J61" s="1274"/>
      <c r="K61" s="1275">
        <v>0.754</v>
      </c>
      <c r="L61" s="1272"/>
      <c r="M61" s="1272"/>
      <c r="N61" s="1272"/>
      <c r="O61" s="1272"/>
    </row>
    <row r="62" spans="1:15" s="1329" customFormat="1" ht="3.75" customHeight="1">
      <c r="A62" s="1319"/>
      <c r="B62" s="1272"/>
      <c r="C62" s="1272"/>
      <c r="D62" s="850"/>
      <c r="E62" s="1274"/>
      <c r="F62" s="1274"/>
      <c r="G62" s="1274"/>
      <c r="H62" s="1274"/>
      <c r="I62" s="1274"/>
      <c r="J62" s="1274"/>
      <c r="K62" s="1275"/>
      <c r="L62" s="1272"/>
      <c r="M62" s="1272"/>
      <c r="N62" s="1272"/>
      <c r="O62" s="1272"/>
    </row>
    <row r="63" spans="1:15" s="1329" customFormat="1">
      <c r="A63" s="2264" t="s">
        <v>325</v>
      </c>
      <c r="B63" s="2265"/>
      <c r="C63" s="2265"/>
      <c r="D63" s="2218"/>
      <c r="E63" s="2266"/>
      <c r="F63" s="2266"/>
      <c r="G63" s="2266"/>
      <c r="H63" s="2266"/>
      <c r="I63" s="2266"/>
      <c r="J63" s="2266"/>
      <c r="K63" s="2267"/>
      <c r="L63" s="1272"/>
      <c r="M63" s="1272"/>
      <c r="N63" s="1272"/>
      <c r="O63" s="1272"/>
    </row>
    <row r="64" spans="1:15" s="1329" customFormat="1" ht="3.75" customHeight="1">
      <c r="A64" s="1330"/>
      <c r="B64" s="1272"/>
      <c r="C64" s="1272"/>
      <c r="D64" s="850"/>
      <c r="E64" s="1274"/>
      <c r="F64" s="1274"/>
      <c r="G64" s="1274"/>
      <c r="H64" s="1274"/>
      <c r="I64" s="1274"/>
      <c r="J64" s="1274"/>
      <c r="K64" s="1275"/>
      <c r="L64" s="1272"/>
      <c r="M64" s="1272"/>
      <c r="N64" s="1272"/>
      <c r="O64" s="1272"/>
    </row>
    <row r="65" spans="1:15" s="1329" customFormat="1">
      <c r="A65" s="1319">
        <v>18358</v>
      </c>
      <c r="B65" s="1272" t="s">
        <v>326</v>
      </c>
      <c r="C65" s="1272" t="s">
        <v>1557</v>
      </c>
      <c r="D65" s="850"/>
      <c r="E65" s="1274">
        <v>-4.0000000000000001E-3</v>
      </c>
      <c r="F65" s="1274">
        <v>-1.9E-2</v>
      </c>
      <c r="G65" s="1273" t="s">
        <v>246</v>
      </c>
      <c r="H65" s="1273" t="s">
        <v>246</v>
      </c>
      <c r="I65" s="1274">
        <v>2.3E-2</v>
      </c>
      <c r="J65" s="1274"/>
      <c r="K65" s="1275">
        <v>0.629</v>
      </c>
      <c r="L65" s="1272"/>
      <c r="M65" s="1272"/>
      <c r="N65" s="1272"/>
      <c r="O65" s="1272"/>
    </row>
    <row r="66" spans="1:15" s="1329" customFormat="1">
      <c r="A66" s="1319">
        <v>18378</v>
      </c>
      <c r="B66" s="1272" t="s">
        <v>327</v>
      </c>
      <c r="C66" s="1272" t="s">
        <v>1557</v>
      </c>
      <c r="D66" s="850"/>
      <c r="E66" s="1274">
        <v>1.7999999999999999E-2</v>
      </c>
      <c r="F66" s="1274">
        <v>1.0999999999999999E-2</v>
      </c>
      <c r="G66" s="1273" t="s">
        <v>246</v>
      </c>
      <c r="H66" s="1273" t="s">
        <v>246</v>
      </c>
      <c r="I66" s="1274">
        <v>-2.9000000000000001E-2</v>
      </c>
      <c r="J66" s="1274"/>
      <c r="K66" s="1275">
        <v>0.83399999999999996</v>
      </c>
      <c r="L66" s="1272"/>
      <c r="M66" s="1272"/>
      <c r="N66" s="1272"/>
      <c r="O66" s="1272"/>
    </row>
    <row r="67" spans="1:15">
      <c r="A67" s="1319">
        <v>18387</v>
      </c>
      <c r="B67" s="1272" t="s">
        <v>328</v>
      </c>
      <c r="C67" s="1272" t="s">
        <v>1557</v>
      </c>
      <c r="E67" s="1274">
        <v>1.7000000000000001E-2</v>
      </c>
      <c r="F67" s="1274">
        <v>-1.7000000000000001E-2</v>
      </c>
      <c r="G67" s="1273" t="s">
        <v>246</v>
      </c>
      <c r="H67" s="1273" t="s">
        <v>246</v>
      </c>
      <c r="I67" s="1273" t="s">
        <v>246</v>
      </c>
      <c r="J67" s="861"/>
      <c r="K67" s="1275">
        <v>0.85399999999999998</v>
      </c>
    </row>
    <row r="68" spans="1:15">
      <c r="A68" s="1319">
        <v>18534</v>
      </c>
      <c r="B68" s="1272" t="s">
        <v>329</v>
      </c>
      <c r="C68" s="1272" t="s">
        <v>1557</v>
      </c>
      <c r="E68" s="1274">
        <v>8.7999999999999995E-2</v>
      </c>
      <c r="F68" s="1274">
        <v>1.4E-2</v>
      </c>
      <c r="G68" s="1274">
        <v>-9.5000000000000001E-2</v>
      </c>
      <c r="H68" s="1273" t="s">
        <v>246</v>
      </c>
      <c r="I68" s="1274">
        <v>-7.0000000000000001E-3</v>
      </c>
      <c r="J68" s="1274"/>
      <c r="K68" s="1275">
        <v>0.63</v>
      </c>
    </row>
    <row r="69" spans="1:15">
      <c r="A69" s="1319">
        <v>18561</v>
      </c>
      <c r="B69" s="1272" t="s">
        <v>330</v>
      </c>
      <c r="C69" s="1272" t="s">
        <v>1545</v>
      </c>
      <c r="E69" s="1274">
        <v>4.2999999999999997E-2</v>
      </c>
      <c r="F69" s="1274">
        <v>1.2999999999999999E-2</v>
      </c>
      <c r="G69" s="1274">
        <v>-4.9000000000000002E-2</v>
      </c>
      <c r="H69" s="1273" t="s">
        <v>246</v>
      </c>
      <c r="I69" s="1274">
        <v>-7.0000000000000001E-3</v>
      </c>
      <c r="J69" s="1274"/>
      <c r="K69" s="1275">
        <v>0.73699999999999999</v>
      </c>
    </row>
    <row r="70" spans="1:15">
      <c r="A70" s="1319">
        <v>18569</v>
      </c>
      <c r="B70" s="1272" t="s">
        <v>331</v>
      </c>
      <c r="C70" s="1272" t="s">
        <v>1545</v>
      </c>
      <c r="E70" s="1274">
        <v>0.106</v>
      </c>
      <c r="F70" s="1274">
        <v>1.7999999999999999E-2</v>
      </c>
      <c r="G70" s="1274">
        <v>-0.11600000000000001</v>
      </c>
      <c r="H70" s="1273" t="s">
        <v>246</v>
      </c>
      <c r="I70" s="1274">
        <v>-8.0000000000000002E-3</v>
      </c>
      <c r="J70" s="1274"/>
      <c r="K70" s="1275">
        <v>0.69299999999999995</v>
      </c>
    </row>
    <row r="71" spans="1:15">
      <c r="A71" s="1319">
        <v>18583</v>
      </c>
      <c r="B71" s="1272" t="s">
        <v>332</v>
      </c>
      <c r="C71" s="1272" t="s">
        <v>1545</v>
      </c>
      <c r="E71" s="1274">
        <v>0.10199999999999999</v>
      </c>
      <c r="F71" s="1274">
        <v>-1.0999999999999999E-2</v>
      </c>
      <c r="G71" s="1274">
        <v>-0.10299999999999999</v>
      </c>
      <c r="H71" s="1273" t="s">
        <v>246</v>
      </c>
      <c r="I71" s="1274">
        <v>1.2E-2</v>
      </c>
      <c r="J71" s="1274"/>
      <c r="K71" s="1275">
        <v>0.63200000000000001</v>
      </c>
    </row>
    <row r="72" spans="1:15">
      <c r="A72" s="1319">
        <v>18597</v>
      </c>
      <c r="B72" s="1272" t="s">
        <v>333</v>
      </c>
      <c r="C72" s="1272" t="s">
        <v>1557</v>
      </c>
      <c r="E72" s="1274">
        <v>8.4000000000000005E-2</v>
      </c>
      <c r="F72" s="1274">
        <v>-5.8999999999999997E-2</v>
      </c>
      <c r="G72" s="1274">
        <v>-1.4E-2</v>
      </c>
      <c r="H72" s="1273" t="s">
        <v>246</v>
      </c>
      <c r="I72" s="1274">
        <v>-1.0999999999999999E-2</v>
      </c>
      <c r="J72" s="1274"/>
      <c r="K72" s="1275">
        <v>0.61099999999999999</v>
      </c>
    </row>
    <row r="73" spans="1:15">
      <c r="A73" s="1319">
        <v>18597</v>
      </c>
      <c r="B73" s="1272" t="s">
        <v>334</v>
      </c>
      <c r="C73" s="1272" t="s">
        <v>1557</v>
      </c>
      <c r="E73" s="1274">
        <v>6.0000000000000001E-3</v>
      </c>
      <c r="F73" s="1274">
        <v>-6.0000000000000001E-3</v>
      </c>
      <c r="G73" s="1273" t="s">
        <v>246</v>
      </c>
      <c r="H73" s="1273" t="s">
        <v>246</v>
      </c>
      <c r="I73" s="1273" t="s">
        <v>246</v>
      </c>
      <c r="J73" s="861"/>
      <c r="K73" s="1275">
        <v>0.71099999999999997</v>
      </c>
    </row>
    <row r="74" spans="1:15">
      <c r="A74" s="1319">
        <v>18674</v>
      </c>
      <c r="B74" s="1272" t="s">
        <v>335</v>
      </c>
      <c r="C74" s="1272" t="s">
        <v>1545</v>
      </c>
      <c r="E74" s="1274">
        <v>0.22500000000000001</v>
      </c>
      <c r="F74" s="1274">
        <v>-0.114</v>
      </c>
      <c r="G74" s="1274">
        <v>-0.111</v>
      </c>
      <c r="H74" s="1273" t="s">
        <v>246</v>
      </c>
      <c r="I74" s="1273" t="s">
        <v>246</v>
      </c>
      <c r="J74" s="861"/>
      <c r="K74" s="1275">
        <v>0.53600000000000003</v>
      </c>
    </row>
    <row r="75" spans="1:15">
      <c r="A75" s="1319">
        <v>18726</v>
      </c>
      <c r="B75" s="1272" t="s">
        <v>336</v>
      </c>
      <c r="C75" s="1272" t="s">
        <v>1545</v>
      </c>
      <c r="E75" s="1274">
        <v>5.1999999999999998E-2</v>
      </c>
      <c r="F75" s="1274">
        <v>-7.1999999999999995E-2</v>
      </c>
      <c r="G75" s="1273" t="s">
        <v>246</v>
      </c>
      <c r="H75" s="1273" t="s">
        <v>246</v>
      </c>
      <c r="I75" s="1274">
        <v>0.02</v>
      </c>
      <c r="J75" s="1274"/>
      <c r="K75" s="1275">
        <v>0.64700000000000002</v>
      </c>
    </row>
    <row r="76" spans="1:15" ht="15.75" customHeight="1" thickBot="1">
      <c r="A76" s="1364"/>
      <c r="B76" s="1364"/>
      <c r="C76" s="1364"/>
      <c r="D76" s="3441" t="s">
        <v>1165</v>
      </c>
      <c r="E76" s="3441"/>
      <c r="F76" s="3441"/>
      <c r="G76" s="3441"/>
      <c r="H76" s="3441"/>
      <c r="I76" s="3441"/>
      <c r="J76" s="3441"/>
      <c r="K76" s="1366"/>
    </row>
    <row r="77" spans="1:15" ht="3" customHeight="1">
      <c r="A77" s="1364"/>
      <c r="B77" s="1364"/>
      <c r="C77" s="1364"/>
      <c r="D77" s="2223"/>
      <c r="E77" s="2223"/>
      <c r="F77" s="2223"/>
      <c r="G77" s="2223"/>
      <c r="H77" s="2223"/>
      <c r="I77" s="2223"/>
      <c r="J77" s="2223"/>
      <c r="K77" s="1366"/>
    </row>
    <row r="78" spans="1:15">
      <c r="A78" s="1364" t="s">
        <v>268</v>
      </c>
      <c r="B78" s="1364" t="s">
        <v>269</v>
      </c>
      <c r="C78" s="1364" t="s">
        <v>216</v>
      </c>
      <c r="D78" s="871"/>
      <c r="E78" s="2243" t="s">
        <v>806</v>
      </c>
      <c r="F78" s="2244" t="s">
        <v>807</v>
      </c>
      <c r="G78" s="2245" t="s">
        <v>808</v>
      </c>
      <c r="H78" s="1363" t="s">
        <v>95</v>
      </c>
      <c r="I78" s="2246" t="s">
        <v>1972</v>
      </c>
      <c r="J78" s="1183"/>
      <c r="K78" s="1183" t="s">
        <v>219</v>
      </c>
    </row>
    <row r="79" spans="1:15" ht="3" customHeight="1">
      <c r="A79" s="1364"/>
      <c r="B79" s="1364"/>
      <c r="C79" s="1364"/>
      <c r="D79" s="871"/>
      <c r="E79" s="1374"/>
      <c r="F79" s="1374"/>
      <c r="G79" s="1374"/>
      <c r="H79" s="1374"/>
      <c r="I79" s="1374"/>
      <c r="J79" s="1183"/>
      <c r="K79" s="1183"/>
    </row>
    <row r="80" spans="1:15">
      <c r="A80" s="1319">
        <v>18739</v>
      </c>
      <c r="B80" s="1272" t="s">
        <v>337</v>
      </c>
      <c r="C80" s="1272" t="s">
        <v>1545</v>
      </c>
      <c r="E80" s="1274">
        <v>0.13400000000000001</v>
      </c>
      <c r="F80" s="1274">
        <v>-1.4999999999999999E-2</v>
      </c>
      <c r="G80" s="1274">
        <v>-0.11899999999999999</v>
      </c>
      <c r="H80" s="1273" t="s">
        <v>246</v>
      </c>
      <c r="I80" s="1273" t="s">
        <v>246</v>
      </c>
      <c r="J80" s="861"/>
      <c r="K80" s="1275">
        <v>0.68</v>
      </c>
    </row>
    <row r="81" spans="1:11">
      <c r="A81" s="1319">
        <v>18793</v>
      </c>
      <c r="B81" s="1272" t="s">
        <v>338</v>
      </c>
      <c r="C81" s="1272" t="s">
        <v>1557</v>
      </c>
      <c r="E81" s="1274">
        <v>6.3E-2</v>
      </c>
      <c r="F81" s="1274">
        <v>-8.0000000000000002E-3</v>
      </c>
      <c r="G81" s="1274">
        <v>-3.5000000000000003E-2</v>
      </c>
      <c r="H81" s="1273" t="s">
        <v>246</v>
      </c>
      <c r="I81" s="1274">
        <v>-0.02</v>
      </c>
      <c r="J81" s="1274"/>
      <c r="K81" s="1275">
        <v>0.66800000000000004</v>
      </c>
    </row>
    <row r="82" spans="1:11">
      <c r="A82" s="1319">
        <v>18800</v>
      </c>
      <c r="B82" s="1272" t="s">
        <v>339</v>
      </c>
      <c r="C82" s="1272" t="s">
        <v>1557</v>
      </c>
      <c r="E82" s="1274">
        <v>1.9E-2</v>
      </c>
      <c r="F82" s="1274">
        <v>-1.9E-2</v>
      </c>
      <c r="G82" s="1273" t="s">
        <v>246</v>
      </c>
      <c r="H82" s="1273" t="s">
        <v>246</v>
      </c>
      <c r="I82" s="1273" t="s">
        <v>246</v>
      </c>
      <c r="J82" s="861"/>
      <c r="K82" s="1275">
        <v>0.76500000000000001</v>
      </c>
    </row>
    <row r="83" spans="1:11" ht="5.25" customHeight="1">
      <c r="E83" s="1273"/>
      <c r="F83" s="1273"/>
      <c r="G83" s="1273"/>
      <c r="H83" s="1273"/>
      <c r="I83" s="1273"/>
      <c r="J83" s="861"/>
      <c r="K83" s="861"/>
    </row>
    <row r="84" spans="1:11">
      <c r="A84" s="2264" t="s">
        <v>340</v>
      </c>
      <c r="B84" s="2265"/>
      <c r="C84" s="2265"/>
      <c r="D84" s="2218"/>
      <c r="E84" s="2266"/>
      <c r="F84" s="2266"/>
      <c r="G84" s="2266"/>
      <c r="H84" s="2266"/>
      <c r="I84" s="2266"/>
      <c r="J84" s="2266"/>
      <c r="K84" s="2267"/>
    </row>
    <row r="85" spans="1:11" ht="6" customHeight="1">
      <c r="A85" s="1330"/>
      <c r="J85" s="1274"/>
      <c r="K85" s="1275"/>
    </row>
    <row r="86" spans="1:11">
      <c r="A86" s="1319">
        <v>19030</v>
      </c>
      <c r="B86" s="1272" t="s">
        <v>345</v>
      </c>
      <c r="C86" s="1272" t="s">
        <v>1545</v>
      </c>
      <c r="E86" s="1274">
        <v>-1.4999999999999999E-2</v>
      </c>
      <c r="F86" s="1274">
        <v>-1.7000000000000001E-2</v>
      </c>
      <c r="G86" s="1274">
        <v>-1.4999999999999999E-2</v>
      </c>
      <c r="H86" s="1273" t="s">
        <v>246</v>
      </c>
      <c r="I86" s="1274">
        <v>4.7E-2</v>
      </c>
      <c r="J86" s="1274"/>
      <c r="K86" s="1275">
        <v>0.63800000000000001</v>
      </c>
    </row>
    <row r="87" spans="1:11" s="1272" customFormat="1">
      <c r="A87" s="1319">
        <v>19030</v>
      </c>
      <c r="B87" s="1272" t="s">
        <v>346</v>
      </c>
      <c r="C87" s="1272" t="s">
        <v>1545</v>
      </c>
      <c r="D87" s="850"/>
      <c r="E87" s="1274">
        <v>1.7999999999999999E-2</v>
      </c>
      <c r="F87" s="1274">
        <v>3.6999999999999998E-2</v>
      </c>
      <c r="G87" s="1274">
        <v>-5.5E-2</v>
      </c>
      <c r="H87" s="1273" t="s">
        <v>246</v>
      </c>
      <c r="I87" s="1273" t="s">
        <v>246</v>
      </c>
      <c r="J87" s="861"/>
      <c r="K87" s="1275">
        <v>0.61</v>
      </c>
    </row>
    <row r="88" spans="1:11" s="1272" customFormat="1">
      <c r="A88" s="1319">
        <v>19031</v>
      </c>
      <c r="B88" s="1272" t="s">
        <v>347</v>
      </c>
      <c r="C88" s="1272" t="s">
        <v>1557</v>
      </c>
      <c r="D88" s="850"/>
      <c r="E88" s="1274">
        <v>-2.7E-2</v>
      </c>
      <c r="F88" s="1274">
        <v>2.7E-2</v>
      </c>
      <c r="G88" s="1273" t="s">
        <v>246</v>
      </c>
      <c r="H88" s="1273" t="s">
        <v>246</v>
      </c>
      <c r="I88" s="1273" t="s">
        <v>246</v>
      </c>
      <c r="J88" s="861"/>
      <c r="K88" s="1275">
        <v>0.55700000000000005</v>
      </c>
    </row>
    <row r="89" spans="1:11" s="1272" customFormat="1">
      <c r="A89" s="1319">
        <v>19192</v>
      </c>
      <c r="B89" s="1272" t="s">
        <v>553</v>
      </c>
      <c r="C89" s="1272" t="s">
        <v>1557</v>
      </c>
      <c r="D89" s="850"/>
      <c r="E89" s="1274">
        <v>-0.106</v>
      </c>
      <c r="F89" s="1274">
        <v>2.5000000000000001E-2</v>
      </c>
      <c r="G89" s="1273" t="s">
        <v>246</v>
      </c>
      <c r="H89" s="1274">
        <v>7.3999999999999996E-2</v>
      </c>
      <c r="I89" s="1274">
        <v>7.0000000000000001E-3</v>
      </c>
      <c r="J89" s="1274"/>
      <c r="K89" s="1275">
        <v>0.55700000000000005</v>
      </c>
    </row>
    <row r="90" spans="1:11" s="1272" customFormat="1">
      <c r="A90" s="1319">
        <v>19290</v>
      </c>
      <c r="B90" s="1272" t="s">
        <v>348</v>
      </c>
      <c r="C90" s="1272" t="s">
        <v>1557</v>
      </c>
      <c r="D90" s="850"/>
      <c r="E90" s="1274">
        <v>7.0000000000000001E-3</v>
      </c>
      <c r="F90" s="1274">
        <v>-7.0000000000000001E-3</v>
      </c>
      <c r="G90" s="1273" t="s">
        <v>246</v>
      </c>
      <c r="H90" s="1273" t="s">
        <v>246</v>
      </c>
      <c r="I90" s="1273" t="s">
        <v>246</v>
      </c>
      <c r="J90" s="861"/>
      <c r="K90" s="1275">
        <v>0.71399999999999997</v>
      </c>
    </row>
    <row r="91" spans="1:11" s="1272" customFormat="1">
      <c r="A91" s="1319">
        <v>19302</v>
      </c>
      <c r="B91" s="1272" t="s">
        <v>349</v>
      </c>
      <c r="C91" s="1272" t="s">
        <v>1545</v>
      </c>
      <c r="D91" s="850"/>
      <c r="E91" s="1274">
        <v>3.0000000000000001E-3</v>
      </c>
      <c r="F91" s="1274">
        <v>-3.0000000000000001E-3</v>
      </c>
      <c r="G91" s="1273" t="s">
        <v>246</v>
      </c>
      <c r="H91" s="1273" t="s">
        <v>246</v>
      </c>
      <c r="I91" s="1273" t="s">
        <v>246</v>
      </c>
      <c r="J91" s="861"/>
      <c r="K91" s="1275">
        <v>0.83899999999999997</v>
      </c>
    </row>
    <row r="92" spans="1:11" s="1272" customFormat="1">
      <c r="A92" s="1319">
        <v>19325</v>
      </c>
      <c r="B92" s="1272" t="s">
        <v>350</v>
      </c>
      <c r="C92" s="1272" t="s">
        <v>1557</v>
      </c>
      <c r="D92" s="850"/>
      <c r="E92" s="1274">
        <v>2.1000000000000001E-2</v>
      </c>
      <c r="F92" s="1274">
        <v>3.5999999999999997E-2</v>
      </c>
      <c r="G92" s="1274">
        <v>-5.7000000000000002E-2</v>
      </c>
      <c r="H92" s="1273" t="s">
        <v>246</v>
      </c>
      <c r="I92" s="1273" t="s">
        <v>246</v>
      </c>
      <c r="J92" s="861"/>
      <c r="K92" s="1275">
        <v>0.46600000000000003</v>
      </c>
    </row>
    <row r="93" spans="1:11" s="1272" customFormat="1">
      <c r="A93" s="1319">
        <v>19325</v>
      </c>
      <c r="B93" s="1272" t="s">
        <v>351</v>
      </c>
      <c r="C93" s="1272" t="s">
        <v>1557</v>
      </c>
      <c r="D93" s="850"/>
      <c r="E93" s="1274">
        <v>-7.0000000000000001E-3</v>
      </c>
      <c r="F93" s="1274">
        <v>7.0000000000000001E-3</v>
      </c>
      <c r="G93" s="1273" t="s">
        <v>246</v>
      </c>
      <c r="H93" s="1273" t="s">
        <v>246</v>
      </c>
      <c r="I93" s="1273" t="s">
        <v>246</v>
      </c>
      <c r="J93" s="861"/>
      <c r="K93" s="1275">
        <v>0.71</v>
      </c>
    </row>
    <row r="94" spans="1:11" s="1272" customFormat="1">
      <c r="A94" s="1319">
        <v>19402</v>
      </c>
      <c r="B94" s="1272" t="s">
        <v>352</v>
      </c>
      <c r="C94" s="1272" t="s">
        <v>1545</v>
      </c>
      <c r="D94" s="850"/>
      <c r="E94" s="1274">
        <v>0.06</v>
      </c>
      <c r="F94" s="1274">
        <v>1.9E-2</v>
      </c>
      <c r="G94" s="1274">
        <v>-7.9000000000000001E-2</v>
      </c>
      <c r="H94" s="1273" t="s">
        <v>246</v>
      </c>
      <c r="I94" s="1273" t="s">
        <v>246</v>
      </c>
      <c r="J94" s="861"/>
      <c r="K94" s="1275">
        <v>0.49199999999999999</v>
      </c>
    </row>
    <row r="95" spans="1:11" s="1272" customFormat="1">
      <c r="A95" s="1319">
        <v>19430</v>
      </c>
      <c r="B95" s="1272" t="s">
        <v>353</v>
      </c>
      <c r="C95" s="1272" t="s">
        <v>1545</v>
      </c>
      <c r="D95" s="850"/>
      <c r="E95" s="1274">
        <v>-3.0000000000000001E-3</v>
      </c>
      <c r="F95" s="1274">
        <v>3.0000000000000001E-3</v>
      </c>
      <c r="G95" s="1273" t="s">
        <v>246</v>
      </c>
      <c r="H95" s="1273" t="s">
        <v>246</v>
      </c>
      <c r="I95" s="1273" t="s">
        <v>246</v>
      </c>
      <c r="J95" s="861"/>
      <c r="K95" s="1275">
        <v>0.58699999999999997</v>
      </c>
    </row>
    <row r="96" spans="1:11" s="1272" customFormat="1">
      <c r="A96" s="1319">
        <v>19449</v>
      </c>
      <c r="B96" s="1272" t="s">
        <v>354</v>
      </c>
      <c r="C96" s="1272" t="s">
        <v>1557</v>
      </c>
      <c r="D96" s="850"/>
      <c r="E96" s="1274">
        <v>9.8000000000000004E-2</v>
      </c>
      <c r="F96" s="1274">
        <v>3.2000000000000001E-2</v>
      </c>
      <c r="G96" s="1274">
        <v>-0.13</v>
      </c>
      <c r="H96" s="1273" t="s">
        <v>246</v>
      </c>
      <c r="I96" s="1273" t="s">
        <v>246</v>
      </c>
      <c r="J96" s="861"/>
      <c r="K96" s="1275">
        <v>0.57899999999999996</v>
      </c>
    </row>
    <row r="97" spans="1:11" s="1272" customFormat="1">
      <c r="A97" s="1319">
        <v>19449</v>
      </c>
      <c r="B97" s="1272" t="s">
        <v>355</v>
      </c>
      <c r="C97" s="1272" t="s">
        <v>1557</v>
      </c>
      <c r="D97" s="850"/>
      <c r="E97" s="1274">
        <v>-4.1000000000000002E-2</v>
      </c>
      <c r="F97" s="1274">
        <v>4.1000000000000002E-2</v>
      </c>
      <c r="G97" s="1273" t="s">
        <v>246</v>
      </c>
      <c r="H97" s="1273" t="s">
        <v>246</v>
      </c>
      <c r="I97" s="1273" t="s">
        <v>246</v>
      </c>
      <c r="J97" s="861"/>
      <c r="K97" s="1275">
        <v>0.505</v>
      </c>
    </row>
    <row r="98" spans="1:11" s="1272" customFormat="1">
      <c r="A98" s="1319">
        <v>19450</v>
      </c>
      <c r="B98" s="1272" t="s">
        <v>356</v>
      </c>
      <c r="C98" s="1272" t="s">
        <v>1557</v>
      </c>
      <c r="D98" s="850"/>
      <c r="E98" s="1274">
        <v>8.9999999999999993E-3</v>
      </c>
      <c r="F98" s="1274">
        <v>-8.9999999999999993E-3</v>
      </c>
      <c r="G98" s="1273" t="s">
        <v>246</v>
      </c>
      <c r="H98" s="1273" t="s">
        <v>246</v>
      </c>
      <c r="I98" s="1273" t="s">
        <v>246</v>
      </c>
      <c r="J98" s="861"/>
      <c r="K98" s="1275">
        <v>0.45</v>
      </c>
    </row>
    <row r="99" spans="1:11" s="1272" customFormat="1">
      <c r="A99" s="1319">
        <v>19492</v>
      </c>
      <c r="B99" s="1272" t="s">
        <v>357</v>
      </c>
      <c r="C99" s="1272" t="s">
        <v>1559</v>
      </c>
      <c r="D99" s="850"/>
      <c r="E99" s="1274">
        <v>-1.0999999999999999E-2</v>
      </c>
      <c r="F99" s="1274">
        <v>-4.2000000000000003E-2</v>
      </c>
      <c r="G99" s="1274">
        <v>5.2999999999999999E-2</v>
      </c>
      <c r="H99" s="1273" t="s">
        <v>246</v>
      </c>
      <c r="I99" s="1273" t="s">
        <v>246</v>
      </c>
      <c r="J99" s="861"/>
      <c r="K99" s="1275">
        <v>0.72699999999999998</v>
      </c>
    </row>
    <row r="100" spans="1:11" s="1272" customFormat="1">
      <c r="A100" s="1319">
        <v>19540</v>
      </c>
      <c r="B100" s="1272" t="s">
        <v>358</v>
      </c>
      <c r="C100" s="1272" t="s">
        <v>1545</v>
      </c>
      <c r="D100" s="850"/>
      <c r="E100" s="1274">
        <v>-2.3E-2</v>
      </c>
      <c r="F100" s="1274">
        <v>-4.8000000000000001E-2</v>
      </c>
      <c r="G100" s="1274">
        <v>7.0999999999999994E-2</v>
      </c>
      <c r="H100" s="1273" t="s">
        <v>246</v>
      </c>
      <c r="I100" s="1273" t="s">
        <v>246</v>
      </c>
      <c r="J100" s="861"/>
      <c r="K100" s="1275">
        <v>0.75900000000000001</v>
      </c>
    </row>
    <row r="101" spans="1:11" s="1272" customFormat="1">
      <c r="A101" s="1319">
        <v>19542</v>
      </c>
      <c r="B101" s="1272" t="s">
        <v>359</v>
      </c>
      <c r="C101" s="1272" t="s">
        <v>1545</v>
      </c>
      <c r="D101" s="850"/>
      <c r="E101" s="1274">
        <v>3.3000000000000002E-2</v>
      </c>
      <c r="F101" s="1274">
        <v>-3.3000000000000002E-2</v>
      </c>
      <c r="G101" s="1273" t="s">
        <v>246</v>
      </c>
      <c r="H101" s="1273" t="s">
        <v>246</v>
      </c>
      <c r="I101" s="1273" t="s">
        <v>246</v>
      </c>
      <c r="J101" s="861"/>
      <c r="K101" s="1275">
        <v>0.502</v>
      </c>
    </row>
    <row r="102" spans="1:11" s="1272" customFormat="1">
      <c r="A102" s="1319">
        <v>19619</v>
      </c>
      <c r="B102" s="1272" t="s">
        <v>360</v>
      </c>
      <c r="C102" s="1272" t="s">
        <v>1557</v>
      </c>
      <c r="D102" s="850"/>
      <c r="E102" s="1274">
        <v>-1.4E-2</v>
      </c>
      <c r="F102" s="1274">
        <v>1.4E-2</v>
      </c>
      <c r="G102" s="1273" t="s">
        <v>246</v>
      </c>
      <c r="H102" s="1273" t="s">
        <v>246</v>
      </c>
      <c r="I102" s="1273" t="s">
        <v>246</v>
      </c>
      <c r="J102" s="861"/>
      <c r="K102" s="1275">
        <v>0.63500000000000001</v>
      </c>
    </row>
    <row r="103" spans="1:11">
      <c r="A103" s="1319">
        <v>19675</v>
      </c>
      <c r="B103" s="1272" t="s">
        <v>361</v>
      </c>
      <c r="C103" s="1272" t="s">
        <v>1545</v>
      </c>
      <c r="E103" s="1274">
        <v>-2.8000000000000001E-2</v>
      </c>
      <c r="F103" s="1274">
        <v>1.4999999999999999E-2</v>
      </c>
      <c r="G103" s="1273" t="s">
        <v>246</v>
      </c>
      <c r="H103" s="1273" t="s">
        <v>246</v>
      </c>
      <c r="I103" s="1274">
        <v>4.2999999999999997E-2</v>
      </c>
      <c r="J103" s="1274"/>
      <c r="K103" s="1275">
        <v>0.625</v>
      </c>
    </row>
    <row r="104" spans="1:11">
      <c r="A104" s="1319">
        <v>19675</v>
      </c>
      <c r="B104" s="1272" t="s">
        <v>336</v>
      </c>
      <c r="C104" s="1272" t="s">
        <v>1545</v>
      </c>
      <c r="E104" s="1274">
        <v>-0.02</v>
      </c>
      <c r="F104" s="1274">
        <v>0.02</v>
      </c>
      <c r="G104" s="1273" t="s">
        <v>246</v>
      </c>
      <c r="H104" s="1273" t="s">
        <v>246</v>
      </c>
      <c r="I104" s="1273" t="s">
        <v>246</v>
      </c>
      <c r="J104" s="861"/>
      <c r="K104" s="1275">
        <v>0.54100000000000004</v>
      </c>
    </row>
    <row r="105" spans="1:11">
      <c r="A105" s="1319">
        <v>19682</v>
      </c>
      <c r="B105" s="1272" t="s">
        <v>1360</v>
      </c>
      <c r="C105" s="1272" t="s">
        <v>1557</v>
      </c>
      <c r="E105" s="1274">
        <v>-2E-3</v>
      </c>
      <c r="F105" s="1274">
        <v>1.9E-2</v>
      </c>
      <c r="G105" s="1274">
        <v>-1.7000000000000001E-2</v>
      </c>
      <c r="H105" s="1273" t="s">
        <v>246</v>
      </c>
      <c r="I105" s="1273" t="s">
        <v>246</v>
      </c>
      <c r="J105" s="861"/>
      <c r="K105" s="1275">
        <v>0.56200000000000006</v>
      </c>
    </row>
    <row r="106" spans="1:11">
      <c r="A106" s="1319">
        <v>19696</v>
      </c>
      <c r="B106" s="1272" t="s">
        <v>293</v>
      </c>
      <c r="C106" s="1272" t="s">
        <v>1557</v>
      </c>
      <c r="E106" s="1274">
        <v>0.01</v>
      </c>
      <c r="F106" s="1274">
        <v>-1.9E-2</v>
      </c>
      <c r="G106" s="1273" t="s">
        <v>246</v>
      </c>
      <c r="H106" s="1273" t="s">
        <v>246</v>
      </c>
      <c r="I106" s="1274">
        <v>8.9999999999999993E-3</v>
      </c>
      <c r="J106" s="1274"/>
      <c r="K106" s="1275">
        <v>0.60299999999999998</v>
      </c>
    </row>
    <row r="107" spans="1:11">
      <c r="A107" s="1319">
        <v>19758</v>
      </c>
      <c r="B107" s="1272" t="s">
        <v>362</v>
      </c>
      <c r="C107" s="1272" t="s">
        <v>1545</v>
      </c>
      <c r="E107" s="1274">
        <v>4.2999999999999997E-2</v>
      </c>
      <c r="F107" s="1274">
        <v>-5.7000000000000002E-2</v>
      </c>
      <c r="G107" s="1274">
        <v>1.4E-2</v>
      </c>
      <c r="H107" s="1273" t="s">
        <v>246</v>
      </c>
      <c r="I107" s="1273" t="s">
        <v>246</v>
      </c>
      <c r="J107" s="861"/>
      <c r="K107" s="1275">
        <v>0.45400000000000001</v>
      </c>
    </row>
    <row r="108" spans="1:11" ht="12.75" customHeight="1">
      <c r="A108" s="1319">
        <v>19766</v>
      </c>
      <c r="B108" s="1272" t="s">
        <v>363</v>
      </c>
      <c r="C108" s="1272" t="s">
        <v>1545</v>
      </c>
      <c r="D108" s="1331"/>
      <c r="E108" s="1284">
        <v>3.6999999999999998E-2</v>
      </c>
      <c r="F108" s="1284">
        <v>-3.6999999999999998E-2</v>
      </c>
      <c r="G108" s="1273" t="s">
        <v>246</v>
      </c>
      <c r="H108" s="1273" t="s">
        <v>246</v>
      </c>
      <c r="I108" s="1273" t="s">
        <v>246</v>
      </c>
      <c r="J108" s="861"/>
      <c r="K108" s="1285">
        <v>0.45700000000000002</v>
      </c>
    </row>
    <row r="109" spans="1:11">
      <c r="A109" s="1319">
        <v>19766</v>
      </c>
      <c r="B109" s="1272" t="s">
        <v>364</v>
      </c>
      <c r="C109" s="1272" t="s">
        <v>1545</v>
      </c>
      <c r="E109" s="1274">
        <v>2E-3</v>
      </c>
      <c r="F109" s="1274">
        <v>-2E-3</v>
      </c>
      <c r="G109" s="1273" t="s">
        <v>246</v>
      </c>
      <c r="H109" s="1273" t="s">
        <v>246</v>
      </c>
      <c r="I109" s="1273" t="s">
        <v>246</v>
      </c>
      <c r="J109" s="861"/>
      <c r="K109" s="1275">
        <v>0.58799999999999997</v>
      </c>
    </row>
    <row r="110" spans="1:11">
      <c r="A110" s="1319">
        <v>19773</v>
      </c>
      <c r="B110" s="1272" t="s">
        <v>365</v>
      </c>
      <c r="C110" s="1272" t="s">
        <v>1545</v>
      </c>
      <c r="E110" s="1274">
        <v>4.2000000000000003E-2</v>
      </c>
      <c r="F110" s="1274">
        <v>-4.2000000000000003E-2</v>
      </c>
      <c r="G110" s="1273" t="s">
        <v>246</v>
      </c>
      <c r="H110" s="1273" t="s">
        <v>246</v>
      </c>
      <c r="I110" s="1273" t="s">
        <v>246</v>
      </c>
      <c r="J110" s="861"/>
      <c r="K110" s="1275">
        <v>0.45100000000000001</v>
      </c>
    </row>
    <row r="111" spans="1:11">
      <c r="A111" s="1319">
        <v>19792</v>
      </c>
      <c r="B111" s="1272" t="s">
        <v>366</v>
      </c>
      <c r="C111" s="1272" t="s">
        <v>1545</v>
      </c>
      <c r="E111" s="1274">
        <v>1.0999999999999999E-2</v>
      </c>
      <c r="F111" s="1274">
        <v>-1.0999999999999999E-2</v>
      </c>
      <c r="G111" s="1273" t="s">
        <v>246</v>
      </c>
      <c r="H111" s="1273" t="s">
        <v>246</v>
      </c>
      <c r="I111" s="1273" t="s">
        <v>246</v>
      </c>
      <c r="J111" s="861"/>
      <c r="K111" s="1275">
        <v>0.54200000000000004</v>
      </c>
    </row>
    <row r="112" spans="1:11">
      <c r="A112" s="1319">
        <v>19794</v>
      </c>
      <c r="B112" s="1272" t="s">
        <v>367</v>
      </c>
      <c r="C112" s="1272" t="s">
        <v>1545</v>
      </c>
      <c r="E112" s="1274">
        <v>2E-3</v>
      </c>
      <c r="F112" s="1274">
        <v>-2E-3</v>
      </c>
      <c r="G112" s="1273" t="s">
        <v>246</v>
      </c>
      <c r="H112" s="1273" t="s">
        <v>246</v>
      </c>
      <c r="I112" s="1273" t="s">
        <v>246</v>
      </c>
      <c r="J112" s="861"/>
      <c r="K112" s="1275">
        <v>0.55300000000000005</v>
      </c>
    </row>
    <row r="113" spans="1:11">
      <c r="A113" s="1319">
        <v>19822</v>
      </c>
      <c r="B113" s="1272" t="s">
        <v>368</v>
      </c>
      <c r="C113" s="1272" t="s">
        <v>1557</v>
      </c>
      <c r="E113" s="1274">
        <v>-3.5000000000000003E-2</v>
      </c>
      <c r="F113" s="1274">
        <v>3.5000000000000003E-2</v>
      </c>
      <c r="G113" s="1273" t="s">
        <v>246</v>
      </c>
      <c r="H113" s="1273" t="s">
        <v>246</v>
      </c>
      <c r="I113" s="1273" t="s">
        <v>246</v>
      </c>
      <c r="J113" s="861"/>
      <c r="K113" s="1275">
        <v>0.61799999999999999</v>
      </c>
    </row>
    <row r="114" spans="1:11">
      <c r="A114" s="1319">
        <v>19828</v>
      </c>
      <c r="B114" s="1272" t="s">
        <v>369</v>
      </c>
      <c r="C114" s="1272" t="s">
        <v>1557</v>
      </c>
      <c r="E114" s="1274">
        <v>-3.4000000000000002E-2</v>
      </c>
      <c r="F114" s="1274">
        <v>-8.9999999999999993E-3</v>
      </c>
      <c r="G114" s="1273" t="s">
        <v>246</v>
      </c>
      <c r="H114" s="1273" t="s">
        <v>246</v>
      </c>
      <c r="I114" s="1274">
        <v>4.2999999999999997E-2</v>
      </c>
      <c r="J114" s="1274"/>
      <c r="K114" s="1275">
        <v>0.70499999999999996</v>
      </c>
    </row>
    <row r="115" spans="1:11">
      <c r="A115" s="1319">
        <v>19997</v>
      </c>
      <c r="B115" s="1272" t="s">
        <v>370</v>
      </c>
      <c r="C115" s="1272" t="s">
        <v>1545</v>
      </c>
      <c r="E115" s="1274">
        <v>-2.1999999999999999E-2</v>
      </c>
      <c r="F115" s="1274">
        <v>-5.8000000000000003E-2</v>
      </c>
      <c r="G115" s="1274">
        <v>0.08</v>
      </c>
      <c r="H115" s="1273" t="s">
        <v>246</v>
      </c>
      <c r="I115" s="1273" t="s">
        <v>246</v>
      </c>
      <c r="J115" s="861"/>
      <c r="K115" s="1275">
        <v>0.57499999999999996</v>
      </c>
    </row>
    <row r="116" spans="1:11">
      <c r="A116" s="1319">
        <v>20018</v>
      </c>
      <c r="B116" s="1272" t="s">
        <v>371</v>
      </c>
      <c r="C116" s="1272" t="s">
        <v>1557</v>
      </c>
      <c r="E116" s="1274">
        <v>-5.6000000000000001E-2</v>
      </c>
      <c r="F116" s="1274">
        <v>5.6000000000000001E-2</v>
      </c>
      <c r="G116" s="1273" t="s">
        <v>246</v>
      </c>
      <c r="H116" s="1273" t="s">
        <v>246</v>
      </c>
      <c r="I116" s="1273" t="s">
        <v>246</v>
      </c>
      <c r="J116" s="861"/>
      <c r="K116" s="1275">
        <v>0.40699999999999997</v>
      </c>
    </row>
    <row r="117" spans="1:11">
      <c r="A117" s="1319">
        <v>20018</v>
      </c>
      <c r="B117" s="1272" t="s">
        <v>372</v>
      </c>
      <c r="C117" s="1272" t="s">
        <v>1557</v>
      </c>
      <c r="E117" s="1274">
        <v>2E-3</v>
      </c>
      <c r="F117" s="1274">
        <v>-2E-3</v>
      </c>
      <c r="G117" s="1273" t="s">
        <v>246</v>
      </c>
      <c r="H117" s="1273" t="s">
        <v>246</v>
      </c>
      <c r="I117" s="1273" t="s">
        <v>246</v>
      </c>
      <c r="J117" s="861"/>
      <c r="K117" s="1275">
        <v>0.68600000000000005</v>
      </c>
    </row>
    <row r="118" spans="1:11">
      <c r="A118" s="1319">
        <v>20025</v>
      </c>
      <c r="B118" s="1272" t="s">
        <v>373</v>
      </c>
      <c r="C118" s="1272" t="s">
        <v>1545</v>
      </c>
      <c r="E118" s="1274">
        <v>-2E-3</v>
      </c>
      <c r="F118" s="1274">
        <v>2E-3</v>
      </c>
      <c r="G118" s="1273" t="s">
        <v>246</v>
      </c>
      <c r="H118" s="1273" t="s">
        <v>246</v>
      </c>
      <c r="I118" s="1273" t="s">
        <v>246</v>
      </c>
      <c r="J118" s="861"/>
      <c r="K118" s="1275">
        <v>0.58699999999999997</v>
      </c>
    </row>
    <row r="119" spans="1:11">
      <c r="A119" s="1319">
        <v>20025</v>
      </c>
      <c r="B119" s="1272" t="s">
        <v>297</v>
      </c>
      <c r="C119" s="1272" t="s">
        <v>1557</v>
      </c>
      <c r="E119" s="1274">
        <v>-8.9999999999999993E-3</v>
      </c>
      <c r="F119" s="1274">
        <v>-0.09</v>
      </c>
      <c r="G119" s="1273" t="s">
        <v>246</v>
      </c>
      <c r="H119" s="1274">
        <v>9.9000000000000005E-2</v>
      </c>
      <c r="I119" s="1273" t="s">
        <v>246</v>
      </c>
      <c r="J119" s="861"/>
      <c r="K119" s="1275">
        <v>0.69699999999999995</v>
      </c>
    </row>
    <row r="120" spans="1:11">
      <c r="A120" s="1319">
        <v>20032</v>
      </c>
      <c r="B120" s="1272" t="s">
        <v>374</v>
      </c>
      <c r="C120" s="1272" t="s">
        <v>1545</v>
      </c>
      <c r="E120" s="1274">
        <v>3.6999999999999998E-2</v>
      </c>
      <c r="F120" s="1274">
        <v>-3.6999999999999998E-2</v>
      </c>
      <c r="G120" s="1273" t="s">
        <v>246</v>
      </c>
      <c r="H120" s="1273" t="s">
        <v>246</v>
      </c>
      <c r="I120" s="1273" t="s">
        <v>246</v>
      </c>
      <c r="J120" s="861"/>
      <c r="K120" s="1275">
        <v>0.55600000000000005</v>
      </c>
    </row>
    <row r="121" spans="1:11">
      <c r="A121" s="1319">
        <v>20032</v>
      </c>
      <c r="B121" s="1272" t="s">
        <v>375</v>
      </c>
      <c r="C121" s="1272" t="s">
        <v>1557</v>
      </c>
      <c r="E121" s="1274">
        <v>6.0000000000000001E-3</v>
      </c>
      <c r="F121" s="1274">
        <v>-6.0000000000000001E-3</v>
      </c>
      <c r="G121" s="1273" t="s">
        <v>246</v>
      </c>
      <c r="H121" s="1273" t="s">
        <v>246</v>
      </c>
      <c r="I121" s="1273" t="s">
        <v>246</v>
      </c>
      <c r="J121" s="861"/>
      <c r="K121" s="1275">
        <v>0.73</v>
      </c>
    </row>
    <row r="122" spans="1:11">
      <c r="A122" s="1319">
        <v>20046</v>
      </c>
      <c r="B122" s="1272" t="s">
        <v>376</v>
      </c>
      <c r="C122" s="1272" t="s">
        <v>1545</v>
      </c>
      <c r="E122" s="1274">
        <v>1.6E-2</v>
      </c>
      <c r="F122" s="1274">
        <v>-1.6E-2</v>
      </c>
      <c r="G122" s="1273" t="s">
        <v>246</v>
      </c>
      <c r="H122" s="1273" t="s">
        <v>246</v>
      </c>
      <c r="I122" s="1273" t="s">
        <v>246</v>
      </c>
      <c r="J122" s="861"/>
      <c r="K122" s="1275">
        <v>0.58899999999999997</v>
      </c>
    </row>
    <row r="123" spans="1:11">
      <c r="A123" s="1319">
        <v>20079</v>
      </c>
      <c r="B123" s="1272" t="s">
        <v>377</v>
      </c>
      <c r="C123" s="1272" t="s">
        <v>1545</v>
      </c>
      <c r="E123" s="1274">
        <v>-0.23100000000000001</v>
      </c>
      <c r="F123" s="1274">
        <v>0.36</v>
      </c>
      <c r="G123" s="1274">
        <v>-0.129</v>
      </c>
      <c r="H123" s="1273" t="s">
        <v>246</v>
      </c>
      <c r="I123" s="1273" t="s">
        <v>246</v>
      </c>
      <c r="J123" s="861"/>
      <c r="K123" s="1275">
        <v>0.49199999999999999</v>
      </c>
    </row>
    <row r="124" spans="1:11">
      <c r="A124" s="1319">
        <v>20102</v>
      </c>
      <c r="B124" s="1272" t="s">
        <v>378</v>
      </c>
      <c r="C124" s="1272" t="s">
        <v>1545</v>
      </c>
      <c r="E124" s="1274">
        <v>-0.03</v>
      </c>
      <c r="F124" s="1274">
        <v>0.03</v>
      </c>
      <c r="G124" s="1273" t="s">
        <v>246</v>
      </c>
      <c r="H124" s="1273" t="s">
        <v>246</v>
      </c>
      <c r="I124" s="1273" t="s">
        <v>246</v>
      </c>
      <c r="J124" s="861"/>
      <c r="K124" s="1275">
        <v>0.66600000000000004</v>
      </c>
    </row>
    <row r="125" spans="1:11">
      <c r="A125" s="1319">
        <v>20109</v>
      </c>
      <c r="B125" s="1272" t="s">
        <v>379</v>
      </c>
      <c r="C125" s="1272" t="s">
        <v>1545</v>
      </c>
      <c r="E125" s="1274">
        <v>3.1E-2</v>
      </c>
      <c r="F125" s="1274">
        <v>-3.1E-2</v>
      </c>
      <c r="G125" s="1273" t="s">
        <v>246</v>
      </c>
      <c r="H125" s="1273" t="s">
        <v>246</v>
      </c>
      <c r="I125" s="1273" t="s">
        <v>246</v>
      </c>
      <c r="J125" s="861"/>
      <c r="K125" s="1275">
        <v>0.55400000000000005</v>
      </c>
    </row>
    <row r="126" spans="1:11">
      <c r="A126" s="1319">
        <v>20114</v>
      </c>
      <c r="B126" s="1272" t="s">
        <v>132</v>
      </c>
      <c r="C126" s="1272" t="s">
        <v>1545</v>
      </c>
      <c r="E126" s="1274">
        <v>1.9E-2</v>
      </c>
      <c r="F126" s="1274">
        <v>-1.9E-2</v>
      </c>
      <c r="G126" s="1273" t="s">
        <v>246</v>
      </c>
      <c r="H126" s="1273" t="s">
        <v>246</v>
      </c>
      <c r="I126" s="1273" t="s">
        <v>246</v>
      </c>
      <c r="J126" s="861"/>
      <c r="K126" s="1275">
        <v>0.47299999999999998</v>
      </c>
    </row>
    <row r="127" spans="1:11">
      <c r="A127" s="1319">
        <v>20116</v>
      </c>
      <c r="B127" s="1272" t="s">
        <v>380</v>
      </c>
      <c r="C127" s="1272" t="s">
        <v>1545</v>
      </c>
      <c r="E127" s="1274">
        <v>6.0000000000000001E-3</v>
      </c>
      <c r="F127" s="1274">
        <v>-6.0000000000000001E-3</v>
      </c>
      <c r="G127" s="1273" t="s">
        <v>246</v>
      </c>
      <c r="H127" s="1273" t="s">
        <v>246</v>
      </c>
      <c r="I127" s="1273" t="s">
        <v>246</v>
      </c>
      <c r="J127" s="861"/>
      <c r="K127" s="1275">
        <v>0.46400000000000002</v>
      </c>
    </row>
    <row r="128" spans="1:11">
      <c r="A128" s="1319">
        <v>20123</v>
      </c>
      <c r="B128" s="1272" t="s">
        <v>381</v>
      </c>
      <c r="C128" s="1272" t="s">
        <v>1545</v>
      </c>
      <c r="E128" s="1274">
        <v>1E-3</v>
      </c>
      <c r="F128" s="1274">
        <v>-1E-3</v>
      </c>
      <c r="G128" s="1273" t="s">
        <v>246</v>
      </c>
      <c r="H128" s="1273" t="s">
        <v>246</v>
      </c>
      <c r="I128" s="1273" t="s">
        <v>246</v>
      </c>
      <c r="J128" s="861"/>
      <c r="K128" s="1275">
        <v>0.64600000000000002</v>
      </c>
    </row>
    <row r="129" spans="1:11">
      <c r="A129" s="1319">
        <v>20165</v>
      </c>
      <c r="B129" s="1272" t="s">
        <v>382</v>
      </c>
      <c r="C129" s="1272" t="s">
        <v>1557</v>
      </c>
      <c r="E129" s="1274">
        <v>-0.04</v>
      </c>
      <c r="F129" s="1274">
        <v>-3.6999999999999998E-2</v>
      </c>
      <c r="G129" s="1273" t="s">
        <v>246</v>
      </c>
      <c r="H129" s="1274">
        <v>7.6999999999999999E-2</v>
      </c>
      <c r="I129" s="1273" t="s">
        <v>246</v>
      </c>
      <c r="J129" s="861"/>
      <c r="K129" s="1275">
        <v>0.624</v>
      </c>
    </row>
    <row r="130" spans="1:11" ht="5.25" customHeight="1">
      <c r="A130" s="1330"/>
      <c r="J130" s="1274"/>
      <c r="K130" s="1275"/>
    </row>
    <row r="131" spans="1:11">
      <c r="A131" s="2264" t="s">
        <v>790</v>
      </c>
      <c r="B131" s="2265"/>
      <c r="C131" s="2265"/>
      <c r="D131" s="2218"/>
      <c r="E131" s="2266"/>
      <c r="F131" s="2266"/>
      <c r="G131" s="2266"/>
      <c r="H131" s="2266"/>
      <c r="I131" s="2266"/>
      <c r="J131" s="2266"/>
      <c r="K131" s="2267"/>
    </row>
    <row r="132" spans="1:11" ht="3.75" customHeight="1">
      <c r="A132" s="1330"/>
      <c r="J132" s="1274"/>
      <c r="K132" s="1275"/>
    </row>
    <row r="133" spans="1:11">
      <c r="A133" s="1319">
        <v>20430</v>
      </c>
      <c r="B133" s="1272" t="s">
        <v>383</v>
      </c>
      <c r="C133" s="1272" t="s">
        <v>1557</v>
      </c>
      <c r="E133" s="1274">
        <v>-1.2E-2</v>
      </c>
      <c r="F133" s="1274">
        <v>1.2E-2</v>
      </c>
      <c r="G133" s="1273" t="s">
        <v>246</v>
      </c>
      <c r="H133" s="1273" t="s">
        <v>246</v>
      </c>
      <c r="I133" s="1273" t="s">
        <v>246</v>
      </c>
      <c r="J133" s="861"/>
      <c r="K133" s="1275">
        <v>0.42299999999999999</v>
      </c>
    </row>
    <row r="134" spans="1:11">
      <c r="A134" s="1319">
        <v>20431</v>
      </c>
      <c r="B134" s="1272" t="s">
        <v>384</v>
      </c>
      <c r="C134" s="1272" t="s">
        <v>1557</v>
      </c>
      <c r="E134" s="1274">
        <v>-2.3E-2</v>
      </c>
      <c r="F134" s="1274">
        <v>2.3E-2</v>
      </c>
      <c r="G134" s="1273" t="s">
        <v>246</v>
      </c>
      <c r="H134" s="1273" t="s">
        <v>246</v>
      </c>
      <c r="I134" s="1273" t="s">
        <v>246</v>
      </c>
      <c r="J134" s="861"/>
      <c r="K134" s="1275">
        <v>0.753</v>
      </c>
    </row>
    <row r="135" spans="1:11" s="1272" customFormat="1">
      <c r="A135" s="1319">
        <v>20438</v>
      </c>
      <c r="B135" s="1272" t="s">
        <v>385</v>
      </c>
      <c r="C135" s="1272" t="s">
        <v>1545</v>
      </c>
      <c r="D135" s="850"/>
      <c r="E135" s="1274">
        <v>-9.4E-2</v>
      </c>
      <c r="F135" s="1274">
        <v>-2E-3</v>
      </c>
      <c r="G135" s="1274">
        <v>9.6000000000000002E-2</v>
      </c>
      <c r="H135" s="1273" t="s">
        <v>246</v>
      </c>
      <c r="I135" s="1273" t="s">
        <v>246</v>
      </c>
      <c r="J135" s="861"/>
      <c r="K135" s="1275">
        <v>0.626</v>
      </c>
    </row>
    <row r="136" spans="1:11" s="1272" customFormat="1">
      <c r="A136" s="1319">
        <v>20487</v>
      </c>
      <c r="B136" s="1272" t="s">
        <v>386</v>
      </c>
      <c r="C136" s="1272" t="s">
        <v>1557</v>
      </c>
      <c r="D136" s="850"/>
      <c r="E136" s="1274">
        <v>-3.4000000000000002E-2</v>
      </c>
      <c r="F136" s="1274">
        <v>3.4000000000000002E-2</v>
      </c>
      <c r="G136" s="1273" t="s">
        <v>246</v>
      </c>
      <c r="H136" s="1273" t="s">
        <v>246</v>
      </c>
      <c r="I136" s="1273" t="s">
        <v>246</v>
      </c>
      <c r="J136" s="861"/>
      <c r="K136" s="1275">
        <v>0.56499999999999995</v>
      </c>
    </row>
    <row r="137" spans="1:11" s="1272" customFormat="1">
      <c r="A137" s="1319">
        <v>20494</v>
      </c>
      <c r="B137" s="1272" t="s">
        <v>387</v>
      </c>
      <c r="C137" s="1272" t="s">
        <v>1545</v>
      </c>
      <c r="D137" s="850"/>
      <c r="E137" s="1274">
        <v>1.7999999999999999E-2</v>
      </c>
      <c r="F137" s="1274">
        <v>-1.7999999999999999E-2</v>
      </c>
      <c r="G137" s="1273" t="s">
        <v>246</v>
      </c>
      <c r="H137" s="1273" t="s">
        <v>246</v>
      </c>
      <c r="I137" s="1273" t="s">
        <v>246</v>
      </c>
      <c r="J137" s="861"/>
      <c r="K137" s="1275">
        <v>0.39900000000000002</v>
      </c>
    </row>
    <row r="138" spans="1:11" s="1272" customFormat="1">
      <c r="A138" s="1319">
        <v>20499</v>
      </c>
      <c r="B138" s="1272" t="s">
        <v>388</v>
      </c>
      <c r="C138" s="1272" t="s">
        <v>1545</v>
      </c>
      <c r="D138" s="850"/>
      <c r="E138" s="1274">
        <v>-7.4999999999999997E-2</v>
      </c>
      <c r="F138" s="1274">
        <v>0.11600000000000001</v>
      </c>
      <c r="G138" s="1274">
        <v>-4.1000000000000002E-2</v>
      </c>
      <c r="H138" s="1273" t="s">
        <v>246</v>
      </c>
      <c r="I138" s="1273" t="s">
        <v>246</v>
      </c>
      <c r="J138" s="861"/>
      <c r="K138" s="1275">
        <v>0.61499999999999999</v>
      </c>
    </row>
    <row r="139" spans="1:11" s="1272" customFormat="1">
      <c r="A139" s="1319">
        <v>20499</v>
      </c>
      <c r="B139" s="1272" t="s">
        <v>389</v>
      </c>
      <c r="C139" s="1272" t="s">
        <v>1545</v>
      </c>
      <c r="D139" s="850"/>
      <c r="E139" s="1274">
        <v>-0.15</v>
      </c>
      <c r="F139" s="1274">
        <v>-6.6000000000000003E-2</v>
      </c>
      <c r="G139" s="1274">
        <v>0.216</v>
      </c>
      <c r="H139" s="1273" t="s">
        <v>246</v>
      </c>
      <c r="I139" s="1273" t="s">
        <v>246</v>
      </c>
      <c r="J139" s="861"/>
      <c r="K139" s="1275">
        <v>0.61899999999999999</v>
      </c>
    </row>
    <row r="140" spans="1:11" s="1272" customFormat="1">
      <c r="A140" s="1319">
        <v>20499</v>
      </c>
      <c r="B140" s="1272" t="s">
        <v>390</v>
      </c>
      <c r="C140" s="1272" t="s">
        <v>1545</v>
      </c>
      <c r="D140" s="850"/>
      <c r="E140" s="1274">
        <v>-1.9E-2</v>
      </c>
      <c r="F140" s="1274">
        <v>9.7000000000000003E-2</v>
      </c>
      <c r="G140" s="1274">
        <v>-8.4000000000000005E-2</v>
      </c>
      <c r="H140" s="1273" t="s">
        <v>246</v>
      </c>
      <c r="I140" s="1273" t="s">
        <v>246</v>
      </c>
      <c r="J140" s="861"/>
      <c r="K140" s="1275">
        <v>0.75</v>
      </c>
    </row>
    <row r="141" spans="1:11" s="1272" customFormat="1">
      <c r="A141" s="1319">
        <v>20515</v>
      </c>
      <c r="B141" s="1272" t="s">
        <v>391</v>
      </c>
      <c r="C141" s="1272" t="s">
        <v>1557</v>
      </c>
      <c r="D141" s="850"/>
      <c r="E141" s="1274">
        <v>-0.14099999999999999</v>
      </c>
      <c r="F141" s="1274">
        <v>-0.01</v>
      </c>
      <c r="G141" s="1274">
        <v>0.14699999999999999</v>
      </c>
      <c r="H141" s="1273" t="s">
        <v>246</v>
      </c>
      <c r="I141" s="1273" t="s">
        <v>246</v>
      </c>
      <c r="J141" s="861"/>
      <c r="K141" s="1275">
        <v>0.52</v>
      </c>
    </row>
    <row r="142" spans="1:11" s="1272" customFormat="1">
      <c r="A142" s="1319">
        <v>20613</v>
      </c>
      <c r="B142" s="1272" t="s">
        <v>392</v>
      </c>
      <c r="C142" s="1272" t="s">
        <v>1545</v>
      </c>
      <c r="D142" s="850"/>
      <c r="E142" s="1274">
        <v>-8.4000000000000005E-2</v>
      </c>
      <c r="F142" s="1274">
        <v>8.4000000000000005E-2</v>
      </c>
      <c r="G142" s="1273" t="s">
        <v>246</v>
      </c>
      <c r="H142" s="1273" t="s">
        <v>246</v>
      </c>
      <c r="I142" s="1273" t="s">
        <v>246</v>
      </c>
      <c r="J142" s="861"/>
      <c r="K142" s="1275">
        <v>0.60599999999999998</v>
      </c>
    </row>
    <row r="143" spans="1:11" s="1272" customFormat="1">
      <c r="A143" s="1319">
        <v>20642</v>
      </c>
      <c r="B143" s="1272" t="s">
        <v>393</v>
      </c>
      <c r="C143" s="1272" t="s">
        <v>1557</v>
      </c>
      <c r="D143" s="850"/>
      <c r="E143" s="1274">
        <v>-6.4000000000000001E-2</v>
      </c>
      <c r="F143" s="1274">
        <v>2.5999999999999999E-2</v>
      </c>
      <c r="G143" s="1274">
        <v>3.7999999999999999E-2</v>
      </c>
      <c r="H143" s="1273" t="s">
        <v>246</v>
      </c>
      <c r="I143" s="1273" t="s">
        <v>246</v>
      </c>
      <c r="J143" s="861"/>
      <c r="K143" s="1275">
        <v>0.72099999999999997</v>
      </c>
    </row>
    <row r="144" spans="1:11" s="1272" customFormat="1">
      <c r="A144" s="1319">
        <v>20725</v>
      </c>
      <c r="B144" s="1272" t="s">
        <v>394</v>
      </c>
      <c r="C144" s="1272" t="s">
        <v>1557</v>
      </c>
      <c r="D144" s="850"/>
      <c r="E144" s="1274">
        <v>-4.4999999999999998E-2</v>
      </c>
      <c r="F144" s="1274">
        <v>4.4999999999999998E-2</v>
      </c>
      <c r="G144" s="1273" t="s">
        <v>246</v>
      </c>
      <c r="H144" s="1273" t="s">
        <v>246</v>
      </c>
      <c r="I144" s="1273" t="s">
        <v>246</v>
      </c>
      <c r="J144" s="861"/>
      <c r="K144" s="1275">
        <v>0.64900000000000002</v>
      </c>
    </row>
    <row r="145" spans="1:11" ht="15.75" customHeight="1" thickBot="1">
      <c r="A145" s="1364"/>
      <c r="B145" s="1364"/>
      <c r="C145" s="1364"/>
      <c r="D145" s="3441" t="s">
        <v>1165</v>
      </c>
      <c r="E145" s="3441"/>
      <c r="F145" s="3441"/>
      <c r="G145" s="3441"/>
      <c r="H145" s="3441"/>
      <c r="I145" s="3441"/>
      <c r="J145" s="3441"/>
      <c r="K145" s="1366"/>
    </row>
    <row r="146" spans="1:11" ht="3" customHeight="1">
      <c r="A146" s="1364"/>
      <c r="B146" s="1364"/>
      <c r="C146" s="1364"/>
      <c r="D146" s="2223"/>
      <c r="E146" s="2223"/>
      <c r="F146" s="2223"/>
      <c r="G146" s="2223"/>
      <c r="H146" s="2223"/>
      <c r="I146" s="2223"/>
      <c r="J146" s="2223"/>
      <c r="K146" s="1366"/>
    </row>
    <row r="147" spans="1:11">
      <c r="A147" s="1364" t="s">
        <v>268</v>
      </c>
      <c r="B147" s="1364" t="s">
        <v>269</v>
      </c>
      <c r="C147" s="1364" t="s">
        <v>216</v>
      </c>
      <c r="D147" s="871"/>
      <c r="E147" s="2243" t="s">
        <v>806</v>
      </c>
      <c r="F147" s="2244" t="s">
        <v>807</v>
      </c>
      <c r="G147" s="2245" t="s">
        <v>808</v>
      </c>
      <c r="H147" s="1363" t="s">
        <v>95</v>
      </c>
      <c r="I147" s="2246" t="s">
        <v>1972</v>
      </c>
      <c r="J147" s="1183"/>
      <c r="K147" s="1183" t="s">
        <v>219</v>
      </c>
    </row>
    <row r="148" spans="1:11" ht="3" customHeight="1">
      <c r="A148" s="1364"/>
      <c r="B148" s="1364"/>
      <c r="C148" s="1364"/>
      <c r="D148" s="871"/>
      <c r="E148" s="1374"/>
      <c r="F148" s="1374"/>
      <c r="G148" s="1374"/>
      <c r="H148" s="1374"/>
      <c r="I148" s="1374"/>
      <c r="J148" s="1183"/>
      <c r="K148" s="1183"/>
    </row>
    <row r="149" spans="1:11" s="1272" customFormat="1">
      <c r="A149" s="1319">
        <v>20774</v>
      </c>
      <c r="B149" s="1272" t="s">
        <v>395</v>
      </c>
      <c r="C149" s="1272" t="s">
        <v>1545</v>
      </c>
      <c r="D149" s="850"/>
      <c r="E149" s="1274">
        <v>-0.05</v>
      </c>
      <c r="F149" s="1274">
        <v>4.5999999999999999E-2</v>
      </c>
      <c r="G149" s="1274">
        <v>4.0000000000000001E-3</v>
      </c>
      <c r="H149" s="1273" t="s">
        <v>246</v>
      </c>
      <c r="I149" s="1273" t="s">
        <v>246</v>
      </c>
      <c r="J149" s="861"/>
      <c r="K149" s="1275">
        <v>0.71499999999999997</v>
      </c>
    </row>
    <row r="150" spans="1:11" s="1272" customFormat="1">
      <c r="A150" s="1319">
        <v>20808</v>
      </c>
      <c r="B150" s="1272" t="s">
        <v>397</v>
      </c>
      <c r="C150" s="1272" t="s">
        <v>1545</v>
      </c>
      <c r="D150" s="850"/>
      <c r="E150" s="1274">
        <v>-7.5999999999999998E-2</v>
      </c>
      <c r="F150" s="1274">
        <v>7.5999999999999998E-2</v>
      </c>
      <c r="G150" s="1273" t="s">
        <v>246</v>
      </c>
      <c r="H150" s="1273" t="s">
        <v>246</v>
      </c>
      <c r="I150" s="1273" t="s">
        <v>246</v>
      </c>
      <c r="J150" s="861"/>
      <c r="K150" s="1275">
        <v>0.56499999999999995</v>
      </c>
    </row>
    <row r="151" spans="1:11" s="1272" customFormat="1">
      <c r="A151" s="1319">
        <v>20865</v>
      </c>
      <c r="B151" s="1272" t="s">
        <v>398</v>
      </c>
      <c r="C151" s="1272" t="s">
        <v>1560</v>
      </c>
      <c r="D151" s="850"/>
      <c r="E151" s="1274">
        <v>-7.4999999999999997E-2</v>
      </c>
      <c r="F151" s="1274">
        <v>3.5000000000000003E-2</v>
      </c>
      <c r="G151" s="1273" t="s">
        <v>246</v>
      </c>
      <c r="H151" s="1273" t="s">
        <v>246</v>
      </c>
      <c r="I151" s="1274">
        <v>0.04</v>
      </c>
      <c r="J151" s="1274"/>
      <c r="K151" s="1275">
        <v>0.70799999999999996</v>
      </c>
    </row>
    <row r="152" spans="1:11" s="1272" customFormat="1">
      <c r="A152" s="1319">
        <v>20879</v>
      </c>
      <c r="B152" s="1272" t="s">
        <v>400</v>
      </c>
      <c r="C152" s="1272" t="s">
        <v>1557</v>
      </c>
      <c r="D152" s="850"/>
      <c r="E152" s="1274">
        <v>-0.11600000000000001</v>
      </c>
      <c r="F152" s="1274">
        <v>1.7000000000000001E-2</v>
      </c>
      <c r="G152" s="1273" t="s">
        <v>246</v>
      </c>
      <c r="H152" s="1273" t="s">
        <v>246</v>
      </c>
      <c r="I152" s="1274">
        <v>9.9000000000000005E-2</v>
      </c>
      <c r="J152" s="1274"/>
      <c r="K152" s="1275">
        <v>0.6</v>
      </c>
    </row>
    <row r="153" spans="1:11" s="1272" customFormat="1">
      <c r="A153" s="1319">
        <v>20879</v>
      </c>
      <c r="B153" s="1272" t="s">
        <v>401</v>
      </c>
      <c r="C153" s="1272" t="s">
        <v>1561</v>
      </c>
      <c r="D153" s="850"/>
      <c r="E153" s="1273" t="s">
        <v>246</v>
      </c>
      <c r="F153" s="1274">
        <v>4.5999999999999999E-2</v>
      </c>
      <c r="G153" s="1274">
        <v>-8.3000000000000004E-2</v>
      </c>
      <c r="H153" s="1274">
        <v>3.6999999999999998E-2</v>
      </c>
      <c r="I153" s="1273" t="s">
        <v>246</v>
      </c>
      <c r="J153" s="861"/>
      <c r="K153" s="1275">
        <v>0.875</v>
      </c>
    </row>
    <row r="154" spans="1:11" s="1272" customFormat="1">
      <c r="A154" s="1319">
        <v>20886</v>
      </c>
      <c r="B154" s="1272" t="s">
        <v>335</v>
      </c>
      <c r="C154" s="1272" t="s">
        <v>1545</v>
      </c>
      <c r="D154" s="850"/>
      <c r="E154" s="1274">
        <v>-5.0999999999999997E-2</v>
      </c>
      <c r="F154" s="1274">
        <v>5.0999999999999997E-2</v>
      </c>
      <c r="G154" s="1273" t="s">
        <v>246</v>
      </c>
      <c r="H154" s="1273" t="s">
        <v>246</v>
      </c>
      <c r="I154" s="1273" t="s">
        <v>246</v>
      </c>
      <c r="J154" s="861"/>
      <c r="K154" s="1275">
        <v>0.61099999999999999</v>
      </c>
    </row>
    <row r="155" spans="1:11" s="1272" customFormat="1">
      <c r="A155" s="1319">
        <v>20886</v>
      </c>
      <c r="B155" s="1272" t="s">
        <v>403</v>
      </c>
      <c r="C155" s="1272" t="s">
        <v>1545</v>
      </c>
      <c r="D155" s="850"/>
      <c r="E155" s="1274">
        <v>-0.122</v>
      </c>
      <c r="F155" s="1274">
        <v>0.122</v>
      </c>
      <c r="G155" s="1273" t="s">
        <v>246</v>
      </c>
      <c r="H155" s="1273" t="s">
        <v>246</v>
      </c>
      <c r="I155" s="1273" t="s">
        <v>246</v>
      </c>
      <c r="J155" s="861"/>
      <c r="K155" s="1275">
        <v>0.77900000000000003</v>
      </c>
    </row>
    <row r="156" spans="1:11" s="1272" customFormat="1">
      <c r="A156" s="1319">
        <v>20900</v>
      </c>
      <c r="B156" s="1272" t="s">
        <v>404</v>
      </c>
      <c r="C156" s="1272" t="s">
        <v>1545</v>
      </c>
      <c r="D156" s="850"/>
      <c r="E156" s="1274">
        <v>-6.0999999999999999E-2</v>
      </c>
      <c r="F156" s="1274">
        <v>6.0999999999999999E-2</v>
      </c>
      <c r="G156" s="1273" t="s">
        <v>246</v>
      </c>
      <c r="H156" s="1273" t="s">
        <v>246</v>
      </c>
      <c r="I156" s="1273" t="s">
        <v>246</v>
      </c>
      <c r="J156" s="861"/>
      <c r="K156" s="1275">
        <v>0.64700000000000002</v>
      </c>
    </row>
    <row r="157" spans="1:11" s="1272" customFormat="1">
      <c r="A157" s="1319">
        <v>20900</v>
      </c>
      <c r="B157" s="1272" t="s">
        <v>405</v>
      </c>
      <c r="C157" s="1272" t="s">
        <v>1545</v>
      </c>
      <c r="D157" s="850"/>
      <c r="E157" s="1274">
        <v>-3.5999999999999997E-2</v>
      </c>
      <c r="F157" s="1274">
        <v>3.5999999999999997E-2</v>
      </c>
      <c r="G157" s="1273" t="s">
        <v>246</v>
      </c>
      <c r="H157" s="1273" t="s">
        <v>246</v>
      </c>
      <c r="I157" s="1273" t="s">
        <v>246</v>
      </c>
      <c r="J157" s="861"/>
      <c r="K157" s="1275">
        <v>0.64100000000000001</v>
      </c>
    </row>
    <row r="158" spans="1:11" s="1272" customFormat="1">
      <c r="A158" s="1319">
        <v>20969</v>
      </c>
      <c r="B158" s="1272" t="s">
        <v>406</v>
      </c>
      <c r="C158" s="1272" t="s">
        <v>1545</v>
      </c>
      <c r="D158" s="850"/>
      <c r="E158" s="1274">
        <v>-0.219</v>
      </c>
      <c r="F158" s="1274">
        <v>-1.6E-2</v>
      </c>
      <c r="G158" s="1274">
        <v>0.23499999999999999</v>
      </c>
      <c r="H158" s="1273" t="s">
        <v>246</v>
      </c>
      <c r="I158" s="1273" t="s">
        <v>246</v>
      </c>
      <c r="J158" s="861"/>
      <c r="K158" s="1275">
        <v>0.65800000000000003</v>
      </c>
    </row>
    <row r="159" spans="1:11" s="1272" customFormat="1">
      <c r="A159" s="1319">
        <v>20970</v>
      </c>
      <c r="B159" s="1272" t="s">
        <v>407</v>
      </c>
      <c r="C159" s="1272" t="s">
        <v>1557</v>
      </c>
      <c r="D159" s="850"/>
      <c r="E159" s="1274">
        <v>-0.115</v>
      </c>
      <c r="F159" s="1274">
        <v>-2.8000000000000001E-2</v>
      </c>
      <c r="G159" s="1273" t="s">
        <v>246</v>
      </c>
      <c r="H159" s="1273" t="s">
        <v>246</v>
      </c>
      <c r="I159" s="1274">
        <v>0.14299999999999999</v>
      </c>
      <c r="J159" s="1274"/>
      <c r="K159" s="1275">
        <v>0.57299999999999995</v>
      </c>
    </row>
    <row r="160" spans="1:11" s="1272" customFormat="1">
      <c r="A160" s="1319">
        <v>20970</v>
      </c>
      <c r="B160" s="1272" t="s">
        <v>408</v>
      </c>
      <c r="C160" s="1272" t="s">
        <v>1545</v>
      </c>
      <c r="D160" s="850"/>
      <c r="E160" s="1274">
        <v>-6.7000000000000004E-2</v>
      </c>
      <c r="F160" s="1274">
        <v>9.2999999999999999E-2</v>
      </c>
      <c r="G160" s="1273" t="s">
        <v>246</v>
      </c>
      <c r="H160" s="1273" t="s">
        <v>246</v>
      </c>
      <c r="I160" s="1274">
        <v>-2.5999999999999999E-2</v>
      </c>
      <c r="J160" s="1274"/>
      <c r="K160" s="1275">
        <v>0.63</v>
      </c>
    </row>
    <row r="161" spans="1:11" s="1272" customFormat="1">
      <c r="A161" s="1319">
        <v>20998</v>
      </c>
      <c r="B161" s="1272" t="s">
        <v>409</v>
      </c>
      <c r="C161" s="1272" t="s">
        <v>1545</v>
      </c>
      <c r="D161" s="850"/>
      <c r="E161" s="1274">
        <v>-7.0000000000000007E-2</v>
      </c>
      <c r="F161" s="1274">
        <v>2.8000000000000001E-2</v>
      </c>
      <c r="G161" s="1274">
        <v>3.6999999999999998E-2</v>
      </c>
      <c r="H161" s="1273" t="s">
        <v>246</v>
      </c>
      <c r="I161" s="1274">
        <v>5.0000000000000001E-3</v>
      </c>
      <c r="J161" s="1274"/>
      <c r="K161" s="1275">
        <v>0.75800000000000001</v>
      </c>
    </row>
    <row r="162" spans="1:11" s="1272" customFormat="1">
      <c r="A162" s="1319">
        <v>21075</v>
      </c>
      <c r="B162" s="1272" t="s">
        <v>410</v>
      </c>
      <c r="C162" s="1272" t="s">
        <v>1557</v>
      </c>
      <c r="D162" s="850"/>
      <c r="E162" s="1274">
        <v>-0.20499999999999999</v>
      </c>
      <c r="F162" s="1274">
        <v>4.0000000000000001E-3</v>
      </c>
      <c r="G162" s="1274">
        <v>0.20100000000000001</v>
      </c>
      <c r="H162" s="1273" t="s">
        <v>246</v>
      </c>
      <c r="I162" s="1273" t="s">
        <v>246</v>
      </c>
      <c r="J162" s="861"/>
      <c r="K162" s="1275">
        <v>0.71</v>
      </c>
    </row>
    <row r="163" spans="1:11" s="1272" customFormat="1">
      <c r="A163" s="1319">
        <v>21117</v>
      </c>
      <c r="B163" s="1272" t="s">
        <v>411</v>
      </c>
      <c r="C163" s="1272" t="s">
        <v>1557</v>
      </c>
      <c r="D163" s="850"/>
      <c r="E163" s="1274">
        <v>-0.14399999999999999</v>
      </c>
      <c r="F163" s="1274">
        <v>-7.0999999999999994E-2</v>
      </c>
      <c r="G163" s="1274">
        <v>0.215</v>
      </c>
      <c r="H163" s="1273" t="s">
        <v>246</v>
      </c>
      <c r="I163" s="1273" t="s">
        <v>246</v>
      </c>
      <c r="J163" s="861"/>
      <c r="K163" s="1275">
        <v>0.75600000000000001</v>
      </c>
    </row>
    <row r="164" spans="1:11" s="1272" customFormat="1">
      <c r="A164" s="1319">
        <v>21152</v>
      </c>
      <c r="B164" s="1272" t="s">
        <v>412</v>
      </c>
      <c r="C164" s="1272" t="s">
        <v>1545</v>
      </c>
      <c r="D164" s="850"/>
      <c r="E164" s="1274">
        <v>-3.2300000000000002E-2</v>
      </c>
      <c r="F164" s="1274">
        <v>3.2000000000000001E-2</v>
      </c>
      <c r="G164" s="1273" t="s">
        <v>246</v>
      </c>
      <c r="H164" s="1273" t="s">
        <v>246</v>
      </c>
      <c r="I164" s="1273" t="s">
        <v>246</v>
      </c>
      <c r="J164" s="861"/>
      <c r="K164" s="1275">
        <v>0.56399999999999995</v>
      </c>
    </row>
    <row r="165" spans="1:11" s="1272" customFormat="1">
      <c r="A165" s="1319">
        <v>21159</v>
      </c>
      <c r="B165" s="1272" t="s">
        <v>413</v>
      </c>
      <c r="C165" s="1272" t="s">
        <v>1549</v>
      </c>
      <c r="D165" s="850"/>
      <c r="E165" s="1274">
        <v>-0.14299999999999999</v>
      </c>
      <c r="F165" s="1274">
        <v>-8.9999999999999993E-3</v>
      </c>
      <c r="G165" s="1274">
        <v>0.152</v>
      </c>
      <c r="H165" s="1273" t="s">
        <v>246</v>
      </c>
      <c r="I165" s="1273" t="s">
        <v>246</v>
      </c>
      <c r="J165" s="861"/>
      <c r="K165" s="1275">
        <v>0.497</v>
      </c>
    </row>
    <row r="166" spans="1:11" s="1272" customFormat="1">
      <c r="A166" s="1319">
        <v>21228</v>
      </c>
      <c r="B166" s="1272" t="s">
        <v>415</v>
      </c>
      <c r="C166" s="1272" t="s">
        <v>1560</v>
      </c>
      <c r="D166" s="850"/>
      <c r="E166" s="1274">
        <v>-0.317</v>
      </c>
      <c r="F166" s="1274">
        <v>-3.7999999999999999E-2</v>
      </c>
      <c r="G166" s="1274">
        <v>0.35499999999999998</v>
      </c>
      <c r="H166" s="1273" t="s">
        <v>246</v>
      </c>
      <c r="I166" s="1273" t="s">
        <v>246</v>
      </c>
      <c r="J166" s="861"/>
      <c r="K166" s="1275">
        <v>0.80200000000000005</v>
      </c>
    </row>
    <row r="167" spans="1:11" s="1272" customFormat="1">
      <c r="A167" s="1319">
        <v>21257</v>
      </c>
      <c r="B167" s="1272" t="s">
        <v>416</v>
      </c>
      <c r="C167" s="1272" t="s">
        <v>1560</v>
      </c>
      <c r="D167" s="850"/>
      <c r="E167" s="1274">
        <v>-0.13800000000000001</v>
      </c>
      <c r="F167" s="1274">
        <v>3.4000000000000002E-2</v>
      </c>
      <c r="G167" s="1273" t="s">
        <v>246</v>
      </c>
      <c r="H167" s="1273" t="s">
        <v>246</v>
      </c>
      <c r="I167" s="1274">
        <v>0.104</v>
      </c>
      <c r="J167" s="1274"/>
      <c r="K167" s="1275">
        <v>0.60499999999999998</v>
      </c>
    </row>
    <row r="168" spans="1:11" s="1272" customFormat="1">
      <c r="A168" s="1319">
        <v>21271</v>
      </c>
      <c r="B168" s="1272" t="s">
        <v>417</v>
      </c>
      <c r="C168" s="1272" t="s">
        <v>1550</v>
      </c>
      <c r="D168" s="850"/>
      <c r="E168" s="1274">
        <v>-0.27700000000000002</v>
      </c>
      <c r="F168" s="1274">
        <v>-0.10299999999999999</v>
      </c>
      <c r="G168" s="1274">
        <v>0.38</v>
      </c>
      <c r="H168" s="1273" t="s">
        <v>246</v>
      </c>
      <c r="I168" s="1273" t="s">
        <v>246</v>
      </c>
      <c r="J168" s="861"/>
      <c r="K168" s="1275">
        <v>0.80600000000000005</v>
      </c>
    </row>
    <row r="169" spans="1:11" s="1272" customFormat="1">
      <c r="A169" s="1319">
        <v>21320</v>
      </c>
      <c r="B169" s="1272" t="s">
        <v>419</v>
      </c>
      <c r="C169" s="1272" t="s">
        <v>1557</v>
      </c>
      <c r="D169" s="850"/>
      <c r="E169" s="1274">
        <v>-0.104</v>
      </c>
      <c r="F169" s="1274">
        <v>7.3999999999999996E-2</v>
      </c>
      <c r="G169" s="1273" t="s">
        <v>246</v>
      </c>
      <c r="H169" s="1273" t="s">
        <v>246</v>
      </c>
      <c r="I169" s="1274">
        <v>0.03</v>
      </c>
      <c r="J169" s="1274"/>
      <c r="K169" s="1275">
        <v>0.35599999999999998</v>
      </c>
    </row>
    <row r="170" spans="1:11" s="1272" customFormat="1">
      <c r="A170" s="1319">
        <v>21348</v>
      </c>
      <c r="B170" s="1272" t="s">
        <v>423</v>
      </c>
      <c r="C170" s="1272" t="s">
        <v>1549</v>
      </c>
      <c r="D170" s="850"/>
      <c r="E170" s="1274">
        <v>-9.1999999999999998E-2</v>
      </c>
      <c r="F170" s="1274">
        <v>1.6E-2</v>
      </c>
      <c r="G170" s="1274">
        <v>7.5999999999999998E-2</v>
      </c>
      <c r="H170" s="1273" t="s">
        <v>246</v>
      </c>
      <c r="I170" s="1273" t="s">
        <v>246</v>
      </c>
      <c r="J170" s="861"/>
      <c r="K170" s="1275">
        <v>0.64500000000000002</v>
      </c>
    </row>
    <row r="171" spans="1:11" s="1272" customFormat="1">
      <c r="A171" s="1319">
        <v>21348</v>
      </c>
      <c r="B171" s="1272" t="s">
        <v>420</v>
      </c>
      <c r="C171" s="1272" t="s">
        <v>1557</v>
      </c>
      <c r="D171" s="850"/>
      <c r="E171" s="1274">
        <v>-4.0000000000000001E-3</v>
      </c>
      <c r="F171" s="1274">
        <v>4.0000000000000001E-3</v>
      </c>
      <c r="G171" s="1273" t="s">
        <v>246</v>
      </c>
      <c r="H171" s="1273" t="s">
        <v>246</v>
      </c>
      <c r="I171" s="1273" t="s">
        <v>246</v>
      </c>
      <c r="J171" s="861"/>
      <c r="K171" s="1275">
        <v>0.54600000000000004</v>
      </c>
    </row>
    <row r="172" spans="1:11" s="1272" customFormat="1">
      <c r="A172" s="1319">
        <v>21348</v>
      </c>
      <c r="B172" s="1272" t="s">
        <v>311</v>
      </c>
      <c r="C172" s="1272" t="s">
        <v>1557</v>
      </c>
      <c r="D172" s="850"/>
      <c r="E172" s="1274">
        <v>-5.7000000000000002E-2</v>
      </c>
      <c r="F172" s="1274">
        <v>6.6000000000000003E-2</v>
      </c>
      <c r="G172" s="1273" t="s">
        <v>246</v>
      </c>
      <c r="H172" s="1273" t="s">
        <v>246</v>
      </c>
      <c r="I172" s="1274">
        <v>-8.9999999999999993E-3</v>
      </c>
      <c r="J172" s="1274"/>
      <c r="K172" s="1275">
        <v>0.70299999999999996</v>
      </c>
    </row>
    <row r="173" spans="1:11" s="1272" customFormat="1">
      <c r="A173" s="1319">
        <v>21348</v>
      </c>
      <c r="B173" s="1272" t="s">
        <v>421</v>
      </c>
      <c r="C173" s="1272" t="s">
        <v>1545</v>
      </c>
      <c r="D173" s="850"/>
      <c r="E173" s="1274">
        <v>-0.13400000000000001</v>
      </c>
      <c r="F173" s="1274">
        <v>-0.111</v>
      </c>
      <c r="G173" s="1274">
        <v>0.245</v>
      </c>
      <c r="H173" s="1273" t="s">
        <v>246</v>
      </c>
      <c r="I173" s="1273" t="s">
        <v>246</v>
      </c>
      <c r="J173" s="861"/>
      <c r="K173" s="1275">
        <v>0.72199999999999998</v>
      </c>
    </row>
    <row r="174" spans="1:11" s="1272" customFormat="1">
      <c r="A174" s="1319">
        <v>21348</v>
      </c>
      <c r="B174" s="1272" t="s">
        <v>422</v>
      </c>
      <c r="C174" s="1272" t="s">
        <v>1545</v>
      </c>
      <c r="D174" s="850"/>
      <c r="E174" s="1274">
        <v>-0.20799999999999999</v>
      </c>
      <c r="F174" s="1274">
        <v>-6.7000000000000004E-2</v>
      </c>
      <c r="G174" s="1274">
        <v>0.27500000000000002</v>
      </c>
      <c r="H174" s="1273" t="s">
        <v>246</v>
      </c>
      <c r="I174" s="1273" t="s">
        <v>246</v>
      </c>
      <c r="J174" s="861"/>
      <c r="K174" s="1275">
        <v>0.67100000000000004</v>
      </c>
    </row>
    <row r="175" spans="1:11" s="1272" customFormat="1">
      <c r="A175" s="1319">
        <v>21495</v>
      </c>
      <c r="B175" s="1272" t="s">
        <v>425</v>
      </c>
      <c r="C175" s="1272" t="s">
        <v>1545</v>
      </c>
      <c r="D175" s="850"/>
      <c r="E175" s="1274">
        <v>-5.8999999999999997E-2</v>
      </c>
      <c r="F175" s="1274">
        <v>5.8999999999999997E-2</v>
      </c>
      <c r="G175" s="1273" t="s">
        <v>246</v>
      </c>
      <c r="H175" s="1273" t="s">
        <v>246</v>
      </c>
      <c r="I175" s="1273" t="s">
        <v>246</v>
      </c>
      <c r="J175" s="861"/>
      <c r="K175" s="1275">
        <v>0.63800000000000001</v>
      </c>
    </row>
    <row r="176" spans="1:11" s="1272" customFormat="1">
      <c r="A176" s="1319">
        <v>21495</v>
      </c>
      <c r="B176" s="1272" t="s">
        <v>426</v>
      </c>
      <c r="C176" s="1272" t="s">
        <v>1545</v>
      </c>
      <c r="D176" s="850"/>
      <c r="E176" s="1274">
        <v>1E-3</v>
      </c>
      <c r="F176" s="1274">
        <v>-1E-3</v>
      </c>
      <c r="G176" s="1273" t="s">
        <v>246</v>
      </c>
      <c r="H176" s="1273" t="s">
        <v>246</v>
      </c>
      <c r="I176" s="1273" t="s">
        <v>246</v>
      </c>
      <c r="J176" s="861"/>
      <c r="K176" s="1275">
        <v>0.51700000000000002</v>
      </c>
    </row>
    <row r="177" spans="1:11" s="1272" customFormat="1">
      <c r="A177" s="1319">
        <v>21499</v>
      </c>
      <c r="B177" s="1272" t="s">
        <v>288</v>
      </c>
      <c r="C177" s="1272" t="s">
        <v>1557</v>
      </c>
      <c r="D177" s="850"/>
      <c r="E177" s="1274">
        <v>-5.6000000000000001E-2</v>
      </c>
      <c r="F177" s="1274">
        <v>-4.3999999999999997E-2</v>
      </c>
      <c r="G177" s="1273" t="s">
        <v>246</v>
      </c>
      <c r="H177" s="1274">
        <v>0.1</v>
      </c>
      <c r="I177" s="1273" t="s">
        <v>246</v>
      </c>
      <c r="J177" s="861"/>
      <c r="K177" s="1275">
        <v>0.61699999999999999</v>
      </c>
    </row>
    <row r="178" spans="1:11" s="1272" customFormat="1">
      <c r="A178" s="1319">
        <v>21509</v>
      </c>
      <c r="B178" s="1272" t="s">
        <v>427</v>
      </c>
      <c r="C178" s="1272" t="s">
        <v>1545</v>
      </c>
      <c r="D178" s="850"/>
      <c r="E178" s="1274">
        <v>-0.19900000000000001</v>
      </c>
      <c r="F178" s="1274">
        <v>-4.3999999999999997E-2</v>
      </c>
      <c r="G178" s="1274">
        <v>0.24299999999999999</v>
      </c>
      <c r="H178" s="1273" t="s">
        <v>246</v>
      </c>
      <c r="I178" s="1273" t="s">
        <v>246</v>
      </c>
      <c r="J178" s="861"/>
      <c r="K178" s="1275">
        <v>0.65900000000000003</v>
      </c>
    </row>
    <row r="179" spans="1:11" s="1272" customFormat="1">
      <c r="A179" s="1319">
        <v>21516</v>
      </c>
      <c r="B179" s="1272" t="s">
        <v>371</v>
      </c>
      <c r="C179" s="1272" t="s">
        <v>1557</v>
      </c>
      <c r="D179" s="850"/>
      <c r="E179" s="1274">
        <v>-2.5000000000000001E-2</v>
      </c>
      <c r="F179" s="1274">
        <v>2.5000000000000001E-2</v>
      </c>
      <c r="G179" s="1273" t="s">
        <v>246</v>
      </c>
      <c r="H179" s="1273" t="s">
        <v>246</v>
      </c>
      <c r="I179" s="1273" t="s">
        <v>246</v>
      </c>
      <c r="J179" s="861"/>
      <c r="K179" s="1275">
        <v>0.249</v>
      </c>
    </row>
    <row r="180" spans="1:11" s="1272" customFormat="1">
      <c r="A180" s="1319">
        <v>21579</v>
      </c>
      <c r="B180" s="1272" t="s">
        <v>428</v>
      </c>
      <c r="C180" s="1272" t="s">
        <v>1545</v>
      </c>
      <c r="D180" s="850"/>
      <c r="E180" s="1274">
        <v>-8.5999999999999993E-2</v>
      </c>
      <c r="F180" s="1274">
        <v>-6.0000000000000001E-3</v>
      </c>
      <c r="G180" s="1274">
        <v>9.1999999999999998E-2</v>
      </c>
      <c r="H180" s="1273" t="s">
        <v>246</v>
      </c>
      <c r="I180" s="1273" t="s">
        <v>246</v>
      </c>
      <c r="J180" s="861"/>
      <c r="K180" s="1275">
        <v>0.42899999999999999</v>
      </c>
    </row>
    <row r="181" spans="1:11" s="1272" customFormat="1">
      <c r="A181" s="1319">
        <v>21628</v>
      </c>
      <c r="B181" s="1272" t="s">
        <v>429</v>
      </c>
      <c r="C181" s="1272" t="s">
        <v>1545</v>
      </c>
      <c r="D181" s="850"/>
      <c r="E181" s="1274">
        <v>-1.6E-2</v>
      </c>
      <c r="F181" s="1274">
        <v>6.0000000000000001E-3</v>
      </c>
      <c r="G181" s="1273" t="s">
        <v>246</v>
      </c>
      <c r="H181" s="1273" t="s">
        <v>246</v>
      </c>
      <c r="I181" s="1274">
        <v>0.01</v>
      </c>
      <c r="J181" s="1274"/>
      <c r="K181" s="1275">
        <v>0.68899999999999995</v>
      </c>
    </row>
    <row r="182" spans="1:11" s="1272" customFormat="1">
      <c r="A182" s="1319">
        <v>21634</v>
      </c>
      <c r="B182" s="1272" t="s">
        <v>430</v>
      </c>
      <c r="C182" s="1272" t="s">
        <v>1557</v>
      </c>
      <c r="D182" s="850"/>
      <c r="E182" s="1274">
        <v>7.0000000000000001E-3</v>
      </c>
      <c r="F182" s="1274">
        <v>-3.3000000000000002E-2</v>
      </c>
      <c r="G182" s="1273" t="s">
        <v>246</v>
      </c>
      <c r="H182" s="1273" t="s">
        <v>246</v>
      </c>
      <c r="I182" s="1274">
        <v>2.5999999999999999E-2</v>
      </c>
      <c r="J182" s="1274"/>
      <c r="K182" s="1275">
        <v>0.752</v>
      </c>
    </row>
    <row r="183" spans="1:11" s="1272" customFormat="1">
      <c r="A183" s="1319">
        <v>21284</v>
      </c>
      <c r="B183" s="1272" t="s">
        <v>431</v>
      </c>
      <c r="C183" s="1272" t="s">
        <v>1545</v>
      </c>
      <c r="D183" s="850"/>
      <c r="E183" s="1274">
        <v>-0.16500000000000001</v>
      </c>
      <c r="F183" s="1274">
        <v>-9.1999999999999998E-2</v>
      </c>
      <c r="G183" s="1274">
        <v>0.25700000000000001</v>
      </c>
      <c r="H183" s="1273" t="s">
        <v>246</v>
      </c>
      <c r="I183" s="1273" t="s">
        <v>246</v>
      </c>
      <c r="J183" s="861"/>
      <c r="K183" s="1275">
        <v>0.72699999999999998</v>
      </c>
    </row>
    <row r="184" spans="1:11" s="1272" customFormat="1">
      <c r="A184" s="1319">
        <v>21712</v>
      </c>
      <c r="B184" s="1272" t="s">
        <v>432</v>
      </c>
      <c r="C184" s="1272" t="s">
        <v>1557</v>
      </c>
      <c r="D184" s="850"/>
      <c r="E184" s="1274">
        <v>-1.7999999999999999E-2</v>
      </c>
      <c r="F184" s="1274">
        <v>1.7999999999999999E-2</v>
      </c>
      <c r="G184" s="1273" t="s">
        <v>246</v>
      </c>
      <c r="H184" s="1273" t="s">
        <v>246</v>
      </c>
      <c r="I184" s="1273" t="s">
        <v>246</v>
      </c>
      <c r="J184" s="861"/>
      <c r="K184" s="1275">
        <v>0.65</v>
      </c>
    </row>
    <row r="185" spans="1:11" s="1272" customFormat="1">
      <c r="A185" s="1319">
        <v>21719</v>
      </c>
      <c r="B185" s="1272" t="s">
        <v>433</v>
      </c>
      <c r="C185" s="1272" t="s">
        <v>1557</v>
      </c>
      <c r="D185" s="850"/>
      <c r="E185" s="1274">
        <v>-6.0000000000000001E-3</v>
      </c>
      <c r="F185" s="1274">
        <v>6.0000000000000001E-3</v>
      </c>
      <c r="G185" s="1273" t="s">
        <v>246</v>
      </c>
      <c r="H185" s="1273" t="s">
        <v>246</v>
      </c>
      <c r="I185" s="1273" t="s">
        <v>246</v>
      </c>
      <c r="J185" s="861"/>
      <c r="K185" s="1275">
        <v>0.79200000000000004</v>
      </c>
    </row>
    <row r="186" spans="1:11" s="1272" customFormat="1" ht="4.5" customHeight="1">
      <c r="A186" s="1330"/>
      <c r="D186" s="850"/>
      <c r="E186" s="1274"/>
      <c r="F186" s="1274"/>
      <c r="G186" s="1274"/>
      <c r="H186" s="1274"/>
      <c r="I186" s="1274"/>
      <c r="J186" s="1274"/>
      <c r="K186" s="1275"/>
    </row>
    <row r="187" spans="1:11" s="1272" customFormat="1">
      <c r="A187" s="2264" t="s">
        <v>791</v>
      </c>
      <c r="B187" s="2265"/>
      <c r="C187" s="2265"/>
      <c r="D187" s="2218"/>
      <c r="E187" s="2266"/>
      <c r="F187" s="2266"/>
      <c r="G187" s="2266"/>
      <c r="H187" s="2266"/>
      <c r="I187" s="2266"/>
      <c r="J187" s="2266"/>
      <c r="K187" s="2267"/>
    </row>
    <row r="188" spans="1:11" s="1272" customFormat="1" ht="6" customHeight="1">
      <c r="A188" s="1330"/>
      <c r="D188" s="850"/>
      <c r="E188" s="1274"/>
      <c r="F188" s="1274"/>
      <c r="G188" s="1274"/>
      <c r="H188" s="1274"/>
      <c r="I188" s="1274"/>
      <c r="J188" s="1274"/>
      <c r="K188" s="1275"/>
    </row>
    <row r="189" spans="1:11" s="1272" customFormat="1">
      <c r="A189" s="1319">
        <v>21992</v>
      </c>
      <c r="B189" s="1272" t="s">
        <v>328</v>
      </c>
      <c r="C189" s="1272" t="s">
        <v>1559</v>
      </c>
      <c r="D189" s="850"/>
      <c r="E189" s="1274">
        <v>8.9999999999999993E-3</v>
      </c>
      <c r="F189" s="1274">
        <v>-8.9999999999999993E-3</v>
      </c>
      <c r="G189" s="1273" t="s">
        <v>246</v>
      </c>
      <c r="H189" s="1273" t="s">
        <v>246</v>
      </c>
      <c r="I189" s="1273" t="s">
        <v>246</v>
      </c>
      <c r="J189" s="861"/>
      <c r="K189" s="1275">
        <v>0.82399999999999995</v>
      </c>
    </row>
    <row r="190" spans="1:11" s="1272" customFormat="1">
      <c r="A190" s="1319">
        <v>21992</v>
      </c>
      <c r="B190" s="1272" t="s">
        <v>337</v>
      </c>
      <c r="C190" s="1272" t="s">
        <v>1545</v>
      </c>
      <c r="D190" s="850"/>
      <c r="E190" s="1274">
        <v>-0.152</v>
      </c>
      <c r="F190" s="1274">
        <v>-0.109</v>
      </c>
      <c r="G190" s="1274">
        <v>0.214</v>
      </c>
      <c r="H190" s="1273" t="s">
        <v>246</v>
      </c>
      <c r="I190" s="1274">
        <v>4.7E-2</v>
      </c>
      <c r="J190" s="1274"/>
      <c r="K190" s="1275">
        <v>0.61599999999999999</v>
      </c>
    </row>
    <row r="191" spans="1:11" s="1272" customFormat="1">
      <c r="A191" s="1319">
        <v>22055</v>
      </c>
      <c r="B191" s="1272" t="s">
        <v>380</v>
      </c>
      <c r="C191" s="1272" t="s">
        <v>1545</v>
      </c>
      <c r="D191" s="850"/>
      <c r="E191" s="1274">
        <v>-9.8000000000000004E-2</v>
      </c>
      <c r="F191" s="1274">
        <v>-5.7000000000000002E-2</v>
      </c>
      <c r="G191" s="1274">
        <v>0.155</v>
      </c>
      <c r="H191" s="1273" t="s">
        <v>246</v>
      </c>
      <c r="I191" s="1273" t="s">
        <v>246</v>
      </c>
      <c r="J191" s="861"/>
      <c r="K191" s="1275">
        <v>0.53800000000000003</v>
      </c>
    </row>
    <row r="192" spans="1:11" s="1272" customFormat="1">
      <c r="A192" s="1319">
        <v>22236</v>
      </c>
      <c r="B192" s="1272" t="s">
        <v>434</v>
      </c>
      <c r="C192" s="1272" t="s">
        <v>1545</v>
      </c>
      <c r="D192" s="850"/>
      <c r="E192" s="1274">
        <v>-0.15</v>
      </c>
      <c r="F192" s="1274">
        <v>-0.11</v>
      </c>
      <c r="G192" s="1274">
        <v>0.248</v>
      </c>
      <c r="H192" s="1273" t="s">
        <v>246</v>
      </c>
      <c r="I192" s="1274">
        <v>1.2E-2</v>
      </c>
      <c r="J192" s="1274"/>
      <c r="K192" s="1275">
        <v>0.68200000000000005</v>
      </c>
    </row>
    <row r="193" spans="1:11" s="1272" customFormat="1">
      <c r="A193" s="1319">
        <v>22236</v>
      </c>
      <c r="B193" s="1272" t="s">
        <v>435</v>
      </c>
      <c r="C193" s="1272" t="s">
        <v>1545</v>
      </c>
      <c r="D193" s="850"/>
      <c r="E193" s="1274">
        <v>-1.4E-2</v>
      </c>
      <c r="F193" s="1274">
        <v>-6.2E-2</v>
      </c>
      <c r="G193" s="1274">
        <v>7.0000000000000007E-2</v>
      </c>
      <c r="H193" s="1273" t="s">
        <v>246</v>
      </c>
      <c r="I193" s="1274">
        <v>6.0000000000000001E-3</v>
      </c>
      <c r="J193" s="1274"/>
      <c r="K193" s="1286">
        <v>0.71099999999999997</v>
      </c>
    </row>
    <row r="194" spans="1:11" s="1272" customFormat="1">
      <c r="A194" s="1319">
        <v>22236</v>
      </c>
      <c r="B194" s="1272" t="s">
        <v>436</v>
      </c>
      <c r="C194" s="1272" t="s">
        <v>1545</v>
      </c>
      <c r="D194" s="850"/>
      <c r="E194" s="1274">
        <v>-9.9000000000000005E-2</v>
      </c>
      <c r="F194" s="1274">
        <v>-7.5999999999999998E-2</v>
      </c>
      <c r="G194" s="1274">
        <v>0.17499999999999999</v>
      </c>
      <c r="H194" s="1273" t="s">
        <v>246</v>
      </c>
      <c r="I194" s="1273" t="s">
        <v>246</v>
      </c>
      <c r="J194" s="861"/>
      <c r="K194" s="1275">
        <v>0.68400000000000005</v>
      </c>
    </row>
    <row r="195" spans="1:11" s="1272" customFormat="1">
      <c r="A195" s="1319">
        <v>22236</v>
      </c>
      <c r="B195" s="1272" t="s">
        <v>437</v>
      </c>
      <c r="C195" s="1272" t="s">
        <v>1545</v>
      </c>
      <c r="D195" s="850"/>
      <c r="E195" s="1274">
        <v>-6.5000000000000002E-2</v>
      </c>
      <c r="F195" s="1274">
        <v>-4.7E-2</v>
      </c>
      <c r="G195" s="1274">
        <v>0.112</v>
      </c>
      <c r="H195" s="1273" t="s">
        <v>246</v>
      </c>
      <c r="I195" s="1273" t="s">
        <v>246</v>
      </c>
      <c r="J195" s="861"/>
      <c r="K195" s="1275">
        <v>0.53600000000000003</v>
      </c>
    </row>
    <row r="196" spans="1:11" s="1272" customFormat="1">
      <c r="A196" s="1319">
        <v>22236</v>
      </c>
      <c r="B196" s="1272" t="s">
        <v>438</v>
      </c>
      <c r="C196" s="1272" t="s">
        <v>1545</v>
      </c>
      <c r="D196" s="850"/>
      <c r="E196" s="1274">
        <v>-0.13900000000000001</v>
      </c>
      <c r="F196" s="1274">
        <v>-0.13400000000000001</v>
      </c>
      <c r="G196" s="1274">
        <v>0.27300000000000002</v>
      </c>
      <c r="H196" s="1273" t="s">
        <v>246</v>
      </c>
      <c r="I196" s="1273" t="s">
        <v>246</v>
      </c>
      <c r="J196" s="861"/>
      <c r="K196" s="1275">
        <v>0.63600000000000001</v>
      </c>
    </row>
    <row r="197" spans="1:11" s="1272" customFormat="1">
      <c r="A197" s="1319">
        <v>22236</v>
      </c>
      <c r="B197" s="1272" t="s">
        <v>450</v>
      </c>
      <c r="C197" s="1272" t="s">
        <v>1545</v>
      </c>
      <c r="D197" s="850"/>
      <c r="E197" s="1274">
        <v>-2.3E-2</v>
      </c>
      <c r="F197" s="1274">
        <v>-9.8000000000000004E-2</v>
      </c>
      <c r="G197" s="1274">
        <v>0.121</v>
      </c>
      <c r="H197" s="1273" t="s">
        <v>246</v>
      </c>
      <c r="I197" s="1273" t="s">
        <v>246</v>
      </c>
      <c r="J197" s="861"/>
      <c r="K197" s="1275">
        <v>0.54200000000000004</v>
      </c>
    </row>
    <row r="198" spans="1:11" s="1272" customFormat="1">
      <c r="A198" s="1319">
        <v>22237</v>
      </c>
      <c r="B198" s="1272" t="s">
        <v>451</v>
      </c>
      <c r="C198" s="1272" t="s">
        <v>1557</v>
      </c>
      <c r="D198" s="850"/>
      <c r="E198" s="1274">
        <v>-6.3E-2</v>
      </c>
      <c r="F198" s="1274">
        <v>-0.122</v>
      </c>
      <c r="G198" s="1274">
        <v>0.115</v>
      </c>
      <c r="H198" s="1274">
        <v>7.0000000000000007E-2</v>
      </c>
      <c r="I198" s="1273" t="s">
        <v>246</v>
      </c>
      <c r="J198" s="861"/>
      <c r="K198" s="1275">
        <v>0.76100000000000001</v>
      </c>
    </row>
    <row r="199" spans="1:11" s="1272" customFormat="1">
      <c r="A199" s="1319">
        <v>22244</v>
      </c>
      <c r="B199" s="1272" t="s">
        <v>452</v>
      </c>
      <c r="C199" s="1272" t="s">
        <v>1557</v>
      </c>
      <c r="D199" s="850"/>
      <c r="E199" s="1274">
        <v>-3.7999999999999999E-2</v>
      </c>
      <c r="F199" s="1274">
        <v>-5.7000000000000002E-2</v>
      </c>
      <c r="G199" s="1274">
        <v>9.5000000000000001E-2</v>
      </c>
      <c r="H199" s="1273" t="s">
        <v>246</v>
      </c>
      <c r="I199" s="1273" t="s">
        <v>246</v>
      </c>
      <c r="J199" s="861"/>
      <c r="K199" s="1275">
        <v>0.54100000000000004</v>
      </c>
    </row>
    <row r="200" spans="1:11" s="1272" customFormat="1">
      <c r="A200" s="1319">
        <v>22356</v>
      </c>
      <c r="B200" s="1272" t="s">
        <v>453</v>
      </c>
      <c r="C200" s="1272" t="s">
        <v>1545</v>
      </c>
      <c r="D200" s="850"/>
      <c r="E200" s="1274">
        <v>-0.18</v>
      </c>
      <c r="F200" s="1274">
        <v>-0.121</v>
      </c>
      <c r="G200" s="1274">
        <v>0.30099999999999999</v>
      </c>
      <c r="H200" s="1273" t="s">
        <v>246</v>
      </c>
      <c r="I200" s="1273" t="s">
        <v>246</v>
      </c>
      <c r="J200" s="861"/>
      <c r="K200" s="1275">
        <v>0.64200000000000002</v>
      </c>
    </row>
    <row r="201" spans="1:11" s="1272" customFormat="1">
      <c r="A201" s="1319">
        <v>22356</v>
      </c>
      <c r="B201" s="1272" t="s">
        <v>170</v>
      </c>
      <c r="C201" s="1272" t="s">
        <v>1545</v>
      </c>
      <c r="D201" s="850"/>
      <c r="E201" s="1274">
        <v>-0.12</v>
      </c>
      <c r="F201" s="1274">
        <v>-0.12</v>
      </c>
      <c r="G201" s="1274">
        <v>0.24</v>
      </c>
      <c r="H201" s="1273" t="s">
        <v>246</v>
      </c>
      <c r="I201" s="1273" t="s">
        <v>246</v>
      </c>
      <c r="J201" s="861"/>
      <c r="K201" s="1275">
        <v>0.624</v>
      </c>
    </row>
    <row r="202" spans="1:11" s="1272" customFormat="1">
      <c r="A202" s="1319">
        <v>22356</v>
      </c>
      <c r="B202" s="1272" t="s">
        <v>135</v>
      </c>
      <c r="C202" s="1272" t="s">
        <v>1545</v>
      </c>
      <c r="D202" s="850"/>
      <c r="E202" s="1274">
        <v>-8.5999999999999993E-2</v>
      </c>
      <c r="F202" s="1274">
        <v>-1.9E-2</v>
      </c>
      <c r="G202" s="1274">
        <v>0.105</v>
      </c>
      <c r="H202" s="1273" t="s">
        <v>246</v>
      </c>
      <c r="I202" s="1273" t="s">
        <v>246</v>
      </c>
      <c r="J202" s="861"/>
      <c r="K202" s="1275">
        <v>0.72499999999999998</v>
      </c>
    </row>
    <row r="203" spans="1:11" s="1272" customFormat="1">
      <c r="A203" s="1319">
        <v>22356</v>
      </c>
      <c r="B203" s="1272" t="s">
        <v>454</v>
      </c>
      <c r="C203" s="1272" t="s">
        <v>1545</v>
      </c>
      <c r="D203" s="850"/>
      <c r="E203" s="1274">
        <v>-4.3999999999999997E-2</v>
      </c>
      <c r="F203" s="1274">
        <v>-2.8000000000000001E-2</v>
      </c>
      <c r="G203" s="1274">
        <v>7.1999999999999995E-2</v>
      </c>
      <c r="H203" s="1273" t="s">
        <v>246</v>
      </c>
      <c r="I203" s="1273" t="s">
        <v>246</v>
      </c>
      <c r="J203" s="861"/>
      <c r="K203" s="1275">
        <v>0.64900000000000002</v>
      </c>
    </row>
    <row r="204" spans="1:11" s="1272" customFormat="1">
      <c r="A204" s="1319">
        <v>22363</v>
      </c>
      <c r="B204" s="1272" t="s">
        <v>455</v>
      </c>
      <c r="C204" s="1272" t="s">
        <v>1557</v>
      </c>
      <c r="D204" s="850"/>
      <c r="E204" s="1274">
        <v>-0.13800000000000001</v>
      </c>
      <c r="F204" s="1274">
        <v>1.7999999999999999E-2</v>
      </c>
      <c r="G204" s="1274">
        <v>0.12</v>
      </c>
      <c r="H204" s="1273" t="s">
        <v>246</v>
      </c>
      <c r="I204" s="1273" t="s">
        <v>246</v>
      </c>
      <c r="J204" s="861"/>
      <c r="K204" s="1275">
        <v>0.42599999999999999</v>
      </c>
    </row>
    <row r="205" spans="1:11" s="1272" customFormat="1">
      <c r="A205" s="1319">
        <v>22391</v>
      </c>
      <c r="B205" s="1272" t="s">
        <v>456</v>
      </c>
      <c r="C205" s="1272" t="s">
        <v>1557</v>
      </c>
      <c r="D205" s="850"/>
      <c r="E205" s="1274">
        <v>-0.121</v>
      </c>
      <c r="F205" s="1274">
        <v>-4.0000000000000001E-3</v>
      </c>
      <c r="G205" s="1274">
        <v>0.125</v>
      </c>
      <c r="H205" s="1273" t="s">
        <v>246</v>
      </c>
      <c r="I205" s="1273" t="s">
        <v>246</v>
      </c>
      <c r="J205" s="861"/>
      <c r="K205" s="1275">
        <v>0.56699999999999995</v>
      </c>
    </row>
    <row r="206" spans="1:11" s="1272" customFormat="1">
      <c r="A206" s="1319">
        <v>22391</v>
      </c>
      <c r="B206" s="1272" t="s">
        <v>310</v>
      </c>
      <c r="C206" s="1272" t="s">
        <v>1557</v>
      </c>
      <c r="D206" s="850"/>
      <c r="E206" s="1274">
        <v>-0.29499999999999998</v>
      </c>
      <c r="F206" s="1274">
        <v>-0.11899999999999999</v>
      </c>
      <c r="G206" s="1274">
        <v>0.41399999999999998</v>
      </c>
      <c r="H206" s="1273" t="s">
        <v>246</v>
      </c>
      <c r="I206" s="1273" t="s">
        <v>246</v>
      </c>
      <c r="J206" s="861"/>
      <c r="K206" s="1275">
        <v>0.68100000000000005</v>
      </c>
    </row>
    <row r="207" spans="1:11" s="1272" customFormat="1">
      <c r="A207" s="1319">
        <v>22405</v>
      </c>
      <c r="B207" s="1272" t="s">
        <v>333</v>
      </c>
      <c r="C207" s="1272" t="s">
        <v>1557</v>
      </c>
      <c r="D207" s="850"/>
      <c r="E207" s="1274">
        <v>-0.13300000000000001</v>
      </c>
      <c r="F207" s="1274">
        <v>0.13300000000000001</v>
      </c>
      <c r="G207" s="1273" t="s">
        <v>246</v>
      </c>
      <c r="H207" s="1273" t="s">
        <v>246</v>
      </c>
      <c r="I207" s="1273" t="s">
        <v>246</v>
      </c>
      <c r="J207" s="861"/>
      <c r="K207" s="1275">
        <v>0.56699999999999995</v>
      </c>
    </row>
    <row r="208" spans="1:11" s="1272" customFormat="1">
      <c r="A208" s="1319">
        <v>22592</v>
      </c>
      <c r="B208" s="1272" t="s">
        <v>457</v>
      </c>
      <c r="C208" s="1272" t="s">
        <v>1545</v>
      </c>
      <c r="D208" s="850"/>
      <c r="E208" s="1274">
        <v>-0.21099999999999999</v>
      </c>
      <c r="F208" s="1274">
        <v>-0.11899999999999999</v>
      </c>
      <c r="G208" s="1274">
        <v>0.27800000000000002</v>
      </c>
      <c r="H208" s="1273" t="s">
        <v>246</v>
      </c>
      <c r="I208" s="1274">
        <v>5.1999999999999998E-2</v>
      </c>
      <c r="J208" s="1274"/>
      <c r="K208" s="1275">
        <v>0.46700000000000003</v>
      </c>
    </row>
    <row r="209" spans="1:11" s="1272" customFormat="1">
      <c r="A209" s="1319">
        <v>22593</v>
      </c>
      <c r="B209" s="1272" t="s">
        <v>458</v>
      </c>
      <c r="C209" s="1272" t="s">
        <v>1545</v>
      </c>
      <c r="D209" s="850"/>
      <c r="E209" s="1274">
        <v>-0.151</v>
      </c>
      <c r="F209" s="1273" t="s">
        <v>564</v>
      </c>
      <c r="G209" s="1274">
        <v>0.123</v>
      </c>
      <c r="H209" s="1273" t="s">
        <v>246</v>
      </c>
      <c r="I209" s="1274">
        <v>2.8000000000000001E-2</v>
      </c>
      <c r="J209" s="1274"/>
      <c r="K209" s="1275">
        <v>0.60799999999999998</v>
      </c>
    </row>
    <row r="210" spans="1:11" s="1272" customFormat="1">
      <c r="A210" s="1319">
        <v>22593</v>
      </c>
      <c r="B210" s="1272" t="s">
        <v>459</v>
      </c>
      <c r="C210" s="1272" t="s">
        <v>1545</v>
      </c>
      <c r="D210" s="850"/>
      <c r="E210" s="1274">
        <v>-0.224</v>
      </c>
      <c r="F210" s="1274">
        <v>-3.6999999999999998E-2</v>
      </c>
      <c r="G210" s="1274">
        <v>0.26100000000000001</v>
      </c>
      <c r="H210" s="1273" t="s">
        <v>246</v>
      </c>
      <c r="I210" s="1273" t="s">
        <v>246</v>
      </c>
      <c r="J210" s="861"/>
      <c r="K210" s="1275">
        <v>0.67300000000000004</v>
      </c>
    </row>
    <row r="211" spans="1:11" s="1272" customFormat="1">
      <c r="A211" s="1319">
        <v>22601</v>
      </c>
      <c r="B211" s="1272" t="s">
        <v>460</v>
      </c>
      <c r="C211" s="1272" t="s">
        <v>1557</v>
      </c>
      <c r="D211" s="850"/>
      <c r="E211" s="1274">
        <v>-0.159</v>
      </c>
      <c r="F211" s="1274">
        <v>-5.8999999999999997E-2</v>
      </c>
      <c r="G211" s="1273" t="s">
        <v>246</v>
      </c>
      <c r="H211" s="1274">
        <v>0.187</v>
      </c>
      <c r="I211" s="1274">
        <v>3.1E-2</v>
      </c>
      <c r="J211" s="1274"/>
      <c r="K211" s="1275">
        <v>0.41899999999999998</v>
      </c>
    </row>
    <row r="212" spans="1:11" ht="15.75" customHeight="1" thickBot="1">
      <c r="A212" s="1364"/>
      <c r="B212" s="1364"/>
      <c r="C212" s="1364"/>
      <c r="D212" s="3441" t="s">
        <v>1165</v>
      </c>
      <c r="E212" s="3441"/>
      <c r="F212" s="3441"/>
      <c r="G212" s="3441"/>
      <c r="H212" s="3441"/>
      <c r="I212" s="3441"/>
      <c r="J212" s="3441"/>
      <c r="K212" s="1366"/>
    </row>
    <row r="213" spans="1:11" ht="3" customHeight="1">
      <c r="A213" s="1364"/>
      <c r="B213" s="1364"/>
      <c r="C213" s="1364"/>
      <c r="D213" s="2223"/>
      <c r="E213" s="2223"/>
      <c r="F213" s="2223"/>
      <c r="G213" s="2223"/>
      <c r="H213" s="2223"/>
      <c r="I213" s="2223"/>
      <c r="J213" s="2223"/>
      <c r="K213" s="1366"/>
    </row>
    <row r="214" spans="1:11">
      <c r="A214" s="1364" t="s">
        <v>268</v>
      </c>
      <c r="B214" s="1364" t="s">
        <v>269</v>
      </c>
      <c r="C214" s="1364" t="s">
        <v>216</v>
      </c>
      <c r="D214" s="871"/>
      <c r="E214" s="2243" t="s">
        <v>806</v>
      </c>
      <c r="F214" s="2244" t="s">
        <v>807</v>
      </c>
      <c r="G214" s="2245" t="s">
        <v>808</v>
      </c>
      <c r="H214" s="1363" t="s">
        <v>95</v>
      </c>
      <c r="I214" s="2246" t="s">
        <v>1972</v>
      </c>
      <c r="J214" s="1183"/>
      <c r="K214" s="1183" t="s">
        <v>219</v>
      </c>
    </row>
    <row r="215" spans="1:11" ht="3" customHeight="1">
      <c r="A215" s="1364"/>
      <c r="B215" s="1364"/>
      <c r="C215" s="1364"/>
      <c r="D215" s="871"/>
      <c r="E215" s="1374"/>
      <c r="F215" s="1374"/>
      <c r="G215" s="1374"/>
      <c r="H215" s="1374"/>
      <c r="I215" s="1374"/>
      <c r="J215" s="1183"/>
      <c r="K215" s="1183"/>
    </row>
    <row r="216" spans="1:11" s="1272" customFormat="1">
      <c r="A216" s="1319">
        <v>22713</v>
      </c>
      <c r="B216" s="1272" t="s">
        <v>461</v>
      </c>
      <c r="C216" s="1272" t="s">
        <v>1557</v>
      </c>
      <c r="D216" s="850"/>
      <c r="E216" s="1274">
        <v>-0.14699999999999999</v>
      </c>
      <c r="F216" s="1274">
        <v>-4.5999999999999999E-2</v>
      </c>
      <c r="G216" s="1274">
        <v>0.182</v>
      </c>
      <c r="H216" s="1273" t="s">
        <v>246</v>
      </c>
      <c r="I216" s="1274">
        <v>1.0999999999999999E-2</v>
      </c>
      <c r="J216" s="1274"/>
      <c r="K216" s="1275">
        <v>0.75</v>
      </c>
    </row>
    <row r="217" spans="1:11" s="1272" customFormat="1">
      <c r="A217" s="1319">
        <v>22718</v>
      </c>
      <c r="B217" s="1272" t="s">
        <v>462</v>
      </c>
      <c r="C217" s="1272" t="s">
        <v>1545</v>
      </c>
      <c r="D217" s="850"/>
      <c r="E217" s="1274">
        <v>-0.19500000000000001</v>
      </c>
      <c r="F217" s="1274">
        <v>4.8000000000000001E-2</v>
      </c>
      <c r="G217" s="1274">
        <v>0.14699999999999999</v>
      </c>
      <c r="H217" s="1273" t="s">
        <v>246</v>
      </c>
      <c r="I217" s="1273" t="s">
        <v>246</v>
      </c>
      <c r="J217" s="861"/>
      <c r="K217" s="1275">
        <v>0.55200000000000005</v>
      </c>
    </row>
    <row r="218" spans="1:11" s="1272" customFormat="1">
      <c r="A218" s="1319">
        <v>22719</v>
      </c>
      <c r="B218" s="1272" t="s">
        <v>463</v>
      </c>
      <c r="C218" s="1272" t="s">
        <v>1557</v>
      </c>
      <c r="D218" s="850"/>
      <c r="E218" s="1274">
        <v>-0.23699999999999999</v>
      </c>
      <c r="F218" s="1274">
        <v>-0.01</v>
      </c>
      <c r="G218" s="1274">
        <v>0.22900000000000001</v>
      </c>
      <c r="H218" s="1273" t="s">
        <v>246</v>
      </c>
      <c r="I218" s="1274">
        <v>1.7999999999999999E-2</v>
      </c>
      <c r="J218" s="1274"/>
      <c r="K218" s="1275">
        <v>0.52200000000000002</v>
      </c>
    </row>
    <row r="219" spans="1:11" s="1272" customFormat="1">
      <c r="A219" s="1319">
        <v>22719</v>
      </c>
      <c r="B219" s="1272" t="s">
        <v>379</v>
      </c>
      <c r="C219" s="1272" t="s">
        <v>1550</v>
      </c>
      <c r="D219" s="850"/>
      <c r="E219" s="1274">
        <v>-0.219</v>
      </c>
      <c r="F219" s="1274">
        <v>-9.8000000000000004E-2</v>
      </c>
      <c r="G219" s="1274">
        <v>0.317</v>
      </c>
      <c r="H219" s="1273" t="s">
        <v>246</v>
      </c>
      <c r="I219" s="1273" t="s">
        <v>246</v>
      </c>
      <c r="J219" s="861"/>
      <c r="K219" s="1275">
        <v>0.80300000000000005</v>
      </c>
    </row>
    <row r="220" spans="1:11" s="1272" customFormat="1">
      <c r="A220" s="1319">
        <v>22727</v>
      </c>
      <c r="B220" s="1272" t="s">
        <v>464</v>
      </c>
      <c r="C220" s="1272" t="s">
        <v>1557</v>
      </c>
      <c r="D220" s="850"/>
      <c r="E220" s="1274">
        <v>-4.2000000000000003E-2</v>
      </c>
      <c r="F220" s="1274">
        <v>8.9999999999999993E-3</v>
      </c>
      <c r="G220" s="1273" t="s">
        <v>246</v>
      </c>
      <c r="H220" s="1273" t="s">
        <v>246</v>
      </c>
      <c r="I220" s="1274">
        <v>3.3000000000000002E-2</v>
      </c>
      <c r="J220" s="1274"/>
      <c r="K220" s="1275">
        <v>0.63300000000000001</v>
      </c>
    </row>
    <row r="221" spans="1:11" s="1272" customFormat="1">
      <c r="A221" s="1319">
        <v>22741</v>
      </c>
      <c r="B221" s="1272" t="s">
        <v>465</v>
      </c>
      <c r="C221" s="1272" t="s">
        <v>1557</v>
      </c>
      <c r="D221" s="850"/>
      <c r="E221" s="1274">
        <v>-0.185</v>
      </c>
      <c r="F221" s="1274">
        <v>-8.4000000000000005E-2</v>
      </c>
      <c r="G221" s="1274">
        <v>0.26900000000000002</v>
      </c>
      <c r="H221" s="1273" t="s">
        <v>246</v>
      </c>
      <c r="I221" s="1273" t="s">
        <v>246</v>
      </c>
      <c r="J221" s="861"/>
      <c r="K221" s="1275">
        <v>0.81499999999999995</v>
      </c>
    </row>
    <row r="222" spans="1:11" s="1272" customFormat="1">
      <c r="A222" s="1319">
        <v>22753</v>
      </c>
      <c r="B222" s="1272" t="s">
        <v>466</v>
      </c>
      <c r="C222" s="1272" t="s">
        <v>1557</v>
      </c>
      <c r="D222" s="850"/>
      <c r="E222" s="1274">
        <v>-0.247</v>
      </c>
      <c r="F222" s="1274">
        <v>-3.4000000000000002E-2</v>
      </c>
      <c r="G222" s="1274">
        <v>0.254</v>
      </c>
      <c r="H222" s="1273" t="s">
        <v>246</v>
      </c>
      <c r="I222" s="1274">
        <v>2.7E-2</v>
      </c>
      <c r="J222" s="1274"/>
      <c r="K222" s="1275">
        <v>0.60499999999999998</v>
      </c>
    </row>
    <row r="223" spans="1:11" s="1272" customFormat="1">
      <c r="A223" s="1319">
        <v>22781</v>
      </c>
      <c r="B223" s="1272" t="s">
        <v>467</v>
      </c>
      <c r="C223" s="1272" t="s">
        <v>468</v>
      </c>
      <c r="D223" s="850"/>
      <c r="E223" s="1274">
        <v>-9.4E-2</v>
      </c>
      <c r="F223" s="1274">
        <v>-0.06</v>
      </c>
      <c r="G223" s="1274">
        <v>9.1999999999999998E-2</v>
      </c>
      <c r="H223" s="1274">
        <v>6.2E-2</v>
      </c>
      <c r="I223" s="1273" t="s">
        <v>246</v>
      </c>
      <c r="J223" s="861"/>
      <c r="K223" s="1275">
        <v>0.85099999999999998</v>
      </c>
    </row>
    <row r="224" spans="1:11" s="1272" customFormat="1">
      <c r="A224" s="1319">
        <v>22803</v>
      </c>
      <c r="B224" s="1272" t="s">
        <v>469</v>
      </c>
      <c r="C224" s="1272" t="s">
        <v>1560</v>
      </c>
      <c r="D224" s="850"/>
      <c r="E224" s="1274">
        <v>-0.21199999999999999</v>
      </c>
      <c r="F224" s="1274">
        <v>4.2999999999999997E-2</v>
      </c>
      <c r="G224" s="1274">
        <v>0.161</v>
      </c>
      <c r="H224" s="1273" t="s">
        <v>246</v>
      </c>
      <c r="I224" s="1274">
        <v>8.0000000000000002E-3</v>
      </c>
      <c r="J224" s="1274"/>
      <c r="K224" s="1275">
        <v>0.72199999999999998</v>
      </c>
    </row>
    <row r="225" spans="1:11" s="1272" customFormat="1">
      <c r="A225" s="1319">
        <v>22803</v>
      </c>
      <c r="B225" s="1272" t="s">
        <v>470</v>
      </c>
      <c r="C225" s="1272" t="s">
        <v>1545</v>
      </c>
      <c r="D225" s="850"/>
      <c r="E225" s="1274">
        <v>-0.252</v>
      </c>
      <c r="F225" s="1274">
        <v>-0.114</v>
      </c>
      <c r="G225" s="1274">
        <v>0.32500000000000001</v>
      </c>
      <c r="H225" s="1273" t="s">
        <v>246</v>
      </c>
      <c r="I225" s="1274">
        <v>4.1000000000000002E-2</v>
      </c>
      <c r="J225" s="1274"/>
      <c r="K225" s="1275">
        <v>0.79400000000000004</v>
      </c>
    </row>
    <row r="226" spans="1:11" s="1272" customFormat="1">
      <c r="A226" s="1319">
        <v>22811</v>
      </c>
      <c r="B226" s="1272" t="s">
        <v>471</v>
      </c>
      <c r="C226" s="1272" t="s">
        <v>1557</v>
      </c>
      <c r="D226" s="850"/>
      <c r="E226" s="1274">
        <v>-0.28299999999999997</v>
      </c>
      <c r="F226" s="1274">
        <v>-9.4E-2</v>
      </c>
      <c r="G226" s="1274">
        <v>0.108</v>
      </c>
      <c r="H226" s="1274">
        <v>0.23300000000000001</v>
      </c>
      <c r="I226" s="1274">
        <v>3.5999999999999997E-2</v>
      </c>
      <c r="J226" s="1274"/>
      <c r="K226" s="1275">
        <v>0.71099999999999997</v>
      </c>
    </row>
    <row r="227" spans="1:11" s="1272" customFormat="1">
      <c r="A227" s="1319">
        <v>22839</v>
      </c>
      <c r="B227" s="1272" t="s">
        <v>329</v>
      </c>
      <c r="C227" s="1272" t="s">
        <v>1557</v>
      </c>
      <c r="D227" s="850"/>
      <c r="E227" s="1274">
        <v>-0.23899999999999999</v>
      </c>
      <c r="F227" s="1274">
        <v>-0.104</v>
      </c>
      <c r="G227" s="1274">
        <v>0.34300000000000003</v>
      </c>
      <c r="H227" s="1273" t="s">
        <v>246</v>
      </c>
      <c r="I227" s="1273" t="s">
        <v>246</v>
      </c>
      <c r="J227" s="861"/>
      <c r="K227" s="1275">
        <v>0.60799999999999998</v>
      </c>
    </row>
    <row r="228" spans="1:11" s="1272" customFormat="1">
      <c r="A228" s="1319">
        <v>22972</v>
      </c>
      <c r="B228" s="1272" t="s">
        <v>472</v>
      </c>
      <c r="C228" s="1272" t="s">
        <v>1560</v>
      </c>
      <c r="D228" s="850"/>
      <c r="E228" s="1274">
        <v>-0.18</v>
      </c>
      <c r="F228" s="1274">
        <v>-1.2E-2</v>
      </c>
      <c r="G228" s="1274">
        <v>6.2E-2</v>
      </c>
      <c r="H228" s="1273" t="s">
        <v>246</v>
      </c>
      <c r="I228" s="1274">
        <v>0.13</v>
      </c>
      <c r="J228" s="1274"/>
      <c r="K228" s="1275">
        <v>0.70199999999999996</v>
      </c>
    </row>
    <row r="229" spans="1:11" s="1272" customFormat="1">
      <c r="A229" s="1319">
        <v>22972</v>
      </c>
      <c r="B229" s="1272" t="s">
        <v>473</v>
      </c>
      <c r="C229" s="1272" t="s">
        <v>1545</v>
      </c>
      <c r="D229" s="850"/>
      <c r="E229" s="1274">
        <v>-0.126</v>
      </c>
      <c r="F229" s="1274">
        <v>2.1999999999999999E-2</v>
      </c>
      <c r="G229" s="1274">
        <v>7.5999999999999998E-2</v>
      </c>
      <c r="H229" s="1273" t="s">
        <v>246</v>
      </c>
      <c r="I229" s="1274">
        <v>2.8000000000000001E-2</v>
      </c>
      <c r="J229" s="1274"/>
      <c r="K229" s="1275">
        <v>0.60199999999999998</v>
      </c>
    </row>
    <row r="230" spans="1:11" s="1272" customFormat="1">
      <c r="A230" s="1319">
        <v>22972</v>
      </c>
      <c r="B230" s="1272" t="s">
        <v>474</v>
      </c>
      <c r="C230" s="1272" t="s">
        <v>1545</v>
      </c>
      <c r="D230" s="850"/>
      <c r="E230" s="1274">
        <v>-0.158</v>
      </c>
      <c r="F230" s="1274">
        <v>-4.3999999999999997E-2</v>
      </c>
      <c r="G230" s="1274">
        <v>0.193</v>
      </c>
      <c r="H230" s="1273" t="s">
        <v>246</v>
      </c>
      <c r="I230" s="1274">
        <v>8.9999999999999993E-3</v>
      </c>
      <c r="J230" s="1274"/>
      <c r="K230" s="1275">
        <v>0.69</v>
      </c>
    </row>
    <row r="231" spans="1:11" s="1272" customFormat="1">
      <c r="A231" s="1319">
        <v>22972</v>
      </c>
      <c r="B231" s="1272" t="s">
        <v>475</v>
      </c>
      <c r="C231" s="1272" t="s">
        <v>1545</v>
      </c>
      <c r="D231" s="850"/>
      <c r="E231" s="1274">
        <v>-0.152</v>
      </c>
      <c r="F231" s="1274">
        <v>-1.9E-2</v>
      </c>
      <c r="G231" s="1274">
        <v>0.156</v>
      </c>
      <c r="H231" s="1273" t="s">
        <v>246</v>
      </c>
      <c r="I231" s="1274">
        <v>1.4999999999999999E-2</v>
      </c>
      <c r="J231" s="1274"/>
      <c r="K231" s="1275">
        <v>0.68</v>
      </c>
    </row>
    <row r="232" spans="1:11" s="1272" customFormat="1">
      <c r="A232" s="1319">
        <v>22972</v>
      </c>
      <c r="B232" s="1272" t="s">
        <v>476</v>
      </c>
      <c r="C232" s="1272" t="s">
        <v>1560</v>
      </c>
      <c r="D232" s="850"/>
      <c r="E232" s="1274">
        <v>-0.191</v>
      </c>
      <c r="F232" s="1274">
        <v>-7.0000000000000007E-2</v>
      </c>
      <c r="G232" s="1274">
        <v>0.14000000000000001</v>
      </c>
      <c r="H232" s="1274">
        <v>0.111</v>
      </c>
      <c r="I232" s="1274">
        <v>0.01</v>
      </c>
      <c r="J232" s="1274"/>
      <c r="K232" s="1275">
        <v>0.54700000000000004</v>
      </c>
    </row>
    <row r="233" spans="1:11" s="1272" customFormat="1">
      <c r="A233" s="1319">
        <v>23091</v>
      </c>
      <c r="B233" s="1272" t="s">
        <v>477</v>
      </c>
      <c r="C233" s="1272" t="s">
        <v>1557</v>
      </c>
      <c r="D233" s="850"/>
      <c r="E233" s="1274">
        <v>-0.14499999999999999</v>
      </c>
      <c r="F233" s="1274">
        <v>1E-3</v>
      </c>
      <c r="G233" s="1274">
        <v>0.13700000000000001</v>
      </c>
      <c r="H233" s="1273" t="s">
        <v>246</v>
      </c>
      <c r="I233" s="1274">
        <v>7.0000000000000001E-3</v>
      </c>
      <c r="J233" s="1274"/>
      <c r="K233" s="1275">
        <v>0.78900000000000003</v>
      </c>
    </row>
    <row r="234" spans="1:11" s="1272" customFormat="1">
      <c r="A234" s="1319">
        <v>23098</v>
      </c>
      <c r="B234" s="1272" t="s">
        <v>478</v>
      </c>
      <c r="C234" s="1272" t="s">
        <v>1557</v>
      </c>
      <c r="D234" s="850"/>
      <c r="E234" s="1274">
        <v>-8.7999999999999995E-2</v>
      </c>
      <c r="F234" s="1274">
        <v>6.5000000000000002E-2</v>
      </c>
      <c r="G234" s="1273" t="s">
        <v>246</v>
      </c>
      <c r="H234" s="1273" t="s">
        <v>246</v>
      </c>
      <c r="I234" s="1274">
        <v>2.3E-2</v>
      </c>
      <c r="J234" s="1274"/>
      <c r="K234" s="1275">
        <v>0.56299999999999994</v>
      </c>
    </row>
    <row r="235" spans="1:11" s="1272" customFormat="1">
      <c r="A235" s="1319">
        <v>23098</v>
      </c>
      <c r="B235" s="1272" t="s">
        <v>136</v>
      </c>
      <c r="C235" s="1272" t="s">
        <v>1557</v>
      </c>
      <c r="D235" s="850"/>
      <c r="E235" s="1274">
        <v>-0.14699999999999999</v>
      </c>
      <c r="F235" s="1274">
        <v>-6.3E-2</v>
      </c>
      <c r="G235" s="1274">
        <v>0.158</v>
      </c>
      <c r="H235" s="1274">
        <v>-5.2999999999999999E-2</v>
      </c>
      <c r="I235" s="1274">
        <v>0.105</v>
      </c>
      <c r="J235" s="1274"/>
      <c r="K235" s="1275">
        <v>0.55900000000000005</v>
      </c>
    </row>
    <row r="236" spans="1:11" s="1272" customFormat="1">
      <c r="A236" s="1319">
        <v>23182</v>
      </c>
      <c r="B236" s="1272" t="s">
        <v>479</v>
      </c>
      <c r="C236" s="1272" t="s">
        <v>1557</v>
      </c>
      <c r="D236" s="850"/>
      <c r="E236" s="1274">
        <v>-0.109</v>
      </c>
      <c r="F236" s="1274">
        <v>4.3999999999999997E-2</v>
      </c>
      <c r="G236" s="1274">
        <v>4.2999999999999997E-2</v>
      </c>
      <c r="H236" s="1273" t="s">
        <v>246</v>
      </c>
      <c r="I236" s="1274">
        <v>2.1999999999999999E-2</v>
      </c>
      <c r="J236" s="1274"/>
      <c r="K236" s="1275">
        <v>0.60499999999999998</v>
      </c>
    </row>
    <row r="237" spans="1:11" s="1272" customFormat="1">
      <c r="A237" s="1319">
        <v>23196</v>
      </c>
      <c r="B237" s="1272" t="s">
        <v>480</v>
      </c>
      <c r="C237" s="1272" t="s">
        <v>1557</v>
      </c>
      <c r="D237" s="850"/>
      <c r="E237" s="1274">
        <v>-0.189</v>
      </c>
      <c r="F237" s="1274">
        <v>-3.5999999999999997E-2</v>
      </c>
      <c r="G237" s="1274">
        <v>0.22500000000000001</v>
      </c>
      <c r="H237" s="1273" t="s">
        <v>246</v>
      </c>
      <c r="I237" s="1273" t="s">
        <v>246</v>
      </c>
      <c r="J237" s="861"/>
      <c r="K237" s="1275">
        <v>0.441</v>
      </c>
    </row>
    <row r="238" spans="1:11" s="1272" customFormat="1">
      <c r="A238" s="1319">
        <v>23196</v>
      </c>
      <c r="B238" s="1272" t="s">
        <v>481</v>
      </c>
      <c r="C238" s="1272" t="s">
        <v>1557</v>
      </c>
      <c r="D238" s="850"/>
      <c r="E238" s="1274">
        <v>-0.19</v>
      </c>
      <c r="F238" s="1274">
        <v>1.4E-2</v>
      </c>
      <c r="G238" s="1274">
        <v>0.17599999999999999</v>
      </c>
      <c r="H238" s="1273" t="s">
        <v>246</v>
      </c>
      <c r="I238" s="1273" t="s">
        <v>246</v>
      </c>
      <c r="J238" s="861"/>
      <c r="K238" s="1275">
        <v>0.55200000000000005</v>
      </c>
    </row>
    <row r="239" spans="1:11" s="1272" customFormat="1">
      <c r="A239" s="1319">
        <v>23238</v>
      </c>
      <c r="B239" s="1272" t="s">
        <v>482</v>
      </c>
      <c r="C239" s="1272" t="s">
        <v>1545</v>
      </c>
      <c r="D239" s="850"/>
      <c r="E239" s="1274">
        <v>-0.25</v>
      </c>
      <c r="F239" s="1274">
        <v>2.5999999999999999E-2</v>
      </c>
      <c r="G239" s="1274">
        <v>0.21</v>
      </c>
      <c r="H239" s="1273" t="s">
        <v>246</v>
      </c>
      <c r="I239" s="1274">
        <v>1.4E-2</v>
      </c>
      <c r="J239" s="1274"/>
      <c r="K239" s="1275">
        <v>0.69399999999999995</v>
      </c>
    </row>
    <row r="240" spans="1:11" s="1272" customFormat="1">
      <c r="A240" s="1319">
        <v>23243</v>
      </c>
      <c r="B240" s="1272" t="s">
        <v>333</v>
      </c>
      <c r="C240" s="1272" t="s">
        <v>1557</v>
      </c>
      <c r="D240" s="850"/>
      <c r="E240" s="1274">
        <v>-0.438</v>
      </c>
      <c r="F240" s="1274">
        <v>0.23499999999999999</v>
      </c>
      <c r="G240" s="1273" t="s">
        <v>246</v>
      </c>
      <c r="H240" s="1273" t="s">
        <v>246</v>
      </c>
      <c r="I240" s="1274">
        <v>0.20300000000000001</v>
      </c>
      <c r="J240" s="1274"/>
      <c r="K240" s="1275">
        <v>0.42199999999999999</v>
      </c>
    </row>
    <row r="241" spans="1:11" s="1272" customFormat="1">
      <c r="A241" s="1319">
        <v>23322</v>
      </c>
      <c r="B241" s="1272" t="s">
        <v>483</v>
      </c>
      <c r="C241" s="1272" t="s">
        <v>1560</v>
      </c>
      <c r="D241" s="850"/>
      <c r="E241" s="1274">
        <v>-0.156</v>
      </c>
      <c r="F241" s="1274">
        <v>3.1E-2</v>
      </c>
      <c r="G241" s="1274">
        <v>0.114</v>
      </c>
      <c r="H241" s="1273" t="s">
        <v>246</v>
      </c>
      <c r="I241" s="1274">
        <v>1.0999999999999999E-2</v>
      </c>
      <c r="J241" s="1274"/>
      <c r="K241" s="1275">
        <v>0.74</v>
      </c>
    </row>
    <row r="242" spans="1:11" s="1272" customFormat="1">
      <c r="A242" s="1319">
        <v>23322</v>
      </c>
      <c r="B242" s="1272" t="s">
        <v>484</v>
      </c>
      <c r="C242" s="1272" t="s">
        <v>1545</v>
      </c>
      <c r="D242" s="850"/>
      <c r="E242" s="1274">
        <v>-0.108</v>
      </c>
      <c r="F242" s="1274">
        <v>-1.6E-2</v>
      </c>
      <c r="G242" s="1274">
        <v>0.19500000000000001</v>
      </c>
      <c r="H242" s="1274">
        <v>-7.6999999999999999E-2</v>
      </c>
      <c r="I242" s="1274">
        <v>6.0000000000000001E-3</v>
      </c>
      <c r="J242" s="1274"/>
      <c r="K242" s="1275">
        <v>0.76100000000000001</v>
      </c>
    </row>
    <row r="243" spans="1:11" s="1272" customFormat="1">
      <c r="A243" s="1319">
        <v>23336</v>
      </c>
      <c r="B243" s="1272" t="s">
        <v>485</v>
      </c>
      <c r="C243" s="1272" t="s">
        <v>1557</v>
      </c>
      <c r="D243" s="850"/>
      <c r="E243" s="1274">
        <v>-8.8999999999999996E-2</v>
      </c>
      <c r="F243" s="1274">
        <v>0.01</v>
      </c>
      <c r="G243" s="1273" t="s">
        <v>246</v>
      </c>
      <c r="H243" s="1274">
        <v>7.3999999999999996E-2</v>
      </c>
      <c r="I243" s="1274">
        <v>5.0000000000000001E-3</v>
      </c>
      <c r="J243" s="1274"/>
      <c r="K243" s="1275">
        <v>0.71599999999999997</v>
      </c>
    </row>
    <row r="244" spans="1:11" s="1272" customFormat="1">
      <c r="A244" s="1319">
        <v>23350</v>
      </c>
      <c r="B244" s="1272" t="s">
        <v>486</v>
      </c>
      <c r="C244" s="1272" t="s">
        <v>1545</v>
      </c>
      <c r="D244" s="850"/>
      <c r="E244" s="1274">
        <v>-9.6000000000000002E-2</v>
      </c>
      <c r="F244" s="1274">
        <v>8.2000000000000003E-2</v>
      </c>
      <c r="G244" s="1274">
        <v>1.4E-2</v>
      </c>
      <c r="H244" s="1273" t="s">
        <v>246</v>
      </c>
      <c r="I244" s="1273" t="s">
        <v>246</v>
      </c>
      <c r="J244" s="861"/>
      <c r="K244" s="1275">
        <v>0.442</v>
      </c>
    </row>
    <row r="245" spans="1:11" s="1272" customFormat="1">
      <c r="A245" s="1319">
        <v>23350</v>
      </c>
      <c r="B245" s="1272" t="s">
        <v>487</v>
      </c>
      <c r="C245" s="1272" t="s">
        <v>1557</v>
      </c>
      <c r="D245" s="850"/>
      <c r="E245" s="1274">
        <v>-0.106</v>
      </c>
      <c r="F245" s="1274">
        <v>5.7000000000000002E-2</v>
      </c>
      <c r="G245" s="1273" t="s">
        <v>246</v>
      </c>
      <c r="H245" s="1273" t="s">
        <v>246</v>
      </c>
      <c r="I245" s="1274">
        <v>4.9000000000000002E-2</v>
      </c>
      <c r="J245" s="1274"/>
      <c r="K245" s="1275">
        <v>0.46100000000000002</v>
      </c>
    </row>
    <row r="246" spans="1:11" s="1272" customFormat="1">
      <c r="A246" s="1319">
        <v>23350</v>
      </c>
      <c r="B246" s="1272" t="s">
        <v>488</v>
      </c>
      <c r="C246" s="1272" t="s">
        <v>1545</v>
      </c>
      <c r="D246" s="850"/>
      <c r="E246" s="1274">
        <v>-3.4000000000000002E-2</v>
      </c>
      <c r="F246" s="1274">
        <v>0.04</v>
      </c>
      <c r="G246" s="1274">
        <v>-6.0000000000000001E-3</v>
      </c>
      <c r="H246" s="1273" t="s">
        <v>246</v>
      </c>
      <c r="I246" s="1273" t="s">
        <v>246</v>
      </c>
      <c r="J246" s="861"/>
      <c r="K246" s="1275">
        <v>0.70499999999999996</v>
      </c>
    </row>
    <row r="247" spans="1:11" s="1272" customFormat="1">
      <c r="A247" s="1319">
        <v>23357</v>
      </c>
      <c r="B247" s="1272" t="s">
        <v>489</v>
      </c>
      <c r="C247" s="1272" t="s">
        <v>1545</v>
      </c>
      <c r="D247" s="850"/>
      <c r="E247" s="1274">
        <v>-0.17499999999999999</v>
      </c>
      <c r="F247" s="1274">
        <v>-3.1E-2</v>
      </c>
      <c r="G247" s="1274">
        <v>0.109</v>
      </c>
      <c r="H247" s="1274">
        <v>9.7000000000000003E-2</v>
      </c>
      <c r="I247" s="1273" t="s">
        <v>246</v>
      </c>
      <c r="J247" s="861"/>
      <c r="K247" s="1275">
        <v>0.71599999999999997</v>
      </c>
    </row>
    <row r="248" spans="1:11" s="1272" customFormat="1">
      <c r="A248" s="1319">
        <v>23511</v>
      </c>
      <c r="B248" s="1272" t="s">
        <v>490</v>
      </c>
      <c r="C248" s="1272" t="s">
        <v>1545</v>
      </c>
      <c r="D248" s="850"/>
      <c r="E248" s="1274">
        <v>-0.151</v>
      </c>
      <c r="F248" s="1274">
        <v>1.9E-2</v>
      </c>
      <c r="G248" s="1274">
        <v>0.13200000000000001</v>
      </c>
      <c r="H248" s="1273" t="s">
        <v>246</v>
      </c>
      <c r="I248" s="1273" t="s">
        <v>246</v>
      </c>
      <c r="J248" s="861"/>
      <c r="K248" s="1275">
        <v>0.68700000000000006</v>
      </c>
    </row>
    <row r="249" spans="1:11" s="1272" customFormat="1">
      <c r="A249" s="1319">
        <v>23511</v>
      </c>
      <c r="B249" s="1272" t="s">
        <v>491</v>
      </c>
      <c r="C249" s="1272" t="s">
        <v>1545</v>
      </c>
      <c r="D249" s="850"/>
      <c r="E249" s="1274">
        <v>-9.7000000000000003E-2</v>
      </c>
      <c r="F249" s="1274">
        <v>2.1999999999999999E-2</v>
      </c>
      <c r="G249" s="1274">
        <v>7.4999999999999997E-2</v>
      </c>
      <c r="H249" s="1273" t="s">
        <v>246</v>
      </c>
      <c r="I249" s="1273" t="s">
        <v>246</v>
      </c>
      <c r="J249" s="861"/>
      <c r="K249" s="1275">
        <v>0.746</v>
      </c>
    </row>
    <row r="250" spans="1:11" s="1272" customFormat="1">
      <c r="A250" s="1319">
        <v>23511</v>
      </c>
      <c r="B250" s="1272" t="s">
        <v>492</v>
      </c>
      <c r="C250" s="1272" t="s">
        <v>1545</v>
      </c>
      <c r="D250" s="850"/>
      <c r="E250" s="1274">
        <v>-4.5999999999999999E-2</v>
      </c>
      <c r="F250" s="1274">
        <v>0.01</v>
      </c>
      <c r="G250" s="1274">
        <v>0.10299999999999999</v>
      </c>
      <c r="H250" s="1273" t="s">
        <v>246</v>
      </c>
      <c r="I250" s="1274">
        <v>-6.7000000000000004E-2</v>
      </c>
      <c r="J250" s="1274"/>
      <c r="K250" s="1275">
        <v>0.75800000000000001</v>
      </c>
    </row>
    <row r="251" spans="1:11" s="1272" customFormat="1">
      <c r="A251" s="1319">
        <v>23511</v>
      </c>
      <c r="B251" s="1272" t="s">
        <v>493</v>
      </c>
      <c r="C251" s="1272" t="s">
        <v>1560</v>
      </c>
      <c r="D251" s="850"/>
      <c r="E251" s="1274">
        <v>-7.5999999999999998E-2</v>
      </c>
      <c r="F251" s="1274">
        <v>7.5999999999999998E-2</v>
      </c>
      <c r="G251" s="1273" t="s">
        <v>246</v>
      </c>
      <c r="H251" s="1273" t="s">
        <v>246</v>
      </c>
      <c r="I251" s="1273" t="s">
        <v>246</v>
      </c>
      <c r="J251" s="861"/>
      <c r="K251" s="1275">
        <v>0.82</v>
      </c>
    </row>
    <row r="252" spans="1:11" s="1272" customFormat="1">
      <c r="A252" s="1319">
        <v>23532</v>
      </c>
      <c r="B252" s="1272" t="s">
        <v>494</v>
      </c>
      <c r="C252" s="1272" t="s">
        <v>1557</v>
      </c>
      <c r="D252" s="850"/>
      <c r="E252" s="1274">
        <v>5.6000000000000001E-2</v>
      </c>
      <c r="F252" s="1274">
        <v>4.8000000000000001E-2</v>
      </c>
      <c r="G252" s="1273" t="s">
        <v>246</v>
      </c>
      <c r="H252" s="1273" t="s">
        <v>246</v>
      </c>
      <c r="I252" s="1274">
        <v>8.0000000000000002E-3</v>
      </c>
      <c r="J252" s="1274"/>
      <c r="K252" s="1275">
        <v>0.748</v>
      </c>
    </row>
    <row r="253" spans="1:11" s="1272" customFormat="1">
      <c r="A253" s="1319">
        <v>23539</v>
      </c>
      <c r="B253" s="1272" t="s">
        <v>495</v>
      </c>
      <c r="C253" s="1272" t="s">
        <v>1557</v>
      </c>
      <c r="D253" s="850"/>
      <c r="E253" s="1274">
        <v>-0.125</v>
      </c>
      <c r="F253" s="1274">
        <v>0.125</v>
      </c>
      <c r="G253" s="1273" t="s">
        <v>246</v>
      </c>
      <c r="H253" s="1273" t="s">
        <v>246</v>
      </c>
      <c r="I253" s="1273" t="s">
        <v>246</v>
      </c>
      <c r="J253" s="861"/>
      <c r="K253" s="1275">
        <v>0.42</v>
      </c>
    </row>
    <row r="254" spans="1:11" s="1272" customFormat="1" ht="4.5" customHeight="1">
      <c r="A254" s="1319"/>
      <c r="D254" s="850"/>
      <c r="E254" s="1274"/>
      <c r="F254" s="1274"/>
      <c r="G254" s="1274"/>
      <c r="H254" s="1274"/>
      <c r="I254" s="1274"/>
      <c r="J254" s="1274"/>
      <c r="K254" s="1275"/>
    </row>
    <row r="255" spans="1:11" s="1272" customFormat="1">
      <c r="A255" s="2264" t="s">
        <v>792</v>
      </c>
      <c r="B255" s="2265"/>
      <c r="C255" s="2265"/>
      <c r="D255" s="2218"/>
      <c r="E255" s="2266"/>
      <c r="F255" s="2266"/>
      <c r="G255" s="2266"/>
      <c r="H255" s="2266"/>
      <c r="I255" s="2266"/>
      <c r="J255" s="2266"/>
      <c r="K255" s="2267"/>
    </row>
    <row r="256" spans="1:11" s="1272" customFormat="1" ht="3.75" customHeight="1">
      <c r="A256" s="1330"/>
      <c r="D256" s="850"/>
      <c r="E256" s="1274"/>
      <c r="F256" s="1274"/>
      <c r="G256" s="1274"/>
      <c r="H256" s="1274"/>
      <c r="I256" s="1274"/>
      <c r="J256" s="1274"/>
      <c r="K256" s="1275"/>
    </row>
    <row r="257" spans="1:11" s="1272" customFormat="1">
      <c r="A257" s="1319">
        <v>23763</v>
      </c>
      <c r="B257" s="1272" t="s">
        <v>496</v>
      </c>
      <c r="C257" s="1272" t="s">
        <v>1559</v>
      </c>
      <c r="D257" s="850"/>
      <c r="E257" s="1274">
        <v>9.2999999999999999E-2</v>
      </c>
      <c r="F257" s="1274">
        <v>-7.9000000000000001E-2</v>
      </c>
      <c r="G257" s="1274">
        <v>-2.1999999999999999E-2</v>
      </c>
      <c r="H257" s="1273" t="s">
        <v>246</v>
      </c>
      <c r="I257" s="1274">
        <v>8.0000000000000002E-3</v>
      </c>
      <c r="J257" s="1274"/>
      <c r="K257" s="1275">
        <v>0.57699999999999996</v>
      </c>
    </row>
    <row r="258" spans="1:11" s="1272" customFormat="1">
      <c r="A258" s="1319">
        <v>23763</v>
      </c>
      <c r="B258" s="1272" t="s">
        <v>497</v>
      </c>
      <c r="C258" s="1272" t="s">
        <v>1557</v>
      </c>
      <c r="D258" s="850"/>
      <c r="E258" s="1274">
        <v>5.8000000000000003E-2</v>
      </c>
      <c r="F258" s="1274">
        <v>-3.7999999999999999E-2</v>
      </c>
      <c r="G258" s="1274">
        <v>-0.02</v>
      </c>
      <c r="H258" s="1273" t="s">
        <v>246</v>
      </c>
      <c r="I258" s="1273" t="s">
        <v>246</v>
      </c>
      <c r="J258" s="861"/>
      <c r="K258" s="1275">
        <v>0.60799999999999998</v>
      </c>
    </row>
    <row r="259" spans="1:11" s="1272" customFormat="1">
      <c r="A259" s="1319">
        <v>23777</v>
      </c>
      <c r="B259" s="1272" t="s">
        <v>498</v>
      </c>
      <c r="C259" s="1272" t="s">
        <v>1545</v>
      </c>
      <c r="D259" s="850"/>
      <c r="E259" s="1274">
        <v>3.2000000000000001E-2</v>
      </c>
      <c r="F259" s="1274">
        <v>0.01</v>
      </c>
      <c r="G259" s="1274">
        <v>5.8000000000000003E-2</v>
      </c>
      <c r="H259" s="1273" t="s">
        <v>246</v>
      </c>
      <c r="I259" s="1274">
        <v>1.6E-2</v>
      </c>
      <c r="J259" s="1274"/>
      <c r="K259" s="1275">
        <v>0.62</v>
      </c>
    </row>
    <row r="260" spans="1:11" s="1272" customFormat="1">
      <c r="A260" s="1319">
        <v>23777</v>
      </c>
      <c r="B260" s="1272" t="s">
        <v>499</v>
      </c>
      <c r="C260" s="1272" t="s">
        <v>1545</v>
      </c>
      <c r="D260" s="850"/>
      <c r="E260" s="1274">
        <v>1.7999999999999999E-2</v>
      </c>
      <c r="F260" s="1274">
        <v>-6.3E-2</v>
      </c>
      <c r="G260" s="1274">
        <v>4.4999999999999998E-2</v>
      </c>
      <c r="H260" s="1273" t="s">
        <v>246</v>
      </c>
      <c r="I260" s="1273" t="s">
        <v>246</v>
      </c>
      <c r="J260" s="861"/>
      <c r="K260" s="1275">
        <v>0.64500000000000002</v>
      </c>
    </row>
    <row r="261" spans="1:11" s="1272" customFormat="1">
      <c r="A261" s="1319">
        <v>23777</v>
      </c>
      <c r="B261" s="1272" t="s">
        <v>500</v>
      </c>
      <c r="C261" s="1272" t="s">
        <v>1545</v>
      </c>
      <c r="D261" s="850"/>
      <c r="E261" s="1274">
        <v>-1E-3</v>
      </c>
      <c r="F261" s="1274">
        <v>0.03</v>
      </c>
      <c r="G261" s="1274">
        <v>-4.3999999999999997E-2</v>
      </c>
      <c r="H261" s="1273" t="s">
        <v>246</v>
      </c>
      <c r="I261" s="1274">
        <v>1.4999999999999999E-2</v>
      </c>
      <c r="J261" s="1274"/>
      <c r="K261" s="1275">
        <v>0.69099999999999995</v>
      </c>
    </row>
    <row r="262" spans="1:11" s="1272" customFormat="1" ht="12.75" customHeight="1">
      <c r="A262" s="1319">
        <v>23824</v>
      </c>
      <c r="B262" s="1272" t="s">
        <v>501</v>
      </c>
      <c r="C262" s="1272" t="s">
        <v>1545</v>
      </c>
      <c r="D262" s="850"/>
      <c r="E262" s="1274">
        <v>-8.0000000000000002E-3</v>
      </c>
      <c r="F262" s="1274">
        <v>2.1000000000000001E-2</v>
      </c>
      <c r="G262" s="1274">
        <v>-1.2999999999999999E-2</v>
      </c>
      <c r="H262" s="1273" t="s">
        <v>246</v>
      </c>
      <c r="I262" s="1273" t="s">
        <v>246</v>
      </c>
      <c r="J262" s="861"/>
      <c r="K262" s="1275">
        <v>0.76100000000000001</v>
      </c>
    </row>
    <row r="263" spans="1:11" s="1331" customFormat="1" ht="30">
      <c r="A263" s="2338">
        <v>23825</v>
      </c>
      <c r="B263" s="3050" t="s">
        <v>502</v>
      </c>
      <c r="C263" s="1331" t="s">
        <v>1550</v>
      </c>
      <c r="E263" s="1284">
        <v>-4.2000000000000003E-2</v>
      </c>
      <c r="F263" s="1284">
        <v>-4.4999999999999998E-2</v>
      </c>
      <c r="G263" s="1284">
        <v>0.10299999999999999</v>
      </c>
      <c r="H263" s="1284">
        <v>-2.5000000000000001E-2</v>
      </c>
      <c r="I263" s="1284">
        <v>8.9999999999999993E-3</v>
      </c>
      <c r="J263" s="1284"/>
      <c r="K263" s="1285">
        <v>0.82199999999999995</v>
      </c>
    </row>
    <row r="264" spans="1:11" s="1272" customFormat="1">
      <c r="A264" s="1319">
        <v>23833</v>
      </c>
      <c r="B264" s="1272" t="s">
        <v>334</v>
      </c>
      <c r="C264" s="1272" t="s">
        <v>1557</v>
      </c>
      <c r="D264" s="850"/>
      <c r="E264" s="1274">
        <v>2E-3</v>
      </c>
      <c r="F264" s="1274">
        <v>-6.9000000000000006E-2</v>
      </c>
      <c r="G264" s="1273" t="s">
        <v>246</v>
      </c>
      <c r="H264" s="1274">
        <v>6.7000000000000004E-2</v>
      </c>
      <c r="I264" s="1273" t="s">
        <v>246</v>
      </c>
      <c r="J264" s="861"/>
      <c r="K264" s="1275">
        <v>0.63200000000000001</v>
      </c>
    </row>
    <row r="265" spans="1:11" s="1272" customFormat="1">
      <c r="A265" s="1319">
        <v>23868</v>
      </c>
      <c r="B265" s="1272" t="s">
        <v>503</v>
      </c>
      <c r="C265" s="1272" t="s">
        <v>1545</v>
      </c>
      <c r="D265" s="850"/>
      <c r="E265" s="1274">
        <v>2.1999999999999999E-2</v>
      </c>
      <c r="F265" s="1274">
        <v>-0.03</v>
      </c>
      <c r="G265" s="1274">
        <v>8.0000000000000002E-3</v>
      </c>
      <c r="H265" s="1273" t="s">
        <v>246</v>
      </c>
      <c r="I265" s="1273" t="s">
        <v>246</v>
      </c>
      <c r="J265" s="861"/>
      <c r="K265" s="1275">
        <v>0.52400000000000002</v>
      </c>
    </row>
    <row r="266" spans="1:11" s="1272" customFormat="1">
      <c r="A266" s="1319">
        <v>23945</v>
      </c>
      <c r="B266" s="1272" t="s">
        <v>504</v>
      </c>
      <c r="C266" s="1272" t="s">
        <v>1545</v>
      </c>
      <c r="D266" s="850"/>
      <c r="E266" s="1274">
        <v>-6.2E-2</v>
      </c>
      <c r="F266" s="1274">
        <v>-0.11</v>
      </c>
      <c r="G266" s="1274">
        <v>0.16900000000000001</v>
      </c>
      <c r="H266" s="1273" t="s">
        <v>246</v>
      </c>
      <c r="I266" s="1274">
        <v>3.0000000000000001E-3</v>
      </c>
      <c r="J266" s="1274"/>
      <c r="K266" s="1275">
        <v>0.58499999999999996</v>
      </c>
    </row>
    <row r="267" spans="1:11" s="1272" customFormat="1">
      <c r="A267" s="1319">
        <v>24050</v>
      </c>
      <c r="B267" s="1272" t="s">
        <v>505</v>
      </c>
      <c r="C267" s="1272" t="s">
        <v>1545</v>
      </c>
      <c r="D267" s="1331"/>
      <c r="E267" s="1284">
        <v>1.2E-2</v>
      </c>
      <c r="F267" s="1284">
        <v>2.3E-2</v>
      </c>
      <c r="G267" s="1284">
        <v>-4.8000000000000001E-2</v>
      </c>
      <c r="H267" s="1273" t="s">
        <v>246</v>
      </c>
      <c r="I267" s="1273" t="s">
        <v>246</v>
      </c>
      <c r="J267" s="861"/>
      <c r="K267" s="1285">
        <v>0.41799999999999998</v>
      </c>
    </row>
    <row r="268" spans="1:11" s="1272" customFormat="1">
      <c r="A268" s="1319">
        <v>24057</v>
      </c>
      <c r="B268" s="1272" t="s">
        <v>506</v>
      </c>
      <c r="C268" s="1272" t="s">
        <v>1557</v>
      </c>
      <c r="D268" s="850"/>
      <c r="E268" s="1274">
        <v>4.9000000000000002E-2</v>
      </c>
      <c r="F268" s="1274">
        <v>2.3E-2</v>
      </c>
      <c r="G268" s="1274">
        <v>-7.1999999999999995E-2</v>
      </c>
      <c r="H268" s="1273" t="s">
        <v>246</v>
      </c>
      <c r="I268" s="1273" t="s">
        <v>246</v>
      </c>
      <c r="J268" s="861"/>
      <c r="K268" s="1286">
        <v>0.72</v>
      </c>
    </row>
    <row r="269" spans="1:11" s="1272" customFormat="1">
      <c r="A269" s="1319">
        <v>24134</v>
      </c>
      <c r="B269" s="1272" t="s">
        <v>507</v>
      </c>
      <c r="C269" s="1272" t="s">
        <v>1557</v>
      </c>
      <c r="D269" s="850"/>
      <c r="E269" s="1273" t="s">
        <v>564</v>
      </c>
      <c r="F269" s="1274">
        <v>8.8999999999999996E-2</v>
      </c>
      <c r="G269" s="1274">
        <v>-9.6000000000000002E-2</v>
      </c>
      <c r="H269" s="1273" t="s">
        <v>246</v>
      </c>
      <c r="I269" s="1274">
        <v>7.0000000000000001E-3</v>
      </c>
      <c r="J269" s="1274"/>
      <c r="K269" s="1275">
        <v>0.76300000000000001</v>
      </c>
    </row>
    <row r="270" spans="1:11" s="1272" customFormat="1" ht="5.25" customHeight="1">
      <c r="A270" s="1319"/>
      <c r="D270" s="850"/>
      <c r="E270" s="1274"/>
      <c r="F270" s="1274"/>
      <c r="G270" s="1274"/>
      <c r="H270" s="1274"/>
      <c r="I270" s="1274"/>
      <c r="J270" s="1274"/>
      <c r="K270" s="1275"/>
    </row>
    <row r="271" spans="1:11" s="1272" customFormat="1">
      <c r="A271" s="2264" t="s">
        <v>793</v>
      </c>
      <c r="B271" s="2265"/>
      <c r="C271" s="2265"/>
      <c r="D271" s="2218"/>
      <c r="E271" s="2266"/>
      <c r="F271" s="2266"/>
      <c r="G271" s="2266"/>
      <c r="H271" s="2266"/>
      <c r="I271" s="2266"/>
      <c r="J271" s="2266"/>
      <c r="K271" s="2267"/>
    </row>
    <row r="272" spans="1:11" s="1272" customFormat="1" ht="4.5" customHeight="1">
      <c r="A272" s="1330"/>
      <c r="D272" s="850"/>
      <c r="E272" s="1274"/>
      <c r="F272" s="1274"/>
      <c r="G272" s="1274"/>
      <c r="H272" s="1274"/>
      <c r="I272" s="1274"/>
      <c r="J272" s="1274"/>
      <c r="K272" s="1275"/>
    </row>
    <row r="273" spans="1:15" s="1272" customFormat="1">
      <c r="A273" s="1319">
        <v>24302</v>
      </c>
      <c r="B273" s="1272" t="s">
        <v>508</v>
      </c>
      <c r="C273" s="1272" t="s">
        <v>1562</v>
      </c>
      <c r="D273" s="850"/>
      <c r="E273" s="1274">
        <v>-4.4999999999999998E-2</v>
      </c>
      <c r="F273" s="1274">
        <v>-0.13100000000000001</v>
      </c>
      <c r="G273" s="1274">
        <v>-5.2999999999999999E-2</v>
      </c>
      <c r="H273" s="1274">
        <v>0.22900000000000001</v>
      </c>
      <c r="I273" s="1273" t="s">
        <v>246</v>
      </c>
      <c r="J273" s="861"/>
      <c r="K273" s="1275">
        <v>0.749</v>
      </c>
    </row>
    <row r="274" spans="1:15" s="1272" customFormat="1">
      <c r="A274" s="1319">
        <v>24540</v>
      </c>
      <c r="B274" s="1272" t="s">
        <v>497</v>
      </c>
      <c r="C274" s="1272" t="s">
        <v>1557</v>
      </c>
      <c r="D274" s="850"/>
      <c r="E274" s="1274">
        <v>1.0999999999999999E-2</v>
      </c>
      <c r="F274" s="1274">
        <v>-0.11799999999999999</v>
      </c>
      <c r="G274" s="1274">
        <v>3.1E-2</v>
      </c>
      <c r="H274" s="1273" t="s">
        <v>246</v>
      </c>
      <c r="I274" s="1274">
        <v>7.5999999999999998E-2</v>
      </c>
      <c r="J274" s="1274"/>
      <c r="K274" s="1275">
        <v>0.66100000000000003</v>
      </c>
    </row>
    <row r="275" spans="1:15" s="1272" customFormat="1">
      <c r="A275" s="1319">
        <v>24540</v>
      </c>
      <c r="B275" s="1272" t="s">
        <v>510</v>
      </c>
      <c r="C275" s="1272" t="s">
        <v>1557</v>
      </c>
      <c r="D275" s="850"/>
      <c r="E275" s="1274">
        <v>-3.5000000000000003E-2</v>
      </c>
      <c r="F275" s="1274">
        <v>-0.27100000000000002</v>
      </c>
      <c r="G275" s="1273" t="s">
        <v>246</v>
      </c>
      <c r="H275" s="1274">
        <v>0.312</v>
      </c>
      <c r="I275" s="1274">
        <v>-6.0000000000000001E-3</v>
      </c>
      <c r="J275" s="1274"/>
      <c r="K275" s="1275">
        <v>0.82199999999999995</v>
      </c>
    </row>
    <row r="276" spans="1:15" s="1272" customFormat="1">
      <c r="A276" s="1319">
        <v>24540</v>
      </c>
      <c r="B276" s="1272" t="s">
        <v>511</v>
      </c>
      <c r="C276" s="1272" t="s">
        <v>1559</v>
      </c>
      <c r="D276" s="850"/>
      <c r="E276" s="1274">
        <v>-0.107</v>
      </c>
      <c r="F276" s="1274">
        <v>-0.21199999999999999</v>
      </c>
      <c r="G276" s="1274">
        <v>1.9E-2</v>
      </c>
      <c r="H276" s="1274">
        <v>0.28199999999999997</v>
      </c>
      <c r="I276" s="1274">
        <v>1.7999999999999999E-2</v>
      </c>
      <c r="J276" s="1274"/>
      <c r="K276" s="1275">
        <v>0.75700000000000001</v>
      </c>
    </row>
    <row r="277" spans="1:15" s="1272" customFormat="1">
      <c r="A277" s="1319">
        <v>24547</v>
      </c>
      <c r="B277" s="1272" t="s">
        <v>512</v>
      </c>
      <c r="C277" s="1272" t="s">
        <v>1545</v>
      </c>
      <c r="D277" s="850"/>
      <c r="E277" s="1274">
        <v>2.5000000000000001E-2</v>
      </c>
      <c r="F277" s="1274">
        <v>-6.3E-2</v>
      </c>
      <c r="G277" s="1274">
        <v>3.7999999999999999E-2</v>
      </c>
      <c r="H277" s="1273" t="s">
        <v>246</v>
      </c>
      <c r="I277" s="1273" t="s">
        <v>246</v>
      </c>
      <c r="J277" s="861"/>
      <c r="K277" s="1275">
        <v>0.72599999999999998</v>
      </c>
    </row>
    <row r="278" spans="1:15" s="1272" customFormat="1">
      <c r="A278" s="1319">
        <v>24589</v>
      </c>
      <c r="B278" s="1272" t="s">
        <v>513</v>
      </c>
      <c r="C278" s="1272" t="s">
        <v>1545</v>
      </c>
      <c r="D278" s="850"/>
      <c r="E278" s="1274">
        <v>2.5999999999999999E-2</v>
      </c>
      <c r="F278" s="1274">
        <v>-0.126</v>
      </c>
      <c r="G278" s="1274">
        <v>7.8E-2</v>
      </c>
      <c r="H278" s="1273" t="s">
        <v>246</v>
      </c>
      <c r="I278" s="1274">
        <v>2.1999999999999999E-2</v>
      </c>
      <c r="J278" s="1274"/>
      <c r="K278" s="1275">
        <v>0.68</v>
      </c>
    </row>
    <row r="279" spans="1:15" s="1272" customFormat="1">
      <c r="A279" s="1319">
        <v>24736</v>
      </c>
      <c r="B279" s="1272" t="s">
        <v>514</v>
      </c>
      <c r="C279" s="1272" t="s">
        <v>1559</v>
      </c>
      <c r="D279" s="850"/>
      <c r="E279" s="1274">
        <v>8.2000000000000003E-2</v>
      </c>
      <c r="F279" s="1274">
        <v>-8.8999999999999996E-2</v>
      </c>
      <c r="G279" s="1274">
        <v>1.6E-2</v>
      </c>
      <c r="H279" s="1273" t="s">
        <v>246</v>
      </c>
      <c r="I279" s="1274">
        <v>-8.9999999999999993E-3</v>
      </c>
      <c r="J279" s="1274"/>
      <c r="K279" s="1275">
        <v>0.65700000000000003</v>
      </c>
    </row>
    <row r="280" spans="1:15" s="1272" customFormat="1">
      <c r="A280" s="1319">
        <v>24736</v>
      </c>
      <c r="B280" s="1272" t="s">
        <v>391</v>
      </c>
      <c r="C280" s="1272" t="s">
        <v>1559</v>
      </c>
      <c r="D280" s="850"/>
      <c r="E280" s="1274">
        <v>0.122</v>
      </c>
      <c r="F280" s="1274">
        <v>-0.24399999999999999</v>
      </c>
      <c r="G280" s="1274">
        <v>8.7999999999999995E-2</v>
      </c>
      <c r="H280" s="1273" t="s">
        <v>246</v>
      </c>
      <c r="I280" s="1274">
        <v>3.4000000000000002E-2</v>
      </c>
      <c r="J280" s="1274"/>
      <c r="K280" s="1275">
        <v>0.54</v>
      </c>
    </row>
    <row r="281" spans="1:15" ht="15.75" customHeight="1" thickBot="1">
      <c r="A281" s="1364"/>
      <c r="B281" s="1364"/>
      <c r="C281" s="1364"/>
      <c r="D281" s="3441" t="s">
        <v>1165</v>
      </c>
      <c r="E281" s="3441"/>
      <c r="F281" s="3441"/>
      <c r="G281" s="3441"/>
      <c r="H281" s="3441"/>
      <c r="I281" s="3441"/>
      <c r="J281" s="3441"/>
      <c r="K281" s="1366"/>
    </row>
    <row r="282" spans="1:15" s="1312" customFormat="1" ht="3" customHeight="1">
      <c r="A282" s="1364"/>
      <c r="B282" s="1364"/>
      <c r="C282" s="1364"/>
      <c r="D282" s="2223"/>
      <c r="E282" s="2223"/>
      <c r="F282" s="2223"/>
      <c r="G282" s="2223"/>
      <c r="H282" s="2223"/>
      <c r="I282" s="2223"/>
      <c r="J282" s="2223"/>
      <c r="K282" s="1366"/>
      <c r="L282" s="1311"/>
      <c r="M282" s="1311"/>
      <c r="N282" s="1311"/>
      <c r="O282" s="1311"/>
    </row>
    <row r="283" spans="1:15">
      <c r="A283" s="1364" t="s">
        <v>268</v>
      </c>
      <c r="B283" s="1364" t="s">
        <v>269</v>
      </c>
      <c r="C283" s="1364" t="s">
        <v>216</v>
      </c>
      <c r="D283" s="871"/>
      <c r="E283" s="2243" t="s">
        <v>806</v>
      </c>
      <c r="F283" s="2244" t="s">
        <v>807</v>
      </c>
      <c r="G283" s="2245" t="s">
        <v>808</v>
      </c>
      <c r="H283" s="1363" t="s">
        <v>95</v>
      </c>
      <c r="I283" s="2246" t="s">
        <v>1972</v>
      </c>
      <c r="J283" s="1183"/>
      <c r="K283" s="1183" t="s">
        <v>219</v>
      </c>
    </row>
    <row r="284" spans="1:15" ht="3" customHeight="1">
      <c r="A284" s="1364"/>
      <c r="B284" s="1364"/>
      <c r="C284" s="1364"/>
      <c r="D284" s="871"/>
      <c r="E284" s="1374"/>
      <c r="F284" s="1374"/>
      <c r="G284" s="1374"/>
      <c r="H284" s="1374"/>
      <c r="I284" s="1374"/>
      <c r="J284" s="1183"/>
      <c r="K284" s="1183"/>
    </row>
    <row r="285" spans="1:15" s="867" customFormat="1" ht="3" customHeight="1">
      <c r="A285" s="1276"/>
      <c r="B285" s="1276"/>
      <c r="C285" s="1276"/>
      <c r="E285" s="1277"/>
      <c r="F285" s="1277"/>
      <c r="G285" s="1277"/>
      <c r="H285" s="1277"/>
      <c r="I285" s="1277"/>
      <c r="J285" s="862"/>
      <c r="K285" s="862"/>
      <c r="L285" s="1276"/>
      <c r="M285" s="1276"/>
      <c r="N285" s="1276"/>
      <c r="O285" s="1276"/>
    </row>
    <row r="286" spans="1:15" s="1272" customFormat="1">
      <c r="A286" s="1319">
        <v>24778</v>
      </c>
      <c r="B286" s="1272" t="s">
        <v>515</v>
      </c>
      <c r="C286" s="1272" t="s">
        <v>1559</v>
      </c>
      <c r="D286" s="850"/>
      <c r="E286" s="1274">
        <v>0.10299999999999999</v>
      </c>
      <c r="F286" s="1274">
        <v>-0.22800000000000001</v>
      </c>
      <c r="G286" s="1274">
        <v>0.125</v>
      </c>
      <c r="H286" s="1273" t="s">
        <v>246</v>
      </c>
      <c r="I286" s="1273" t="s">
        <v>246</v>
      </c>
      <c r="J286" s="861"/>
      <c r="K286" s="1275">
        <v>0.57499999999999996</v>
      </c>
    </row>
    <row r="287" spans="1:15" s="1272" customFormat="1">
      <c r="A287" s="1319">
        <v>24778</v>
      </c>
      <c r="B287" s="1272" t="s">
        <v>516</v>
      </c>
      <c r="C287" s="1272" t="s">
        <v>1557</v>
      </c>
      <c r="D287" s="850"/>
      <c r="E287" s="1274">
        <v>4.5999999999999999E-2</v>
      </c>
      <c r="F287" s="1274">
        <v>-0.14199999999999999</v>
      </c>
      <c r="G287" s="1274">
        <v>5.8999999999999997E-2</v>
      </c>
      <c r="H287" s="1273" t="s">
        <v>246</v>
      </c>
      <c r="I287" s="1274">
        <v>3.6999999999999998E-2</v>
      </c>
      <c r="J287" s="1274"/>
      <c r="K287" s="1275">
        <v>0.72399999999999998</v>
      </c>
    </row>
    <row r="288" spans="1:15" s="1272" customFormat="1">
      <c r="A288" s="1319">
        <v>24778</v>
      </c>
      <c r="B288" s="1272" t="s">
        <v>517</v>
      </c>
      <c r="C288" s="1272" t="s">
        <v>1563</v>
      </c>
      <c r="D288" s="850"/>
      <c r="E288" s="1274">
        <v>-0.16300000000000001</v>
      </c>
      <c r="F288" s="1274">
        <v>-0.29699999999999999</v>
      </c>
      <c r="G288" s="1273" t="s">
        <v>246</v>
      </c>
      <c r="H288" s="1274">
        <v>0.46</v>
      </c>
      <c r="I288" s="1273" t="s">
        <v>246</v>
      </c>
      <c r="J288" s="861"/>
      <c r="K288" s="1275">
        <v>0.73699999999999999</v>
      </c>
    </row>
    <row r="289" spans="1:11" s="1272" customFormat="1">
      <c r="A289" s="1319">
        <v>24799</v>
      </c>
      <c r="B289" s="1272" t="s">
        <v>519</v>
      </c>
      <c r="C289" s="1272" t="s">
        <v>1545</v>
      </c>
      <c r="D289" s="850"/>
      <c r="E289" s="1274">
        <v>7.0000000000000007E-2</v>
      </c>
      <c r="F289" s="1274">
        <v>-0.188</v>
      </c>
      <c r="G289" s="1274">
        <v>6.6000000000000003E-2</v>
      </c>
      <c r="H289" s="1273" t="s">
        <v>246</v>
      </c>
      <c r="I289" s="1274">
        <v>5.1999999999999998E-2</v>
      </c>
      <c r="J289" s="1274"/>
      <c r="K289" s="1275">
        <v>0.64500000000000002</v>
      </c>
    </row>
    <row r="290" spans="1:11" s="1272" customFormat="1">
      <c r="A290" s="1319">
        <v>24911</v>
      </c>
      <c r="B290" s="1272" t="s">
        <v>276</v>
      </c>
      <c r="C290" s="1272" t="s">
        <v>1545</v>
      </c>
      <c r="D290" s="850"/>
      <c r="E290" s="1274">
        <v>0.10299999999999999</v>
      </c>
      <c r="F290" s="1274">
        <v>-0.112</v>
      </c>
      <c r="G290" s="1274">
        <v>-2.5000000000000001E-2</v>
      </c>
      <c r="H290" s="1273" t="s">
        <v>246</v>
      </c>
      <c r="I290" s="1274">
        <v>3.4000000000000002E-2</v>
      </c>
      <c r="J290" s="1274"/>
      <c r="K290" s="1275">
        <v>0.4</v>
      </c>
    </row>
    <row r="291" spans="1:11" s="1272" customFormat="1">
      <c r="A291" s="1319">
        <v>24925</v>
      </c>
      <c r="B291" s="1272" t="s">
        <v>520</v>
      </c>
      <c r="C291" s="1272" t="s">
        <v>1559</v>
      </c>
      <c r="D291" s="850"/>
      <c r="E291" s="1274">
        <v>6.3E-2</v>
      </c>
      <c r="F291" s="1274">
        <v>-0.23799999999999999</v>
      </c>
      <c r="G291" s="1274">
        <v>0.114</v>
      </c>
      <c r="H291" s="1273" t="s">
        <v>246</v>
      </c>
      <c r="I291" s="1274">
        <v>6.0999999999999999E-2</v>
      </c>
      <c r="J291" s="1274"/>
      <c r="K291" s="1275">
        <v>0.59699999999999998</v>
      </c>
    </row>
    <row r="292" spans="1:11" s="1272" customFormat="1">
      <c r="A292" s="1319">
        <v>24925</v>
      </c>
      <c r="B292" s="1272" t="s">
        <v>521</v>
      </c>
      <c r="C292" s="1272" t="s">
        <v>1559</v>
      </c>
      <c r="D292" s="850"/>
      <c r="E292" s="1274">
        <v>0.17199999999999999</v>
      </c>
      <c r="F292" s="1274">
        <v>-0.251</v>
      </c>
      <c r="G292" s="1274">
        <v>7.9000000000000001E-2</v>
      </c>
      <c r="H292" s="1273" t="s">
        <v>246</v>
      </c>
      <c r="I292" s="1273" t="s">
        <v>246</v>
      </c>
      <c r="J292" s="861"/>
      <c r="K292" s="1275">
        <v>0.63500000000000001</v>
      </c>
    </row>
    <row r="293" spans="1:11" s="1272" customFormat="1">
      <c r="A293" s="1319">
        <v>24925</v>
      </c>
      <c r="B293" s="1272" t="s">
        <v>522</v>
      </c>
      <c r="C293" s="1272" t="s">
        <v>1559</v>
      </c>
      <c r="D293" s="850"/>
      <c r="E293" s="1274">
        <v>0.184</v>
      </c>
      <c r="F293" s="1274">
        <v>-0.184</v>
      </c>
      <c r="G293" s="1273" t="s">
        <v>246</v>
      </c>
      <c r="H293" s="1273" t="s">
        <v>246</v>
      </c>
      <c r="I293" s="1273" t="s">
        <v>246</v>
      </c>
      <c r="J293" s="861"/>
      <c r="K293" s="1275">
        <v>0.66</v>
      </c>
    </row>
    <row r="294" spans="1:11" s="1272" customFormat="1">
      <c r="A294" s="1319">
        <v>24925</v>
      </c>
      <c r="B294" s="1272" t="s">
        <v>523</v>
      </c>
      <c r="C294" s="1272" t="s">
        <v>1545</v>
      </c>
      <c r="D294" s="850"/>
      <c r="E294" s="1274">
        <v>0.16700000000000001</v>
      </c>
      <c r="F294" s="1274">
        <v>-0.19600000000000001</v>
      </c>
      <c r="G294" s="1274">
        <v>2.9000000000000001E-2</v>
      </c>
      <c r="H294" s="1273" t="s">
        <v>246</v>
      </c>
      <c r="I294" s="1273" t="s">
        <v>246</v>
      </c>
      <c r="J294" s="861"/>
      <c r="K294" s="1275">
        <v>0.58499999999999996</v>
      </c>
    </row>
    <row r="295" spans="1:11" s="1272" customFormat="1">
      <c r="A295" s="1319">
        <v>25002</v>
      </c>
      <c r="B295" s="1272" t="s">
        <v>524</v>
      </c>
      <c r="C295" s="1272" t="s">
        <v>1559</v>
      </c>
      <c r="D295" s="850"/>
      <c r="E295" s="1274">
        <v>7.6999999999999999E-2</v>
      </c>
      <c r="F295" s="1274">
        <v>-0.27600000000000002</v>
      </c>
      <c r="G295" s="1274">
        <v>6.7000000000000004E-2</v>
      </c>
      <c r="H295" s="1273" t="s">
        <v>246</v>
      </c>
      <c r="I295" s="1274">
        <v>0.13200000000000001</v>
      </c>
      <c r="J295" s="1274"/>
      <c r="K295" s="1275">
        <v>0.54700000000000004</v>
      </c>
    </row>
    <row r="296" spans="1:11" s="1272" customFormat="1">
      <c r="A296" s="1319">
        <v>25002</v>
      </c>
      <c r="B296" s="1272" t="s">
        <v>525</v>
      </c>
      <c r="C296" s="1272" t="s">
        <v>1557</v>
      </c>
      <c r="D296" s="850"/>
      <c r="E296" s="1274">
        <v>0.13500000000000001</v>
      </c>
      <c r="F296" s="1274">
        <v>-0.20799999999999999</v>
      </c>
      <c r="G296" s="1273" t="s">
        <v>246</v>
      </c>
      <c r="H296" s="1273" t="s">
        <v>246</v>
      </c>
      <c r="I296" s="1274">
        <v>7.2999999999999995E-2</v>
      </c>
      <c r="J296" s="1274"/>
      <c r="K296" s="1275">
        <v>0.498</v>
      </c>
    </row>
    <row r="297" spans="1:11" s="1272" customFormat="1">
      <c r="A297" s="1319">
        <v>25016</v>
      </c>
      <c r="B297" s="1272" t="s">
        <v>526</v>
      </c>
      <c r="C297" s="1272" t="s">
        <v>1559</v>
      </c>
      <c r="D297" s="850"/>
      <c r="E297" s="1274">
        <v>0.11899999999999999</v>
      </c>
      <c r="F297" s="1274">
        <v>-0.109</v>
      </c>
      <c r="G297" s="1274">
        <v>0.09</v>
      </c>
      <c r="H297" s="1273" t="s">
        <v>246</v>
      </c>
      <c r="I297" s="1274">
        <v>-0.1</v>
      </c>
      <c r="J297" s="1274"/>
      <c r="K297" s="1275">
        <v>0.74199999999999999</v>
      </c>
    </row>
    <row r="298" spans="1:11" s="1272" customFormat="1">
      <c r="A298" s="1319">
        <v>25037</v>
      </c>
      <c r="B298" s="1272" t="s">
        <v>527</v>
      </c>
      <c r="C298" s="1272" t="s">
        <v>1557</v>
      </c>
      <c r="D298" s="850"/>
      <c r="E298" s="1274">
        <v>-4.2000000000000003E-2</v>
      </c>
      <c r="F298" s="1274">
        <v>-0.28699999999999998</v>
      </c>
      <c r="G298" s="1274">
        <v>3.5999999999999997E-2</v>
      </c>
      <c r="H298" s="1274">
        <v>0.29299999999999998</v>
      </c>
      <c r="I298" s="1273" t="s">
        <v>246</v>
      </c>
      <c r="J298" s="861"/>
      <c r="K298" s="1275">
        <v>0.75900000000000001</v>
      </c>
    </row>
    <row r="299" spans="1:11" s="1272" customFormat="1">
      <c r="A299" s="1319">
        <v>25142</v>
      </c>
      <c r="B299" s="1272" t="s">
        <v>528</v>
      </c>
      <c r="C299" s="1272" t="s">
        <v>1557</v>
      </c>
      <c r="D299" s="850"/>
      <c r="E299" s="1274">
        <v>9.5000000000000001E-2</v>
      </c>
      <c r="F299" s="1274">
        <v>-0.11899999999999999</v>
      </c>
      <c r="G299" s="1273" t="s">
        <v>246</v>
      </c>
      <c r="H299" s="1273" t="s">
        <v>246</v>
      </c>
      <c r="I299" s="1274">
        <v>2.4E-2</v>
      </c>
      <c r="J299" s="1274"/>
      <c r="K299" s="1275">
        <v>0.68</v>
      </c>
    </row>
    <row r="300" spans="1:11" s="1272" customFormat="1">
      <c r="A300" s="1319">
        <v>25149</v>
      </c>
      <c r="B300" s="1272" t="s">
        <v>529</v>
      </c>
      <c r="C300" s="1272" t="s">
        <v>1545</v>
      </c>
      <c r="D300" s="850"/>
      <c r="E300" s="1274">
        <v>0.151</v>
      </c>
      <c r="F300" s="1274">
        <v>-0.129</v>
      </c>
      <c r="G300" s="1274">
        <v>-2.1999999999999999E-2</v>
      </c>
      <c r="H300" s="1273" t="s">
        <v>246</v>
      </c>
      <c r="I300" s="1273" t="s">
        <v>246</v>
      </c>
      <c r="J300" s="861"/>
      <c r="K300" s="1275">
        <v>0.55900000000000005</v>
      </c>
    </row>
    <row r="301" spans="1:11" s="1272" customFormat="1">
      <c r="A301" s="1319">
        <v>25289</v>
      </c>
      <c r="B301" s="1272" t="s">
        <v>530</v>
      </c>
      <c r="C301" s="1272" t="s">
        <v>1545</v>
      </c>
      <c r="D301" s="850"/>
      <c r="E301" s="1274">
        <v>0.125</v>
      </c>
      <c r="F301" s="1274">
        <v>-0.23300000000000001</v>
      </c>
      <c r="G301" s="1274">
        <v>0.108</v>
      </c>
      <c r="H301" s="1273" t="s">
        <v>246</v>
      </c>
      <c r="I301" s="1273" t="s">
        <v>246</v>
      </c>
      <c r="J301" s="861"/>
      <c r="K301" s="1275">
        <v>0.45100000000000001</v>
      </c>
    </row>
    <row r="302" spans="1:11" s="1272" customFormat="1">
      <c r="A302" s="1319">
        <v>25289</v>
      </c>
      <c r="B302" s="1272" t="s">
        <v>531</v>
      </c>
      <c r="C302" s="1272" t="s">
        <v>1559</v>
      </c>
      <c r="D302" s="850"/>
      <c r="E302" s="1274">
        <v>0.20799999999999999</v>
      </c>
      <c r="F302" s="1274">
        <v>-0.11</v>
      </c>
      <c r="G302" s="1274">
        <v>-9.8000000000000004E-2</v>
      </c>
      <c r="H302" s="1273" t="s">
        <v>246</v>
      </c>
      <c r="I302" s="1273" t="s">
        <v>246</v>
      </c>
      <c r="J302" s="861"/>
      <c r="K302" s="1275">
        <v>0.51200000000000001</v>
      </c>
    </row>
    <row r="303" spans="1:11" s="1272" customFormat="1">
      <c r="A303" s="1319">
        <v>25289</v>
      </c>
      <c r="B303" s="1272" t="s">
        <v>421</v>
      </c>
      <c r="C303" s="1272" t="s">
        <v>1545</v>
      </c>
      <c r="D303" s="850"/>
      <c r="E303" s="1274">
        <v>0.13600000000000001</v>
      </c>
      <c r="F303" s="1274">
        <v>-0.14199999999999999</v>
      </c>
      <c r="G303" s="1274">
        <v>6.0000000000000001E-3</v>
      </c>
      <c r="H303" s="1273" t="s">
        <v>246</v>
      </c>
      <c r="I303" s="1273" t="s">
        <v>246</v>
      </c>
      <c r="J303" s="861"/>
      <c r="K303" s="1275">
        <v>0.60799999999999998</v>
      </c>
    </row>
    <row r="304" spans="1:11" s="1272" customFormat="1">
      <c r="A304" s="1319">
        <v>25345</v>
      </c>
      <c r="B304" s="1272" t="s">
        <v>426</v>
      </c>
      <c r="C304" s="1272" t="s">
        <v>1545</v>
      </c>
      <c r="D304" s="850"/>
      <c r="E304" s="1274">
        <v>0.17</v>
      </c>
      <c r="F304" s="1274">
        <v>-0.129</v>
      </c>
      <c r="G304" s="1274">
        <v>-4.1000000000000002E-2</v>
      </c>
      <c r="H304" s="1273" t="s">
        <v>246</v>
      </c>
      <c r="I304" s="1273" t="s">
        <v>246</v>
      </c>
      <c r="J304" s="861"/>
      <c r="K304" s="1275">
        <v>0.53400000000000003</v>
      </c>
    </row>
    <row r="305" spans="1:11" s="1272" customFormat="1">
      <c r="A305" s="1319">
        <v>25380</v>
      </c>
      <c r="B305" s="1272" t="s">
        <v>133</v>
      </c>
      <c r="C305" s="1272" t="s">
        <v>1564</v>
      </c>
      <c r="D305" s="850"/>
      <c r="E305" s="1274">
        <v>-6.0000000000000001E-3</v>
      </c>
      <c r="F305" s="1274">
        <v>-0.33400000000000002</v>
      </c>
      <c r="G305" s="1274">
        <v>0.30599999999999999</v>
      </c>
      <c r="H305" s="1273" t="s">
        <v>246</v>
      </c>
      <c r="I305" s="1274">
        <v>3.4000000000000002E-2</v>
      </c>
      <c r="J305" s="1274"/>
      <c r="K305" s="1275">
        <v>0.51900000000000002</v>
      </c>
    </row>
    <row r="306" spans="1:11" s="1272" customFormat="1">
      <c r="A306" s="1319">
        <v>25506</v>
      </c>
      <c r="B306" s="1272" t="s">
        <v>419</v>
      </c>
      <c r="C306" s="1272" t="s">
        <v>1557</v>
      </c>
      <c r="D306" s="850"/>
      <c r="E306" s="1274">
        <v>8.2000000000000003E-2</v>
      </c>
      <c r="F306" s="1274">
        <v>-0.10199999999999999</v>
      </c>
      <c r="G306" s="1274">
        <v>3.0000000000000001E-3</v>
      </c>
      <c r="H306" s="1273" t="s">
        <v>246</v>
      </c>
      <c r="I306" s="1274">
        <v>1.7000000000000001E-2</v>
      </c>
      <c r="J306" s="1274"/>
      <c r="K306" s="1275">
        <v>0.32800000000000001</v>
      </c>
    </row>
    <row r="307" spans="1:11" s="1272" customFormat="1">
      <c r="A307" s="1319">
        <v>25506</v>
      </c>
      <c r="B307" s="1272" t="s">
        <v>293</v>
      </c>
      <c r="C307" s="1272" t="s">
        <v>1557</v>
      </c>
      <c r="D307" s="850"/>
      <c r="E307" s="1274">
        <v>0.16</v>
      </c>
      <c r="F307" s="1274">
        <v>-6.7000000000000004E-2</v>
      </c>
      <c r="G307" s="1274">
        <v>-9.2999999999999999E-2</v>
      </c>
      <c r="H307" s="1273" t="s">
        <v>246</v>
      </c>
      <c r="I307" s="1273" t="s">
        <v>246</v>
      </c>
      <c r="J307" s="861"/>
      <c r="K307" s="1275">
        <v>0.46300000000000002</v>
      </c>
    </row>
    <row r="308" spans="1:11" s="1272" customFormat="1">
      <c r="A308" s="1319">
        <v>25506</v>
      </c>
      <c r="B308" s="1272" t="s">
        <v>533</v>
      </c>
      <c r="C308" s="1272" t="s">
        <v>1557</v>
      </c>
      <c r="D308" s="850"/>
      <c r="E308" s="1274">
        <v>5.7000000000000002E-2</v>
      </c>
      <c r="F308" s="1274">
        <v>-0.157</v>
      </c>
      <c r="G308" s="1274">
        <v>6.4000000000000001E-2</v>
      </c>
      <c r="H308" s="1273" t="s">
        <v>246</v>
      </c>
      <c r="I308" s="1274">
        <v>3.5999999999999997E-2</v>
      </c>
      <c r="J308" s="1274"/>
      <c r="K308" s="1275">
        <v>0.72299999999999998</v>
      </c>
    </row>
    <row r="309" spans="1:11" s="1272" customFormat="1">
      <c r="A309" s="1319">
        <v>25506</v>
      </c>
      <c r="B309" s="1272" t="s">
        <v>534</v>
      </c>
      <c r="C309" s="1272" t="s">
        <v>1559</v>
      </c>
      <c r="D309" s="850"/>
      <c r="E309" s="1274">
        <v>5.0999999999999997E-2</v>
      </c>
      <c r="F309" s="1274">
        <v>-0.20799999999999999</v>
      </c>
      <c r="G309" s="1274">
        <v>0.153</v>
      </c>
      <c r="H309" s="1273" t="s">
        <v>246</v>
      </c>
      <c r="I309" s="1274">
        <v>4.0000000000000001E-3</v>
      </c>
      <c r="J309" s="1274"/>
      <c r="K309" s="1275">
        <v>0.69799999999999995</v>
      </c>
    </row>
    <row r="310" spans="1:11" s="1272" customFormat="1">
      <c r="A310" s="1319">
        <v>25506</v>
      </c>
      <c r="B310" s="1272" t="s">
        <v>315</v>
      </c>
      <c r="C310" s="1272" t="s">
        <v>1557</v>
      </c>
      <c r="D310" s="850"/>
      <c r="E310" s="1274">
        <v>-4.2000000000000003E-2</v>
      </c>
      <c r="F310" s="1274">
        <v>-0.19700000000000001</v>
      </c>
      <c r="G310" s="1273" t="s">
        <v>246</v>
      </c>
      <c r="H310" s="1274">
        <v>0.25</v>
      </c>
      <c r="I310" s="1274">
        <v>-1.0999999999999999E-2</v>
      </c>
      <c r="J310" s="1274"/>
      <c r="K310" s="1275">
        <v>0.58499999999999996</v>
      </c>
    </row>
    <row r="311" spans="1:11" s="1272" customFormat="1">
      <c r="A311" s="1319">
        <v>25541</v>
      </c>
      <c r="B311" s="1272" t="s">
        <v>535</v>
      </c>
      <c r="C311" s="1272" t="s">
        <v>1545</v>
      </c>
      <c r="D311" s="850"/>
      <c r="E311" s="1274">
        <v>0.11600000000000001</v>
      </c>
      <c r="F311" s="1274">
        <v>-0.17</v>
      </c>
      <c r="G311" s="1274">
        <v>0.01</v>
      </c>
      <c r="H311" s="1273" t="s">
        <v>246</v>
      </c>
      <c r="I311" s="1274">
        <v>4.3999999999999997E-2</v>
      </c>
      <c r="J311" s="1274"/>
      <c r="K311" s="1275">
        <v>0.44700000000000001</v>
      </c>
    </row>
    <row r="312" spans="1:11" s="1272" customFormat="1">
      <c r="A312" s="1319">
        <v>25541</v>
      </c>
      <c r="B312" s="1272" t="s">
        <v>536</v>
      </c>
      <c r="C312" s="1272" t="s">
        <v>1559</v>
      </c>
      <c r="D312" s="850"/>
      <c r="E312" s="1274">
        <v>6.8000000000000005E-2</v>
      </c>
      <c r="F312" s="1274">
        <v>-0.126</v>
      </c>
      <c r="G312" s="1273" t="s">
        <v>246</v>
      </c>
      <c r="H312" s="1273" t="s">
        <v>246</v>
      </c>
      <c r="I312" s="1274">
        <v>5.8000000000000003E-2</v>
      </c>
      <c r="J312" s="1274"/>
      <c r="K312" s="1275">
        <v>0.69599999999999995</v>
      </c>
    </row>
    <row r="313" spans="1:11" s="1272" customFormat="1">
      <c r="A313" s="1319">
        <v>25639</v>
      </c>
      <c r="B313" s="1272" t="s">
        <v>537</v>
      </c>
      <c r="C313" s="1272" t="s">
        <v>1545</v>
      </c>
      <c r="D313" s="850"/>
      <c r="E313" s="1274">
        <v>0.111</v>
      </c>
      <c r="F313" s="1274">
        <v>-6.2E-2</v>
      </c>
      <c r="G313" s="1274">
        <v>-4.9000000000000002E-2</v>
      </c>
      <c r="H313" s="1273" t="s">
        <v>246</v>
      </c>
      <c r="I313" s="1273" t="s">
        <v>246</v>
      </c>
      <c r="J313" s="861"/>
      <c r="K313" s="1275">
        <v>0.70299999999999996</v>
      </c>
    </row>
    <row r="314" spans="1:11" s="1272" customFormat="1">
      <c r="A314" s="1319">
        <v>25646</v>
      </c>
      <c r="B314" s="1272" t="s">
        <v>281</v>
      </c>
      <c r="C314" s="1272" t="s">
        <v>1557</v>
      </c>
      <c r="D314" s="850"/>
      <c r="E314" s="1274">
        <v>-7.1999999999999995E-2</v>
      </c>
      <c r="F314" s="1274">
        <v>-0.13200000000000001</v>
      </c>
      <c r="G314" s="1273" t="s">
        <v>246</v>
      </c>
      <c r="H314" s="1274">
        <v>0.20399999999999999</v>
      </c>
      <c r="I314" s="1273" t="s">
        <v>246</v>
      </c>
      <c r="J314" s="861"/>
      <c r="K314" s="1275">
        <v>0.76300000000000001</v>
      </c>
    </row>
    <row r="315" spans="1:11" s="1272" customFormat="1">
      <c r="A315" s="1319"/>
      <c r="D315" s="850"/>
      <c r="E315" s="1274"/>
      <c r="F315" s="1274"/>
      <c r="G315" s="1273"/>
      <c r="H315" s="1274"/>
      <c r="I315" s="1273"/>
      <c r="J315" s="861"/>
      <c r="K315" s="1275"/>
    </row>
    <row r="316" spans="1:11" ht="5.25" customHeight="1">
      <c r="E316" s="1273"/>
      <c r="F316" s="1273"/>
      <c r="G316" s="1273"/>
      <c r="H316" s="1273"/>
      <c r="I316" s="1273"/>
      <c r="J316" s="861"/>
      <c r="K316" s="861"/>
    </row>
    <row r="317" spans="1:11" s="1272" customFormat="1">
      <c r="A317" s="2264" t="s">
        <v>794</v>
      </c>
      <c r="B317" s="2265"/>
      <c r="C317" s="2265"/>
      <c r="D317" s="2218"/>
      <c r="E317" s="2266"/>
      <c r="F317" s="2266"/>
      <c r="G317" s="2266"/>
      <c r="H317" s="2266"/>
      <c r="I317" s="2266"/>
      <c r="J317" s="2266"/>
      <c r="K317" s="2267"/>
    </row>
    <row r="318" spans="1:11" s="1272" customFormat="1" ht="6" customHeight="1">
      <c r="A318" s="1330"/>
      <c r="D318" s="850"/>
      <c r="E318" s="1274"/>
      <c r="F318" s="1274"/>
      <c r="G318" s="1274"/>
      <c r="H318" s="1274"/>
      <c r="I318" s="1274"/>
      <c r="J318" s="1274"/>
      <c r="K318" s="1275"/>
    </row>
    <row r="319" spans="1:11" s="1272" customFormat="1">
      <c r="A319" s="1319">
        <v>25863</v>
      </c>
      <c r="B319" s="1272" t="s">
        <v>486</v>
      </c>
      <c r="C319" s="1272" t="s">
        <v>1545</v>
      </c>
      <c r="D319" s="850"/>
      <c r="E319" s="1274">
        <v>1.2999999999999999E-2</v>
      </c>
      <c r="F319" s="1274">
        <v>-2.3E-2</v>
      </c>
      <c r="G319" s="1274">
        <v>-2.4E-2</v>
      </c>
      <c r="H319" s="1273" t="s">
        <v>246</v>
      </c>
      <c r="I319" s="1274">
        <v>3.4000000000000002E-2</v>
      </c>
      <c r="J319" s="1274"/>
      <c r="K319" s="1275">
        <v>0.35299999999999998</v>
      </c>
    </row>
    <row r="320" spans="1:11" s="1272" customFormat="1">
      <c r="A320" s="1319">
        <v>25891</v>
      </c>
      <c r="B320" s="1272" t="s">
        <v>538</v>
      </c>
      <c r="C320" s="1272" t="s">
        <v>1545</v>
      </c>
      <c r="D320" s="850"/>
      <c r="E320" s="1274">
        <v>-6.0000000000000001E-3</v>
      </c>
      <c r="F320" s="1274">
        <v>-2E-3</v>
      </c>
      <c r="G320" s="1274">
        <v>-5.0000000000000001E-3</v>
      </c>
      <c r="H320" s="1273" t="s">
        <v>246</v>
      </c>
      <c r="I320" s="1274">
        <v>1.2999999999999999E-2</v>
      </c>
      <c r="J320" s="1274"/>
      <c r="K320" s="1275">
        <v>0.499</v>
      </c>
    </row>
    <row r="321" spans="1:11" s="1272" customFormat="1">
      <c r="A321" s="1319">
        <v>26024</v>
      </c>
      <c r="B321" s="1272" t="s">
        <v>495</v>
      </c>
      <c r="C321" s="1272" t="s">
        <v>1557</v>
      </c>
      <c r="D321" s="850"/>
      <c r="E321" s="1274">
        <v>-6.8000000000000005E-2</v>
      </c>
      <c r="F321" s="1274">
        <v>-3.5000000000000003E-2</v>
      </c>
      <c r="G321" s="1273" t="s">
        <v>246</v>
      </c>
      <c r="H321" s="1273" t="s">
        <v>246</v>
      </c>
      <c r="I321" s="1274">
        <v>0.10299999999999999</v>
      </c>
      <c r="J321" s="1274"/>
      <c r="K321" s="1275">
        <v>0.377</v>
      </c>
    </row>
    <row r="322" spans="1:11" s="1272" customFormat="1">
      <c r="A322" s="1319">
        <v>26024</v>
      </c>
      <c r="B322" s="1272" t="s">
        <v>366</v>
      </c>
      <c r="C322" s="1272" t="s">
        <v>1545</v>
      </c>
      <c r="D322" s="850"/>
      <c r="E322" s="1274">
        <v>3.3000000000000002E-2</v>
      </c>
      <c r="F322" s="1274">
        <v>-0.02</v>
      </c>
      <c r="G322" s="1274">
        <v>-1.6E-2</v>
      </c>
      <c r="H322" s="1273" t="s">
        <v>246</v>
      </c>
      <c r="I322" s="1274">
        <v>3.0000000000000001E-3</v>
      </c>
      <c r="J322" s="1274"/>
      <c r="K322" s="1275">
        <v>0.53100000000000003</v>
      </c>
    </row>
    <row r="323" spans="1:11" s="1272" customFormat="1">
      <c r="A323" s="1319">
        <v>26080</v>
      </c>
      <c r="B323" s="1272" t="s">
        <v>539</v>
      </c>
      <c r="C323" s="1272" t="s">
        <v>1557</v>
      </c>
      <c r="D323" s="850"/>
      <c r="E323" s="1274">
        <v>0.316</v>
      </c>
      <c r="F323" s="1274">
        <v>-0.11799999999999999</v>
      </c>
      <c r="G323" s="1274">
        <v>5.3999999999999999E-2</v>
      </c>
      <c r="H323" s="1273" t="s">
        <v>246</v>
      </c>
      <c r="I323" s="1274">
        <v>-0.252</v>
      </c>
      <c r="J323" s="1274"/>
      <c r="K323" s="1275">
        <v>0.501</v>
      </c>
    </row>
    <row r="324" spans="1:11" s="1272" customFormat="1">
      <c r="A324" s="1319">
        <v>26080</v>
      </c>
      <c r="B324" s="1272" t="s">
        <v>540</v>
      </c>
      <c r="C324" s="1272" t="s">
        <v>1560</v>
      </c>
      <c r="D324" s="850"/>
      <c r="E324" s="1274">
        <v>-0.10100000000000001</v>
      </c>
      <c r="F324" s="1274">
        <v>0.10100000000000001</v>
      </c>
      <c r="G324" s="1273" t="s">
        <v>246</v>
      </c>
      <c r="H324" s="1273" t="s">
        <v>246</v>
      </c>
      <c r="I324" s="1273" t="s">
        <v>246</v>
      </c>
      <c r="J324" s="861"/>
      <c r="K324" s="1275">
        <v>0.67</v>
      </c>
    </row>
    <row r="325" spans="1:11" s="1272" customFormat="1">
      <c r="A325" s="1319">
        <v>26080</v>
      </c>
      <c r="B325" s="1272" t="s">
        <v>541</v>
      </c>
      <c r="C325" s="1272" t="s">
        <v>1557</v>
      </c>
      <c r="D325" s="850"/>
      <c r="E325" s="1274">
        <v>-8.6999999999999994E-2</v>
      </c>
      <c r="F325" s="1274">
        <v>8.6999999999999994E-2</v>
      </c>
      <c r="G325" s="1273" t="s">
        <v>246</v>
      </c>
      <c r="H325" s="1273" t="s">
        <v>246</v>
      </c>
      <c r="I325" s="1273" t="s">
        <v>246</v>
      </c>
      <c r="J325" s="861"/>
      <c r="K325" s="1275">
        <v>0.55600000000000005</v>
      </c>
    </row>
    <row r="326" spans="1:11" s="1272" customFormat="1">
      <c r="A326" s="1319">
        <v>26101</v>
      </c>
      <c r="B326" s="1272" t="s">
        <v>356</v>
      </c>
      <c r="C326" s="1272" t="s">
        <v>1557</v>
      </c>
      <c r="D326" s="850"/>
      <c r="E326" s="1274">
        <v>-0.159</v>
      </c>
      <c r="F326" s="1274">
        <v>0.17</v>
      </c>
      <c r="G326" s="1273" t="s">
        <v>246</v>
      </c>
      <c r="H326" s="1273" t="s">
        <v>246</v>
      </c>
      <c r="I326" s="1274">
        <v>-1.0999999999999999E-2</v>
      </c>
      <c r="J326" s="1274"/>
      <c r="K326" s="1275">
        <v>0.42299999999999999</v>
      </c>
    </row>
    <row r="327" spans="1:11" s="1272" customFormat="1">
      <c r="A327" s="1319">
        <v>26122</v>
      </c>
      <c r="B327" s="1272" t="s">
        <v>542</v>
      </c>
      <c r="C327" s="1272" t="s">
        <v>1557</v>
      </c>
      <c r="D327" s="850"/>
      <c r="E327" s="1274">
        <v>-8.3000000000000004E-2</v>
      </c>
      <c r="F327" s="1274">
        <v>9.4E-2</v>
      </c>
      <c r="G327" s="1274">
        <v>-6.4000000000000001E-2</v>
      </c>
      <c r="H327" s="1273" t="s">
        <v>246</v>
      </c>
      <c r="I327" s="1274">
        <v>5.2999999999999999E-2</v>
      </c>
      <c r="J327" s="1274"/>
      <c r="K327" s="1275">
        <v>0.39200000000000002</v>
      </c>
    </row>
    <row r="328" spans="1:11" s="1272" customFormat="1">
      <c r="A328" s="1319">
        <v>26192</v>
      </c>
      <c r="B328" s="1272" t="s">
        <v>316</v>
      </c>
      <c r="C328" s="1272" t="s">
        <v>1557</v>
      </c>
      <c r="D328" s="850"/>
      <c r="E328" s="1274">
        <v>-0.159</v>
      </c>
      <c r="F328" s="1274">
        <v>-4.2000000000000003E-2</v>
      </c>
      <c r="G328" s="1273" t="s">
        <v>246</v>
      </c>
      <c r="H328" s="1274">
        <v>0.20100000000000001</v>
      </c>
      <c r="I328" s="1273" t="s">
        <v>246</v>
      </c>
      <c r="J328" s="861"/>
      <c r="K328" s="1275">
        <v>0.6</v>
      </c>
    </row>
    <row r="329" spans="1:11" s="1272" customFormat="1">
      <c r="A329" s="1319">
        <v>26199</v>
      </c>
      <c r="B329" s="1272" t="s">
        <v>543</v>
      </c>
      <c r="C329" s="1272" t="s">
        <v>1557</v>
      </c>
      <c r="D329" s="850"/>
      <c r="E329" s="1274">
        <v>-0.114</v>
      </c>
      <c r="F329" s="1274">
        <v>0.114</v>
      </c>
      <c r="G329" s="1273" t="s">
        <v>246</v>
      </c>
      <c r="H329" s="1273" t="s">
        <v>246</v>
      </c>
      <c r="I329" s="1273" t="s">
        <v>246</v>
      </c>
      <c r="J329" s="861"/>
      <c r="K329" s="1275">
        <v>0.45400000000000001</v>
      </c>
    </row>
    <row r="330" spans="1:11" s="1272" customFormat="1">
      <c r="A330" s="1319">
        <v>26206</v>
      </c>
      <c r="B330" s="1272" t="s">
        <v>544</v>
      </c>
      <c r="C330" s="1272" t="s">
        <v>1545</v>
      </c>
      <c r="D330" s="850"/>
      <c r="E330" s="1274">
        <v>-7.3999999999999996E-2</v>
      </c>
      <c r="F330" s="1274">
        <v>9.4E-2</v>
      </c>
      <c r="G330" s="1274">
        <v>-3.9E-2</v>
      </c>
      <c r="H330" s="1273" t="s">
        <v>246</v>
      </c>
      <c r="I330" s="1274">
        <v>1.9E-2</v>
      </c>
      <c r="J330" s="1274"/>
      <c r="K330" s="1275">
        <v>0.75800000000000001</v>
      </c>
    </row>
    <row r="331" spans="1:11" s="1272" customFormat="1">
      <c r="A331" s="1319">
        <v>26402</v>
      </c>
      <c r="B331" s="1272" t="s">
        <v>545</v>
      </c>
      <c r="C331" s="1272" t="s">
        <v>1565</v>
      </c>
      <c r="D331" s="850"/>
      <c r="E331" s="1274">
        <v>-2.4E-2</v>
      </c>
      <c r="F331" s="1274">
        <v>0.19800000000000001</v>
      </c>
      <c r="G331" s="1274">
        <v>2.4E-2</v>
      </c>
      <c r="H331" s="1274">
        <v>0.27400000000000002</v>
      </c>
      <c r="I331" s="1274">
        <f>0.047-0.519</f>
        <v>-0.47200000000000003</v>
      </c>
      <c r="J331" s="1274"/>
      <c r="K331" s="1275">
        <v>0.79500000000000004</v>
      </c>
    </row>
    <row r="332" spans="1:11" s="1272" customFormat="1">
      <c r="A332" s="1319">
        <v>26423</v>
      </c>
      <c r="B332" s="1272" t="s">
        <v>547</v>
      </c>
      <c r="C332" s="1272" t="s">
        <v>1565</v>
      </c>
      <c r="D332" s="850"/>
      <c r="E332" s="1274">
        <v>-0.10100000000000001</v>
      </c>
      <c r="F332" s="1274">
        <v>0.12</v>
      </c>
      <c r="G332" s="1273" t="s">
        <v>246</v>
      </c>
      <c r="H332" s="1273" t="s">
        <v>246</v>
      </c>
      <c r="I332" s="1274">
        <v>-1.9E-2</v>
      </c>
      <c r="J332" s="1274"/>
      <c r="K332" s="1275">
        <v>0.32100000000000001</v>
      </c>
    </row>
    <row r="333" spans="1:11" s="1272" customFormat="1">
      <c r="A333" s="1319">
        <v>26423</v>
      </c>
      <c r="B333" s="1272" t="s">
        <v>548</v>
      </c>
      <c r="C333" s="1272" t="s">
        <v>1545</v>
      </c>
      <c r="D333" s="850"/>
      <c r="E333" s="1274">
        <v>-4.2999999999999997E-2</v>
      </c>
      <c r="F333" s="1274">
        <v>-7.0000000000000001E-3</v>
      </c>
      <c r="G333" s="1274">
        <v>-4.0000000000000001E-3</v>
      </c>
      <c r="H333" s="1273" t="s">
        <v>246</v>
      </c>
      <c r="I333" s="1274">
        <v>5.3999999999999999E-2</v>
      </c>
      <c r="J333" s="1274"/>
      <c r="K333" s="1275">
        <v>0.53600000000000003</v>
      </c>
    </row>
    <row r="334" spans="1:11" s="1272" customFormat="1">
      <c r="A334" s="1319">
        <v>26598</v>
      </c>
      <c r="B334" s="1272" t="s">
        <v>415</v>
      </c>
      <c r="C334" s="1272" t="s">
        <v>1564</v>
      </c>
      <c r="D334" s="850"/>
      <c r="E334" s="1274">
        <v>-0.10299999999999999</v>
      </c>
      <c r="F334" s="1274">
        <v>-0.105</v>
      </c>
      <c r="G334" s="1274">
        <v>0.11899999999999999</v>
      </c>
      <c r="H334" s="1273" t="s">
        <v>246</v>
      </c>
      <c r="I334" s="1274">
        <v>8.8999999999999996E-2</v>
      </c>
      <c r="J334" s="1274"/>
      <c r="K334" s="1275">
        <v>0.69099999999999995</v>
      </c>
    </row>
    <row r="335" spans="1:11" s="1272" customFormat="1">
      <c r="A335" s="1319">
        <v>26640</v>
      </c>
      <c r="B335" s="1272" t="s">
        <v>549</v>
      </c>
      <c r="C335" s="1272" t="s">
        <v>1550</v>
      </c>
      <c r="D335" s="850"/>
      <c r="E335" s="1274">
        <v>-0.26200000000000001</v>
      </c>
      <c r="F335" s="1274">
        <v>-0.186</v>
      </c>
      <c r="G335" s="1274">
        <v>0.39</v>
      </c>
      <c r="H335" s="1273" t="s">
        <v>246</v>
      </c>
      <c r="I335" s="1274">
        <v>5.8000000000000003E-2</v>
      </c>
      <c r="J335" s="1274"/>
      <c r="K335" s="1275">
        <v>0.56299999999999994</v>
      </c>
    </row>
    <row r="336" spans="1:11" s="1272" customFormat="1">
      <c r="A336" s="1319">
        <v>26640</v>
      </c>
      <c r="B336" s="1272" t="s">
        <v>550</v>
      </c>
      <c r="C336" s="1272" t="s">
        <v>1545</v>
      </c>
      <c r="D336" s="850"/>
      <c r="E336" s="1274">
        <v>-9.4E-2</v>
      </c>
      <c r="F336" s="1274">
        <v>-5.0999999999999997E-2</v>
      </c>
      <c r="G336" s="1274">
        <v>1.2999999999999999E-2</v>
      </c>
      <c r="H336" s="1273" t="s">
        <v>246</v>
      </c>
      <c r="I336" s="1274">
        <v>0.13200000000000001</v>
      </c>
      <c r="J336" s="1274"/>
      <c r="K336" s="1275">
        <v>0.54300000000000004</v>
      </c>
    </row>
    <row r="337" spans="1:15" s="1272" customFormat="1">
      <c r="A337" s="1319">
        <v>26724</v>
      </c>
      <c r="B337" s="1272" t="s">
        <v>461</v>
      </c>
      <c r="C337" s="1272" t="s">
        <v>1566</v>
      </c>
      <c r="D337" s="850"/>
      <c r="E337" s="1274">
        <v>-0.215</v>
      </c>
      <c r="F337" s="1274">
        <v>-0.27700000000000002</v>
      </c>
      <c r="G337" s="1273" t="s">
        <v>246</v>
      </c>
      <c r="H337" s="1273" t="s">
        <v>246</v>
      </c>
      <c r="I337" s="1274">
        <v>0.49199999999999999</v>
      </c>
      <c r="J337" s="1274"/>
      <c r="K337" s="1275">
        <v>0.72599999999999998</v>
      </c>
    </row>
    <row r="338" spans="1:15" s="1272" customFormat="1">
      <c r="A338" s="1319">
        <v>26724</v>
      </c>
      <c r="B338" s="1272" t="s">
        <v>552</v>
      </c>
      <c r="C338" s="1272" t="s">
        <v>1557</v>
      </c>
      <c r="D338" s="850"/>
      <c r="E338" s="1274">
        <v>-0.2</v>
      </c>
      <c r="F338" s="1274">
        <v>-0.186</v>
      </c>
      <c r="G338" s="1274">
        <v>0.38600000000000001</v>
      </c>
      <c r="H338" s="1273" t="s">
        <v>246</v>
      </c>
      <c r="I338" s="1273" t="s">
        <v>246</v>
      </c>
      <c r="J338" s="861"/>
      <c r="K338" s="1275">
        <v>0.72299999999999998</v>
      </c>
    </row>
    <row r="339" spans="1:15" s="1272" customFormat="1">
      <c r="A339" s="1319">
        <v>26724</v>
      </c>
      <c r="B339" s="1272" t="s">
        <v>553</v>
      </c>
      <c r="C339" s="1272" t="s">
        <v>1557</v>
      </c>
      <c r="D339" s="850"/>
      <c r="E339" s="1274">
        <v>-0.17199999999999999</v>
      </c>
      <c r="F339" s="1274">
        <v>-0.156</v>
      </c>
      <c r="G339" s="1274">
        <v>8.3000000000000004E-2</v>
      </c>
      <c r="H339" s="1274">
        <v>0.21299999999999999</v>
      </c>
      <c r="I339" s="1274">
        <v>3.2000000000000001E-2</v>
      </c>
      <c r="J339" s="1274"/>
      <c r="K339" s="1275">
        <v>0.70599999999999996</v>
      </c>
    </row>
    <row r="340" spans="1:15" s="1272" customFormat="1">
      <c r="A340" s="1319">
        <v>26808</v>
      </c>
      <c r="B340" s="1272" t="s">
        <v>554</v>
      </c>
      <c r="C340" s="1272" t="s">
        <v>1557</v>
      </c>
      <c r="D340" s="850"/>
      <c r="E340" s="1274">
        <v>-0.19400000000000001</v>
      </c>
      <c r="F340" s="1274">
        <v>-0.02</v>
      </c>
      <c r="G340" s="1273" t="s">
        <v>246</v>
      </c>
      <c r="H340" s="1273" t="s">
        <v>246</v>
      </c>
      <c r="I340" s="1274">
        <v>0.214</v>
      </c>
      <c r="J340" s="1274"/>
      <c r="K340" s="1275">
        <v>0.436</v>
      </c>
    </row>
    <row r="341" spans="1:15" s="1272" customFormat="1">
      <c r="A341" s="1319">
        <v>26808</v>
      </c>
      <c r="B341" s="1272" t="s">
        <v>339</v>
      </c>
      <c r="C341" s="1272" t="s">
        <v>1557</v>
      </c>
      <c r="D341" s="850"/>
      <c r="E341" s="1274">
        <v>-2.3E-2</v>
      </c>
      <c r="F341" s="1274">
        <v>1.6E-2</v>
      </c>
      <c r="G341" s="1273" t="s">
        <v>246</v>
      </c>
      <c r="H341" s="1273" t="s">
        <v>246</v>
      </c>
      <c r="I341" s="1274">
        <v>7.0000000000000001E-3</v>
      </c>
      <c r="J341" s="1274"/>
      <c r="K341" s="1275">
        <v>0.63400000000000001</v>
      </c>
    </row>
    <row r="342" spans="1:15" s="1272" customFormat="1">
      <c r="A342" s="1319">
        <v>26842</v>
      </c>
      <c r="B342" s="1272" t="s">
        <v>555</v>
      </c>
      <c r="C342" s="1272" t="s">
        <v>1557</v>
      </c>
      <c r="D342" s="850"/>
      <c r="E342" s="1274">
        <v>-0.20699999999999999</v>
      </c>
      <c r="F342" s="1274">
        <v>-0.13200000000000001</v>
      </c>
      <c r="G342" s="1274">
        <v>0.36499999999999999</v>
      </c>
      <c r="H342" s="1273" t="s">
        <v>246</v>
      </c>
      <c r="I342" s="1274">
        <v>-2.5999999999999999E-2</v>
      </c>
      <c r="J342" s="1274"/>
      <c r="K342" s="1275">
        <v>0.437</v>
      </c>
    </row>
    <row r="343" spans="1:15" s="1272" customFormat="1">
      <c r="A343" s="1319">
        <v>26871</v>
      </c>
      <c r="B343" s="1272" t="s">
        <v>556</v>
      </c>
      <c r="C343" s="1272" t="s">
        <v>1550</v>
      </c>
      <c r="D343" s="850"/>
      <c r="E343" s="1274">
        <v>-0.249</v>
      </c>
      <c r="F343" s="1274">
        <v>-0.13400000000000001</v>
      </c>
      <c r="G343" s="1274">
        <v>0.38300000000000001</v>
      </c>
      <c r="H343" s="1273" t="s">
        <v>246</v>
      </c>
      <c r="I343" s="1273" t="s">
        <v>246</v>
      </c>
      <c r="J343" s="861"/>
      <c r="K343" s="1275">
        <v>0.65800000000000003</v>
      </c>
    </row>
    <row r="344" spans="1:15" s="1272" customFormat="1">
      <c r="A344" s="1319">
        <v>26871</v>
      </c>
      <c r="B344" s="1272" t="s">
        <v>557</v>
      </c>
      <c r="C344" s="1272" t="s">
        <v>1550</v>
      </c>
      <c r="D344" s="850"/>
      <c r="E344" s="1274">
        <v>-0.20200000000000001</v>
      </c>
      <c r="F344" s="1274">
        <v>-0.123</v>
      </c>
      <c r="G344" s="1274">
        <v>0.30399999999999999</v>
      </c>
      <c r="H344" s="1273" t="s">
        <v>246</v>
      </c>
      <c r="I344" s="1274">
        <v>2.1000000000000001E-2</v>
      </c>
      <c r="J344" s="1274"/>
      <c r="K344" s="1275">
        <v>0.64300000000000002</v>
      </c>
    </row>
    <row r="345" spans="1:15" s="1272" customFormat="1">
      <c r="A345" s="1319">
        <v>26976</v>
      </c>
      <c r="B345" s="1272" t="s">
        <v>504</v>
      </c>
      <c r="C345" s="1272" t="s">
        <v>1545</v>
      </c>
      <c r="D345" s="850"/>
      <c r="E345" s="1274">
        <v>-0.20899999999999999</v>
      </c>
      <c r="F345" s="1274">
        <v>-0.19700000000000001</v>
      </c>
      <c r="G345" s="1274">
        <v>0.373</v>
      </c>
      <c r="H345" s="1273" t="s">
        <v>246</v>
      </c>
      <c r="I345" s="1274">
        <v>3.3000000000000002E-2</v>
      </c>
      <c r="J345" s="1274"/>
      <c r="K345" s="1275">
        <v>0.624</v>
      </c>
    </row>
    <row r="346" spans="1:15" s="1272" customFormat="1">
      <c r="A346" s="1319">
        <v>26976</v>
      </c>
      <c r="B346" s="1272" t="s">
        <v>558</v>
      </c>
      <c r="C346" s="1272" t="s">
        <v>1550</v>
      </c>
      <c r="D346" s="850"/>
      <c r="E346" s="1274">
        <v>-0.11</v>
      </c>
      <c r="F346" s="1274">
        <v>-7.5999999999999998E-2</v>
      </c>
      <c r="G346" s="1274">
        <v>0.18</v>
      </c>
      <c r="H346" s="1273" t="s">
        <v>246</v>
      </c>
      <c r="I346" s="1274">
        <v>6.0000000000000001E-3</v>
      </c>
      <c r="J346" s="1274"/>
      <c r="K346" s="1275">
        <v>0.75</v>
      </c>
    </row>
    <row r="347" spans="1:15" s="1272" customFormat="1">
      <c r="A347" s="1319">
        <v>26976</v>
      </c>
      <c r="B347" s="1272" t="s">
        <v>380</v>
      </c>
      <c r="C347" s="1272" t="s">
        <v>1545</v>
      </c>
      <c r="D347" s="850"/>
      <c r="E347" s="1274">
        <v>-0.14099999999999999</v>
      </c>
      <c r="F347" s="1274">
        <v>-0.13100000000000001</v>
      </c>
      <c r="G347" s="1274">
        <v>8.3000000000000004E-2</v>
      </c>
      <c r="H347" s="1274">
        <v>0.189</v>
      </c>
      <c r="I347" s="1273" t="s">
        <v>246</v>
      </c>
      <c r="J347" s="861"/>
      <c r="K347" s="1275">
        <v>0.54400000000000004</v>
      </c>
    </row>
    <row r="348" spans="1:15" s="1272" customFormat="1">
      <c r="A348" s="1319">
        <v>26976</v>
      </c>
      <c r="B348" s="1272" t="s">
        <v>559</v>
      </c>
      <c r="C348" s="1272" t="s">
        <v>1563</v>
      </c>
      <c r="D348" s="850"/>
      <c r="E348" s="1274">
        <v>-0.16500000000000001</v>
      </c>
      <c r="F348" s="1274">
        <v>-0.218</v>
      </c>
      <c r="G348" s="1274">
        <v>8.2000000000000003E-2</v>
      </c>
      <c r="H348" s="1274">
        <v>0.316</v>
      </c>
      <c r="I348" s="1274">
        <v>-1.4999999999999999E-2</v>
      </c>
      <c r="J348" s="1274"/>
      <c r="K348" s="1275">
        <v>0.51700000000000002</v>
      </c>
    </row>
    <row r="349" spans="1:15" ht="15.75" customHeight="1" thickBot="1">
      <c r="A349" s="1364"/>
      <c r="B349" s="1364"/>
      <c r="C349" s="1364"/>
      <c r="D349" s="3441" t="s">
        <v>1165</v>
      </c>
      <c r="E349" s="3441"/>
      <c r="F349" s="3441"/>
      <c r="G349" s="3441"/>
      <c r="H349" s="3441"/>
      <c r="I349" s="3441"/>
      <c r="J349" s="3441"/>
      <c r="K349" s="1366"/>
    </row>
    <row r="350" spans="1:15" s="1312" customFormat="1" ht="3" customHeight="1">
      <c r="A350" s="1364"/>
      <c r="B350" s="1364"/>
      <c r="C350" s="1364"/>
      <c r="D350" s="2223"/>
      <c r="E350" s="2223"/>
      <c r="F350" s="2223"/>
      <c r="G350" s="2223"/>
      <c r="H350" s="2223"/>
      <c r="I350" s="2223"/>
      <c r="J350" s="2223"/>
      <c r="K350" s="1366"/>
      <c r="L350" s="1311"/>
      <c r="M350" s="1311"/>
      <c r="N350" s="1311"/>
      <c r="O350" s="1311"/>
    </row>
    <row r="351" spans="1:15">
      <c r="A351" s="1364" t="s">
        <v>268</v>
      </c>
      <c r="B351" s="1364" t="s">
        <v>269</v>
      </c>
      <c r="C351" s="1364" t="s">
        <v>216</v>
      </c>
      <c r="D351" s="871"/>
      <c r="E351" s="2243" t="s">
        <v>806</v>
      </c>
      <c r="F351" s="2244" t="s">
        <v>807</v>
      </c>
      <c r="G351" s="2245" t="s">
        <v>808</v>
      </c>
      <c r="H351" s="1363" t="s">
        <v>95</v>
      </c>
      <c r="I351" s="2246" t="s">
        <v>1972</v>
      </c>
      <c r="J351" s="1183"/>
      <c r="K351" s="1183" t="s">
        <v>219</v>
      </c>
    </row>
    <row r="352" spans="1:15" ht="3" customHeight="1">
      <c r="A352" s="1364"/>
      <c r="B352" s="1364"/>
      <c r="C352" s="1364"/>
      <c r="D352" s="871"/>
      <c r="E352" s="1374"/>
      <c r="F352" s="1374"/>
      <c r="G352" s="1374"/>
      <c r="H352" s="1374"/>
      <c r="I352" s="1374"/>
      <c r="J352" s="1183"/>
      <c r="K352" s="1183"/>
    </row>
    <row r="353" spans="1:11" ht="4" customHeight="1">
      <c r="E353" s="1273"/>
      <c r="F353" s="1273"/>
      <c r="G353" s="1273"/>
      <c r="H353" s="1273"/>
      <c r="I353" s="1273"/>
      <c r="J353" s="861"/>
      <c r="K353" s="861"/>
    </row>
    <row r="354" spans="1:11" s="1272" customFormat="1" ht="4.5" customHeight="1">
      <c r="A354" s="1319"/>
      <c r="D354" s="850"/>
      <c r="E354" s="1274"/>
      <c r="F354" s="1274"/>
      <c r="G354" s="1274"/>
      <c r="H354" s="1274"/>
      <c r="I354" s="1274"/>
      <c r="J354" s="850"/>
      <c r="K354" s="850"/>
    </row>
    <row r="355" spans="1:11" s="1272" customFormat="1">
      <c r="A355" s="2264" t="s">
        <v>795</v>
      </c>
      <c r="B355" s="2265"/>
      <c r="C355" s="2265"/>
      <c r="D355" s="2218"/>
      <c r="E355" s="2266"/>
      <c r="F355" s="2266"/>
      <c r="G355" s="2266"/>
      <c r="H355" s="2266"/>
      <c r="I355" s="2266"/>
      <c r="J355" s="2266"/>
      <c r="K355" s="2267"/>
    </row>
    <row r="356" spans="1:11" s="1272" customFormat="1" ht="4.5" customHeight="1">
      <c r="A356" s="1330"/>
      <c r="D356" s="850"/>
      <c r="E356" s="1274"/>
      <c r="F356" s="1274"/>
      <c r="G356" s="1274"/>
      <c r="H356" s="1274"/>
      <c r="I356" s="1274"/>
      <c r="J356" s="1274"/>
      <c r="K356" s="1275"/>
    </row>
    <row r="357" spans="1:11" s="1272" customFormat="1">
      <c r="A357" s="1319">
        <v>27172</v>
      </c>
      <c r="B357" s="1272" t="s">
        <v>560</v>
      </c>
      <c r="C357" s="1272" t="s">
        <v>1557</v>
      </c>
      <c r="D357" s="850"/>
      <c r="E357" s="1274">
        <v>-1.0999999999999999E-2</v>
      </c>
      <c r="F357" s="1274">
        <v>-3.4000000000000002E-2</v>
      </c>
      <c r="G357" s="1274">
        <v>-2.3E-2</v>
      </c>
      <c r="H357" s="1273" t="s">
        <v>246</v>
      </c>
      <c r="I357" s="1274">
        <v>6.8000000000000005E-2</v>
      </c>
      <c r="J357" s="1274"/>
      <c r="K357" s="1275">
        <v>0.25900000000000001</v>
      </c>
    </row>
    <row r="358" spans="1:11" s="1272" customFormat="1" ht="3.75" customHeight="1">
      <c r="A358" s="1330"/>
      <c r="D358" s="850"/>
      <c r="E358" s="1274"/>
      <c r="F358" s="1274"/>
      <c r="G358" s="1274"/>
      <c r="H358" s="1274"/>
      <c r="I358" s="1274"/>
      <c r="J358" s="1274"/>
      <c r="K358" s="1275"/>
    </row>
    <row r="359" spans="1:11" s="1272" customFormat="1">
      <c r="A359" s="2264" t="s">
        <v>796</v>
      </c>
      <c r="B359" s="2265"/>
      <c r="C359" s="2265"/>
      <c r="D359" s="2218"/>
      <c r="E359" s="2266"/>
      <c r="F359" s="2266"/>
      <c r="G359" s="2266"/>
      <c r="H359" s="2266"/>
      <c r="I359" s="2266"/>
      <c r="J359" s="2266"/>
      <c r="K359" s="2267"/>
    </row>
    <row r="360" spans="1:11" s="1272" customFormat="1" ht="6" customHeight="1">
      <c r="A360" s="1319"/>
      <c r="D360" s="850"/>
      <c r="E360" s="1274"/>
      <c r="F360" s="1274"/>
      <c r="G360" s="1274"/>
      <c r="H360" s="1274"/>
      <c r="I360" s="1274"/>
      <c r="J360" s="1274"/>
      <c r="K360" s="1275"/>
    </row>
    <row r="361" spans="1:11" s="1272" customFormat="1">
      <c r="A361" s="1319">
        <v>27571</v>
      </c>
      <c r="B361" s="1272" t="s">
        <v>561</v>
      </c>
      <c r="C361" s="1272" t="s">
        <v>1559</v>
      </c>
      <c r="D361" s="850"/>
      <c r="E361" s="1274">
        <v>0.10199999999999999</v>
      </c>
      <c r="F361" s="1274">
        <v>-0.05</v>
      </c>
      <c r="G361" s="1274">
        <v>-0.09</v>
      </c>
      <c r="H361" s="1273" t="s">
        <v>246</v>
      </c>
      <c r="I361" s="1274">
        <v>3.7999999999999999E-2</v>
      </c>
      <c r="J361" s="1274"/>
      <c r="K361" s="1275">
        <v>0.623</v>
      </c>
    </row>
    <row r="362" spans="1:11" s="1272" customFormat="1">
      <c r="A362" s="1319">
        <v>27823</v>
      </c>
      <c r="B362" s="1272" t="s">
        <v>562</v>
      </c>
      <c r="C362" s="1272" t="s">
        <v>1557</v>
      </c>
      <c r="D362" s="850"/>
      <c r="E362" s="1274">
        <v>5.8000000000000003E-2</v>
      </c>
      <c r="F362" s="1274">
        <v>-4.2000000000000003E-2</v>
      </c>
      <c r="G362" s="1274">
        <v>-4.3999999999999997E-2</v>
      </c>
      <c r="H362" s="1273" t="s">
        <v>246</v>
      </c>
      <c r="I362" s="1274">
        <v>2.8000000000000001E-2</v>
      </c>
      <c r="J362" s="1274"/>
      <c r="K362" s="1275">
        <v>0.72899999999999998</v>
      </c>
    </row>
    <row r="363" spans="1:11" s="1272" customFormat="1">
      <c r="A363" s="1319">
        <v>27830</v>
      </c>
      <c r="B363" s="1272" t="s">
        <v>563</v>
      </c>
      <c r="C363" s="1272" t="s">
        <v>1545</v>
      </c>
      <c r="D363" s="850"/>
      <c r="E363" s="1274">
        <v>6.3E-2</v>
      </c>
      <c r="F363" s="1274">
        <v>-0.104</v>
      </c>
      <c r="G363" s="1274">
        <v>-1.7000000000000001E-2</v>
      </c>
      <c r="H363" s="1273" t="s">
        <v>246</v>
      </c>
      <c r="I363" s="1274">
        <v>5.8000000000000003E-2</v>
      </c>
      <c r="J363" s="1274"/>
      <c r="K363" s="1275">
        <v>0.60499999999999998</v>
      </c>
    </row>
    <row r="364" spans="1:11" s="1272" customFormat="1">
      <c r="A364" s="1319">
        <v>27830</v>
      </c>
      <c r="B364" s="1272" t="s">
        <v>565</v>
      </c>
      <c r="C364" s="1272" t="s">
        <v>1545</v>
      </c>
      <c r="D364" s="850"/>
      <c r="E364" s="1274">
        <v>0.16</v>
      </c>
      <c r="F364" s="1274">
        <v>-0.113</v>
      </c>
      <c r="G364" s="1274">
        <v>-6.2E-2</v>
      </c>
      <c r="H364" s="1273" t="s">
        <v>246</v>
      </c>
      <c r="I364" s="1274">
        <v>1.4999999999999999E-2</v>
      </c>
      <c r="J364" s="1274"/>
      <c r="K364" s="1275">
        <v>0.55500000000000005</v>
      </c>
    </row>
    <row r="365" spans="1:11" s="1272" customFormat="1">
      <c r="A365" s="1319">
        <v>27935</v>
      </c>
      <c r="B365" s="1272" t="s">
        <v>478</v>
      </c>
      <c r="C365" s="1272" t="s">
        <v>1557</v>
      </c>
      <c r="D365" s="850"/>
      <c r="E365" s="1274">
        <v>0.126</v>
      </c>
      <c r="F365" s="1274">
        <v>-0.13900000000000001</v>
      </c>
      <c r="G365" s="1274">
        <v>-5.5E-2</v>
      </c>
      <c r="H365" s="1273" t="s">
        <v>246</v>
      </c>
      <c r="I365" s="1274">
        <v>6.8000000000000005E-2</v>
      </c>
      <c r="J365" s="1274"/>
      <c r="K365" s="1275">
        <v>0.46800000000000003</v>
      </c>
    </row>
    <row r="366" spans="1:11" s="1272" customFormat="1">
      <c r="A366" s="1319">
        <v>27956</v>
      </c>
      <c r="B366" s="1272" t="s">
        <v>566</v>
      </c>
      <c r="C366" s="1272" t="s">
        <v>1557</v>
      </c>
      <c r="D366" s="850"/>
      <c r="E366" s="1274">
        <v>0.11</v>
      </c>
      <c r="F366" s="1274">
        <v>-0.10299999999999999</v>
      </c>
      <c r="G366" s="1274">
        <v>-7.8E-2</v>
      </c>
      <c r="H366" s="1273" t="s">
        <v>246</v>
      </c>
      <c r="I366" s="1274">
        <v>7.0999999999999994E-2</v>
      </c>
      <c r="J366" s="1274"/>
      <c r="K366" s="1275">
        <v>0.54100000000000004</v>
      </c>
    </row>
    <row r="367" spans="1:11" s="1272" customFormat="1" ht="12.75" customHeight="1">
      <c r="A367" s="1319">
        <v>28068</v>
      </c>
      <c r="B367" s="1272" t="s">
        <v>405</v>
      </c>
      <c r="C367" s="1272" t="s">
        <v>1557</v>
      </c>
      <c r="D367" s="850"/>
      <c r="E367" s="1274">
        <v>3.2000000000000001E-2</v>
      </c>
      <c r="F367" s="1274">
        <v>-0.24199999999999999</v>
      </c>
      <c r="G367" s="1274">
        <v>0.17299999999999999</v>
      </c>
      <c r="H367" s="1273" t="s">
        <v>246</v>
      </c>
      <c r="I367" s="1274">
        <v>3.6999999999999998E-2</v>
      </c>
      <c r="J367" s="1274"/>
      <c r="K367" s="1275">
        <v>0.41</v>
      </c>
    </row>
    <row r="368" spans="1:11" s="1272" customFormat="1" ht="12.75" customHeight="1">
      <c r="A368" s="1319">
        <v>28068</v>
      </c>
      <c r="B368" s="1272" t="s">
        <v>567</v>
      </c>
      <c r="C368" s="1272" t="s">
        <v>1551</v>
      </c>
      <c r="D368" s="850"/>
      <c r="E368" s="1274">
        <v>0.17299999999999999</v>
      </c>
      <c r="F368" s="1274">
        <v>-0.27900000000000003</v>
      </c>
      <c r="G368" s="1274">
        <v>-0.10199999999999999</v>
      </c>
      <c r="H368" s="1273" t="s">
        <v>246</v>
      </c>
      <c r="I368" s="1274">
        <v>0.20799999999999999</v>
      </c>
      <c r="J368" s="1274"/>
      <c r="K368" s="1275">
        <v>0.51500000000000001</v>
      </c>
    </row>
    <row r="369" spans="1:11" s="1272" customFormat="1">
      <c r="A369" s="1319">
        <v>28068</v>
      </c>
      <c r="B369" s="1272" t="s">
        <v>569</v>
      </c>
      <c r="C369" s="1272" t="s">
        <v>1559</v>
      </c>
      <c r="D369" s="850"/>
      <c r="E369" s="1274">
        <v>0.159</v>
      </c>
      <c r="F369" s="1274">
        <v>-0.104</v>
      </c>
      <c r="G369" s="1274">
        <v>-5.5E-2</v>
      </c>
      <c r="H369" s="1273" t="s">
        <v>246</v>
      </c>
      <c r="I369" s="1273" t="s">
        <v>246</v>
      </c>
      <c r="J369" s="861"/>
      <c r="K369" s="1275">
        <v>0.74199999999999999</v>
      </c>
    </row>
    <row r="370" spans="1:11" s="1272" customFormat="1">
      <c r="A370" s="1319">
        <v>28096</v>
      </c>
      <c r="B370" s="1272" t="s">
        <v>514</v>
      </c>
      <c r="C370" s="1272" t="s">
        <v>1545</v>
      </c>
      <c r="D370" s="850"/>
      <c r="E370" s="1274">
        <v>9.8000000000000004E-2</v>
      </c>
      <c r="F370" s="1274">
        <v>-0.1</v>
      </c>
      <c r="G370" s="1274">
        <v>-2.8000000000000001E-2</v>
      </c>
      <c r="H370" s="1273" t="s">
        <v>246</v>
      </c>
      <c r="I370" s="1274">
        <v>0.03</v>
      </c>
      <c r="J370" s="1274"/>
      <c r="K370" s="1275">
        <v>0.49199999999999999</v>
      </c>
    </row>
    <row r="371" spans="1:11" s="1272" customFormat="1" ht="12.75" customHeight="1">
      <c r="A371" s="1319">
        <v>28180</v>
      </c>
      <c r="B371" s="1272" t="s">
        <v>570</v>
      </c>
      <c r="C371" s="1272" t="s">
        <v>1545</v>
      </c>
      <c r="D371" s="1331"/>
      <c r="E371" s="1284">
        <v>7.3999999999999996E-2</v>
      </c>
      <c r="F371" s="1284">
        <v>-0.112</v>
      </c>
      <c r="G371" s="1284">
        <v>-5.0999999999999997E-2</v>
      </c>
      <c r="H371" s="1273" t="s">
        <v>246</v>
      </c>
      <c r="I371" s="1284">
        <v>8.8999999999999996E-2</v>
      </c>
      <c r="J371" s="1284"/>
      <c r="K371" s="1285">
        <v>0.39600000000000002</v>
      </c>
    </row>
    <row r="372" spans="1:11" s="1272" customFormat="1">
      <c r="A372" s="1319">
        <v>28215</v>
      </c>
      <c r="B372" s="1272" t="s">
        <v>571</v>
      </c>
      <c r="C372" s="1272" t="s">
        <v>1559</v>
      </c>
      <c r="D372" s="850"/>
      <c r="E372" s="1274">
        <v>0.156</v>
      </c>
      <c r="F372" s="1274">
        <v>-0.19600000000000001</v>
      </c>
      <c r="G372" s="1274">
        <v>-6.6000000000000003E-2</v>
      </c>
      <c r="H372" s="1273" t="s">
        <v>246</v>
      </c>
      <c r="I372" s="1274">
        <v>0.106</v>
      </c>
      <c r="J372" s="1274"/>
      <c r="K372" s="1275">
        <v>0.58799999999999997</v>
      </c>
    </row>
    <row r="373" spans="1:11" s="1272" customFormat="1">
      <c r="A373" s="1319">
        <v>28243</v>
      </c>
      <c r="B373" s="1272" t="s">
        <v>572</v>
      </c>
      <c r="C373" s="1272" t="s">
        <v>1559</v>
      </c>
      <c r="D373" s="850"/>
      <c r="E373" s="1274">
        <v>0.20799999999999999</v>
      </c>
      <c r="F373" s="1274">
        <v>-0.20899999999999999</v>
      </c>
      <c r="G373" s="1274">
        <v>-4.7E-2</v>
      </c>
      <c r="H373" s="1273" t="s">
        <v>246</v>
      </c>
      <c r="I373" s="1274">
        <v>4.8000000000000001E-2</v>
      </c>
      <c r="J373" s="1274"/>
      <c r="K373" s="1275">
        <v>0.59699999999999998</v>
      </c>
    </row>
    <row r="374" spans="1:11" s="1272" customFormat="1">
      <c r="A374" s="1319">
        <v>28243</v>
      </c>
      <c r="B374" s="1272" t="s">
        <v>573</v>
      </c>
      <c r="C374" s="1272" t="s">
        <v>1557</v>
      </c>
      <c r="D374" s="850"/>
      <c r="E374" s="1274">
        <v>0.13800000000000001</v>
      </c>
      <c r="F374" s="1274">
        <v>-2E-3</v>
      </c>
      <c r="G374" s="1274">
        <v>-0.13900000000000001</v>
      </c>
      <c r="H374" s="1273" t="s">
        <v>246</v>
      </c>
      <c r="I374" s="1274">
        <v>3.0000000000000001E-3</v>
      </c>
      <c r="J374" s="1274"/>
      <c r="K374" s="1275">
        <v>0.70199999999999996</v>
      </c>
    </row>
    <row r="375" spans="1:11" s="1272" customFormat="1">
      <c r="A375" s="1319">
        <v>28313</v>
      </c>
      <c r="B375" s="1272" t="s">
        <v>501</v>
      </c>
      <c r="C375" s="1272" t="s">
        <v>1545</v>
      </c>
      <c r="D375" s="850"/>
      <c r="E375" s="1274">
        <v>0.12</v>
      </c>
      <c r="F375" s="1274">
        <v>-0.114</v>
      </c>
      <c r="G375" s="1274">
        <v>-5.0999999999999997E-2</v>
      </c>
      <c r="H375" s="1273" t="s">
        <v>246</v>
      </c>
      <c r="I375" s="1274">
        <v>4.4999999999999998E-2</v>
      </c>
      <c r="J375" s="1274"/>
      <c r="K375" s="1275">
        <v>0.64800000000000002</v>
      </c>
    </row>
    <row r="376" spans="1:11" s="1272" customFormat="1">
      <c r="A376" s="1319">
        <v>28355</v>
      </c>
      <c r="B376" s="1272" t="s">
        <v>133</v>
      </c>
      <c r="C376" s="1272" t="s">
        <v>1557</v>
      </c>
      <c r="D376" s="850"/>
      <c r="E376" s="1274">
        <v>6.3E-2</v>
      </c>
      <c r="F376" s="1274">
        <v>-0.114</v>
      </c>
      <c r="G376" s="1274">
        <v>-8.5000000000000006E-2</v>
      </c>
      <c r="H376" s="1273" t="s">
        <v>246</v>
      </c>
      <c r="I376" s="1274">
        <v>0.13600000000000001</v>
      </c>
      <c r="J376" s="1274"/>
      <c r="K376" s="1275">
        <v>0.42599999999999999</v>
      </c>
    </row>
    <row r="377" spans="1:11" s="1272" customFormat="1">
      <c r="A377" s="1319">
        <v>28453</v>
      </c>
      <c r="B377" s="1272" t="s">
        <v>574</v>
      </c>
      <c r="C377" s="1272" t="s">
        <v>1545</v>
      </c>
      <c r="D377" s="850"/>
      <c r="E377" s="1274">
        <v>0.11700000000000001</v>
      </c>
      <c r="F377" s="1274">
        <v>-5.7000000000000002E-2</v>
      </c>
      <c r="G377" s="1274">
        <v>-0.11799999999999999</v>
      </c>
      <c r="H377" s="1273" t="s">
        <v>246</v>
      </c>
      <c r="I377" s="1274">
        <v>5.8000000000000003E-2</v>
      </c>
      <c r="J377" s="1274"/>
      <c r="K377" s="1275">
        <v>0.42599999999999999</v>
      </c>
    </row>
    <row r="378" spans="1:11" s="1272" customFormat="1">
      <c r="A378" s="1319">
        <v>28551</v>
      </c>
      <c r="B378" s="1272" t="s">
        <v>575</v>
      </c>
      <c r="C378" s="1272" t="s">
        <v>1559</v>
      </c>
      <c r="D378" s="850"/>
      <c r="E378" s="1274">
        <v>9.4E-2</v>
      </c>
      <c r="F378" s="1274">
        <v>-4.4999999999999998E-2</v>
      </c>
      <c r="G378" s="1274">
        <v>-0.11600000000000001</v>
      </c>
      <c r="H378" s="1273" t="s">
        <v>246</v>
      </c>
      <c r="I378" s="1274">
        <v>6.7000000000000004E-2</v>
      </c>
      <c r="J378" s="1274"/>
      <c r="K378" s="1275">
        <v>0.69099999999999995</v>
      </c>
    </row>
    <row r="379" spans="1:11" s="1272" customFormat="1">
      <c r="A379" s="1319">
        <v>28593</v>
      </c>
      <c r="B379" s="1272" t="s">
        <v>576</v>
      </c>
      <c r="C379" s="1272" t="s">
        <v>1557</v>
      </c>
      <c r="D379" s="850"/>
      <c r="E379" s="1274">
        <v>5.6000000000000001E-2</v>
      </c>
      <c r="F379" s="1274">
        <v>-5.5E-2</v>
      </c>
      <c r="G379" s="1274">
        <v>-0.05</v>
      </c>
      <c r="H379" s="1274">
        <v>1.7000000000000001E-2</v>
      </c>
      <c r="I379" s="1274">
        <v>3.2000000000000001E-2</v>
      </c>
      <c r="J379" s="1274"/>
      <c r="K379" s="1275">
        <v>0.69099999999999995</v>
      </c>
    </row>
    <row r="380" spans="1:11" s="1272" customFormat="1">
      <c r="A380" s="1319">
        <v>28600</v>
      </c>
      <c r="B380" s="1272" t="s">
        <v>577</v>
      </c>
      <c r="C380" s="1272" t="s">
        <v>1557</v>
      </c>
      <c r="D380" s="850"/>
      <c r="E380" s="1274">
        <v>8.2000000000000003E-2</v>
      </c>
      <c r="F380" s="1274">
        <v>-0.107</v>
      </c>
      <c r="G380" s="1274">
        <v>-7.1999999999999995E-2</v>
      </c>
      <c r="H380" s="1273" t="s">
        <v>246</v>
      </c>
      <c r="I380" s="1274">
        <v>9.7000000000000003E-2</v>
      </c>
      <c r="J380" s="1274"/>
      <c r="K380" s="1275">
        <v>0.44500000000000001</v>
      </c>
    </row>
    <row r="381" spans="1:11" s="1272" customFormat="1">
      <c r="A381" s="1319">
        <v>28607</v>
      </c>
      <c r="B381" s="1272" t="s">
        <v>578</v>
      </c>
      <c r="C381" s="1272" t="s">
        <v>1545</v>
      </c>
      <c r="D381" s="850"/>
      <c r="E381" s="1274">
        <v>9.5000000000000001E-2</v>
      </c>
      <c r="F381" s="1274">
        <v>-2.8000000000000001E-2</v>
      </c>
      <c r="G381" s="1274">
        <v>-0.13800000000000001</v>
      </c>
      <c r="H381" s="1273" t="s">
        <v>246</v>
      </c>
      <c r="I381" s="1274">
        <v>7.0999999999999994E-2</v>
      </c>
      <c r="J381" s="1274"/>
      <c r="K381" s="1275">
        <v>0.54900000000000004</v>
      </c>
    </row>
    <row r="382" spans="1:11" s="1272" customFormat="1">
      <c r="A382" s="1319">
        <v>28607</v>
      </c>
      <c r="B382" s="1272" t="s">
        <v>349</v>
      </c>
      <c r="C382" s="1272" t="s">
        <v>1545</v>
      </c>
      <c r="D382" s="850"/>
      <c r="E382" s="1274">
        <v>0.13700000000000001</v>
      </c>
      <c r="F382" s="1274">
        <v>-2.3E-2</v>
      </c>
      <c r="G382" s="1274">
        <v>-0.12</v>
      </c>
      <c r="H382" s="1273" t="s">
        <v>246</v>
      </c>
      <c r="I382" s="1274">
        <v>6.0000000000000001E-3</v>
      </c>
      <c r="J382" s="1274"/>
      <c r="K382" s="1275">
        <v>0.59</v>
      </c>
    </row>
    <row r="383" spans="1:11" s="1272" customFormat="1">
      <c r="A383" s="1319">
        <v>28641</v>
      </c>
      <c r="B383" s="1272" t="s">
        <v>517</v>
      </c>
      <c r="C383" s="1272" t="s">
        <v>1557</v>
      </c>
      <c r="D383" s="850"/>
      <c r="E383" s="1274">
        <v>3.5000000000000003E-2</v>
      </c>
      <c r="F383" s="1274">
        <v>3.5000000000000003E-2</v>
      </c>
      <c r="G383" s="1274">
        <v>-1.4E-2</v>
      </c>
      <c r="H383" s="1274">
        <v>-5.6000000000000001E-2</v>
      </c>
      <c r="I383" s="1273" t="s">
        <v>246</v>
      </c>
      <c r="J383" s="861"/>
      <c r="K383" s="1275">
        <v>0.72099999999999997</v>
      </c>
    </row>
    <row r="384" spans="1:11" s="1272" customFormat="1">
      <c r="A384" s="1319">
        <v>28684</v>
      </c>
      <c r="B384" s="1272" t="s">
        <v>457</v>
      </c>
      <c r="C384" s="1272" t="s">
        <v>1557</v>
      </c>
      <c r="D384" s="850"/>
      <c r="E384" s="1274">
        <v>6.3E-2</v>
      </c>
      <c r="F384" s="1274">
        <v>-7.0000000000000001E-3</v>
      </c>
      <c r="G384" s="1274">
        <v>-8.4000000000000005E-2</v>
      </c>
      <c r="H384" s="1273" t="s">
        <v>246</v>
      </c>
      <c r="I384" s="1274">
        <v>2.8000000000000001E-2</v>
      </c>
      <c r="J384" s="1274"/>
      <c r="K384" s="1275">
        <v>0.51600000000000001</v>
      </c>
    </row>
    <row r="385" spans="1:11" s="1272" customFormat="1">
      <c r="A385" s="1319">
        <v>28684</v>
      </c>
      <c r="B385" s="1272" t="s">
        <v>432</v>
      </c>
      <c r="C385" s="1272" t="s">
        <v>1557</v>
      </c>
      <c r="D385" s="850"/>
      <c r="E385" s="1274">
        <v>8.8999999999999996E-2</v>
      </c>
      <c r="F385" s="1274">
        <v>-8.6999999999999994E-2</v>
      </c>
      <c r="G385" s="1274">
        <v>-2E-3</v>
      </c>
      <c r="H385" s="1273" t="s">
        <v>246</v>
      </c>
      <c r="I385" s="1273" t="s">
        <v>246</v>
      </c>
      <c r="J385" s="861"/>
      <c r="K385" s="1275">
        <v>0.59799999999999998</v>
      </c>
    </row>
    <row r="386" spans="1:11" s="1272" customFormat="1">
      <c r="A386" s="1319">
        <v>28789</v>
      </c>
      <c r="B386" s="1272" t="s">
        <v>580</v>
      </c>
      <c r="C386" s="1272" t="s">
        <v>1557</v>
      </c>
      <c r="D386" s="850"/>
      <c r="E386" s="1274">
        <v>0.111</v>
      </c>
      <c r="F386" s="1274">
        <v>-4.5999999999999999E-2</v>
      </c>
      <c r="G386" s="1274">
        <v>-5.3999999999999999E-2</v>
      </c>
      <c r="H386" s="1273" t="s">
        <v>246</v>
      </c>
      <c r="I386" s="1274">
        <v>-1.0999999999999999E-2</v>
      </c>
      <c r="J386" s="1274"/>
      <c r="K386" s="1275">
        <v>0.48899999999999999</v>
      </c>
    </row>
    <row r="387" spans="1:11" s="1272" customFormat="1">
      <c r="A387" s="1319">
        <v>28789</v>
      </c>
      <c r="B387" s="1272" t="s">
        <v>579</v>
      </c>
      <c r="C387" s="1272" t="s">
        <v>1557</v>
      </c>
      <c r="D387" s="850"/>
      <c r="E387" s="1274">
        <v>2.5999999999999999E-2</v>
      </c>
      <c r="F387" s="1274">
        <v>4.1000000000000002E-2</v>
      </c>
      <c r="G387" s="1274">
        <v>-2.3E-2</v>
      </c>
      <c r="H387" s="1274">
        <v>-4.3999999999999997E-2</v>
      </c>
      <c r="I387" s="1273" t="s">
        <v>246</v>
      </c>
      <c r="J387" s="861"/>
      <c r="K387" s="1275">
        <v>0.71199999999999997</v>
      </c>
    </row>
    <row r="388" spans="1:11" s="1272" customFormat="1">
      <c r="A388" s="1319">
        <v>28915</v>
      </c>
      <c r="B388" s="1272" t="s">
        <v>581</v>
      </c>
      <c r="C388" s="1272" t="s">
        <v>1545</v>
      </c>
      <c r="D388" s="850"/>
      <c r="E388" s="1274">
        <v>0.17</v>
      </c>
      <c r="F388" s="1274">
        <v>-2.8000000000000001E-2</v>
      </c>
      <c r="G388" s="1274">
        <v>-0.14199999999999999</v>
      </c>
      <c r="H388" s="1273" t="s">
        <v>246</v>
      </c>
      <c r="I388" s="1273" t="s">
        <v>246</v>
      </c>
      <c r="J388" s="861"/>
      <c r="K388" s="1275">
        <v>0.628</v>
      </c>
    </row>
    <row r="389" spans="1:11" s="1272" customFormat="1">
      <c r="A389" s="1319">
        <v>28915</v>
      </c>
      <c r="B389" s="1272" t="s">
        <v>582</v>
      </c>
      <c r="C389" s="1272" t="s">
        <v>1545</v>
      </c>
      <c r="D389" s="850"/>
      <c r="E389" s="1274">
        <v>0.161</v>
      </c>
      <c r="F389" s="1274">
        <v>-7.0000000000000007E-2</v>
      </c>
      <c r="G389" s="1274">
        <v>-0.106</v>
      </c>
      <c r="H389" s="1273" t="s">
        <v>246</v>
      </c>
      <c r="I389" s="1274">
        <v>1.4999999999999999E-2</v>
      </c>
      <c r="J389" s="1274"/>
      <c r="K389" s="1275">
        <v>0.57199999999999995</v>
      </c>
    </row>
    <row r="390" spans="1:11" s="1272" customFormat="1">
      <c r="A390" s="1319">
        <v>28943</v>
      </c>
      <c r="B390" s="1272" t="s">
        <v>301</v>
      </c>
      <c r="C390" s="1272" t="s">
        <v>1564</v>
      </c>
      <c r="D390" s="850"/>
      <c r="E390" s="1274">
        <v>-0.114</v>
      </c>
      <c r="F390" s="1274">
        <v>-0.28100000000000003</v>
      </c>
      <c r="G390" s="1274">
        <v>0.36799999999999999</v>
      </c>
      <c r="H390" s="1273" t="s">
        <v>246</v>
      </c>
      <c r="I390" s="1274">
        <v>2.7E-2</v>
      </c>
      <c r="J390" s="1274"/>
      <c r="K390" s="1275">
        <v>0.57199999999999995</v>
      </c>
    </row>
    <row r="391" spans="1:11" s="1272" customFormat="1" ht="6.75" customHeight="1">
      <c r="A391" s="1319"/>
      <c r="D391" s="850"/>
      <c r="E391" s="1274"/>
      <c r="F391" s="1274"/>
      <c r="G391" s="1274"/>
      <c r="H391" s="1273"/>
      <c r="I391" s="1274"/>
      <c r="J391" s="1274"/>
      <c r="K391" s="1275"/>
    </row>
    <row r="392" spans="1:11" s="1272" customFormat="1">
      <c r="A392" s="2264" t="s">
        <v>797</v>
      </c>
      <c r="B392" s="2265"/>
      <c r="C392" s="2265"/>
      <c r="D392" s="2218"/>
      <c r="E392" s="2266"/>
      <c r="F392" s="2266"/>
      <c r="G392" s="2266"/>
      <c r="H392" s="2266"/>
      <c r="I392" s="2266"/>
      <c r="J392" s="2266"/>
      <c r="K392" s="2267"/>
    </row>
    <row r="393" spans="1:11" s="1272" customFormat="1" ht="4" customHeight="1">
      <c r="A393" s="1330"/>
      <c r="D393" s="850"/>
      <c r="E393" s="1274"/>
      <c r="F393" s="1274"/>
      <c r="G393" s="1274"/>
      <c r="H393" s="1274"/>
      <c r="I393" s="1274"/>
      <c r="J393" s="1274"/>
      <c r="K393" s="1275"/>
    </row>
    <row r="394" spans="1:11" s="1272" customFormat="1">
      <c r="A394" s="1319">
        <v>29125</v>
      </c>
      <c r="B394" s="1272" t="s">
        <v>131</v>
      </c>
      <c r="C394" s="1272" t="s">
        <v>1557</v>
      </c>
      <c r="D394" s="850"/>
      <c r="E394" s="1274">
        <v>-0.10100000000000001</v>
      </c>
      <c r="F394" s="1274">
        <v>-1E-3</v>
      </c>
      <c r="G394" s="1274">
        <v>8.8999999999999996E-2</v>
      </c>
      <c r="H394" s="1273" t="s">
        <v>246</v>
      </c>
      <c r="I394" s="1274">
        <v>1.2999999999999999E-2</v>
      </c>
      <c r="J394" s="1274"/>
      <c r="K394" s="1275">
        <v>0.33600000000000002</v>
      </c>
    </row>
    <row r="395" spans="1:11" s="1272" customFormat="1">
      <c r="A395" s="1319">
        <v>29202</v>
      </c>
      <c r="B395" s="1272" t="s">
        <v>583</v>
      </c>
      <c r="C395" s="1272" t="s">
        <v>1545</v>
      </c>
      <c r="D395" s="850"/>
      <c r="E395" s="1274">
        <v>-8.7999999999999995E-2</v>
      </c>
      <c r="F395" s="1273" t="s">
        <v>564</v>
      </c>
      <c r="G395" s="1274">
        <v>7.3999999999999996E-2</v>
      </c>
      <c r="H395" s="1273" t="s">
        <v>246</v>
      </c>
      <c r="I395" s="1274">
        <v>1.4E-2</v>
      </c>
      <c r="J395" s="1274"/>
      <c r="K395" s="1275">
        <v>0.48299999999999998</v>
      </c>
    </row>
    <row r="396" spans="1:11" s="1272" customFormat="1">
      <c r="A396" s="1319">
        <v>29293</v>
      </c>
      <c r="B396" s="1272" t="s">
        <v>584</v>
      </c>
      <c r="C396" s="1272" t="s">
        <v>1545</v>
      </c>
      <c r="D396" s="850"/>
      <c r="E396" s="1274">
        <v>-0.193</v>
      </c>
      <c r="F396" s="1274">
        <v>6.5000000000000002E-2</v>
      </c>
      <c r="G396" s="1274">
        <v>0.12</v>
      </c>
      <c r="H396" s="1273" t="s">
        <v>246</v>
      </c>
      <c r="I396" s="1274">
        <v>8.0000000000000002E-3</v>
      </c>
      <c r="J396" s="1274"/>
      <c r="K396" s="1275">
        <v>0.625</v>
      </c>
    </row>
    <row r="397" spans="1:11" s="1272" customFormat="1">
      <c r="A397" s="1319">
        <v>29398</v>
      </c>
      <c r="B397" s="1272" t="s">
        <v>585</v>
      </c>
      <c r="C397" s="1272" t="s">
        <v>1557</v>
      </c>
      <c r="D397" s="850"/>
      <c r="E397" s="1274">
        <v>-7.5999999999999998E-2</v>
      </c>
      <c r="F397" s="1274">
        <v>-0.11700000000000001</v>
      </c>
      <c r="G397" s="1273" t="s">
        <v>246</v>
      </c>
      <c r="H397" s="1274">
        <v>0.152</v>
      </c>
      <c r="I397" s="1274">
        <v>4.1000000000000002E-2</v>
      </c>
      <c r="J397" s="1274"/>
      <c r="K397" s="1275">
        <v>0.42799999999999999</v>
      </c>
    </row>
    <row r="398" spans="1:11" s="1272" customFormat="1">
      <c r="A398" s="1319">
        <v>29783</v>
      </c>
      <c r="B398" s="1272" t="s">
        <v>456</v>
      </c>
      <c r="C398" s="1272" t="s">
        <v>1557</v>
      </c>
      <c r="D398" s="850"/>
      <c r="E398" s="1274">
        <v>-0.217</v>
      </c>
      <c r="F398" s="1274">
        <v>-0.13200000000000001</v>
      </c>
      <c r="G398" s="1274">
        <v>0.33300000000000002</v>
      </c>
      <c r="H398" s="1273" t="s">
        <v>246</v>
      </c>
      <c r="I398" s="1274">
        <v>1.6E-2</v>
      </c>
      <c r="J398" s="1274"/>
      <c r="K398" s="1275">
        <v>0.67</v>
      </c>
    </row>
    <row r="399" spans="1:11" s="1272" customFormat="1">
      <c r="A399" s="1319">
        <v>29881</v>
      </c>
      <c r="B399" s="1272" t="s">
        <v>586</v>
      </c>
      <c r="C399" s="1272" t="s">
        <v>1550</v>
      </c>
      <c r="D399" s="850"/>
      <c r="E399" s="1274">
        <v>-0.189</v>
      </c>
      <c r="F399" s="1274">
        <v>-0.14099999999999999</v>
      </c>
      <c r="G399" s="1274">
        <v>0.29499999999999998</v>
      </c>
      <c r="H399" s="1273" t="s">
        <v>246</v>
      </c>
      <c r="I399" s="1274">
        <v>3.5000000000000003E-2</v>
      </c>
      <c r="J399" s="1274"/>
      <c r="K399" s="1275">
        <v>0.628</v>
      </c>
    </row>
    <row r="400" spans="1:11" s="1272" customFormat="1">
      <c r="A400" s="1319">
        <v>29916</v>
      </c>
      <c r="B400" s="1272" t="s">
        <v>361</v>
      </c>
      <c r="C400" s="1272" t="s">
        <v>1552</v>
      </c>
      <c r="D400" s="850"/>
      <c r="E400" s="1274">
        <v>-0.17199999999999999</v>
      </c>
      <c r="F400" s="1274">
        <v>-0.159</v>
      </c>
      <c r="G400" s="1274">
        <v>0.33800000000000002</v>
      </c>
      <c r="H400" s="1273" t="s">
        <v>246</v>
      </c>
      <c r="I400" s="1274">
        <v>-7.0000000000000001E-3</v>
      </c>
      <c r="J400" s="1274"/>
      <c r="K400" s="1275">
        <v>0.69299999999999995</v>
      </c>
    </row>
    <row r="401" spans="1:11" s="1272" customFormat="1">
      <c r="A401" s="1319">
        <v>30035</v>
      </c>
      <c r="B401" s="1272" t="s">
        <v>318</v>
      </c>
      <c r="C401" s="1272" t="s">
        <v>1552</v>
      </c>
      <c r="D401" s="850"/>
      <c r="E401" s="1274">
        <v>-0.14499999999999999</v>
      </c>
      <c r="F401" s="1274">
        <v>-8.5000000000000006E-2</v>
      </c>
      <c r="G401" s="1274">
        <v>0.19</v>
      </c>
      <c r="H401" s="1274">
        <v>1.2E-2</v>
      </c>
      <c r="I401" s="1274">
        <v>2.8000000000000001E-2</v>
      </c>
      <c r="J401" s="1274"/>
      <c r="K401" s="1275">
        <v>0.76400000000000001</v>
      </c>
    </row>
    <row r="402" spans="1:11" s="1272" customFormat="1">
      <c r="A402" s="1319">
        <v>30098</v>
      </c>
      <c r="B402" s="1272" t="s">
        <v>588</v>
      </c>
      <c r="C402" s="1272" t="s">
        <v>1545</v>
      </c>
      <c r="D402" s="850"/>
      <c r="E402" s="1274">
        <v>1E-3</v>
      </c>
      <c r="F402" s="1274">
        <v>-9.7000000000000003E-2</v>
      </c>
      <c r="G402" s="1274">
        <v>9.7000000000000003E-2</v>
      </c>
      <c r="H402" s="1273" t="s">
        <v>246</v>
      </c>
      <c r="I402" s="1274">
        <v>-1E-3</v>
      </c>
      <c r="J402" s="1274"/>
      <c r="K402" s="1275">
        <v>0.53900000000000003</v>
      </c>
    </row>
    <row r="403" spans="1:11" s="1272" customFormat="1">
      <c r="A403" s="1319">
        <v>30105</v>
      </c>
      <c r="B403" s="1272" t="s">
        <v>589</v>
      </c>
      <c r="C403" s="1272" t="s">
        <v>1559</v>
      </c>
      <c r="D403" s="850"/>
      <c r="E403" s="1274">
        <v>-5.0000000000000001E-3</v>
      </c>
      <c r="F403" s="1274">
        <v>-0.20799999999999999</v>
      </c>
      <c r="G403" s="1274">
        <v>0.20499999999999999</v>
      </c>
      <c r="H403" s="1273" t="s">
        <v>246</v>
      </c>
      <c r="I403" s="1274">
        <v>8.0000000000000002E-3</v>
      </c>
      <c r="J403" s="1274"/>
      <c r="K403" s="1275">
        <v>0.48499999999999999</v>
      </c>
    </row>
    <row r="404" spans="1:11" s="1272" customFormat="1">
      <c r="A404" s="1319">
        <v>30126</v>
      </c>
      <c r="B404" s="1272" t="s">
        <v>590</v>
      </c>
      <c r="C404" s="1272" t="s">
        <v>1557</v>
      </c>
      <c r="D404" s="850"/>
      <c r="E404" s="1274">
        <v>-1.2999999999999999E-2</v>
      </c>
      <c r="F404" s="1274">
        <v>-5.8000000000000003E-2</v>
      </c>
      <c r="G404" s="1274">
        <v>8.2000000000000003E-2</v>
      </c>
      <c r="H404" s="1274">
        <v>-1.0999999999999999E-2</v>
      </c>
      <c r="I404" s="1273" t="s">
        <v>246</v>
      </c>
      <c r="J404" s="861"/>
      <c r="K404" s="1275">
        <v>0.56299999999999994</v>
      </c>
    </row>
    <row r="405" spans="1:11" s="1272" customFormat="1">
      <c r="A405" s="1319">
        <v>30210</v>
      </c>
      <c r="B405" s="1272" t="s">
        <v>591</v>
      </c>
      <c r="C405" s="1272" t="s">
        <v>1557</v>
      </c>
      <c r="D405" s="850"/>
      <c r="E405" s="1274">
        <v>-8.4000000000000005E-2</v>
      </c>
      <c r="F405" s="1274">
        <v>-9.7000000000000003E-2</v>
      </c>
      <c r="G405" s="1274">
        <v>0.16</v>
      </c>
      <c r="H405" s="1274">
        <v>1.4999999999999999E-2</v>
      </c>
      <c r="I405" s="1274">
        <v>6.0000000000000001E-3</v>
      </c>
      <c r="J405" s="1274"/>
      <c r="K405" s="1275">
        <v>0.65400000000000003</v>
      </c>
    </row>
    <row r="406" spans="1:11" s="1272" customFormat="1">
      <c r="A406" s="1319">
        <v>30252</v>
      </c>
      <c r="B406" s="1272" t="s">
        <v>592</v>
      </c>
      <c r="C406" s="1272" t="s">
        <v>1557</v>
      </c>
      <c r="D406" s="850"/>
      <c r="E406" s="1274">
        <v>-0.157</v>
      </c>
      <c r="F406" s="1274">
        <v>-9.5000000000000001E-2</v>
      </c>
      <c r="G406" s="1274">
        <v>0.252</v>
      </c>
      <c r="H406" s="1273" t="s">
        <v>246</v>
      </c>
      <c r="I406" s="1273" t="s">
        <v>564</v>
      </c>
      <c r="J406" s="1287"/>
      <c r="K406" s="1275">
        <v>0.38</v>
      </c>
    </row>
    <row r="407" spans="1:11" s="1272" customFormat="1">
      <c r="A407" s="1319">
        <v>30252</v>
      </c>
      <c r="B407" s="1272" t="s">
        <v>593</v>
      </c>
      <c r="C407" s="1272" t="s">
        <v>1560</v>
      </c>
      <c r="D407" s="850"/>
      <c r="E407" s="1274">
        <v>-9.8000000000000004E-2</v>
      </c>
      <c r="F407" s="1274">
        <v>-8.7999999999999995E-2</v>
      </c>
      <c r="G407" s="1274">
        <v>0.18</v>
      </c>
      <c r="H407" s="1273" t="s">
        <v>246</v>
      </c>
      <c r="I407" s="1274">
        <v>6.0000000000000001E-3</v>
      </c>
      <c r="J407" s="1274"/>
      <c r="K407" s="1275">
        <v>0.55000000000000004</v>
      </c>
    </row>
    <row r="408" spans="1:11" s="1272" customFormat="1">
      <c r="A408" s="1319">
        <v>30287</v>
      </c>
      <c r="B408" s="1272" t="s">
        <v>594</v>
      </c>
      <c r="C408" s="1272" t="s">
        <v>1557</v>
      </c>
      <c r="D408" s="850"/>
      <c r="E408" s="1274">
        <v>-0.12</v>
      </c>
      <c r="F408" s="1274">
        <v>-8.4000000000000005E-2</v>
      </c>
      <c r="G408" s="1274">
        <v>9.4E-2</v>
      </c>
      <c r="H408" s="1274">
        <v>0.10299999999999999</v>
      </c>
      <c r="I408" s="1274">
        <v>7.0000000000000001E-3</v>
      </c>
      <c r="J408" s="1274"/>
      <c r="K408" s="1275">
        <v>0.47</v>
      </c>
    </row>
    <row r="409" spans="1:11" s="1272" customFormat="1">
      <c r="A409" s="1319">
        <v>30371</v>
      </c>
      <c r="B409" s="1272" t="s">
        <v>595</v>
      </c>
      <c r="C409" s="1272" t="s">
        <v>1567</v>
      </c>
      <c r="D409" s="850"/>
      <c r="E409" s="1274">
        <v>-0.19400000000000001</v>
      </c>
      <c r="F409" s="1274">
        <v>-0.375</v>
      </c>
      <c r="G409" s="1274">
        <v>0.50900000000000001</v>
      </c>
      <c r="H409" s="1273" t="s">
        <v>246</v>
      </c>
      <c r="I409" s="1274">
        <v>0.06</v>
      </c>
      <c r="J409" s="1274"/>
      <c r="K409" s="1275">
        <v>0.57699999999999996</v>
      </c>
    </row>
    <row r="410" spans="1:11" s="1272" customFormat="1">
      <c r="A410" s="1319">
        <v>30399</v>
      </c>
      <c r="B410" s="1272" t="s">
        <v>597</v>
      </c>
      <c r="C410" s="1272" t="s">
        <v>1557</v>
      </c>
      <c r="D410" s="850"/>
      <c r="E410" s="1274">
        <v>-8.5000000000000006E-2</v>
      </c>
      <c r="F410" s="1274">
        <v>-0.06</v>
      </c>
      <c r="G410" s="1274">
        <v>0.14299999999999999</v>
      </c>
      <c r="H410" s="1273" t="s">
        <v>246</v>
      </c>
      <c r="I410" s="1274">
        <v>2E-3</v>
      </c>
      <c r="J410" s="1274"/>
      <c r="K410" s="1275">
        <v>0.8</v>
      </c>
    </row>
    <row r="411" spans="1:11" s="1272" customFormat="1" ht="4" customHeight="1">
      <c r="A411" s="1319"/>
      <c r="D411" s="850"/>
      <c r="E411" s="1274"/>
      <c r="F411" s="1274"/>
      <c r="G411" s="1274"/>
      <c r="H411" s="1274"/>
      <c r="I411" s="1274"/>
      <c r="J411" s="1274"/>
      <c r="K411" s="1275"/>
    </row>
    <row r="412" spans="1:11" s="1272" customFormat="1">
      <c r="A412" s="2264" t="s">
        <v>798</v>
      </c>
      <c r="B412" s="2265"/>
      <c r="C412" s="2265"/>
      <c r="D412" s="2218"/>
      <c r="E412" s="2266"/>
      <c r="F412" s="2266"/>
      <c r="G412" s="2266"/>
      <c r="H412" s="2266"/>
      <c r="I412" s="2266"/>
      <c r="J412" s="2266"/>
      <c r="K412" s="2267"/>
    </row>
    <row r="413" spans="1:11" s="1272" customFormat="1" ht="4" customHeight="1">
      <c r="A413" s="1330"/>
      <c r="D413" s="850"/>
      <c r="E413" s="1274"/>
      <c r="F413" s="1274"/>
      <c r="G413" s="1274"/>
      <c r="H413" s="1274"/>
      <c r="I413" s="1274"/>
      <c r="J413" s="1274"/>
      <c r="K413" s="1275"/>
    </row>
    <row r="414" spans="1:11" s="1272" customFormat="1">
      <c r="A414" s="1319">
        <v>30525</v>
      </c>
      <c r="B414" s="1272" t="s">
        <v>598</v>
      </c>
      <c r="C414" s="1272" t="s">
        <v>1545</v>
      </c>
      <c r="D414" s="850"/>
      <c r="E414" s="1274">
        <v>-0.128</v>
      </c>
      <c r="F414" s="1274">
        <v>-5.8999999999999997E-2</v>
      </c>
      <c r="G414" s="1274">
        <v>0.16700000000000001</v>
      </c>
      <c r="H414" s="1273" t="s">
        <v>246</v>
      </c>
      <c r="I414" s="1274">
        <v>0.02</v>
      </c>
      <c r="J414" s="1274"/>
      <c r="K414" s="1275">
        <v>0.55700000000000005</v>
      </c>
    </row>
    <row r="415" spans="1:11" s="1272" customFormat="1">
      <c r="A415" s="1319">
        <v>30742</v>
      </c>
      <c r="B415" s="1272" t="s">
        <v>599</v>
      </c>
      <c r="C415" s="1272" t="s">
        <v>1557</v>
      </c>
      <c r="D415" s="850"/>
      <c r="E415" s="1274">
        <v>-0.17199999999999999</v>
      </c>
      <c r="F415" s="1274">
        <v>-1.6E-2</v>
      </c>
      <c r="G415" s="1274">
        <v>0.152</v>
      </c>
      <c r="H415" s="1273" t="s">
        <v>246</v>
      </c>
      <c r="I415" s="1274">
        <v>3.5999999999999997E-2</v>
      </c>
      <c r="J415" s="1274"/>
      <c r="K415" s="1275">
        <v>0.76900000000000002</v>
      </c>
    </row>
    <row r="416" spans="1:11" s="1272" customFormat="1">
      <c r="A416" s="1319">
        <v>30805</v>
      </c>
      <c r="B416" s="1272" t="s">
        <v>600</v>
      </c>
      <c r="C416" s="1272" t="s">
        <v>1545</v>
      </c>
      <c r="D416" s="850"/>
      <c r="E416" s="1274">
        <v>-0.108</v>
      </c>
      <c r="F416" s="1274">
        <v>3.6999999999999998E-2</v>
      </c>
      <c r="G416" s="1274">
        <v>7.0999999999999994E-2</v>
      </c>
      <c r="H416" s="1273" t="s">
        <v>246</v>
      </c>
      <c r="I416" s="1273" t="s">
        <v>564</v>
      </c>
      <c r="J416" s="1287"/>
      <c r="K416" s="1275">
        <v>0.65600000000000003</v>
      </c>
    </row>
    <row r="417" spans="1:15" s="1272" customFormat="1">
      <c r="A417" s="1319">
        <v>30805</v>
      </c>
      <c r="B417" s="1319" t="s">
        <v>601</v>
      </c>
      <c r="C417" s="1272" t="s">
        <v>1545</v>
      </c>
      <c r="D417" s="850"/>
      <c r="E417" s="1274">
        <v>-0.104</v>
      </c>
      <c r="F417" s="1274">
        <v>-1.4999999999999999E-2</v>
      </c>
      <c r="G417" s="1274">
        <v>0.113</v>
      </c>
      <c r="H417" s="1273" t="s">
        <v>246</v>
      </c>
      <c r="I417" s="1274">
        <v>6.0000000000000001E-3</v>
      </c>
      <c r="J417" s="1274"/>
      <c r="K417" s="1275">
        <v>0.61699999999999999</v>
      </c>
    </row>
    <row r="418" spans="1:15" s="1272" customFormat="1">
      <c r="A418" s="1319">
        <v>30805</v>
      </c>
      <c r="B418" s="1272" t="s">
        <v>139</v>
      </c>
      <c r="C418" s="1272" t="s">
        <v>1557</v>
      </c>
      <c r="D418" s="850"/>
      <c r="E418" s="1274">
        <v>-6.8000000000000005E-2</v>
      </c>
      <c r="F418" s="1274">
        <v>2.8000000000000001E-2</v>
      </c>
      <c r="G418" s="1274">
        <v>-7.0000000000000001E-3</v>
      </c>
      <c r="H418" s="1274">
        <v>1.7999999999999999E-2</v>
      </c>
      <c r="I418" s="1274">
        <v>2.9000000000000001E-2</v>
      </c>
      <c r="J418" s="1274"/>
      <c r="K418" s="1275">
        <v>0.65700000000000003</v>
      </c>
    </row>
    <row r="419" spans="1:15" s="1272" customFormat="1">
      <c r="A419" s="1319">
        <v>30847</v>
      </c>
      <c r="B419" s="1272" t="s">
        <v>602</v>
      </c>
      <c r="C419" s="1272" t="s">
        <v>1552</v>
      </c>
      <c r="D419" s="850"/>
      <c r="E419" s="1274">
        <v>-0.157</v>
      </c>
      <c r="F419" s="1274">
        <v>3.9E-2</v>
      </c>
      <c r="G419" s="1274">
        <v>0.122</v>
      </c>
      <c r="H419" s="1273" t="s">
        <v>246</v>
      </c>
      <c r="I419" s="1274">
        <v>-4.0000000000000001E-3</v>
      </c>
      <c r="J419" s="1274"/>
      <c r="K419" s="1275">
        <v>0.54500000000000004</v>
      </c>
    </row>
    <row r="420" spans="1:15" s="1272" customFormat="1">
      <c r="A420" s="1319">
        <v>31029</v>
      </c>
      <c r="B420" s="1272" t="s">
        <v>603</v>
      </c>
      <c r="C420" s="1272" t="s">
        <v>1545</v>
      </c>
      <c r="D420" s="850"/>
      <c r="E420" s="1274">
        <v>-8.5000000000000006E-2</v>
      </c>
      <c r="F420" s="1274">
        <v>-5.8999999999999997E-2</v>
      </c>
      <c r="G420" s="1274">
        <v>0.122</v>
      </c>
      <c r="H420" s="1273" t="s">
        <v>246</v>
      </c>
      <c r="I420" s="1274">
        <v>2.1999999999999999E-2</v>
      </c>
      <c r="J420" s="1274"/>
      <c r="K420" s="1275">
        <v>0.50600000000000001</v>
      </c>
    </row>
    <row r="421" spans="1:15" ht="15" thickBot="1">
      <c r="A421" s="1364"/>
      <c r="B421" s="1364"/>
      <c r="C421" s="1364"/>
      <c r="D421" s="3441" t="s">
        <v>1165</v>
      </c>
      <c r="E421" s="3441"/>
      <c r="F421" s="3441"/>
      <c r="G421" s="3441"/>
      <c r="H421" s="3441"/>
      <c r="I421" s="3441"/>
      <c r="J421" s="3441"/>
      <c r="K421" s="1366"/>
    </row>
    <row r="422" spans="1:15" s="1312" customFormat="1" ht="3" customHeight="1">
      <c r="A422" s="1364"/>
      <c r="B422" s="1364"/>
      <c r="C422" s="1364"/>
      <c r="D422" s="2223"/>
      <c r="E422" s="2223"/>
      <c r="F422" s="2223"/>
      <c r="G422" s="2223"/>
      <c r="H422" s="2223"/>
      <c r="I422" s="2223"/>
      <c r="J422" s="2223"/>
      <c r="K422" s="1366"/>
      <c r="L422" s="1311"/>
      <c r="M422" s="1311"/>
      <c r="N422" s="1311"/>
      <c r="O422" s="1311"/>
    </row>
    <row r="423" spans="1:15">
      <c r="A423" s="1364" t="s">
        <v>268</v>
      </c>
      <c r="B423" s="1364" t="s">
        <v>269</v>
      </c>
      <c r="C423" s="1364" t="s">
        <v>216</v>
      </c>
      <c r="D423" s="871"/>
      <c r="E423" s="2243" t="s">
        <v>806</v>
      </c>
      <c r="F423" s="2244" t="s">
        <v>807</v>
      </c>
      <c r="G423" s="2245" t="s">
        <v>808</v>
      </c>
      <c r="H423" s="1363" t="s">
        <v>95</v>
      </c>
      <c r="I423" s="2246" t="s">
        <v>1972</v>
      </c>
      <c r="J423" s="1183"/>
      <c r="K423" s="1183" t="s">
        <v>219</v>
      </c>
    </row>
    <row r="424" spans="1:15" ht="3" customHeight="1">
      <c r="A424" s="1364"/>
      <c r="B424" s="1364"/>
      <c r="C424" s="1364"/>
      <c r="D424" s="871"/>
      <c r="E424" s="1374"/>
      <c r="F424" s="1374"/>
      <c r="G424" s="1374"/>
      <c r="H424" s="1374"/>
      <c r="I424" s="1374"/>
      <c r="J424" s="1183"/>
      <c r="K424" s="1183"/>
    </row>
    <row r="425" spans="1:15" ht="5.25" customHeight="1">
      <c r="E425" s="1273"/>
      <c r="F425" s="1273"/>
      <c r="G425" s="1273"/>
      <c r="H425" s="1273"/>
      <c r="I425" s="1273"/>
      <c r="J425" s="861"/>
      <c r="K425" s="861"/>
    </row>
    <row r="426" spans="1:15" s="1272" customFormat="1">
      <c r="A426" s="1319">
        <v>31232</v>
      </c>
      <c r="B426" s="1272" t="s">
        <v>604</v>
      </c>
      <c r="C426" s="1272" t="s">
        <v>1550</v>
      </c>
      <c r="D426" s="850"/>
      <c r="E426" s="1274">
        <v>-0.20499999999999999</v>
      </c>
      <c r="F426" s="1274">
        <v>9.4E-2</v>
      </c>
      <c r="G426" s="1274">
        <v>0.114</v>
      </c>
      <c r="H426" s="1274">
        <v>-6.0000000000000001E-3</v>
      </c>
      <c r="I426" s="1274">
        <v>3.0000000000000001E-3</v>
      </c>
      <c r="J426" s="1274"/>
      <c r="K426" s="1275">
        <v>0.79400000000000004</v>
      </c>
    </row>
    <row r="427" spans="1:15" s="1272" customFormat="1">
      <c r="A427" s="1319">
        <v>31386</v>
      </c>
      <c r="B427" s="1272" t="s">
        <v>605</v>
      </c>
      <c r="C427" s="1272" t="s">
        <v>1557</v>
      </c>
      <c r="D427" s="850"/>
      <c r="E427" s="1274">
        <v>-0.14099999999999999</v>
      </c>
      <c r="F427" s="1274">
        <v>1.2999999999999999E-2</v>
      </c>
      <c r="G427" s="1274">
        <v>0.114</v>
      </c>
      <c r="H427" s="1273" t="s">
        <v>246</v>
      </c>
      <c r="I427" s="1274">
        <v>1.4E-2</v>
      </c>
      <c r="J427" s="1274"/>
      <c r="K427" s="1275">
        <v>0.38100000000000001</v>
      </c>
    </row>
    <row r="428" spans="1:15" s="1272" customFormat="1">
      <c r="A428" s="1319">
        <v>31512</v>
      </c>
      <c r="B428" s="1272" t="s">
        <v>344</v>
      </c>
      <c r="C428" s="1272" t="s">
        <v>1560</v>
      </c>
      <c r="D428" s="850"/>
      <c r="E428" s="1274">
        <v>-0.113</v>
      </c>
      <c r="F428" s="1274">
        <v>0.104</v>
      </c>
      <c r="G428" s="1274">
        <v>5.0000000000000001E-3</v>
      </c>
      <c r="H428" s="1273" t="s">
        <v>246</v>
      </c>
      <c r="I428" s="1274">
        <v>4.0000000000000001E-3</v>
      </c>
      <c r="J428" s="1274"/>
      <c r="K428" s="1275">
        <v>0.70799999999999996</v>
      </c>
    </row>
    <row r="429" spans="1:15" s="1272" customFormat="1">
      <c r="A429" s="1319">
        <v>31540</v>
      </c>
      <c r="B429" s="1272" t="s">
        <v>519</v>
      </c>
      <c r="C429" s="1272" t="s">
        <v>1545</v>
      </c>
      <c r="D429" s="850"/>
      <c r="E429" s="1274">
        <v>-0.16400000000000001</v>
      </c>
      <c r="F429" s="1274">
        <v>2.7E-2</v>
      </c>
      <c r="G429" s="1274">
        <v>0.124</v>
      </c>
      <c r="H429" s="1273" t="s">
        <v>246</v>
      </c>
      <c r="I429" s="1274">
        <v>1.2999999999999999E-2</v>
      </c>
      <c r="J429" s="1274"/>
      <c r="K429" s="1275">
        <v>0.71899999999999997</v>
      </c>
    </row>
    <row r="430" spans="1:15" s="1272" customFormat="1">
      <c r="A430" s="1319">
        <v>31540</v>
      </c>
      <c r="B430" s="1272" t="s">
        <v>606</v>
      </c>
      <c r="C430" s="1272" t="s">
        <v>1550</v>
      </c>
      <c r="D430" s="850"/>
      <c r="E430" s="1274">
        <v>-0.17899999999999999</v>
      </c>
      <c r="F430" s="1274">
        <v>-1.9E-2</v>
      </c>
      <c r="G430" s="1274">
        <v>0.19800000000000001</v>
      </c>
      <c r="H430" s="1273" t="s">
        <v>246</v>
      </c>
      <c r="I430" s="1273" t="s">
        <v>246</v>
      </c>
      <c r="J430" s="861"/>
      <c r="K430" s="1275">
        <v>0.67300000000000004</v>
      </c>
    </row>
    <row r="431" spans="1:15" s="1272" customFormat="1">
      <c r="A431" s="1319">
        <v>31610</v>
      </c>
      <c r="B431" s="1272" t="s">
        <v>533</v>
      </c>
      <c r="C431" s="1272" t="s">
        <v>1557</v>
      </c>
      <c r="D431" s="850"/>
      <c r="E431" s="1274">
        <v>-0.17399999999999999</v>
      </c>
      <c r="F431" s="1274">
        <v>-1.2E-2</v>
      </c>
      <c r="G431" s="1274">
        <v>0.17199999999999999</v>
      </c>
      <c r="H431" s="1273" t="s">
        <v>246</v>
      </c>
      <c r="I431" s="1274">
        <v>1.4E-2</v>
      </c>
      <c r="J431" s="1274"/>
      <c r="K431" s="1275">
        <v>0.622</v>
      </c>
    </row>
    <row r="432" spans="1:15" s="1272" customFormat="1">
      <c r="A432" s="1319">
        <v>31729</v>
      </c>
      <c r="B432" s="1272" t="s">
        <v>607</v>
      </c>
      <c r="C432" s="1272" t="s">
        <v>1557</v>
      </c>
      <c r="D432" s="850"/>
      <c r="E432" s="1274">
        <v>-0.13800000000000001</v>
      </c>
      <c r="F432" s="1274">
        <v>-8.2000000000000003E-2</v>
      </c>
      <c r="G432" s="1274">
        <v>0.19800000000000001</v>
      </c>
      <c r="H432" s="1273" t="s">
        <v>246</v>
      </c>
      <c r="I432" s="1274">
        <v>2.1999999999999999E-2</v>
      </c>
      <c r="J432" s="1274"/>
      <c r="K432" s="1275">
        <v>0.57299999999999995</v>
      </c>
    </row>
    <row r="433" spans="1:11" s="1272" customFormat="1">
      <c r="A433" s="1319">
        <v>31834</v>
      </c>
      <c r="B433" s="1272" t="s">
        <v>542</v>
      </c>
      <c r="C433" s="1272" t="s">
        <v>1568</v>
      </c>
      <c r="D433" s="850"/>
      <c r="E433" s="1274">
        <v>-0.23599999999999999</v>
      </c>
      <c r="F433" s="1274">
        <v>-4.4999999999999998E-2</v>
      </c>
      <c r="G433" s="1274">
        <v>0.27900000000000003</v>
      </c>
      <c r="H433" s="1273" t="s">
        <v>246</v>
      </c>
      <c r="I433" s="1274">
        <v>2E-3</v>
      </c>
      <c r="J433" s="1274"/>
      <c r="K433" s="1275">
        <v>0.68200000000000005</v>
      </c>
    </row>
    <row r="434" spans="1:11" s="1272" customFormat="1">
      <c r="A434" s="1319">
        <v>31848</v>
      </c>
      <c r="B434" s="1272" t="s">
        <v>609</v>
      </c>
      <c r="C434" s="1272" t="s">
        <v>468</v>
      </c>
      <c r="D434" s="850"/>
      <c r="E434" s="1274">
        <v>-6.5000000000000002E-2</v>
      </c>
      <c r="F434" s="1274">
        <v>2.5000000000000001E-2</v>
      </c>
      <c r="G434" s="1274">
        <v>3.1E-2</v>
      </c>
      <c r="H434" s="1273" t="s">
        <v>246</v>
      </c>
      <c r="I434" s="1274">
        <v>8.9999999999999993E-3</v>
      </c>
      <c r="J434" s="1274"/>
      <c r="K434" s="1275">
        <v>0.70299999999999996</v>
      </c>
    </row>
    <row r="435" spans="1:11" s="1272" customFormat="1" ht="4" customHeight="1">
      <c r="A435" s="1319"/>
      <c r="D435" s="850"/>
      <c r="E435" s="1274"/>
      <c r="F435" s="1274"/>
      <c r="G435" s="1274"/>
      <c r="H435" s="1274"/>
      <c r="I435" s="1274"/>
      <c r="J435" s="1274"/>
      <c r="K435" s="1275"/>
    </row>
    <row r="436" spans="1:11" s="1272" customFormat="1" ht="15">
      <c r="A436" s="2264" t="s">
        <v>799</v>
      </c>
      <c r="B436" s="2270"/>
      <c r="C436" s="2270"/>
      <c r="D436" s="2271"/>
      <c r="E436" s="2274" t="s">
        <v>221</v>
      </c>
      <c r="F436" s="2266"/>
      <c r="G436" s="2266"/>
      <c r="H436" s="2275" t="s">
        <v>221</v>
      </c>
      <c r="I436" s="2274" t="s">
        <v>221</v>
      </c>
      <c r="J436" s="2274"/>
      <c r="K436" s="2267" t="s">
        <v>221</v>
      </c>
    </row>
    <row r="437" spans="1:11" s="1272" customFormat="1" ht="4" customHeight="1">
      <c r="A437" s="1330"/>
      <c r="B437" s="1293"/>
      <c r="C437" s="1293"/>
      <c r="D437" s="1292"/>
      <c r="E437" s="1274"/>
      <c r="F437" s="1274"/>
      <c r="G437" s="1274"/>
      <c r="H437" s="1274"/>
      <c r="I437" s="1280"/>
      <c r="J437" s="1280"/>
      <c r="K437" s="1275"/>
    </row>
    <row r="438" spans="1:11" s="1272" customFormat="1">
      <c r="A438" s="1328">
        <v>32338</v>
      </c>
      <c r="B438" s="1293" t="s">
        <v>610</v>
      </c>
      <c r="C438" s="1293" t="s">
        <v>1545</v>
      </c>
      <c r="D438" s="1292"/>
      <c r="E438" s="1280">
        <v>-5.8999999999999997E-2</v>
      </c>
      <c r="F438" s="1280">
        <v>4.9000000000000002E-2</v>
      </c>
      <c r="G438" s="1280">
        <v>-6.4000000000000001E-2</v>
      </c>
      <c r="H438" s="1277" t="s">
        <v>246</v>
      </c>
      <c r="I438" s="1333">
        <v>7.3999999999999996E-2</v>
      </c>
      <c r="J438" s="1308"/>
      <c r="K438" s="1288">
        <v>0.51600000000000001</v>
      </c>
    </row>
    <row r="439" spans="1:11" s="1272" customFormat="1">
      <c r="A439" s="1328">
        <v>32457</v>
      </c>
      <c r="B439" s="1293" t="s">
        <v>559</v>
      </c>
      <c r="C439" s="1293" t="s">
        <v>1563</v>
      </c>
      <c r="D439" s="1292"/>
      <c r="E439" s="1274">
        <v>-4.5999999999999999E-2</v>
      </c>
      <c r="F439" s="1280">
        <v>-0.27900000000000003</v>
      </c>
      <c r="G439" s="1280">
        <v>-8.2000000000000003E-2</v>
      </c>
      <c r="H439" s="1274">
        <v>0.38400000000000001</v>
      </c>
      <c r="I439" s="1334">
        <v>2.300000000000002E-2</v>
      </c>
      <c r="J439" s="1217"/>
      <c r="K439" s="1289">
        <v>0.60199999999999998</v>
      </c>
    </row>
    <row r="440" spans="1:11" s="1272" customFormat="1">
      <c r="A440" s="1328">
        <v>32492</v>
      </c>
      <c r="B440" s="1293" t="s">
        <v>611</v>
      </c>
      <c r="C440" s="1293" t="s">
        <v>1545</v>
      </c>
      <c r="D440" s="1292"/>
      <c r="E440" s="1274">
        <v>-0.214</v>
      </c>
      <c r="F440" s="1274">
        <v>3.0000000000000001E-3</v>
      </c>
      <c r="G440" s="1280">
        <v>6.6000000000000003E-2</v>
      </c>
      <c r="H440" s="1273" t="s">
        <v>246</v>
      </c>
      <c r="I440" s="1334">
        <v>0.14499999999999999</v>
      </c>
      <c r="J440" s="1217"/>
      <c r="K440" s="1289">
        <v>0.49099999999999999</v>
      </c>
    </row>
    <row r="441" spans="1:11" s="1272" customFormat="1">
      <c r="A441" s="1328">
        <v>32562</v>
      </c>
      <c r="B441" s="1293" t="s">
        <v>613</v>
      </c>
      <c r="C441" s="1293" t="s">
        <v>1545</v>
      </c>
      <c r="D441" s="1292"/>
      <c r="E441" s="1280">
        <v>-0.24</v>
      </c>
      <c r="F441" s="1280">
        <v>-6.9000000000000006E-2</v>
      </c>
      <c r="G441" s="1280">
        <v>-0.05</v>
      </c>
      <c r="H441" s="1273" t="s">
        <v>246</v>
      </c>
      <c r="I441" s="1334">
        <v>0.35899999999999999</v>
      </c>
      <c r="J441" s="1217"/>
      <c r="K441" s="1289">
        <v>0.64400000000000002</v>
      </c>
    </row>
    <row r="442" spans="1:11" s="1272" customFormat="1">
      <c r="A442" s="1328">
        <v>32562</v>
      </c>
      <c r="B442" s="1332" t="s">
        <v>612</v>
      </c>
      <c r="C442" s="1332" t="s">
        <v>1557</v>
      </c>
      <c r="D442" s="1295"/>
      <c r="E442" s="1280">
        <v>-0.06</v>
      </c>
      <c r="F442" s="1280">
        <v>-0.03</v>
      </c>
      <c r="G442" s="1280">
        <v>-0.15</v>
      </c>
      <c r="H442" s="1274">
        <v>0.2</v>
      </c>
      <c r="I442" s="1334">
        <v>3.8999999999999979E-2</v>
      </c>
      <c r="J442" s="1217"/>
      <c r="K442" s="1289">
        <v>0.622</v>
      </c>
    </row>
    <row r="443" spans="1:11" s="1272" customFormat="1">
      <c r="A443" s="1328">
        <v>32632</v>
      </c>
      <c r="B443" s="1293" t="s">
        <v>138</v>
      </c>
      <c r="C443" s="1293" t="s">
        <v>1560</v>
      </c>
      <c r="D443" s="1292"/>
      <c r="E443" s="1274">
        <v>-0.105</v>
      </c>
      <c r="F443" s="1274">
        <v>0.14199999999999999</v>
      </c>
      <c r="G443" s="1274">
        <v>-0.125</v>
      </c>
      <c r="H443" s="1274">
        <v>1.7000000000000001E-2</v>
      </c>
      <c r="I443" s="1334">
        <v>7.1000000000000008E-2</v>
      </c>
      <c r="J443" s="1217"/>
      <c r="K443" s="1289">
        <v>0.70699999999999996</v>
      </c>
    </row>
    <row r="444" spans="1:11" s="1272" customFormat="1">
      <c r="A444" s="1328">
        <v>32674</v>
      </c>
      <c r="B444" s="1293" t="s">
        <v>585</v>
      </c>
      <c r="C444" s="1293" t="s">
        <v>1557</v>
      </c>
      <c r="D444" s="1292"/>
      <c r="E444" s="1274">
        <v>-5.3999999999999999E-2</v>
      </c>
      <c r="F444" s="1274">
        <v>-9.9000000000000005E-2</v>
      </c>
      <c r="G444" s="1274">
        <v>-0.09</v>
      </c>
      <c r="H444" s="1274">
        <v>0.20200000000000001</v>
      </c>
      <c r="I444" s="1334">
        <v>4.0999999999999981E-2</v>
      </c>
      <c r="J444" s="1217"/>
      <c r="K444" s="1289">
        <v>0.52800000000000002</v>
      </c>
    </row>
    <row r="445" spans="1:11" s="1272" customFormat="1">
      <c r="A445" s="1328">
        <v>32674</v>
      </c>
      <c r="B445" s="1293" t="s">
        <v>614</v>
      </c>
      <c r="C445" s="1293" t="s">
        <v>1557</v>
      </c>
      <c r="D445" s="1292"/>
      <c r="E445" s="1274">
        <v>-0.10199999999999999</v>
      </c>
      <c r="F445" s="1274">
        <v>2.5999999999999999E-2</v>
      </c>
      <c r="G445" s="1274">
        <v>-7.0000000000000001E-3</v>
      </c>
      <c r="H445" s="1273" t="s">
        <v>246</v>
      </c>
      <c r="I445" s="1334">
        <v>8.3000000000000004E-2</v>
      </c>
      <c r="J445" s="1217"/>
      <c r="K445" s="1289">
        <v>0.44400000000000001</v>
      </c>
    </row>
    <row r="446" spans="1:11" s="1272" customFormat="1">
      <c r="A446" s="1328">
        <v>32954</v>
      </c>
      <c r="B446" s="1332" t="s">
        <v>615</v>
      </c>
      <c r="C446" s="1293" t="s">
        <v>1560</v>
      </c>
      <c r="D446" s="1292"/>
      <c r="E446" s="1280">
        <v>-0.183</v>
      </c>
      <c r="F446" s="1280">
        <v>0.24399999999999999</v>
      </c>
      <c r="G446" s="1280">
        <v>-0.12</v>
      </c>
      <c r="H446" s="1277" t="s">
        <v>246</v>
      </c>
      <c r="I446" s="1333">
        <v>0.06</v>
      </c>
      <c r="J446" s="1308"/>
      <c r="K446" s="1289">
        <v>0.77500000000000002</v>
      </c>
    </row>
    <row r="447" spans="1:11" s="1272" customFormat="1">
      <c r="A447" s="1328">
        <v>33017</v>
      </c>
      <c r="B447" s="1293" t="s">
        <v>616</v>
      </c>
      <c r="C447" s="1293" t="s">
        <v>1557</v>
      </c>
      <c r="D447" s="1292"/>
      <c r="E447" s="1274">
        <v>-0.11</v>
      </c>
      <c r="F447" s="1274">
        <v>8.5000000000000006E-2</v>
      </c>
      <c r="G447" s="1274">
        <v>-0.04</v>
      </c>
      <c r="H447" s="1273" t="s">
        <v>246</v>
      </c>
      <c r="I447" s="1334">
        <v>6.5000000000000002E-2</v>
      </c>
      <c r="J447" s="1217"/>
      <c r="K447" s="1289">
        <v>0.50600000000000001</v>
      </c>
    </row>
    <row r="448" spans="1:11" s="1272" customFormat="1">
      <c r="A448" s="1328">
        <v>33143</v>
      </c>
      <c r="B448" s="1293" t="s">
        <v>623</v>
      </c>
      <c r="C448" s="1293" t="s">
        <v>1557</v>
      </c>
      <c r="D448" s="1292"/>
      <c r="E448" s="1274">
        <v>-6.4000000000000001E-2</v>
      </c>
      <c r="F448" s="1274">
        <v>4.2999999999999997E-2</v>
      </c>
      <c r="G448" s="1274">
        <v>-5.3999999999999999E-2</v>
      </c>
      <c r="H448" s="1273" t="s">
        <v>246</v>
      </c>
      <c r="I448" s="1334">
        <v>7.5000000000000011E-2</v>
      </c>
      <c r="J448" s="1217"/>
      <c r="K448" s="1289">
        <v>0.33400000000000002</v>
      </c>
    </row>
    <row r="449" spans="1:11" s="1272" customFormat="1">
      <c r="A449" s="1328">
        <v>33164</v>
      </c>
      <c r="B449" s="1293" t="s">
        <v>624</v>
      </c>
      <c r="C449" s="1293" t="s">
        <v>1553</v>
      </c>
      <c r="D449" s="1292"/>
      <c r="E449" s="1274">
        <v>-0.19</v>
      </c>
      <c r="F449" s="1274">
        <v>-3.7999999999999999E-2</v>
      </c>
      <c r="G449" s="1274">
        <v>0.21099999999999999</v>
      </c>
      <c r="H449" s="1273" t="s">
        <v>246</v>
      </c>
      <c r="I449" s="1334">
        <v>1.7000000000000015E-2</v>
      </c>
      <c r="J449" s="1217"/>
      <c r="K449" s="1289">
        <v>0.60699999999999998</v>
      </c>
    </row>
    <row r="450" spans="1:11" s="1272" customFormat="1">
      <c r="A450" s="1328">
        <v>33185</v>
      </c>
      <c r="B450" s="1293" t="s">
        <v>616</v>
      </c>
      <c r="C450" s="1293" t="s">
        <v>1557</v>
      </c>
      <c r="D450" s="1292"/>
      <c r="E450" s="1274">
        <v>-0.109</v>
      </c>
      <c r="F450" s="1274">
        <v>0.115</v>
      </c>
      <c r="G450" s="1274">
        <v>-5.0999999999999997E-2</v>
      </c>
      <c r="H450" s="1273" t="s">
        <v>246</v>
      </c>
      <c r="I450" s="1334">
        <v>4.4999999999999991E-2</v>
      </c>
      <c r="J450" s="1217"/>
      <c r="K450" s="1289">
        <v>0.39700000000000002</v>
      </c>
    </row>
    <row r="451" spans="1:11" s="1272" customFormat="1">
      <c r="A451" s="1328">
        <v>33185</v>
      </c>
      <c r="B451" s="1293" t="s">
        <v>617</v>
      </c>
      <c r="C451" s="1293" t="s">
        <v>1557</v>
      </c>
      <c r="D451" s="1292"/>
      <c r="E451" s="1274">
        <v>-0.22700000000000001</v>
      </c>
      <c r="F451" s="1274">
        <v>8.8999999999999996E-2</v>
      </c>
      <c r="G451" s="1274">
        <v>7.5999999999999998E-2</v>
      </c>
      <c r="H451" s="1273" t="s">
        <v>246</v>
      </c>
      <c r="I451" s="1334">
        <v>6.2000000000000013E-2</v>
      </c>
      <c r="J451" s="1217"/>
      <c r="K451" s="1289">
        <v>0.53400000000000003</v>
      </c>
    </row>
    <row r="452" spans="1:11" s="1272" customFormat="1">
      <c r="A452" s="1328">
        <v>33206</v>
      </c>
      <c r="B452" s="1293" t="s">
        <v>618</v>
      </c>
      <c r="C452" s="1293" t="s">
        <v>1557</v>
      </c>
      <c r="D452" s="1292"/>
      <c r="E452" s="1274">
        <v>-0.01</v>
      </c>
      <c r="F452" s="1274">
        <v>-0.115</v>
      </c>
      <c r="G452" s="1274">
        <v>-7.4999999999999997E-2</v>
      </c>
      <c r="H452" s="1274">
        <v>0.16500000000000001</v>
      </c>
      <c r="I452" s="1334">
        <v>3.5000000000000003E-2</v>
      </c>
      <c r="J452" s="1217"/>
      <c r="K452" s="1289">
        <v>0.53700000000000003</v>
      </c>
    </row>
    <row r="453" spans="1:11" s="1272" customFormat="1">
      <c r="A453" s="1328">
        <v>33206</v>
      </c>
      <c r="B453" s="1293" t="s">
        <v>619</v>
      </c>
      <c r="C453" s="1293" t="s">
        <v>1557</v>
      </c>
      <c r="D453" s="1292"/>
      <c r="E453" s="1274">
        <v>-1.2999999999999999E-2</v>
      </c>
      <c r="F453" s="1274">
        <v>-0.10100000000000001</v>
      </c>
      <c r="G453" s="1274">
        <v>-5.2999999999999999E-2</v>
      </c>
      <c r="H453" s="1274">
        <v>0.13500000000000001</v>
      </c>
      <c r="I453" s="1334">
        <v>3.2000000000000001E-2</v>
      </c>
      <c r="J453" s="1217"/>
      <c r="K453" s="1289">
        <v>0.55000000000000004</v>
      </c>
    </row>
    <row r="454" spans="1:11" s="1272" customFormat="1">
      <c r="A454" s="1328">
        <v>33304</v>
      </c>
      <c r="B454" s="1293" t="s">
        <v>620</v>
      </c>
      <c r="C454" s="1293" t="s">
        <v>1553</v>
      </c>
      <c r="D454" s="1292"/>
      <c r="E454" s="1274">
        <v>-0.224</v>
      </c>
      <c r="F454" s="1274">
        <v>-8.3000000000000004E-2</v>
      </c>
      <c r="G454" s="1274">
        <v>0.27100000000000002</v>
      </c>
      <c r="H454" s="1273" t="s">
        <v>246</v>
      </c>
      <c r="I454" s="1334">
        <v>3.5999999999999976E-2</v>
      </c>
      <c r="J454" s="1217"/>
      <c r="K454" s="1289">
        <v>0.71199999999999997</v>
      </c>
    </row>
    <row r="455" spans="1:11" s="1272" customFormat="1">
      <c r="A455" s="1328">
        <v>33332</v>
      </c>
      <c r="B455" s="1332" t="s">
        <v>621</v>
      </c>
      <c r="C455" s="1332" t="s">
        <v>1557</v>
      </c>
      <c r="D455" s="1295"/>
      <c r="E455" s="1280">
        <v>-7.4999999999999997E-2</v>
      </c>
      <c r="F455" s="1280">
        <v>-0.11600000000000001</v>
      </c>
      <c r="G455" s="1280">
        <v>-8.3000000000000004E-2</v>
      </c>
      <c r="H455" s="1280">
        <v>0.17</v>
      </c>
      <c r="I455" s="1333">
        <v>0.10400000000000001</v>
      </c>
      <c r="J455" s="1308"/>
      <c r="K455" s="1288">
        <v>0.63700000000000001</v>
      </c>
    </row>
    <row r="456" spans="1:11" s="1272" customFormat="1">
      <c r="A456" s="1328">
        <v>33374</v>
      </c>
      <c r="B456" s="1332" t="s">
        <v>137</v>
      </c>
      <c r="C456" s="1332" t="s">
        <v>1560</v>
      </c>
      <c r="D456" s="1295"/>
      <c r="E456" s="1280">
        <v>-0.13500000000000001</v>
      </c>
      <c r="F456" s="1280">
        <v>0.11600000000000001</v>
      </c>
      <c r="G456" s="1280">
        <v>8.0000000000000002E-3</v>
      </c>
      <c r="H456" s="1280">
        <v>-2E-3</v>
      </c>
      <c r="I456" s="1333">
        <v>1.3000000000000003E-2</v>
      </c>
      <c r="J456" s="1308"/>
      <c r="K456" s="1288">
        <v>0.75800000000000001</v>
      </c>
    </row>
    <row r="457" spans="1:11" s="1272" customFormat="1">
      <c r="A457" s="1328">
        <v>33423</v>
      </c>
      <c r="B457" s="1293" t="s">
        <v>622</v>
      </c>
      <c r="C457" s="1293" t="s">
        <v>1557</v>
      </c>
      <c r="D457" s="1292"/>
      <c r="E457" s="1274">
        <v>-0.115</v>
      </c>
      <c r="F457" s="1274">
        <v>-0.113</v>
      </c>
      <c r="G457" s="1274">
        <v>0.14799999999999999</v>
      </c>
      <c r="H457" s="1273" t="s">
        <v>246</v>
      </c>
      <c r="I457" s="1334">
        <v>8.0000000000000016E-2</v>
      </c>
      <c r="J457" s="1217"/>
      <c r="K457" s="1289">
        <v>0.56699999999999995</v>
      </c>
    </row>
    <row r="458" spans="1:11" s="1272" customFormat="1" ht="15">
      <c r="A458" s="1328">
        <v>33549</v>
      </c>
      <c r="B458" s="1293" t="s">
        <v>284</v>
      </c>
      <c r="C458" s="1335" t="s">
        <v>1569</v>
      </c>
      <c r="D458" s="1335"/>
      <c r="E458" s="1274">
        <v>-6.7000000000000004E-2</v>
      </c>
      <c r="F458" s="1274">
        <v>-7.0000000000000001E-3</v>
      </c>
      <c r="G458" s="1274">
        <v>4.2999999999999997E-2</v>
      </c>
      <c r="H458" s="1273" t="s">
        <v>246</v>
      </c>
      <c r="I458" s="1334">
        <v>3.1000000000000014E-2</v>
      </c>
      <c r="J458" s="1217"/>
      <c r="K458" s="1289">
        <v>0.42599999999999999</v>
      </c>
    </row>
    <row r="459" spans="1:11" s="1272" customFormat="1">
      <c r="A459" s="1328">
        <v>33549</v>
      </c>
      <c r="B459" s="1293" t="s">
        <v>625</v>
      </c>
      <c r="C459" s="1293" t="s">
        <v>1553</v>
      </c>
      <c r="D459" s="1292"/>
      <c r="E459" s="1280">
        <v>-0.10100000000000001</v>
      </c>
      <c r="F459" s="1274">
        <v>-8.2000000000000003E-2</v>
      </c>
      <c r="G459" s="1274">
        <v>0.127</v>
      </c>
      <c r="H459" s="1280">
        <v>4.7E-2</v>
      </c>
      <c r="I459" s="1334">
        <v>7.9999999999999932E-3</v>
      </c>
      <c r="J459" s="1217"/>
      <c r="K459" s="1289">
        <v>0.64600000000000002</v>
      </c>
    </row>
    <row r="460" spans="1:11" s="1272" customFormat="1">
      <c r="A460" s="1328">
        <v>33549</v>
      </c>
      <c r="B460" s="1293" t="s">
        <v>626</v>
      </c>
      <c r="C460" s="1293" t="s">
        <v>1560</v>
      </c>
      <c r="D460" s="1292"/>
      <c r="E460" s="1274">
        <v>-2.5999999999999999E-2</v>
      </c>
      <c r="F460" s="1274">
        <v>4.4999999999999998E-2</v>
      </c>
      <c r="G460" s="1274">
        <v>-3.7999999999999999E-2</v>
      </c>
      <c r="H460" s="1273" t="s">
        <v>246</v>
      </c>
      <c r="I460" s="1334">
        <v>1.9E-2</v>
      </c>
      <c r="J460" s="1217"/>
      <c r="K460" s="1275">
        <v>0.65300000000000002</v>
      </c>
    </row>
    <row r="461" spans="1:11" s="1272" customFormat="1" ht="4" customHeight="1">
      <c r="A461" s="1328"/>
      <c r="B461" s="1293"/>
      <c r="C461" s="1293"/>
      <c r="D461" s="1292"/>
      <c r="E461" s="1274"/>
      <c r="F461" s="1274"/>
      <c r="G461" s="1274"/>
      <c r="H461" s="1336"/>
      <c r="I461" s="1290"/>
      <c r="J461" s="1291"/>
      <c r="K461" s="1275"/>
    </row>
    <row r="462" spans="1:11" s="1272" customFormat="1">
      <c r="A462" s="2264" t="s">
        <v>800</v>
      </c>
      <c r="B462" s="2270"/>
      <c r="C462" s="2270"/>
      <c r="D462" s="2271"/>
      <c r="E462" s="2266"/>
      <c r="F462" s="2266"/>
      <c r="G462" s="2266"/>
      <c r="H462" s="2266"/>
      <c r="I462" s="2272" t="s">
        <v>221</v>
      </c>
      <c r="J462" s="2273"/>
      <c r="K462" s="2271"/>
    </row>
    <row r="463" spans="1:11" s="1272" customFormat="1" ht="4" customHeight="1">
      <c r="A463" s="1337"/>
      <c r="B463" s="1293"/>
      <c r="C463" s="1293"/>
      <c r="D463" s="1292"/>
      <c r="E463" s="1274"/>
      <c r="F463" s="1274"/>
      <c r="G463" s="1274"/>
      <c r="H463" s="1274"/>
      <c r="I463" s="1290" t="s">
        <v>221</v>
      </c>
      <c r="J463" s="1291"/>
      <c r="K463" s="1292"/>
    </row>
    <row r="464" spans="1:11" s="1272" customFormat="1">
      <c r="A464" s="1328">
        <v>34095</v>
      </c>
      <c r="B464" s="1293" t="s">
        <v>627</v>
      </c>
      <c r="C464" s="1293" t="s">
        <v>1553</v>
      </c>
      <c r="D464" s="1294"/>
      <c r="E464" s="1280">
        <v>-0.29024692061962098</v>
      </c>
      <c r="F464" s="1280">
        <v>-3.97332952975675E-2</v>
      </c>
      <c r="G464" s="1280">
        <v>0.277565969276931</v>
      </c>
      <c r="H464" s="1273" t="s">
        <v>246</v>
      </c>
      <c r="I464" s="1334">
        <v>5.2414246640257511E-2</v>
      </c>
      <c r="J464" s="1217"/>
      <c r="K464" s="1217">
        <v>0.71253437920104601</v>
      </c>
    </row>
    <row r="465" spans="1:11" s="1272" customFormat="1">
      <c r="A465" s="1328">
        <v>34179</v>
      </c>
      <c r="B465" s="1293" t="s">
        <v>628</v>
      </c>
      <c r="C465" s="1293" t="s">
        <v>1553</v>
      </c>
      <c r="D465" s="1294"/>
      <c r="E465" s="1280">
        <v>-0.32156912017133299</v>
      </c>
      <c r="F465" s="1280">
        <v>-9.4126678658834395E-2</v>
      </c>
      <c r="G465" s="1280">
        <v>0.385532637920251</v>
      </c>
      <c r="H465" s="1273" t="s">
        <v>246</v>
      </c>
      <c r="I465" s="1334">
        <v>3.0163160909916387E-2</v>
      </c>
      <c r="J465" s="1217"/>
      <c r="K465" s="1217">
        <v>0.74233316636055002</v>
      </c>
    </row>
    <row r="466" spans="1:11" s="1272" customFormat="1">
      <c r="A466" s="1328">
        <v>34459</v>
      </c>
      <c r="B466" s="1293" t="s">
        <v>478</v>
      </c>
      <c r="C466" s="1293" t="s">
        <v>1557</v>
      </c>
      <c r="D466" s="1294"/>
      <c r="E466" s="1280">
        <v>-0.138633053012296</v>
      </c>
      <c r="F466" s="1280">
        <v>-8.3198391085151494E-2</v>
      </c>
      <c r="G466" s="1280">
        <v>0.17381980491219101</v>
      </c>
      <c r="H466" s="1273" t="s">
        <v>246</v>
      </c>
      <c r="I466" s="1334">
        <v>4.8011639185256472E-2</v>
      </c>
      <c r="J466" s="1217"/>
      <c r="K466" s="1217">
        <v>0.43709948309879798</v>
      </c>
    </row>
    <row r="467" spans="1:11" s="1272" customFormat="1">
      <c r="A467" s="1328">
        <v>34494</v>
      </c>
      <c r="B467" s="1293" t="s">
        <v>629</v>
      </c>
      <c r="C467" s="1293" t="s">
        <v>1557</v>
      </c>
      <c r="D467" s="1294"/>
      <c r="E467" s="1280">
        <v>-0.23466516665621501</v>
      </c>
      <c r="F467" s="1280">
        <v>0.20454782515616601</v>
      </c>
      <c r="G467" s="1280">
        <v>-2.49386610240084E-2</v>
      </c>
      <c r="H467" s="1273" t="s">
        <v>246</v>
      </c>
      <c r="I467" s="1334">
        <v>5.5056002524057394E-2</v>
      </c>
      <c r="J467" s="1217"/>
      <c r="K467" s="1217">
        <v>0.38313689936536699</v>
      </c>
    </row>
    <row r="468" spans="1:11" s="1272" customFormat="1">
      <c r="A468" s="1328">
        <v>34494</v>
      </c>
      <c r="B468" s="1293" t="s">
        <v>630</v>
      </c>
      <c r="C468" s="1293" t="s">
        <v>1553</v>
      </c>
      <c r="D468" s="1294"/>
      <c r="E468" s="1280">
        <v>-0.26525574704617999</v>
      </c>
      <c r="F468" s="1280">
        <v>6.8364065730419005E-2</v>
      </c>
      <c r="G468" s="1280">
        <v>0.162871920901734</v>
      </c>
      <c r="H468" s="1273" t="s">
        <v>246</v>
      </c>
      <c r="I468" s="1334">
        <v>3.4019760414026989E-2</v>
      </c>
      <c r="J468" s="1217"/>
      <c r="K468" s="1217">
        <v>0.58716902545794503</v>
      </c>
    </row>
    <row r="469" spans="1:11" s="1272" customFormat="1">
      <c r="A469" s="1328">
        <v>34494</v>
      </c>
      <c r="B469" s="1293" t="s">
        <v>631</v>
      </c>
      <c r="C469" s="1293" t="s">
        <v>1557</v>
      </c>
      <c r="D469" s="1294"/>
      <c r="E469" s="1280">
        <v>-0.15952787744313601</v>
      </c>
      <c r="F469" s="1280">
        <v>0.16639562068493899</v>
      </c>
      <c r="G469" s="1280">
        <v>-6.9913776042089204E-2</v>
      </c>
      <c r="H469" s="1273" t="s">
        <v>246</v>
      </c>
      <c r="I469" s="1334">
        <v>6.3046032800286228E-2</v>
      </c>
      <c r="J469" s="1217"/>
      <c r="K469" s="1217">
        <v>0.348100590453155</v>
      </c>
    </row>
    <row r="470" spans="1:11" s="1272" customFormat="1">
      <c r="A470" s="1328">
        <v>34494</v>
      </c>
      <c r="B470" s="1293" t="s">
        <v>324</v>
      </c>
      <c r="C470" s="1293" t="s">
        <v>1557</v>
      </c>
      <c r="D470" s="1294"/>
      <c r="E470" s="1280">
        <v>-0.20599999999999999</v>
      </c>
      <c r="F470" s="1280">
        <v>7.6999999999999999E-2</v>
      </c>
      <c r="G470" s="1280">
        <v>0.10159142422614199</v>
      </c>
      <c r="H470" s="1273" t="s">
        <v>246</v>
      </c>
      <c r="I470" s="1334">
        <v>2.740857577385801E-2</v>
      </c>
      <c r="J470" s="1217"/>
      <c r="K470" s="1217">
        <v>0.44235554724471698</v>
      </c>
    </row>
    <row r="471" spans="1:11" s="1272" customFormat="1">
      <c r="A471" s="1328">
        <v>34494</v>
      </c>
      <c r="B471" s="1293" t="s">
        <v>632</v>
      </c>
      <c r="C471" s="1293" t="s">
        <v>1557</v>
      </c>
      <c r="D471" s="1294"/>
      <c r="E471" s="1280">
        <v>-0.26378127442968102</v>
      </c>
      <c r="F471" s="1280">
        <v>0.197330581179812</v>
      </c>
      <c r="G471" s="1280">
        <v>-3.05156197968461E-2</v>
      </c>
      <c r="H471" s="1273" t="s">
        <v>246</v>
      </c>
      <c r="I471" s="1334">
        <v>9.6966313046715116E-2</v>
      </c>
      <c r="J471" s="1217"/>
      <c r="K471" s="1217">
        <v>0.36976756189460303</v>
      </c>
    </row>
    <row r="472" spans="1:11" s="1272" customFormat="1">
      <c r="A472" s="1328">
        <v>34515</v>
      </c>
      <c r="B472" s="1293" t="s">
        <v>633</v>
      </c>
      <c r="C472" s="1293" t="s">
        <v>1557</v>
      </c>
      <c r="D472" s="1294"/>
      <c r="E472" s="1280">
        <v>-0.13703577089462701</v>
      </c>
      <c r="F472" s="1280">
        <v>-0.115304607006793</v>
      </c>
      <c r="G472" s="1280">
        <v>-2.0456633899310701E-2</v>
      </c>
      <c r="H472" s="1280">
        <v>0.26900000000000002</v>
      </c>
      <c r="I472" s="1334">
        <v>3.7970118007306652E-3</v>
      </c>
      <c r="J472" s="1217"/>
      <c r="K472" s="1217">
        <v>0.69953205812330699</v>
      </c>
    </row>
    <row r="473" spans="1:11" s="1272" customFormat="1">
      <c r="A473" s="1328">
        <v>34683</v>
      </c>
      <c r="B473" s="1293" t="s">
        <v>634</v>
      </c>
      <c r="C473" s="1293" t="s">
        <v>1560</v>
      </c>
      <c r="D473" s="1294"/>
      <c r="E473" s="1280">
        <v>-0.30179551882995098</v>
      </c>
      <c r="F473" s="1280">
        <v>0.280588305283479</v>
      </c>
      <c r="G473" s="1280">
        <v>-2.8348551820172301E-2</v>
      </c>
      <c r="H473" s="1273" t="s">
        <v>246</v>
      </c>
      <c r="I473" s="1334">
        <v>4.9555765366644286E-2</v>
      </c>
      <c r="J473" s="1217"/>
      <c r="K473" s="1217">
        <v>0.46954712863183701</v>
      </c>
    </row>
    <row r="474" spans="1:11" s="1272" customFormat="1">
      <c r="A474" s="1328">
        <v>34746</v>
      </c>
      <c r="B474" s="1293" t="s">
        <v>635</v>
      </c>
      <c r="C474" s="1293" t="s">
        <v>1557</v>
      </c>
      <c r="D474" s="1294"/>
      <c r="E474" s="1280">
        <v>-0.109171488125479</v>
      </c>
      <c r="F474" s="1280">
        <v>-5.1999999999999998E-2</v>
      </c>
      <c r="G474" s="1280">
        <v>4.9124128849082599E-2</v>
      </c>
      <c r="H474" s="1280">
        <v>8.7999999999999995E-2</v>
      </c>
      <c r="I474" s="1334">
        <v>2.3190811721349791E-2</v>
      </c>
      <c r="J474" s="1217"/>
      <c r="K474" s="1217">
        <v>0.45110410094637199</v>
      </c>
    </row>
    <row r="475" spans="1:11" s="1272" customFormat="1">
      <c r="A475" s="1328">
        <v>34844</v>
      </c>
      <c r="B475" s="1293" t="s">
        <v>636</v>
      </c>
      <c r="C475" s="1293" t="s">
        <v>1554</v>
      </c>
      <c r="D475" s="1294"/>
      <c r="E475" s="1280">
        <v>-0.187361763138402</v>
      </c>
      <c r="F475" s="1280">
        <v>0.104682111260952</v>
      </c>
      <c r="G475" s="1280">
        <v>4.4005432749900401E-3</v>
      </c>
      <c r="H475" s="1280">
        <v>4.3999999999999997E-2</v>
      </c>
      <c r="I475" s="1334">
        <v>3.4279108602459959E-2</v>
      </c>
      <c r="J475" s="1217"/>
      <c r="K475" s="1217">
        <v>0.62084480359944405</v>
      </c>
    </row>
    <row r="476" spans="1:11" s="1272" customFormat="1">
      <c r="A476" s="1328">
        <v>34907</v>
      </c>
      <c r="B476" s="1293" t="s">
        <v>647</v>
      </c>
      <c r="C476" s="1293" t="s">
        <v>1553</v>
      </c>
      <c r="D476" s="1294"/>
      <c r="E476" s="1280">
        <v>-0.20673666220818701</v>
      </c>
      <c r="F476" s="1280">
        <v>0.138929764169819</v>
      </c>
      <c r="G476" s="1280">
        <v>2.66781720083702E-2</v>
      </c>
      <c r="H476" s="1273" t="s">
        <v>246</v>
      </c>
      <c r="I476" s="1334">
        <v>4.1128726029997807E-2</v>
      </c>
      <c r="J476" s="1217"/>
      <c r="K476" s="1217">
        <v>0.64383833753533504</v>
      </c>
    </row>
    <row r="477" spans="1:11" s="1272" customFormat="1">
      <c r="A477" s="1328">
        <v>35096</v>
      </c>
      <c r="B477" s="1293" t="s">
        <v>284</v>
      </c>
      <c r="C477" s="1293" t="s">
        <v>1557</v>
      </c>
      <c r="D477" s="1294"/>
      <c r="E477" s="1280">
        <v>-9.7945354209974106E-2</v>
      </c>
      <c r="F477" s="1280">
        <v>1.0999999999999999E-2</v>
      </c>
      <c r="G477" s="1280">
        <v>-3.6659518281131502E-2</v>
      </c>
      <c r="H477" s="1273" t="s">
        <v>246</v>
      </c>
      <c r="I477" s="1334">
        <v>0.12360487249110561</v>
      </c>
      <c r="J477" s="1217"/>
      <c r="K477" s="1217">
        <v>0.39508476096510903</v>
      </c>
    </row>
    <row r="478" spans="1:11" s="1272" customFormat="1">
      <c r="A478" s="1328">
        <v>35166</v>
      </c>
      <c r="B478" s="1293" t="s">
        <v>637</v>
      </c>
      <c r="C478" s="1293" t="s">
        <v>1560</v>
      </c>
      <c r="D478" s="1294"/>
      <c r="E478" s="1280">
        <v>-0.22165463720707401</v>
      </c>
      <c r="F478" s="1280">
        <v>0.219589607126711</v>
      </c>
      <c r="G478" s="1280">
        <v>-4.9229780037820699E-2</v>
      </c>
      <c r="H478" s="1273" t="s">
        <v>246</v>
      </c>
      <c r="I478" s="1334">
        <v>5.1294810118183716E-2</v>
      </c>
      <c r="J478" s="1217"/>
      <c r="K478" s="1217">
        <v>0.59574322380945899</v>
      </c>
    </row>
    <row r="479" spans="1:11" s="1272" customFormat="1">
      <c r="A479" s="1328">
        <v>35411</v>
      </c>
      <c r="B479" s="1293" t="s">
        <v>638</v>
      </c>
      <c r="C479" s="1293" t="s">
        <v>1557</v>
      </c>
      <c r="D479" s="1294"/>
      <c r="E479" s="1280">
        <v>-6.9084540085937493E-2</v>
      </c>
      <c r="F479" s="1280">
        <v>-7.47446927090101E-3</v>
      </c>
      <c r="G479" s="1280">
        <v>-2.54713589455816E-3</v>
      </c>
      <c r="H479" s="1273" t="s">
        <v>246</v>
      </c>
      <c r="I479" s="1334">
        <v>7.9106145251396656E-2</v>
      </c>
      <c r="J479" s="1217"/>
      <c r="K479" s="1217">
        <v>0.33637132387484697</v>
      </c>
    </row>
    <row r="480" spans="1:11" s="1272" customFormat="1">
      <c r="A480" s="1328">
        <v>35488</v>
      </c>
      <c r="B480" s="1293" t="s">
        <v>130</v>
      </c>
      <c r="C480" s="1293" t="s">
        <v>1560</v>
      </c>
      <c r="D480" s="1294"/>
      <c r="E480" s="1280">
        <v>-0.164621449653098</v>
      </c>
      <c r="F480" s="1280">
        <v>0.180120619077067</v>
      </c>
      <c r="G480" s="1280">
        <v>-3.0080815683292201E-2</v>
      </c>
      <c r="H480" s="1273" t="s">
        <v>246</v>
      </c>
      <c r="I480" s="1333">
        <v>1.4581646259323195E-2</v>
      </c>
      <c r="J480" s="1308"/>
      <c r="K480" s="1217">
        <v>0.73021522061800004</v>
      </c>
    </row>
    <row r="481" spans="1:15" s="1272" customFormat="1" ht="4" customHeight="1">
      <c r="A481" s="1328" t="s">
        <v>221</v>
      </c>
      <c r="B481" s="1293"/>
      <c r="C481" s="1293"/>
      <c r="D481" s="1292"/>
      <c r="E481" s="1280" t="s">
        <v>221</v>
      </c>
      <c r="F481" s="1280" t="s">
        <v>221</v>
      </c>
      <c r="G481" s="1280" t="s">
        <v>221</v>
      </c>
      <c r="H481" s="1280" t="s">
        <v>221</v>
      </c>
      <c r="I481" s="1290" t="s">
        <v>221</v>
      </c>
      <c r="J481" s="1291"/>
      <c r="K481" s="1275" t="s">
        <v>221</v>
      </c>
    </row>
    <row r="482" spans="1:15" s="1272" customFormat="1">
      <c r="A482" s="2264" t="s">
        <v>801</v>
      </c>
      <c r="B482" s="2270"/>
      <c r="C482" s="2270"/>
      <c r="D482" s="2271"/>
      <c r="E482" s="2266"/>
      <c r="F482" s="2266"/>
      <c r="G482" s="2266"/>
      <c r="H482" s="2266"/>
      <c r="I482" s="2266"/>
      <c r="J482" s="2266"/>
      <c r="K482" s="2271"/>
    </row>
    <row r="483" spans="1:15" s="1272" customFormat="1" ht="4" customHeight="1">
      <c r="A483" s="1337"/>
      <c r="B483" s="1293"/>
      <c r="C483" s="1332"/>
      <c r="D483" s="1295"/>
      <c r="E483" s="1280"/>
      <c r="F483" s="1280"/>
      <c r="G483" s="1280"/>
      <c r="H483" s="1280"/>
      <c r="I483" s="1280"/>
      <c r="J483" s="1280"/>
      <c r="K483" s="1295"/>
    </row>
    <row r="484" spans="1:15" s="1272" customFormat="1">
      <c r="A484" s="1328">
        <v>35642</v>
      </c>
      <c r="B484" s="1332" t="s">
        <v>550</v>
      </c>
      <c r="C484" s="1332" t="s">
        <v>1545</v>
      </c>
      <c r="D484" s="1295"/>
      <c r="E484" s="1280">
        <v>7.5999999999999998E-2</v>
      </c>
      <c r="F484" s="1280">
        <v>-2.5000000000000001E-2</v>
      </c>
      <c r="G484" s="1280">
        <v>-5.2999999999999999E-2</v>
      </c>
      <c r="H484" s="1277" t="s">
        <v>246</v>
      </c>
      <c r="I484" s="1333">
        <v>2.0000000000000018E-3</v>
      </c>
      <c r="J484" s="1308"/>
      <c r="K484" s="1278">
        <v>0.55500000000000005</v>
      </c>
    </row>
    <row r="485" spans="1:15" s="1272" customFormat="1">
      <c r="A485" s="1328">
        <v>35740</v>
      </c>
      <c r="B485" s="1332" t="s">
        <v>619</v>
      </c>
      <c r="C485" s="1332" t="s">
        <v>1557</v>
      </c>
      <c r="D485" s="1295"/>
      <c r="E485" s="1280">
        <v>-1.7000000000000001E-2</v>
      </c>
      <c r="F485" s="1280">
        <v>-0.13400000000000001</v>
      </c>
      <c r="G485" s="1280">
        <v>1.6E-2</v>
      </c>
      <c r="H485" s="1280">
        <v>9.0999999999999998E-2</v>
      </c>
      <c r="I485" s="1333">
        <v>4.4000000000000011E-2</v>
      </c>
      <c r="J485" s="1308"/>
      <c r="K485" s="1278">
        <v>0.43099999999999999</v>
      </c>
    </row>
    <row r="486" spans="1:15" s="1272" customFormat="1">
      <c r="A486" s="1328">
        <v>35754</v>
      </c>
      <c r="B486" s="1332" t="s">
        <v>404</v>
      </c>
      <c r="C486" s="1332" t="s">
        <v>1545</v>
      </c>
      <c r="D486" s="1295"/>
      <c r="E486" s="1280">
        <v>-1.2E-2</v>
      </c>
      <c r="F486" s="1280">
        <v>0.04</v>
      </c>
      <c r="G486" s="1280">
        <v>2E-3</v>
      </c>
      <c r="H486" s="1277" t="s">
        <v>246</v>
      </c>
      <c r="I486" s="1333">
        <v>-0.03</v>
      </c>
      <c r="J486" s="1308"/>
      <c r="K486" s="1278">
        <v>0.436</v>
      </c>
    </row>
    <row r="487" spans="1:15" s="1272" customFormat="1" ht="16">
      <c r="A487" s="1328">
        <v>35754</v>
      </c>
      <c r="B487" s="1332" t="s">
        <v>2323</v>
      </c>
      <c r="C487" s="1332" t="s">
        <v>1105</v>
      </c>
      <c r="D487" s="1295"/>
      <c r="E487" s="1280">
        <v>-0.13600000000000001</v>
      </c>
      <c r="F487" s="1280">
        <v>-8.7999999999999995E-2</v>
      </c>
      <c r="G487" s="1280">
        <v>0.26</v>
      </c>
      <c r="H487" s="1277" t="s">
        <v>246</v>
      </c>
      <c r="I487" s="1333">
        <v>-3.6000000000000004E-2</v>
      </c>
      <c r="J487" s="1308"/>
      <c r="K487" s="1278">
        <v>0.68700000000000006</v>
      </c>
    </row>
    <row r="488" spans="1:15" ht="15" thickBot="1">
      <c r="A488" s="1364"/>
      <c r="B488" s="1364"/>
      <c r="C488" s="1364"/>
      <c r="D488" s="3441" t="s">
        <v>1165</v>
      </c>
      <c r="E488" s="3441"/>
      <c r="F488" s="3441"/>
      <c r="G488" s="3441"/>
      <c r="H488" s="3441"/>
      <c r="I488" s="3441"/>
      <c r="J488" s="3441"/>
      <c r="K488" s="1366"/>
    </row>
    <row r="489" spans="1:15" s="1312" customFormat="1" ht="3" customHeight="1">
      <c r="A489" s="1364"/>
      <c r="B489" s="1364"/>
      <c r="C489" s="1364"/>
      <c r="D489" s="2223"/>
      <c r="E489" s="2223"/>
      <c r="F489" s="2223"/>
      <c r="G489" s="2223"/>
      <c r="H489" s="2223"/>
      <c r="I489" s="2223"/>
      <c r="J489" s="2223"/>
      <c r="K489" s="1366"/>
      <c r="L489" s="1311"/>
      <c r="M489" s="1311"/>
      <c r="N489" s="1311"/>
      <c r="O489" s="1311"/>
    </row>
    <row r="490" spans="1:15">
      <c r="A490" s="1364" t="s">
        <v>268</v>
      </c>
      <c r="B490" s="1364" t="s">
        <v>269</v>
      </c>
      <c r="C490" s="1364" t="s">
        <v>216</v>
      </c>
      <c r="D490" s="871"/>
      <c r="E490" s="2243" t="s">
        <v>806</v>
      </c>
      <c r="F490" s="2244" t="s">
        <v>807</v>
      </c>
      <c r="G490" s="2245" t="s">
        <v>808</v>
      </c>
      <c r="H490" s="1363" t="s">
        <v>95</v>
      </c>
      <c r="I490" s="2246" t="s">
        <v>1972</v>
      </c>
      <c r="J490" s="1183"/>
      <c r="K490" s="1183" t="s">
        <v>219</v>
      </c>
    </row>
    <row r="491" spans="1:15" ht="3" customHeight="1">
      <c r="A491" s="1364"/>
      <c r="B491" s="1364"/>
      <c r="C491" s="1364"/>
      <c r="D491" s="871"/>
      <c r="E491" s="1374"/>
      <c r="F491" s="1374"/>
      <c r="G491" s="1374"/>
      <c r="H491" s="1374"/>
      <c r="I491" s="1374"/>
      <c r="J491" s="1183"/>
      <c r="K491" s="1183"/>
    </row>
    <row r="492" spans="1:15" s="1272" customFormat="1">
      <c r="A492" s="1328">
        <v>36321</v>
      </c>
      <c r="B492" s="1332" t="s">
        <v>134</v>
      </c>
      <c r="C492" s="1332" t="s">
        <v>1557</v>
      </c>
      <c r="D492" s="1295"/>
      <c r="E492" s="1280">
        <v>-1.4E-2</v>
      </c>
      <c r="F492" s="1280">
        <v>-0.214</v>
      </c>
      <c r="G492" s="1280">
        <v>0.19600000000000001</v>
      </c>
      <c r="H492" s="1277" t="s">
        <v>246</v>
      </c>
      <c r="I492" s="1333">
        <v>3.2000000000000001E-2</v>
      </c>
      <c r="J492" s="1308"/>
      <c r="K492" s="1278">
        <v>0.19600000000000001</v>
      </c>
    </row>
    <row r="493" spans="1:15" s="1272" customFormat="1">
      <c r="A493" s="1328">
        <v>36363</v>
      </c>
      <c r="B493" s="1332" t="s">
        <v>639</v>
      </c>
      <c r="C493" s="1332" t="s">
        <v>1545</v>
      </c>
      <c r="D493" s="1295"/>
      <c r="E493" s="1280">
        <v>2.3E-2</v>
      </c>
      <c r="F493" s="1277" t="s">
        <v>564</v>
      </c>
      <c r="G493" s="1280">
        <v>6.0000000000000001E-3</v>
      </c>
      <c r="H493" s="1277" t="s">
        <v>246</v>
      </c>
      <c r="I493" s="1333">
        <v>-2.8999999999999998E-2</v>
      </c>
      <c r="J493" s="1308"/>
      <c r="K493" s="1278">
        <v>0.51400000000000001</v>
      </c>
    </row>
    <row r="494" spans="1:15" s="1272" customFormat="1">
      <c r="A494" s="1328">
        <v>36426</v>
      </c>
      <c r="B494" s="1332" t="s">
        <v>640</v>
      </c>
      <c r="C494" s="1332" t="s">
        <v>1557</v>
      </c>
      <c r="D494" s="1295"/>
      <c r="E494" s="1280">
        <v>-1.4E-2</v>
      </c>
      <c r="F494" s="1280">
        <v>-0.28699999999999998</v>
      </c>
      <c r="G494" s="1280">
        <v>-1.9E-2</v>
      </c>
      <c r="H494" s="1280">
        <v>0.16400000000000001</v>
      </c>
      <c r="I494" s="1333">
        <v>0.156</v>
      </c>
      <c r="J494" s="1308"/>
      <c r="K494" s="1278">
        <v>0.41299999999999998</v>
      </c>
    </row>
    <row r="495" spans="1:15" s="1272" customFormat="1">
      <c r="A495" s="1328">
        <v>36426</v>
      </c>
      <c r="B495" s="1332" t="s">
        <v>311</v>
      </c>
      <c r="C495" s="1332" t="s">
        <v>1557</v>
      </c>
      <c r="D495" s="1295"/>
      <c r="E495" s="1280">
        <v>1.0999999999999999E-2</v>
      </c>
      <c r="F495" s="1280">
        <v>-0.09</v>
      </c>
      <c r="G495" s="1280">
        <v>3.3000000000000002E-2</v>
      </c>
      <c r="H495" s="1277" t="s">
        <v>246</v>
      </c>
      <c r="I495" s="1333">
        <v>4.5999999999999999E-2</v>
      </c>
      <c r="J495" s="1308"/>
      <c r="K495" s="1278">
        <v>0.25</v>
      </c>
    </row>
    <row r="496" spans="1:15" s="1272" customFormat="1">
      <c r="A496" s="1328">
        <v>36489</v>
      </c>
      <c r="B496" s="1332" t="s">
        <v>641</v>
      </c>
      <c r="C496" s="1332" t="s">
        <v>1545</v>
      </c>
      <c r="D496" s="1295"/>
      <c r="E496" s="1280">
        <v>2.8000000000000001E-2</v>
      </c>
      <c r="F496" s="1280">
        <v>-5.8999999999999997E-2</v>
      </c>
      <c r="G496" s="1280">
        <v>-5.8999999999999997E-2</v>
      </c>
      <c r="H496" s="1277" t="s">
        <v>246</v>
      </c>
      <c r="I496" s="1333">
        <v>0.09</v>
      </c>
      <c r="J496" s="1308"/>
      <c r="K496" s="1278">
        <v>0.29699999999999999</v>
      </c>
    </row>
    <row r="497" spans="1:11" s="1272" customFormat="1">
      <c r="A497" s="1328">
        <v>36559</v>
      </c>
      <c r="B497" s="1332" t="s">
        <v>642</v>
      </c>
      <c r="C497" s="1332" t="s">
        <v>650</v>
      </c>
      <c r="D497" s="1295"/>
      <c r="E497" s="1280">
        <v>1.6E-2</v>
      </c>
      <c r="F497" s="1280">
        <v>-9.9000000000000005E-2</v>
      </c>
      <c r="G497" s="1280">
        <v>6.5000000000000002E-2</v>
      </c>
      <c r="H497" s="1280">
        <v>1.0999999999999999E-2</v>
      </c>
      <c r="I497" s="1333">
        <v>7.0000000000000027E-3</v>
      </c>
      <c r="J497" s="1308"/>
      <c r="K497" s="1278">
        <v>0.45600000000000002</v>
      </c>
    </row>
    <row r="498" spans="1:11" s="1272" customFormat="1">
      <c r="A498" s="1328">
        <v>36650</v>
      </c>
      <c r="B498" s="1332" t="s">
        <v>643</v>
      </c>
      <c r="C498" s="1332" t="s">
        <v>1553</v>
      </c>
      <c r="D498" s="1295"/>
      <c r="E498" s="1280">
        <v>-0.04</v>
      </c>
      <c r="F498" s="1280">
        <v>-0.14799999999999999</v>
      </c>
      <c r="G498" s="1280">
        <v>0.21099999999999999</v>
      </c>
      <c r="H498" s="1277" t="s">
        <v>246</v>
      </c>
      <c r="I498" s="1333">
        <v>-2.2999999999999993E-2</v>
      </c>
      <c r="J498" s="1308"/>
      <c r="K498" s="1278">
        <v>0.55500000000000005</v>
      </c>
    </row>
    <row r="499" spans="1:11" s="1272" customFormat="1">
      <c r="A499" s="1328">
        <v>36699</v>
      </c>
      <c r="B499" s="1332" t="s">
        <v>644</v>
      </c>
      <c r="C499" s="1332" t="s">
        <v>1557</v>
      </c>
      <c r="D499" s="1295"/>
      <c r="E499" s="1280">
        <v>3.0000000000000001E-3</v>
      </c>
      <c r="F499" s="1280">
        <v>-0.158</v>
      </c>
      <c r="G499" s="1280">
        <v>8.3000000000000004E-2</v>
      </c>
      <c r="H499" s="1277" t="s">
        <v>246</v>
      </c>
      <c r="I499" s="1333">
        <v>7.1999999999999995E-2</v>
      </c>
      <c r="J499" s="1308"/>
      <c r="K499" s="1278">
        <v>0.254</v>
      </c>
    </row>
    <row r="500" spans="1:11" s="1272" customFormat="1">
      <c r="A500" s="1328">
        <v>36853</v>
      </c>
      <c r="B500" s="1332" t="s">
        <v>645</v>
      </c>
      <c r="C500" s="1332" t="s">
        <v>1557</v>
      </c>
      <c r="D500" s="1295"/>
      <c r="E500" s="1280">
        <v>-6.0000000000000001E-3</v>
      </c>
      <c r="F500" s="1280">
        <v>-9.7000000000000003E-2</v>
      </c>
      <c r="G500" s="1280">
        <v>8.0000000000000002E-3</v>
      </c>
      <c r="H500" s="1280">
        <v>3.6999999999999998E-2</v>
      </c>
      <c r="I500" s="1333">
        <v>5.8000000000000003E-2</v>
      </c>
      <c r="J500" s="1308"/>
      <c r="K500" s="1278">
        <v>0.38400000000000001</v>
      </c>
    </row>
    <row r="501" spans="1:11" s="1272" customFormat="1">
      <c r="A501" s="1328">
        <v>36853</v>
      </c>
      <c r="B501" s="1332" t="s">
        <v>278</v>
      </c>
      <c r="C501" s="1332" t="s">
        <v>1557</v>
      </c>
      <c r="D501" s="1295"/>
      <c r="E501" s="1280">
        <v>3.1E-2</v>
      </c>
      <c r="F501" s="1280">
        <v>-0.151</v>
      </c>
      <c r="G501" s="1280">
        <v>1.4999999999999999E-2</v>
      </c>
      <c r="H501" s="1277" t="s">
        <v>246</v>
      </c>
      <c r="I501" s="1333">
        <v>0.105</v>
      </c>
      <c r="J501" s="1308"/>
      <c r="K501" s="1278">
        <v>0.29599999999999999</v>
      </c>
    </row>
    <row r="502" spans="1:11" s="1272" customFormat="1" ht="16">
      <c r="A502" s="1328">
        <v>36853</v>
      </c>
      <c r="B502" s="1332" t="s">
        <v>2324</v>
      </c>
      <c r="C502" s="1332" t="s">
        <v>1570</v>
      </c>
      <c r="D502" s="1295"/>
      <c r="E502" s="1280" t="s">
        <v>691</v>
      </c>
      <c r="F502" s="1280"/>
      <c r="G502" s="1280"/>
      <c r="H502" s="1277" t="s">
        <v>221</v>
      </c>
      <c r="I502" s="1333" t="s">
        <v>221</v>
      </c>
      <c r="J502" s="1308"/>
      <c r="K502" s="1278">
        <v>0.27600000000000002</v>
      </c>
    </row>
    <row r="503" spans="1:11" s="1272" customFormat="1">
      <c r="A503" s="1328">
        <v>36881</v>
      </c>
      <c r="B503" s="1332" t="s">
        <v>646</v>
      </c>
      <c r="C503" s="1332" t="s">
        <v>1557</v>
      </c>
      <c r="D503" s="1295"/>
      <c r="E503" s="1280">
        <v>-3.7999999999999999E-2</v>
      </c>
      <c r="F503" s="1280">
        <v>-0.158</v>
      </c>
      <c r="G503" s="1280">
        <v>-0.02</v>
      </c>
      <c r="H503" s="1280">
        <v>0.16500000000000001</v>
      </c>
      <c r="I503" s="1333">
        <v>5.099999999999999E-2</v>
      </c>
      <c r="J503" s="1308"/>
      <c r="K503" s="1278">
        <v>0.36199999999999999</v>
      </c>
    </row>
    <row r="504" spans="1:11" s="1272" customFormat="1" ht="4" customHeight="1">
      <c r="B504" s="1293"/>
      <c r="C504" s="1293"/>
      <c r="D504" s="1292"/>
      <c r="E504" s="1274" t="s">
        <v>221</v>
      </c>
      <c r="F504" s="1274" t="s">
        <v>221</v>
      </c>
      <c r="G504" s="1274" t="s">
        <v>221</v>
      </c>
      <c r="H504" s="1274" t="s">
        <v>221</v>
      </c>
      <c r="I504" s="1280" t="s">
        <v>221</v>
      </c>
      <c r="J504" s="1280"/>
      <c r="K504" s="1275"/>
    </row>
    <row r="505" spans="1:11" s="1272" customFormat="1">
      <c r="A505" s="2264" t="s">
        <v>802</v>
      </c>
      <c r="B505" s="2270"/>
      <c r="C505" s="2270"/>
      <c r="D505" s="2271"/>
      <c r="E505" s="2266"/>
      <c r="F505" s="2266"/>
      <c r="G505" s="2266"/>
      <c r="H505" s="2266"/>
      <c r="I505" s="2266"/>
      <c r="J505" s="2266"/>
      <c r="K505" s="2271"/>
    </row>
    <row r="506" spans="1:11" s="1272" customFormat="1" ht="4" customHeight="1">
      <c r="A506" s="1337"/>
      <c r="B506" s="1293"/>
      <c r="C506" s="1293"/>
      <c r="D506" s="1292"/>
      <c r="E506" s="1280"/>
      <c r="F506" s="1280"/>
      <c r="G506" s="1280"/>
      <c r="H506" s="1280"/>
      <c r="I506" s="1280"/>
      <c r="J506" s="1295"/>
      <c r="K506" s="1292"/>
    </row>
    <row r="507" spans="1:11" s="1272" customFormat="1">
      <c r="A507" s="1328">
        <v>37217</v>
      </c>
      <c r="B507" s="1293" t="s">
        <v>411</v>
      </c>
      <c r="C507" s="1293" t="s">
        <v>1557</v>
      </c>
      <c r="D507" s="1292"/>
      <c r="E507" s="1280">
        <v>-2.1000000000000001E-2</v>
      </c>
      <c r="F507" s="1280">
        <v>-0.08</v>
      </c>
      <c r="G507" s="1280">
        <v>7.1999999999999995E-2</v>
      </c>
      <c r="H507" s="1277" t="s">
        <v>246</v>
      </c>
      <c r="I507" s="1334">
        <v>2.9000000000000012E-2</v>
      </c>
      <c r="J507" s="1217"/>
      <c r="K507" s="1275">
        <v>0.40200000000000002</v>
      </c>
    </row>
    <row r="508" spans="1:11" s="1272" customFormat="1">
      <c r="A508" s="1328">
        <v>37301</v>
      </c>
      <c r="B508" s="1293" t="s">
        <v>286</v>
      </c>
      <c r="C508" s="1293" t="s">
        <v>1557</v>
      </c>
      <c r="D508" s="1292"/>
      <c r="E508" s="1280">
        <v>-3.6999999999999998E-2</v>
      </c>
      <c r="F508" s="1280">
        <v>-0.10100000000000001</v>
      </c>
      <c r="G508" s="1280">
        <v>-0.04</v>
      </c>
      <c r="H508" s="1280">
        <v>6.8000000000000005E-2</v>
      </c>
      <c r="I508" s="1334">
        <v>0.11000000000000001</v>
      </c>
      <c r="J508" s="1217"/>
      <c r="K508" s="1278">
        <v>0.35199999999999998</v>
      </c>
    </row>
    <row r="509" spans="1:11" s="1272" customFormat="1">
      <c r="A509" s="1328">
        <v>37882</v>
      </c>
      <c r="B509" s="1293" t="s">
        <v>700</v>
      </c>
      <c r="C509" s="1293" t="s">
        <v>1571</v>
      </c>
      <c r="D509" s="1292"/>
      <c r="E509" s="1280">
        <v>-2.1000000000000001E-2</v>
      </c>
      <c r="F509" s="1280">
        <v>-0.29399999999999998</v>
      </c>
      <c r="G509" s="1280">
        <v>0.28599999999999998</v>
      </c>
      <c r="H509" s="1277" t="s">
        <v>246</v>
      </c>
      <c r="I509" s="1334">
        <v>2.9000000000000026E-2</v>
      </c>
      <c r="J509" s="1217"/>
      <c r="K509" s="1275">
        <v>0.36199999999999999</v>
      </c>
    </row>
    <row r="510" spans="1:11" s="1272" customFormat="1">
      <c r="A510" s="1328">
        <v>38183</v>
      </c>
      <c r="B510" s="1293" t="s">
        <v>445</v>
      </c>
      <c r="C510" s="1293" t="s">
        <v>1557</v>
      </c>
      <c r="D510" s="1292"/>
      <c r="E510" s="1280">
        <v>-2.5999999999999999E-2</v>
      </c>
      <c r="F510" s="1280">
        <v>-0.27400000000000002</v>
      </c>
      <c r="G510" s="1280">
        <v>0.26100000000000001</v>
      </c>
      <c r="H510" s="1277" t="s">
        <v>246</v>
      </c>
      <c r="I510" s="1334">
        <v>3.9E-2</v>
      </c>
      <c r="J510" s="1217"/>
      <c r="K510" s="1217">
        <v>0.379</v>
      </c>
    </row>
    <row r="511" spans="1:11" s="1272" customFormat="1">
      <c r="A511" s="1328">
        <v>38183</v>
      </c>
      <c r="B511" s="1293" t="s">
        <v>444</v>
      </c>
      <c r="C511" s="1293" t="s">
        <v>1572</v>
      </c>
      <c r="D511" s="1292"/>
      <c r="E511" s="1280">
        <v>-3.3000000000000002E-2</v>
      </c>
      <c r="F511" s="1280">
        <v>-0.252</v>
      </c>
      <c r="G511" s="1280">
        <v>0.17699999999999999</v>
      </c>
      <c r="H511" s="1277" t="s">
        <v>246</v>
      </c>
      <c r="I511" s="1334">
        <v>0.10800000000000004</v>
      </c>
      <c r="J511" s="1217"/>
      <c r="K511" s="1217">
        <v>0.40600000000000003</v>
      </c>
    </row>
    <row r="512" spans="1:11" s="1272" customFormat="1">
      <c r="A512" s="1328">
        <v>38260</v>
      </c>
      <c r="B512" s="1293" t="s">
        <v>814</v>
      </c>
      <c r="C512" s="1293" t="s">
        <v>1557</v>
      </c>
      <c r="D512" s="1292"/>
      <c r="E512" s="1280">
        <v>-0.111</v>
      </c>
      <c r="F512" s="1280">
        <v>-0.185</v>
      </c>
      <c r="G512" s="1280">
        <v>0.192</v>
      </c>
      <c r="H512" s="1277" t="s">
        <v>246</v>
      </c>
      <c r="I512" s="1334">
        <v>0.10399999999999998</v>
      </c>
      <c r="J512" s="1217"/>
      <c r="K512" s="1217">
        <v>0.45800000000000002</v>
      </c>
    </row>
    <row r="513" spans="1:11" s="1272" customFormat="1" ht="4" customHeight="1">
      <c r="A513" s="1328"/>
      <c r="B513" s="1293"/>
      <c r="C513" s="1293"/>
      <c r="D513" s="1292"/>
      <c r="E513" s="1280"/>
      <c r="F513" s="1280"/>
      <c r="G513" s="1280"/>
      <c r="H513" s="1277"/>
      <c r="I513" s="1334"/>
      <c r="J513" s="1217"/>
      <c r="K513" s="1217"/>
    </row>
    <row r="514" spans="1:11" s="1272" customFormat="1">
      <c r="A514" s="2264" t="s">
        <v>714</v>
      </c>
      <c r="B514" s="2270"/>
      <c r="C514" s="2270"/>
      <c r="D514" s="2271"/>
      <c r="E514" s="2266"/>
      <c r="F514" s="2266"/>
      <c r="G514" s="2266"/>
      <c r="H514" s="2266"/>
      <c r="I514" s="2266"/>
      <c r="J514" s="2271"/>
      <c r="K514" s="2271"/>
    </row>
    <row r="515" spans="1:11" s="1272" customFormat="1" ht="4" customHeight="1">
      <c r="A515" s="1332"/>
      <c r="B515" s="1293"/>
      <c r="C515" s="1293"/>
      <c r="D515" s="1292"/>
      <c r="E515" s="1274"/>
      <c r="F515" s="1274"/>
      <c r="G515" s="1274"/>
      <c r="H515" s="1274"/>
      <c r="I515" s="1280"/>
      <c r="J515" s="1295"/>
      <c r="K515" s="1292"/>
    </row>
    <row r="516" spans="1:11" s="1272" customFormat="1">
      <c r="A516" s="1328">
        <v>38547</v>
      </c>
      <c r="B516" s="1296" t="s">
        <v>261</v>
      </c>
      <c r="C516" s="1302" t="s">
        <v>1105</v>
      </c>
      <c r="D516" s="1303"/>
      <c r="E516" s="1280">
        <v>0.02</v>
      </c>
      <c r="F516" s="1280">
        <v>-4.2000000000000003E-2</v>
      </c>
      <c r="G516" s="1280">
        <v>3.3000000000000002E-2</v>
      </c>
      <c r="H516" s="1277" t="s">
        <v>246</v>
      </c>
      <c r="I516" s="1333">
        <v>-1.0999999999999999E-2</v>
      </c>
      <c r="J516" s="1308"/>
      <c r="K516" s="1278">
        <v>0.55200000000000005</v>
      </c>
    </row>
    <row r="517" spans="1:11" s="1272" customFormat="1">
      <c r="A517" s="1328">
        <v>38624</v>
      </c>
      <c r="B517" s="1338" t="s">
        <v>262</v>
      </c>
      <c r="C517" s="1302" t="s">
        <v>1557</v>
      </c>
      <c r="D517" s="1303"/>
      <c r="E517" s="1277">
        <v>-3.4000000000000002E-2</v>
      </c>
      <c r="F517" s="1277">
        <v>-9.2999999999999999E-2</v>
      </c>
      <c r="G517" s="1277">
        <v>-6.0000000000000001E-3</v>
      </c>
      <c r="H517" s="1277">
        <v>0.111</v>
      </c>
      <c r="I517" s="1333">
        <v>2.2000000000000006E-2</v>
      </c>
      <c r="J517" s="1308"/>
      <c r="K517" s="1278">
        <v>0.38600000000000001</v>
      </c>
    </row>
    <row r="518" spans="1:11" s="1272" customFormat="1">
      <c r="A518" s="1328">
        <v>38757</v>
      </c>
      <c r="B518" s="1296" t="s">
        <v>909</v>
      </c>
      <c r="C518" s="1339" t="s">
        <v>1571</v>
      </c>
      <c r="D518" s="1340"/>
      <c r="E518" s="1277">
        <v>-2.5000000000000001E-2</v>
      </c>
      <c r="F518" s="1277">
        <v>-0.16800000000000001</v>
      </c>
      <c r="G518" s="1277">
        <v>0.157</v>
      </c>
      <c r="H518" s="1277">
        <v>2.1000000000000001E-2</v>
      </c>
      <c r="I518" s="1333">
        <v>1.6E-2</v>
      </c>
      <c r="J518" s="1308"/>
      <c r="K518" s="1278">
        <v>0.48699999999999999</v>
      </c>
    </row>
    <row r="519" spans="1:11" s="1272" customFormat="1">
      <c r="A519" s="1328">
        <v>38897</v>
      </c>
      <c r="B519" s="1296" t="s">
        <v>263</v>
      </c>
      <c r="C519" s="1302" t="s">
        <v>910</v>
      </c>
      <c r="D519" s="1303"/>
      <c r="E519" s="1277">
        <v>1.4E-2</v>
      </c>
      <c r="F519" s="1277">
        <v>4.7E-2</v>
      </c>
      <c r="G519" s="1277">
        <v>1.2E-2</v>
      </c>
      <c r="H519" s="1277">
        <v>4.1000000000000002E-2</v>
      </c>
      <c r="I519" s="1333">
        <v>-0.11399999999999999</v>
      </c>
      <c r="J519" s="1308"/>
      <c r="K519" s="1278">
        <v>0.51700000000000002</v>
      </c>
    </row>
    <row r="520" spans="1:11" s="1272" customFormat="1">
      <c r="A520" s="1328">
        <v>38897</v>
      </c>
      <c r="B520" s="1296" t="s">
        <v>264</v>
      </c>
      <c r="C520" s="1302" t="s">
        <v>1545</v>
      </c>
      <c r="D520" s="1303"/>
      <c r="E520" s="1297">
        <v>-0.111</v>
      </c>
      <c r="F520" s="1297">
        <v>-0.156</v>
      </c>
      <c r="G520" s="1297">
        <v>0.17499999999999999</v>
      </c>
      <c r="H520" s="1273" t="s">
        <v>246</v>
      </c>
      <c r="I520" s="1334">
        <v>9.2000000000000026E-2</v>
      </c>
      <c r="J520" s="1217"/>
      <c r="K520" s="1286">
        <v>0.40500000000000003</v>
      </c>
    </row>
    <row r="521" spans="1:11" s="1272" customFormat="1">
      <c r="A521" s="1328">
        <v>39282</v>
      </c>
      <c r="B521" s="1296" t="s">
        <v>732</v>
      </c>
      <c r="C521" s="1302" t="s">
        <v>1557</v>
      </c>
      <c r="D521" s="1303"/>
      <c r="E521" s="1297">
        <v>8.9999999999999993E-3</v>
      </c>
      <c r="F521" s="1297">
        <v>-7.2999999999999995E-2</v>
      </c>
      <c r="G521" s="1297">
        <v>3.2000000000000001E-2</v>
      </c>
      <c r="H521" s="1273" t="s">
        <v>246</v>
      </c>
      <c r="I521" s="1334">
        <v>3.2000000000000001E-2</v>
      </c>
      <c r="J521" s="1217"/>
      <c r="K521" s="1286">
        <v>0.42899999999999999</v>
      </c>
    </row>
    <row r="522" spans="1:11" s="1272" customFormat="1">
      <c r="A522" s="1328">
        <v>39282</v>
      </c>
      <c r="B522" s="1296" t="s">
        <v>733</v>
      </c>
      <c r="C522" s="1302" t="s">
        <v>1557</v>
      </c>
      <c r="D522" s="1303"/>
      <c r="E522" s="1297">
        <v>2E-3</v>
      </c>
      <c r="F522" s="1297">
        <v>-0.14099999999999999</v>
      </c>
      <c r="G522" s="1297">
        <v>0.08</v>
      </c>
      <c r="H522" s="1273" t="s">
        <v>246</v>
      </c>
      <c r="I522" s="1334">
        <v>5.8999999999999983E-2</v>
      </c>
      <c r="J522" s="1217"/>
      <c r="K522" s="1286">
        <v>0.41499999999999998</v>
      </c>
    </row>
    <row r="523" spans="1:11" s="1272" customFormat="1">
      <c r="A523" s="1328">
        <v>39590</v>
      </c>
      <c r="B523" s="1296" t="s">
        <v>728</v>
      </c>
      <c r="C523" s="1339" t="s">
        <v>1559</v>
      </c>
      <c r="D523" s="1340"/>
      <c r="E523" s="1298">
        <v>0.16900000000000001</v>
      </c>
      <c r="F523" s="1298">
        <v>-0.183</v>
      </c>
      <c r="G523" s="1299">
        <v>-0.04</v>
      </c>
      <c r="H523" s="1273" t="s">
        <v>246</v>
      </c>
      <c r="I523" s="1334">
        <v>5.3999999999999986E-2</v>
      </c>
      <c r="J523" s="1217"/>
      <c r="K523" s="1286">
        <v>0.57699999999999996</v>
      </c>
    </row>
    <row r="524" spans="1:11" s="1272" customFormat="1" ht="4" customHeight="1">
      <c r="A524" s="1328">
        <v>39625</v>
      </c>
      <c r="B524" s="1296" t="s">
        <v>911</v>
      </c>
      <c r="C524" s="1302" t="s">
        <v>1545</v>
      </c>
      <c r="D524" s="1303"/>
      <c r="E524" s="1298">
        <v>3.5000000000000003E-2</v>
      </c>
      <c r="F524" s="1298">
        <v>-0.11700000000000001</v>
      </c>
      <c r="G524" s="1299">
        <v>1.7999999999999999E-2</v>
      </c>
      <c r="H524" s="1273" t="s">
        <v>246</v>
      </c>
      <c r="I524" s="1334">
        <v>6.4000000000000001E-2</v>
      </c>
      <c r="J524" s="1217"/>
      <c r="K524" s="1286">
        <v>0.503</v>
      </c>
    </row>
    <row r="525" spans="1:11" s="1272" customFormat="1" ht="16">
      <c r="A525" s="1328">
        <v>39639</v>
      </c>
      <c r="B525" s="1296" t="s">
        <v>2325</v>
      </c>
      <c r="C525" s="1302" t="s">
        <v>1545</v>
      </c>
      <c r="D525" s="1303"/>
      <c r="E525" s="1300">
        <v>0.24114907682682291</v>
      </c>
      <c r="F525" s="1277" t="s">
        <v>246</v>
      </c>
      <c r="G525" s="1277" t="s">
        <v>246</v>
      </c>
      <c r="H525" s="1277" t="s">
        <v>246</v>
      </c>
      <c r="I525" s="1333">
        <v>0.25396845633022802</v>
      </c>
      <c r="J525" s="1308"/>
      <c r="K525" s="1278">
        <v>0.34100000000000003</v>
      </c>
    </row>
    <row r="526" spans="1:11" s="1272" customFormat="1">
      <c r="A526" s="1328">
        <v>39653</v>
      </c>
      <c r="B526" s="1296" t="s">
        <v>912</v>
      </c>
      <c r="C526" s="1339" t="s">
        <v>1563</v>
      </c>
      <c r="D526" s="1340"/>
      <c r="E526" s="1300">
        <v>-6.0000000000000001E-3</v>
      </c>
      <c r="F526" s="1301">
        <v>-0.19</v>
      </c>
      <c r="G526" s="1341">
        <v>-8.4000000000000005E-2</v>
      </c>
      <c r="H526" s="1301">
        <v>0.26100000000000001</v>
      </c>
      <c r="I526" s="1333">
        <v>1.9000000000000017E-2</v>
      </c>
      <c r="J526" s="1308"/>
      <c r="K526" s="1278">
        <v>0.42199999999999999</v>
      </c>
    </row>
    <row r="527" spans="1:11" s="1272" customFormat="1">
      <c r="A527" s="1328">
        <v>39758</v>
      </c>
      <c r="B527" s="1296" t="s">
        <v>913</v>
      </c>
      <c r="C527" s="1302" t="s">
        <v>1557</v>
      </c>
      <c r="D527" s="1303"/>
      <c r="E527" s="1300">
        <v>-3.3000000000000002E-2</v>
      </c>
      <c r="F527" s="1301">
        <v>3.2000000000000001E-2</v>
      </c>
      <c r="G527" s="1341">
        <v>-0.1</v>
      </c>
      <c r="H527" s="1301">
        <v>0.13100000000000001</v>
      </c>
      <c r="I527" s="1333">
        <v>-0.03</v>
      </c>
      <c r="J527" s="1308"/>
      <c r="K527" s="1278">
        <v>0.52300000000000002</v>
      </c>
    </row>
    <row r="528" spans="1:11" s="1272" customFormat="1">
      <c r="A528" s="1328">
        <v>40017</v>
      </c>
      <c r="B528" s="1296" t="s">
        <v>914</v>
      </c>
      <c r="C528" s="1339" t="s">
        <v>1559</v>
      </c>
      <c r="D528" s="1340"/>
      <c r="E528" s="1300">
        <v>6.3E-2</v>
      </c>
      <c r="F528" s="1301">
        <v>-0.26700000000000002</v>
      </c>
      <c r="G528" s="1341">
        <v>-2.1999999999999999E-2</v>
      </c>
      <c r="H528" s="1277" t="s">
        <v>246</v>
      </c>
      <c r="I528" s="1333">
        <v>0.22600000000000001</v>
      </c>
      <c r="J528" s="1308"/>
      <c r="K528" s="1278">
        <v>0.45800000000000002</v>
      </c>
    </row>
    <row r="529" spans="1:14" s="1272" customFormat="1" ht="16">
      <c r="A529" s="1328">
        <v>40129</v>
      </c>
      <c r="B529" s="1296" t="s">
        <v>2326</v>
      </c>
      <c r="C529" s="1302" t="s">
        <v>1570</v>
      </c>
      <c r="D529" s="1303"/>
      <c r="E529" s="1280" t="s">
        <v>691</v>
      </c>
      <c r="F529" s="1277"/>
      <c r="G529" s="1277"/>
      <c r="H529" s="1301" t="s">
        <v>221</v>
      </c>
      <c r="I529" s="1290" t="s">
        <v>221</v>
      </c>
      <c r="J529" s="1291"/>
      <c r="K529" s="1278">
        <v>0.33</v>
      </c>
    </row>
    <row r="530" spans="1:14" s="1272" customFormat="1" ht="4" customHeight="1">
      <c r="A530" s="1342"/>
      <c r="B530" s="1296"/>
      <c r="C530" s="1302"/>
      <c r="D530" s="1303"/>
      <c r="E530" s="1304"/>
      <c r="F530" s="1305"/>
      <c r="G530" s="1305"/>
      <c r="H530" s="1304"/>
      <c r="I530" s="1301"/>
      <c r="J530" s="1306"/>
      <c r="K530" s="1286"/>
    </row>
    <row r="531" spans="1:14" s="1272" customFormat="1">
      <c r="A531" s="2264" t="s">
        <v>979</v>
      </c>
      <c r="B531" s="2276"/>
      <c r="C531" s="2277"/>
      <c r="D531" s="1737"/>
      <c r="E531" s="2278"/>
      <c r="F531" s="2279"/>
      <c r="G531" s="2279"/>
      <c r="H531" s="2278"/>
      <c r="I531" s="2278"/>
      <c r="J531" s="2280"/>
      <c r="K531" s="2267"/>
    </row>
    <row r="532" spans="1:14" s="1272" customFormat="1" ht="4" customHeight="1">
      <c r="A532" s="1328"/>
      <c r="B532" s="1296"/>
      <c r="C532" s="1302"/>
      <c r="D532" s="1303"/>
      <c r="E532" s="1304"/>
      <c r="F532" s="1305"/>
      <c r="G532" s="1305"/>
      <c r="H532" s="1304"/>
      <c r="I532" s="1301"/>
      <c r="J532" s="1306"/>
      <c r="K532" s="1286"/>
    </row>
    <row r="533" spans="1:14" s="1272" customFormat="1">
      <c r="A533" s="1328">
        <v>40556</v>
      </c>
      <c r="B533" s="1293" t="s">
        <v>978</v>
      </c>
      <c r="C533" s="1293" t="s">
        <v>1557</v>
      </c>
      <c r="D533" s="1292"/>
      <c r="E533" s="1334">
        <v>-0.13615780527812135</v>
      </c>
      <c r="F533" s="1334">
        <v>0.10271369333455771</v>
      </c>
      <c r="G533" s="1334">
        <v>3.1663956844506513E-3</v>
      </c>
      <c r="H533" s="1273" t="s">
        <v>246</v>
      </c>
      <c r="I533" s="1333">
        <v>3.0277716259112991E-2</v>
      </c>
      <c r="J533" s="1308"/>
      <c r="K533" s="1286">
        <v>0.48</v>
      </c>
    </row>
    <row r="534" spans="1:14" s="1272" customFormat="1">
      <c r="A534" s="1328">
        <v>40577</v>
      </c>
      <c r="B534" s="1296" t="s">
        <v>980</v>
      </c>
      <c r="C534" s="1293" t="s">
        <v>1557</v>
      </c>
      <c r="D534" s="1292"/>
      <c r="E534" s="1304">
        <v>-9.0105479766707103E-2</v>
      </c>
      <c r="F534" s="1305">
        <v>0.13534358562988813</v>
      </c>
      <c r="G534" s="1305">
        <v>-0.13102076525587603</v>
      </c>
      <c r="H534" s="1273" t="s">
        <v>246</v>
      </c>
      <c r="I534" s="1334">
        <v>8.5782659392694999E-2</v>
      </c>
      <c r="J534" s="1217"/>
      <c r="K534" s="1286">
        <v>0.36991950634632126</v>
      </c>
    </row>
    <row r="535" spans="1:14" s="1272" customFormat="1">
      <c r="A535" s="1328">
        <v>40668</v>
      </c>
      <c r="B535" s="1296" t="s">
        <v>447</v>
      </c>
      <c r="C535" s="1293" t="s">
        <v>1557</v>
      </c>
      <c r="D535" s="1292"/>
      <c r="E535" s="1334">
        <v>-6.2E-2</v>
      </c>
      <c r="F535" s="1334">
        <v>0.123</v>
      </c>
      <c r="G535" s="1334">
        <v>-4.3999999999999997E-2</v>
      </c>
      <c r="H535" s="1273" t="s">
        <v>246</v>
      </c>
      <c r="I535" s="1334">
        <v>-1.7000000000000001E-2</v>
      </c>
      <c r="J535" s="1217"/>
      <c r="K535" s="1217">
        <v>0.439</v>
      </c>
    </row>
    <row r="536" spans="1:14" s="1272" customFormat="1">
      <c r="A536" s="1328">
        <v>40724</v>
      </c>
      <c r="B536" s="1296" t="s">
        <v>1064</v>
      </c>
      <c r="C536" s="1293" t="s">
        <v>1557</v>
      </c>
      <c r="D536" s="1292"/>
      <c r="E536" s="1334">
        <v>-2.1000000000000001E-2</v>
      </c>
      <c r="F536" s="1334">
        <v>-2.1999999999999999E-2</v>
      </c>
      <c r="G536" s="1334">
        <v>-0.111</v>
      </c>
      <c r="H536" s="1334">
        <v>0.155</v>
      </c>
      <c r="I536" s="1334">
        <v>-1.0000000000000009E-3</v>
      </c>
      <c r="J536" s="1217"/>
      <c r="K536" s="1217">
        <v>0.45400000000000001</v>
      </c>
    </row>
    <row r="537" spans="1:14" s="1272" customFormat="1">
      <c r="A537" s="1328">
        <v>40893</v>
      </c>
      <c r="B537" s="1307" t="s">
        <v>1106</v>
      </c>
      <c r="C537" s="1293" t="s">
        <v>1557</v>
      </c>
      <c r="D537" s="1292"/>
      <c r="E537" s="1333">
        <v>-6.3E-2</v>
      </c>
      <c r="F537" s="1333">
        <v>0.108</v>
      </c>
      <c r="G537" s="1333">
        <v>-7.9000000000000001E-2</v>
      </c>
      <c r="H537" s="1273" t="s">
        <v>246</v>
      </c>
      <c r="I537" s="1334">
        <v>3.5000000000000003E-2</v>
      </c>
      <c r="J537" s="1217"/>
      <c r="K537" s="1308">
        <v>0.28699999999999998</v>
      </c>
    </row>
    <row r="538" spans="1:14" s="1272" customFormat="1">
      <c r="A538" s="1328">
        <v>40997</v>
      </c>
      <c r="B538" s="1332" t="s">
        <v>1107</v>
      </c>
      <c r="C538" s="1332" t="s">
        <v>1573</v>
      </c>
      <c r="D538" s="1295"/>
      <c r="E538" s="1333">
        <v>-0.22800000000000001</v>
      </c>
      <c r="F538" s="1333">
        <v>-0.20399999999999999</v>
      </c>
      <c r="G538" s="1333">
        <v>-7.0999999999999994E-2</v>
      </c>
      <c r="H538" s="1277" t="s">
        <v>246</v>
      </c>
      <c r="I538" s="1333">
        <v>0.502</v>
      </c>
      <c r="J538" s="1308"/>
      <c r="K538" s="1308">
        <v>0.50800000000000001</v>
      </c>
    </row>
    <row r="539" spans="1:14" s="1272" customFormat="1">
      <c r="A539" s="1328">
        <v>41228</v>
      </c>
      <c r="B539" s="1332" t="s">
        <v>1300</v>
      </c>
      <c r="C539" s="1332" t="s">
        <v>1557</v>
      </c>
      <c r="D539" s="1295"/>
      <c r="E539" s="1333">
        <v>-8.4000000000000005E-2</v>
      </c>
      <c r="F539" s="1333">
        <v>8.4000000000000005E-2</v>
      </c>
      <c r="G539" s="1333">
        <v>-0.114</v>
      </c>
      <c r="H539" s="1277">
        <v>5.3999999999999999E-2</v>
      </c>
      <c r="I539" s="1334">
        <v>6.0999999999999999E-2</v>
      </c>
      <c r="J539" s="1308"/>
      <c r="K539" s="2097" t="s">
        <v>246</v>
      </c>
    </row>
    <row r="540" spans="1:14" s="1272" customFormat="1">
      <c r="A540" s="1328">
        <v>41228</v>
      </c>
      <c r="B540" s="1332" t="s">
        <v>1294</v>
      </c>
      <c r="C540" s="1332" t="s">
        <v>1560</v>
      </c>
      <c r="D540" s="1295"/>
      <c r="E540" s="1333">
        <v>-0.157</v>
      </c>
      <c r="F540" s="1333">
        <v>9.6000000000000002E-2</v>
      </c>
      <c r="G540" s="1333">
        <v>-9.5000000000000001E-2</v>
      </c>
      <c r="H540" s="1277" t="s">
        <v>246</v>
      </c>
      <c r="I540" s="1334">
        <v>0.154</v>
      </c>
      <c r="J540" s="1308"/>
      <c r="K540" s="1308">
        <v>0.44800000000000001</v>
      </c>
    </row>
    <row r="541" spans="1:14" s="1272" customFormat="1">
      <c r="A541" s="1328">
        <v>41228</v>
      </c>
      <c r="B541" s="1332" t="s">
        <v>131</v>
      </c>
      <c r="C541" s="1332" t="s">
        <v>1557</v>
      </c>
      <c r="D541" s="1295"/>
      <c r="E541" s="1309">
        <v>-7.2524286784939454E-2</v>
      </c>
      <c r="F541" s="1309">
        <v>0.16375656386215753</v>
      </c>
      <c r="G541" s="1309">
        <v>-0.17161973382537982</v>
      </c>
      <c r="H541" s="1277" t="s">
        <v>246</v>
      </c>
      <c r="I541" s="1334">
        <v>8.0387456748161751E-2</v>
      </c>
      <c r="J541" s="1308"/>
      <c r="K541" s="1310">
        <v>0.18156436766566331</v>
      </c>
    </row>
    <row r="542" spans="1:14" s="1272" customFormat="1">
      <c r="A542" s="1328">
        <v>41237</v>
      </c>
      <c r="B542" s="1332" t="s">
        <v>312</v>
      </c>
      <c r="C542" s="1332" t="s">
        <v>1557</v>
      </c>
      <c r="D542" s="1295"/>
      <c r="E542" s="1313">
        <v>-7.2844066311122863E-2</v>
      </c>
      <c r="F542" s="1313">
        <v>8.6938595863528589E-2</v>
      </c>
      <c r="G542" s="1313">
        <v>-0.10482791999415036</v>
      </c>
      <c r="H542" s="1277" t="s">
        <v>246</v>
      </c>
      <c r="I542" s="1334">
        <v>9.0733390441744721E-2</v>
      </c>
      <c r="J542" s="1308"/>
      <c r="K542" s="1314">
        <v>0.47871214588082056</v>
      </c>
    </row>
    <row r="543" spans="1:14" s="1272" customFormat="1">
      <c r="A543" s="1328">
        <v>41242</v>
      </c>
      <c r="B543" s="1332" t="s">
        <v>841</v>
      </c>
      <c r="C543" s="1332" t="s">
        <v>1557</v>
      </c>
      <c r="D543" s="1295"/>
      <c r="E543" s="1313">
        <v>-0.12477830695620182</v>
      </c>
      <c r="F543" s="1313">
        <v>0.14597109912036998</v>
      </c>
      <c r="G543" s="1313">
        <v>-9.9998810815089129E-2</v>
      </c>
      <c r="H543" s="1277" t="s">
        <v>246</v>
      </c>
      <c r="I543" s="1334">
        <v>7.8806018650920934E-2</v>
      </c>
      <c r="J543" s="1308"/>
      <c r="K543" s="1310">
        <v>0.25909824103233736</v>
      </c>
    </row>
    <row r="544" spans="1:14" s="1272" customFormat="1">
      <c r="A544" s="1328">
        <v>41242</v>
      </c>
      <c r="B544" s="1332" t="s">
        <v>478</v>
      </c>
      <c r="C544" s="1332" t="s">
        <v>1557</v>
      </c>
      <c r="D544" s="1295"/>
      <c r="E544" s="1309">
        <v>-0.11347381994638435</v>
      </c>
      <c r="F544" s="1309">
        <v>1.8260134788690208E-2</v>
      </c>
      <c r="G544" s="1309">
        <v>-0.13878878866560837</v>
      </c>
      <c r="H544" s="1277" t="s">
        <v>246</v>
      </c>
      <c r="I544" s="1334">
        <v>0.23400247382330247</v>
      </c>
      <c r="J544" s="1308"/>
      <c r="K544" s="1310">
        <v>0.33822138126773887</v>
      </c>
      <c r="N544" s="1347"/>
    </row>
    <row r="545" spans="1:15" s="1272" customFormat="1">
      <c r="A545" s="1328">
        <v>41333</v>
      </c>
      <c r="B545" s="1332" t="s">
        <v>630</v>
      </c>
      <c r="C545" s="1332" t="s">
        <v>1105</v>
      </c>
      <c r="D545" s="1295"/>
      <c r="E545" s="1309">
        <v>-0.185</v>
      </c>
      <c r="F545" s="1309">
        <v>-1.7999999999999999E-2</v>
      </c>
      <c r="G545" s="1309">
        <v>-0.20399999999999999</v>
      </c>
      <c r="H545" s="1277" t="s">
        <v>246</v>
      </c>
      <c r="I545" s="1334">
        <v>0.20300000000000001</v>
      </c>
      <c r="J545" s="1308"/>
      <c r="K545" s="1310">
        <v>0.52675813882841371</v>
      </c>
    </row>
    <row r="546" spans="1:15" s="1272" customFormat="1">
      <c r="A546" s="1328">
        <v>41396</v>
      </c>
      <c r="B546" s="1332" t="s">
        <v>2062</v>
      </c>
      <c r="C546" s="1332" t="s">
        <v>1557</v>
      </c>
      <c r="D546" s="1295"/>
      <c r="E546" s="1315">
        <v>-0.10044862288402033</v>
      </c>
      <c r="F546" s="1313">
        <v>-1.5101080864833638E-2</v>
      </c>
      <c r="G546" s="1315">
        <v>-0.12786403798668958</v>
      </c>
      <c r="H546" s="1277" t="s">
        <v>246</v>
      </c>
      <c r="I546" s="1316">
        <v>0.24341374173554348</v>
      </c>
      <c r="J546" s="1308"/>
      <c r="K546" s="1310">
        <v>0.57699999999999996</v>
      </c>
    </row>
    <row r="547" spans="1:15">
      <c r="A547" s="1328">
        <v>41683</v>
      </c>
      <c r="B547" s="1332" t="s">
        <v>1541</v>
      </c>
      <c r="C547" s="1332" t="s">
        <v>1557</v>
      </c>
      <c r="D547" s="1295"/>
      <c r="E547" s="1315">
        <v>-0.11</v>
      </c>
      <c r="F547" s="1315">
        <v>0.11205306690495148</v>
      </c>
      <c r="G547" s="1315">
        <v>-0.17439942382384233</v>
      </c>
      <c r="H547" s="1277" t="s">
        <v>246</v>
      </c>
      <c r="I547" s="1316">
        <v>0.16864850475394458</v>
      </c>
      <c r="J547" s="1308"/>
      <c r="K547" s="1310">
        <v>0.28170189752874508</v>
      </c>
      <c r="N547" s="1347"/>
    </row>
    <row r="548" spans="1:15">
      <c r="A548" s="1328">
        <v>41795</v>
      </c>
      <c r="B548" s="1332" t="s">
        <v>1297</v>
      </c>
      <c r="C548" s="1332" t="s">
        <v>1545</v>
      </c>
      <c r="D548" s="1295"/>
      <c r="E548" s="1315">
        <v>-8.8668018704627094E-2</v>
      </c>
      <c r="F548" s="1315">
        <v>-4.623610716407886E-2</v>
      </c>
      <c r="G548" s="1313">
        <v>-0.17406153925646525</v>
      </c>
      <c r="H548" s="1277" t="s">
        <v>246</v>
      </c>
      <c r="I548" s="1334">
        <v>0.30896566512517115</v>
      </c>
      <c r="J548" s="1308"/>
      <c r="K548" s="1317">
        <v>0.52672617913616204</v>
      </c>
    </row>
    <row r="549" spans="1:15">
      <c r="A549" s="1328">
        <v>41921</v>
      </c>
      <c r="B549" s="1332" t="s">
        <v>1295</v>
      </c>
      <c r="C549" s="1332" t="s">
        <v>1555</v>
      </c>
      <c r="D549" s="1295"/>
      <c r="E549" s="1309">
        <v>-0.28382528551085784</v>
      </c>
      <c r="F549" s="1309">
        <v>-0.13844743124863798</v>
      </c>
      <c r="G549" s="1309">
        <v>-0.11565973082612442</v>
      </c>
      <c r="H549" s="1277" t="s">
        <v>246</v>
      </c>
      <c r="I549" s="1316">
        <v>0.53800000000000003</v>
      </c>
      <c r="J549" s="1308"/>
      <c r="K549" s="1318">
        <v>0.51127058074597065</v>
      </c>
    </row>
    <row r="550" spans="1:15">
      <c r="A550" s="1328">
        <v>41921</v>
      </c>
      <c r="B550" s="1332" t="s">
        <v>1301</v>
      </c>
      <c r="C550" s="1332" t="s">
        <v>1557</v>
      </c>
      <c r="D550" s="1295"/>
      <c r="E550" s="1309">
        <v>-0.14882245629424501</v>
      </c>
      <c r="F550" s="1309">
        <v>7.5145168057468847E-3</v>
      </c>
      <c r="G550" s="1309">
        <v>-0.17590550845941166</v>
      </c>
      <c r="H550" s="1277" t="s">
        <v>246</v>
      </c>
      <c r="I550" s="1316">
        <v>0.31721344794791018</v>
      </c>
      <c r="J550" s="1308"/>
      <c r="K550" s="1310">
        <v>0.35963117342427686</v>
      </c>
    </row>
    <row r="551" spans="1:15">
      <c r="A551" s="1328">
        <v>41963</v>
      </c>
      <c r="B551" s="1332" t="s">
        <v>1296</v>
      </c>
      <c r="C551" s="1332" t="s">
        <v>1555</v>
      </c>
      <c r="D551" s="1295"/>
      <c r="E551" s="1309">
        <v>-0.14399999999999999</v>
      </c>
      <c r="F551" s="1309">
        <v>-0.11700000000000001</v>
      </c>
      <c r="G551" s="1309">
        <v>-0.154</v>
      </c>
      <c r="H551" s="1277" t="s">
        <v>246</v>
      </c>
      <c r="I551" s="1316">
        <v>0.41499999999999998</v>
      </c>
      <c r="J551" s="1308"/>
      <c r="K551" s="1310">
        <v>0.50610765130174451</v>
      </c>
    </row>
    <row r="552" spans="1:15" s="1312" customFormat="1" ht="15.75" customHeight="1" thickBot="1">
      <c r="A552" s="1364"/>
      <c r="B552" s="1364"/>
      <c r="C552" s="1364"/>
      <c r="D552" s="3441" t="s">
        <v>1165</v>
      </c>
      <c r="E552" s="3441"/>
      <c r="F552" s="3441"/>
      <c r="G552" s="3441"/>
      <c r="H552" s="3441"/>
      <c r="I552" s="3441"/>
      <c r="J552" s="3441"/>
      <c r="K552" s="1366"/>
      <c r="L552" s="1311"/>
      <c r="M552" s="1311"/>
      <c r="N552" s="1311"/>
      <c r="O552" s="1311"/>
    </row>
    <row r="553" spans="1:15" s="1312" customFormat="1" ht="3" customHeight="1">
      <c r="A553" s="1364"/>
      <c r="B553" s="1364"/>
      <c r="C553" s="1364"/>
      <c r="D553" s="2223"/>
      <c r="E553" s="2223"/>
      <c r="F553" s="2223"/>
      <c r="G553" s="2223"/>
      <c r="H553" s="2223"/>
      <c r="I553" s="2223"/>
      <c r="J553" s="2223"/>
      <c r="K553" s="1366"/>
      <c r="L553" s="1311"/>
      <c r="M553" s="1311"/>
      <c r="N553" s="1311"/>
      <c r="O553" s="1311"/>
    </row>
    <row r="554" spans="1:15">
      <c r="A554" s="1364" t="s">
        <v>268</v>
      </c>
      <c r="B554" s="1364" t="s">
        <v>269</v>
      </c>
      <c r="C554" s="1364" t="s">
        <v>216</v>
      </c>
      <c r="D554" s="871"/>
      <c r="E554" s="2243" t="s">
        <v>806</v>
      </c>
      <c r="F554" s="2244" t="s">
        <v>807</v>
      </c>
      <c r="G554" s="2245" t="s">
        <v>808</v>
      </c>
      <c r="H554" s="1363" t="s">
        <v>95</v>
      </c>
      <c r="I554" s="2246" t="s">
        <v>1972</v>
      </c>
      <c r="J554" s="1183"/>
      <c r="K554" s="1183" t="s">
        <v>219</v>
      </c>
    </row>
    <row r="555" spans="1:15" ht="3" customHeight="1">
      <c r="A555" s="1364"/>
      <c r="B555" s="1364"/>
      <c r="C555" s="1364"/>
      <c r="D555" s="871"/>
      <c r="E555" s="1374"/>
      <c r="F555" s="1374"/>
      <c r="G555" s="1374"/>
      <c r="H555" s="1374"/>
      <c r="I555" s="1374"/>
      <c r="J555" s="1183"/>
      <c r="K555" s="1183"/>
    </row>
    <row r="556" spans="1:15" ht="4" customHeight="1">
      <c r="A556" s="1328"/>
      <c r="B556" s="1343"/>
      <c r="C556" s="1343"/>
      <c r="D556" s="1344"/>
      <c r="E556" s="1309"/>
      <c r="F556" s="1309"/>
      <c r="G556" s="1309"/>
      <c r="H556" s="1297"/>
      <c r="I556" s="1345"/>
      <c r="J556" s="1346"/>
      <c r="K556" s="1310"/>
    </row>
    <row r="557" spans="1:15">
      <c r="A557" s="2282" t="s">
        <v>1543</v>
      </c>
      <c r="B557" s="2270"/>
      <c r="C557" s="2270"/>
      <c r="D557" s="2271"/>
      <c r="E557" s="2283"/>
      <c r="F557" s="2283"/>
      <c r="G557" s="2283"/>
      <c r="H557" s="2268"/>
      <c r="I557" s="2283"/>
      <c r="J557" s="2284"/>
      <c r="K557" s="2284"/>
    </row>
    <row r="558" spans="1:15" ht="4" customHeight="1">
      <c r="A558" s="1348"/>
      <c r="B558" s="1332"/>
      <c r="C558" s="1332"/>
      <c r="D558" s="1295"/>
      <c r="E558" s="1333"/>
      <c r="F558" s="1333"/>
      <c r="G558" s="1333"/>
      <c r="H558" s="1277"/>
      <c r="I558" s="1333"/>
      <c r="J558" s="1308"/>
      <c r="K558" s="1308"/>
    </row>
    <row r="559" spans="1:15">
      <c r="A559" s="1319">
        <v>42341</v>
      </c>
      <c r="B559" s="1320" t="s">
        <v>2025</v>
      </c>
      <c r="C559" s="1293" t="s">
        <v>220</v>
      </c>
      <c r="D559" s="1292"/>
      <c r="E559" s="1274">
        <v>-9.6000000000000002E-2</v>
      </c>
      <c r="F559" s="1274">
        <v>7.2999999999999995E-2</v>
      </c>
      <c r="G559" s="1273">
        <v>9.9999999999999995E-8</v>
      </c>
      <c r="H559" s="1273" t="s">
        <v>246</v>
      </c>
      <c r="I559" s="1280">
        <v>2.3E-2</v>
      </c>
      <c r="J559" s="1280"/>
      <c r="K559" s="1217">
        <v>0.40100000000000002</v>
      </c>
    </row>
    <row r="560" spans="1:15">
      <c r="A560" s="1319">
        <v>42495</v>
      </c>
      <c r="B560" s="1320" t="s">
        <v>1957</v>
      </c>
      <c r="C560" s="1293" t="s">
        <v>220</v>
      </c>
      <c r="D560" s="1292"/>
      <c r="E560" s="1274">
        <v>-5.3999999999999999E-2</v>
      </c>
      <c r="F560" s="1274">
        <v>5.8000000000000003E-2</v>
      </c>
      <c r="G560" s="1273">
        <v>1.6E-2</v>
      </c>
      <c r="H560" s="1273" t="s">
        <v>246</v>
      </c>
      <c r="I560" s="1280">
        <v>-0.02</v>
      </c>
      <c r="J560" s="1280"/>
      <c r="K560" s="1217">
        <v>0.33</v>
      </c>
    </row>
    <row r="561" spans="1:20">
      <c r="A561" s="1319">
        <v>42495</v>
      </c>
      <c r="B561" s="1320" t="s">
        <v>286</v>
      </c>
      <c r="C561" s="1293" t="s">
        <v>220</v>
      </c>
      <c r="D561" s="1292"/>
      <c r="E561" s="1274">
        <v>-3.3000000000000002E-2</v>
      </c>
      <c r="F561" s="1274">
        <v>-8.0000000000000002E-3</v>
      </c>
      <c r="G561" s="1273">
        <v>9.9999999999999995E-8</v>
      </c>
      <c r="H561" s="1274">
        <v>5.7000000000000002E-2</v>
      </c>
      <c r="I561" s="1280">
        <v>-1.6E-2</v>
      </c>
      <c r="J561" s="1280"/>
      <c r="K561" s="1217">
        <v>0.42399999999999999</v>
      </c>
    </row>
    <row r="562" spans="1:20">
      <c r="A562" s="1319">
        <v>42537</v>
      </c>
      <c r="B562" s="1320" t="s">
        <v>2063</v>
      </c>
      <c r="C562" s="1293" t="s">
        <v>220</v>
      </c>
      <c r="D562" s="1292"/>
      <c r="E562" s="1274">
        <v>-5.8000000000000003E-2</v>
      </c>
      <c r="F562" s="1274">
        <v>8.6999999999999994E-2</v>
      </c>
      <c r="G562" s="1273">
        <v>-1.4E-2</v>
      </c>
      <c r="H562" s="1273" t="s">
        <v>246</v>
      </c>
      <c r="I562" s="1280">
        <v>-1.4999999999999999E-2</v>
      </c>
      <c r="J562" s="1280"/>
      <c r="K562" s="1217">
        <v>0.42799999999999999</v>
      </c>
    </row>
    <row r="563" spans="1:20">
      <c r="A563" s="1319">
        <v>42663</v>
      </c>
      <c r="B563" s="1320" t="s">
        <v>2064</v>
      </c>
      <c r="C563" s="1320" t="s">
        <v>220</v>
      </c>
      <c r="D563" s="1179"/>
      <c r="E563" s="1273" t="s">
        <v>246</v>
      </c>
      <c r="F563" s="1273">
        <v>0.42599999999999999</v>
      </c>
      <c r="G563" s="1273" t="s">
        <v>246</v>
      </c>
      <c r="H563" s="1273" t="s">
        <v>246</v>
      </c>
      <c r="I563" s="1277">
        <v>-0.42599999999999999</v>
      </c>
      <c r="J563" s="1277"/>
      <c r="K563" s="1321">
        <v>0.25600000000000001</v>
      </c>
    </row>
    <row r="564" spans="1:20">
      <c r="A564" s="1319">
        <v>42663</v>
      </c>
      <c r="B564" s="1320" t="s">
        <v>2065</v>
      </c>
      <c r="C564" s="1320" t="s">
        <v>273</v>
      </c>
      <c r="D564" s="1179"/>
      <c r="E564" s="1273">
        <v>-0.123</v>
      </c>
      <c r="F564" s="1273">
        <v>-1.4E-2</v>
      </c>
      <c r="G564" s="1273">
        <v>0.23799999999999999</v>
      </c>
      <c r="H564" s="1273" t="s">
        <v>246</v>
      </c>
      <c r="I564" s="1277">
        <v>-3.6999999999999998E-2</v>
      </c>
      <c r="J564" s="1277"/>
      <c r="K564" s="1321">
        <v>0.77</v>
      </c>
    </row>
    <row r="565" spans="1:20" ht="16">
      <c r="A565" s="1319">
        <v>42705</v>
      </c>
      <c r="B565" s="1320" t="s">
        <v>2327</v>
      </c>
      <c r="C565" s="1320" t="s">
        <v>1553</v>
      </c>
      <c r="D565" s="1179"/>
      <c r="E565" s="1273">
        <v>-0.13100000000000001</v>
      </c>
      <c r="F565" s="1273">
        <v>-8.6999999999999994E-2</v>
      </c>
      <c r="G565" s="1273">
        <v>0.30399999999999999</v>
      </c>
      <c r="H565" s="1273" t="s">
        <v>246</v>
      </c>
      <c r="I565" s="1277">
        <v>-8.6999999999999994E-2</v>
      </c>
      <c r="J565" s="1277"/>
      <c r="K565" s="1321">
        <v>0.53400000000000003</v>
      </c>
    </row>
    <row r="566" spans="1:20">
      <c r="A566" s="1319">
        <v>42712</v>
      </c>
      <c r="B566" s="1320" t="s">
        <v>2066</v>
      </c>
      <c r="C566" s="1320" t="s">
        <v>273</v>
      </c>
      <c r="D566" s="1179"/>
      <c r="E566" s="1273">
        <v>-2.7E-2</v>
      </c>
      <c r="F566" s="1273">
        <v>-7.0000000000000007E-2</v>
      </c>
      <c r="G566" s="1273">
        <v>5.2999999999999999E-2</v>
      </c>
      <c r="H566" s="1273" t="s">
        <v>246</v>
      </c>
      <c r="I566" s="1277">
        <v>4.3999999999999997E-2</v>
      </c>
      <c r="J566" s="1277"/>
      <c r="K566" s="1321">
        <v>0.37</v>
      </c>
    </row>
    <row r="567" spans="1:20">
      <c r="A567" s="1319">
        <v>42789</v>
      </c>
      <c r="B567" s="1320" t="s">
        <v>1723</v>
      </c>
      <c r="C567" s="1320" t="s">
        <v>2071</v>
      </c>
      <c r="D567" s="1179"/>
      <c r="E567" s="1273">
        <v>8.5000000000000006E-2</v>
      </c>
      <c r="F567" s="1273">
        <v>-4.9000000000000002E-2</v>
      </c>
      <c r="G567" s="1273">
        <v>3.7999999999999999E-2</v>
      </c>
      <c r="H567" s="1273" t="s">
        <v>246</v>
      </c>
      <c r="I567" s="1277">
        <v>-7.2999999999999995E-2</v>
      </c>
      <c r="J567" s="1277"/>
      <c r="K567" s="1321">
        <v>0.51300000000000001</v>
      </c>
    </row>
    <row r="568" spans="1:20">
      <c r="A568" s="1319">
        <v>42789</v>
      </c>
      <c r="B568" s="1320" t="s">
        <v>2072</v>
      </c>
      <c r="C568" s="1320" t="s">
        <v>220</v>
      </c>
      <c r="D568" s="1179"/>
      <c r="E568" s="1273">
        <v>1.7999999999999999E-2</v>
      </c>
      <c r="F568" s="1273">
        <v>-2.1999999999999999E-2</v>
      </c>
      <c r="G568" s="1273">
        <v>5.7000000000000002E-2</v>
      </c>
      <c r="H568" s="1273" t="s">
        <v>246</v>
      </c>
      <c r="I568" s="1277">
        <v>-5.1999999999999998E-2</v>
      </c>
      <c r="J568" s="1277"/>
      <c r="K568" s="1321">
        <v>0.38100000000000001</v>
      </c>
    </row>
    <row r="569" spans="1:20" ht="4" customHeight="1">
      <c r="A569" s="1319"/>
      <c r="B569" s="1320"/>
      <c r="C569" s="1320"/>
      <c r="D569" s="1179"/>
      <c r="E569" s="1273"/>
      <c r="F569" s="1273"/>
      <c r="G569" s="1273"/>
      <c r="H569" s="1273"/>
      <c r="I569" s="1277"/>
      <c r="J569" s="1277"/>
      <c r="K569" s="1321"/>
    </row>
    <row r="570" spans="1:20">
      <c r="A570" s="2282" t="s">
        <v>2221</v>
      </c>
      <c r="B570" s="2285"/>
      <c r="C570" s="2285"/>
      <c r="D570" s="2286"/>
      <c r="E570" s="2268"/>
      <c r="F570" s="2268"/>
      <c r="G570" s="2268"/>
      <c r="H570" s="2268"/>
      <c r="I570" s="2268"/>
      <c r="J570" s="2268"/>
      <c r="K570" s="2287"/>
    </row>
    <row r="571" spans="1:20" ht="3.5" customHeight="1">
      <c r="A571" s="1319"/>
      <c r="B571" s="1320"/>
      <c r="C571" s="1320"/>
      <c r="D571" s="1179"/>
      <c r="E571" s="1273"/>
      <c r="F571" s="1273"/>
      <c r="G571" s="1273"/>
      <c r="H571" s="1273"/>
      <c r="I571" s="1277"/>
      <c r="J571" s="1277"/>
      <c r="K571" s="1321"/>
    </row>
    <row r="572" spans="1:20" ht="15" customHeight="1">
      <c r="A572" s="1319">
        <v>43265</v>
      </c>
      <c r="B572" s="1320" t="s">
        <v>2222</v>
      </c>
      <c r="C572" s="1293" t="s">
        <v>220</v>
      </c>
      <c r="D572" s="1292"/>
      <c r="E572" s="1274">
        <v>-0.17899999999999999</v>
      </c>
      <c r="F572" s="1274">
        <v>-8.6999999999999994E-2</v>
      </c>
      <c r="G572" s="1273">
        <v>0.20100000000000001</v>
      </c>
      <c r="H572" s="1273" t="s">
        <v>246</v>
      </c>
      <c r="I572" s="1280">
        <v>6.5000000000000002E-2</v>
      </c>
      <c r="J572" s="1280"/>
      <c r="K572" s="1217">
        <v>0.32200000000000001</v>
      </c>
    </row>
    <row r="573" spans="1:20" ht="15" customHeight="1">
      <c r="A573" s="1319">
        <v>43559</v>
      </c>
      <c r="B573" s="1272" t="s">
        <v>2453</v>
      </c>
      <c r="C573" s="1293" t="s">
        <v>220</v>
      </c>
      <c r="D573" s="1292"/>
      <c r="E573" s="1274">
        <v>-0.127</v>
      </c>
      <c r="F573" s="1274">
        <v>-0.08</v>
      </c>
      <c r="G573" s="1274">
        <v>2.4E-2</v>
      </c>
      <c r="H573" s="1274">
        <v>2.5000000000000001E-2</v>
      </c>
      <c r="I573" s="1274">
        <v>0.159</v>
      </c>
      <c r="K573" s="1275">
        <v>0.371</v>
      </c>
    </row>
    <row r="574" spans="1:20" ht="15" customHeight="1">
      <c r="A574" s="1319">
        <v>43622</v>
      </c>
      <c r="B574" s="1320" t="s">
        <v>2452</v>
      </c>
      <c r="C574" s="1293" t="s">
        <v>220</v>
      </c>
      <c r="D574" s="1292"/>
      <c r="E574" s="1274">
        <v>-0.255</v>
      </c>
      <c r="F574" s="1274">
        <v>-0.17199999999999999</v>
      </c>
      <c r="G574" s="1273">
        <v>8.8999999999999996E-2</v>
      </c>
      <c r="H574" s="1273" t="s">
        <v>246</v>
      </c>
      <c r="I574" s="1280">
        <v>0.28899999999999998</v>
      </c>
      <c r="J574" s="1280"/>
      <c r="K574" s="1217">
        <v>0.48399999999999999</v>
      </c>
      <c r="O574" s="1329"/>
      <c r="P574" s="1217"/>
      <c r="Q574" s="1240"/>
      <c r="R574" s="1240"/>
      <c r="S574" s="1240"/>
      <c r="T574" s="1240"/>
    </row>
    <row r="575" spans="1:20">
      <c r="A575" s="1319">
        <v>43678</v>
      </c>
      <c r="B575" s="850" t="s">
        <v>604</v>
      </c>
      <c r="C575" s="850" t="s">
        <v>1553</v>
      </c>
      <c r="E575" s="1274">
        <v>-9.1999999999999998E-2</v>
      </c>
      <c r="F575" s="1274">
        <v>-0.124</v>
      </c>
      <c r="G575" s="1273">
        <v>0.14799999999999999</v>
      </c>
      <c r="H575" s="1273" t="s">
        <v>246</v>
      </c>
      <c r="I575" s="1280">
        <v>0.12</v>
      </c>
      <c r="J575" s="1280"/>
      <c r="K575" s="1217">
        <v>0.59</v>
      </c>
      <c r="O575" s="1329"/>
      <c r="P575" s="1217"/>
      <c r="Q575" s="1217"/>
      <c r="R575" s="1240"/>
      <c r="S575" s="1240"/>
      <c r="T575" s="1240"/>
    </row>
    <row r="576" spans="1:20">
      <c r="A576" s="2282" t="s">
        <v>2533</v>
      </c>
      <c r="B576" s="2285"/>
      <c r="C576" s="2285"/>
      <c r="D576" s="2286"/>
      <c r="E576" s="2268"/>
      <c r="F576" s="2268"/>
      <c r="G576" s="2268"/>
      <c r="H576" s="2268"/>
      <c r="I576" s="2268"/>
      <c r="J576" s="2268"/>
      <c r="K576" s="2287"/>
      <c r="O576" s="1329"/>
      <c r="P576" s="1217"/>
      <c r="Q576" s="1217"/>
      <c r="R576" s="1240"/>
      <c r="S576" s="1240"/>
      <c r="T576" s="1240"/>
    </row>
    <row r="577" spans="1:24">
      <c r="A577" s="1319">
        <v>44322</v>
      </c>
      <c r="B577" s="1319" t="s">
        <v>814</v>
      </c>
      <c r="C577" s="1319" t="s">
        <v>2071</v>
      </c>
      <c r="D577" s="1319"/>
      <c r="E577" s="920">
        <v>0.22956517339912136</v>
      </c>
      <c r="F577" s="920">
        <v>-8.9889830479174149E-2</v>
      </c>
      <c r="G577" s="920">
        <v>-2.9669184556933514E-2</v>
      </c>
      <c r="H577" s="1289" t="s">
        <v>246</v>
      </c>
      <c r="I577" s="920">
        <f>SUM(L577:X577)</f>
        <v>-7.5768762841898638E-2</v>
      </c>
      <c r="J577" s="1319"/>
      <c r="K577" s="920">
        <v>0.42297366041148543</v>
      </c>
      <c r="L577">
        <v>1.5634917983496477E-2</v>
      </c>
      <c r="M577">
        <v>-0.24608246343990081</v>
      </c>
      <c r="N577">
        <v>1.1960044098486619E-2</v>
      </c>
      <c r="O577">
        <v>8.351986102295126E-3</v>
      </c>
      <c r="P577">
        <v>8.2851702134767655E-3</v>
      </c>
      <c r="Q577">
        <v>5.4454949386964222E-3</v>
      </c>
      <c r="R577">
        <v>5.2450472722413389E-3</v>
      </c>
      <c r="S577">
        <v>4.6771122172852703E-3</v>
      </c>
      <c r="T577">
        <v>4.2094009955567432E-3</v>
      </c>
      <c r="U577">
        <v>3.6080579961914943E-3</v>
      </c>
      <c r="V577">
        <v>3.4744262185547724E-3</v>
      </c>
      <c r="W577">
        <v>2.4053719974609961E-3</v>
      </c>
      <c r="X577">
        <v>9.701667056426018E-2</v>
      </c>
    </row>
    <row r="578" spans="1:24">
      <c r="A578" s="1319">
        <v>44329</v>
      </c>
      <c r="B578" s="1319" t="s">
        <v>2736</v>
      </c>
      <c r="C578" s="1319" t="s">
        <v>2739</v>
      </c>
      <c r="D578" s="1319"/>
      <c r="E578" s="920">
        <v>-4.744853079974648E-2</v>
      </c>
      <c r="F578" s="920">
        <v>6.3537506251386322E-2</v>
      </c>
      <c r="G578" s="920">
        <v>-2.5599107057568592E-2</v>
      </c>
      <c r="H578" s="920">
        <v>1.3263747632361655E-2</v>
      </c>
      <c r="I578" s="920">
        <f>SUM(L578:X578)</f>
        <v>1.3469556054428003E-2</v>
      </c>
      <c r="J578" s="1319"/>
      <c r="K578" s="920">
        <v>0.34262616749077779</v>
      </c>
      <c r="L578">
        <v>2.061666743024694E-3</v>
      </c>
      <c r="N578">
        <v>2.7030741741879325E-3</v>
      </c>
      <c r="O578">
        <v>1.7867778439547349E-3</v>
      </c>
      <c r="P578" s="1217"/>
      <c r="Q578" s="1217"/>
      <c r="R578" s="1240"/>
      <c r="S578" s="1240"/>
      <c r="T578" s="1240"/>
      <c r="X578">
        <v>6.9180372932606407E-3</v>
      </c>
    </row>
    <row r="579" spans="1:24">
      <c r="A579" s="1319">
        <v>44364</v>
      </c>
      <c r="B579" s="1319" t="s">
        <v>2737</v>
      </c>
      <c r="C579" s="1319" t="s">
        <v>1553</v>
      </c>
      <c r="D579" s="1319"/>
      <c r="E579" s="920">
        <v>-0.19860524866401008</v>
      </c>
      <c r="F579" s="920">
        <v>-0.11229989712314092</v>
      </c>
      <c r="G579" s="920">
        <v>0.30424914780726159</v>
      </c>
      <c r="H579" s="1289" t="s">
        <v>246</v>
      </c>
      <c r="I579" s="920">
        <f>SUM(L579:X579)</f>
        <v>6.6559979798894442E-3</v>
      </c>
      <c r="J579" s="1319"/>
      <c r="K579" s="920">
        <v>0.52114571318723568</v>
      </c>
      <c r="L579">
        <v>1.0907941191969226E-2</v>
      </c>
      <c r="M579">
        <v>3.5305896611687831E-3</v>
      </c>
      <c r="N579">
        <v>5.190493755598883E-3</v>
      </c>
      <c r="O579">
        <v>2.661116087895874E-3</v>
      </c>
      <c r="P579" s="1217"/>
      <c r="Q579" s="1217"/>
      <c r="R579" s="1240"/>
      <c r="S579" s="1240"/>
      <c r="T579" s="1240"/>
      <c r="X579">
        <v>-1.5634142716743321E-2</v>
      </c>
    </row>
    <row r="580" spans="1:24">
      <c r="A580" s="1319">
        <v>44378</v>
      </c>
      <c r="B580" s="1319" t="s">
        <v>2738</v>
      </c>
      <c r="C580" s="1319" t="s">
        <v>220</v>
      </c>
      <c r="D580" s="1319"/>
      <c r="E580" s="920">
        <v>-1.613164952290852E-2</v>
      </c>
      <c r="F580" s="920">
        <v>-7.4164041469216568E-2</v>
      </c>
      <c r="G580" s="920">
        <v>-1.324988909673401E-2</v>
      </c>
      <c r="H580" s="1289" t="s">
        <v>246</v>
      </c>
      <c r="I580" s="920">
        <f>SUM(L580:X580)</f>
        <v>0.26985011274704868</v>
      </c>
      <c r="J580" s="1319"/>
      <c r="K580" s="920">
        <v>0.47490960402151866</v>
      </c>
      <c r="L580">
        <v>2.1647433346597692E-2</v>
      </c>
      <c r="M580">
        <v>4.0058363178140334E-3</v>
      </c>
      <c r="N580">
        <v>5.4914444886589734E-3</v>
      </c>
      <c r="O580">
        <v>2.8385727550072955E-3</v>
      </c>
      <c r="P580">
        <v>2.7589866029977452E-3</v>
      </c>
      <c r="Q580">
        <v>2.7059291683247115E-3</v>
      </c>
      <c r="R580">
        <v>2.6528717336516778E-3</v>
      </c>
      <c r="S580">
        <v>2.5732855816421275E-3</v>
      </c>
      <c r="T580">
        <v>1.9896538002387586E-3</v>
      </c>
      <c r="U580">
        <v>1.7508953442101074E-3</v>
      </c>
      <c r="V580">
        <v>1.3264358668258389E-3</v>
      </c>
      <c r="W580">
        <v>8.754476721050537E-4</v>
      </c>
      <c r="X580">
        <v>0.21923332006897467</v>
      </c>
    </row>
    <row r="581" spans="1:24" ht="3.75" customHeight="1">
      <c r="A581" s="1370"/>
      <c r="B581" s="1371"/>
      <c r="C581" s="1372"/>
      <c r="D581" s="1373"/>
      <c r="E581" s="1365"/>
      <c r="F581" s="1365"/>
      <c r="G581" s="1374"/>
      <c r="H581" s="1374"/>
      <c r="I581" s="1365"/>
      <c r="J581" s="1365"/>
      <c r="K581" s="1375"/>
      <c r="O581" s="850"/>
    </row>
    <row r="582" spans="1:24" s="1349" customFormat="1" ht="11">
      <c r="A582" s="3444" t="s">
        <v>1113</v>
      </c>
      <c r="B582" s="3444"/>
      <c r="C582" s="3444"/>
      <c r="D582" s="3444"/>
      <c r="E582" s="3444"/>
      <c r="F582" s="3444"/>
      <c r="G582" s="3444"/>
      <c r="H582" s="3444"/>
      <c r="I582" s="3444"/>
      <c r="J582" s="3444"/>
      <c r="K582" s="3444"/>
      <c r="N582" s="2585">
        <f>SUM(N584:N586)/N583</f>
        <v>0.12411054637865311</v>
      </c>
    </row>
    <row r="583" spans="1:24" s="1349" customFormat="1" ht="11.25" customHeight="1">
      <c r="A583" s="3444" t="s">
        <v>1474</v>
      </c>
      <c r="B583" s="3444"/>
      <c r="C583" s="3444"/>
      <c r="D583" s="3444"/>
      <c r="E583" s="3444"/>
      <c r="F583" s="3444"/>
      <c r="G583" s="3444"/>
      <c r="H583" s="3444"/>
      <c r="I583" s="3444"/>
      <c r="J583" s="3444"/>
      <c r="K583" s="3444"/>
      <c r="N583" s="1349">
        <v>31480</v>
      </c>
    </row>
    <row r="584" spans="1:24" s="1349" customFormat="1" ht="11">
      <c r="A584" s="1350" t="s">
        <v>1556</v>
      </c>
      <c r="B584" s="1350"/>
      <c r="C584" s="1350"/>
      <c r="D584" s="1350"/>
      <c r="E584" s="1351"/>
      <c r="F584" s="1351"/>
      <c r="G584" s="1351"/>
      <c r="H584" s="1351"/>
      <c r="I584" s="1351"/>
      <c r="J584" s="2221"/>
      <c r="K584" s="2221"/>
      <c r="N584" s="1349">
        <v>3331</v>
      </c>
      <c r="R584" s="1352">
        <v>11</v>
      </c>
      <c r="S584" s="1352">
        <v>56.6</v>
      </c>
      <c r="T584" s="1352">
        <v>4.5</v>
      </c>
      <c r="U584" s="1352">
        <v>22.1</v>
      </c>
      <c r="V584" s="1352">
        <v>4.3</v>
      </c>
      <c r="W584" s="1352">
        <v>1.5</v>
      </c>
    </row>
    <row r="585" spans="1:24" s="1349" customFormat="1" ht="22.5" customHeight="1">
      <c r="A585" s="3445" t="s">
        <v>1476</v>
      </c>
      <c r="B585" s="3445"/>
      <c r="C585" s="3445"/>
      <c r="D585" s="3445"/>
      <c r="E585" s="3445"/>
      <c r="F585" s="3445"/>
      <c r="G585" s="3445"/>
      <c r="H585" s="3445"/>
      <c r="I585" s="3445"/>
      <c r="J585" s="3445"/>
      <c r="K585" s="3445"/>
      <c r="N585" s="1349">
        <v>334</v>
      </c>
    </row>
    <row r="586" spans="1:24" s="1009" customFormat="1" ht="11">
      <c r="A586" s="3446" t="s">
        <v>1477</v>
      </c>
      <c r="B586" s="3446"/>
      <c r="C586" s="3446"/>
      <c r="D586" s="3446"/>
      <c r="E586" s="3446"/>
      <c r="F586" s="3446"/>
      <c r="G586" s="3446"/>
      <c r="H586" s="3446"/>
      <c r="I586" s="3446"/>
      <c r="J586" s="3446"/>
      <c r="K586" s="3446"/>
      <c r="L586" s="1349"/>
      <c r="M586" s="1349"/>
      <c r="N586" s="1349">
        <v>242</v>
      </c>
      <c r="O586" s="1349"/>
    </row>
    <row r="587" spans="1:24" s="1009" customFormat="1" ht="11">
      <c r="A587" s="1350" t="s">
        <v>1480</v>
      </c>
      <c r="B587" s="1353"/>
      <c r="C587" s="1353"/>
      <c r="D587" s="1353"/>
      <c r="E587" s="1354"/>
      <c r="F587" s="1354"/>
      <c r="G587" s="1354"/>
      <c r="H587" s="1354"/>
      <c r="I587" s="1354"/>
      <c r="J587" s="2222"/>
      <c r="K587" s="2222"/>
      <c r="L587" s="1349"/>
      <c r="M587" s="1349"/>
      <c r="N587" s="1349"/>
      <c r="O587" s="1349"/>
    </row>
    <row r="588" spans="1:24" s="1009" customFormat="1" ht="11.25" customHeight="1">
      <c r="A588" s="1009" t="s">
        <v>1479</v>
      </c>
      <c r="E588" s="1322"/>
      <c r="F588" s="1322"/>
      <c r="G588" s="1322"/>
      <c r="H588" s="1322"/>
      <c r="I588" s="1322"/>
      <c r="L588" s="1349"/>
      <c r="M588" s="1349"/>
      <c r="N588" s="1349"/>
      <c r="O588" s="1349"/>
    </row>
    <row r="589" spans="1:24" s="1009" customFormat="1" ht="11.25" customHeight="1">
      <c r="A589" s="3446" t="s">
        <v>1478</v>
      </c>
      <c r="B589" s="3446"/>
      <c r="C589" s="3446"/>
      <c r="D589" s="3446"/>
      <c r="E589" s="3446"/>
      <c r="F589" s="3446"/>
      <c r="G589" s="3446"/>
      <c r="H589" s="3446"/>
      <c r="I589" s="3446"/>
      <c r="J589" s="3446"/>
      <c r="K589" s="3446"/>
      <c r="L589" s="1349"/>
      <c r="M589" s="1349"/>
      <c r="N589" s="1349"/>
      <c r="O589" s="1349"/>
      <c r="Q589" s="850" t="s">
        <v>1957</v>
      </c>
      <c r="U589" s="1009" t="s">
        <v>1964</v>
      </c>
    </row>
    <row r="590" spans="1:24" s="1009" customFormat="1" ht="22.5" customHeight="1">
      <c r="A590" s="3447" t="s">
        <v>2454</v>
      </c>
      <c r="B590" s="3448"/>
      <c r="C590" s="3448"/>
      <c r="D590" s="3448"/>
      <c r="E590" s="3448"/>
      <c r="F590" s="3448"/>
      <c r="G590" s="3448"/>
      <c r="H590" s="3448"/>
      <c r="I590" s="3448"/>
      <c r="J590" s="3448"/>
      <c r="K590" s="3448"/>
      <c r="L590" s="1349"/>
      <c r="M590" s="1349"/>
      <c r="N590" s="1349"/>
      <c r="O590" s="1349"/>
      <c r="R590" s="1009" t="s">
        <v>1958</v>
      </c>
      <c r="S590" s="1009" t="s">
        <v>1959</v>
      </c>
      <c r="T590" s="1009" t="s">
        <v>1960</v>
      </c>
      <c r="U590" s="1009" t="s">
        <v>1961</v>
      </c>
      <c r="V590" s="1009" t="s">
        <v>1341</v>
      </c>
      <c r="W590" s="1009" t="s">
        <v>1962</v>
      </c>
    </row>
    <row r="591" spans="1:24" s="1009" customFormat="1" ht="11.25" customHeight="1">
      <c r="A591" s="1355"/>
      <c r="B591" s="1355"/>
      <c r="C591" s="1355"/>
      <c r="D591" s="1324"/>
      <c r="E591" s="1322"/>
      <c r="F591" s="1322"/>
      <c r="G591" s="1322"/>
      <c r="H591" s="1322"/>
      <c r="I591" s="1323"/>
      <c r="J591" s="1323"/>
      <c r="K591" s="1324"/>
      <c r="L591" s="1349"/>
      <c r="M591" s="1349"/>
      <c r="N591" s="1349"/>
      <c r="O591" s="1349"/>
    </row>
    <row r="592" spans="1:24" s="1009" customFormat="1" ht="11">
      <c r="A592" s="3445" t="s">
        <v>1463</v>
      </c>
      <c r="B592" s="3445"/>
      <c r="C592" s="3445"/>
      <c r="D592" s="3445"/>
      <c r="E592" s="3445"/>
      <c r="F592" s="3445"/>
      <c r="G592" s="3445"/>
      <c r="H592" s="3445"/>
      <c r="I592" s="3445"/>
      <c r="J592" s="3445"/>
      <c r="K592" s="3445"/>
      <c r="L592" s="1349"/>
      <c r="M592" s="1349"/>
      <c r="N592" s="1349"/>
      <c r="O592" s="1349"/>
      <c r="Q592" s="1009">
        <v>2015</v>
      </c>
      <c r="R592" s="1356">
        <f t="shared" ref="R592:W592" si="0">R584/100</f>
        <v>0.11</v>
      </c>
      <c r="S592" s="1356">
        <f t="shared" si="0"/>
        <v>0.56600000000000006</v>
      </c>
      <c r="T592" s="1356">
        <f t="shared" si="0"/>
        <v>4.4999999999999998E-2</v>
      </c>
      <c r="U592" s="1356">
        <f t="shared" si="0"/>
        <v>0.221</v>
      </c>
      <c r="V592" s="1356">
        <f t="shared" si="0"/>
        <v>4.2999999999999997E-2</v>
      </c>
      <c r="W592" s="1356">
        <f t="shared" si="0"/>
        <v>1.4999999999999999E-2</v>
      </c>
    </row>
    <row r="593" spans="1:31" s="1009" customFormat="1" ht="11">
      <c r="A593" s="3442" t="s">
        <v>2328</v>
      </c>
      <c r="B593" s="3442"/>
      <c r="C593" s="3442"/>
      <c r="D593" s="3442"/>
      <c r="E593" s="3442"/>
      <c r="F593" s="3442"/>
      <c r="G593" s="3442"/>
      <c r="H593" s="3442"/>
      <c r="I593" s="3442"/>
      <c r="J593" s="3442"/>
      <c r="K593" s="3442"/>
      <c r="L593" s="1349"/>
      <c r="M593" s="1349"/>
      <c r="N593" s="1349"/>
      <c r="O593" s="1349"/>
      <c r="Q593" s="1009" t="s">
        <v>1963</v>
      </c>
      <c r="R593" s="1356">
        <f t="shared" ref="R593:W593" si="1">R594/$X$594</f>
        <v>5.6109118285284088E-2</v>
      </c>
      <c r="S593" s="1356">
        <f t="shared" si="1"/>
        <v>0.62384305389486738</v>
      </c>
      <c r="T593" s="1356">
        <f t="shared" si="1"/>
        <v>6.1334750453921436E-2</v>
      </c>
      <c r="U593" s="1356">
        <f t="shared" si="1"/>
        <v>0.19914972764713698</v>
      </c>
      <c r="V593" s="1356">
        <f t="shared" si="1"/>
        <v>4.1539347238829107E-2</v>
      </c>
      <c r="W593" s="1356">
        <f t="shared" si="1"/>
        <v>1.802400247996103E-2</v>
      </c>
    </row>
    <row r="594" spans="1:31" s="1009" customFormat="1" ht="11">
      <c r="A594" s="3442" t="s">
        <v>2294</v>
      </c>
      <c r="B594" s="3442"/>
      <c r="C594" s="3442"/>
      <c r="D594" s="3442"/>
      <c r="E594" s="3442"/>
      <c r="F594" s="3442"/>
      <c r="G594" s="3442"/>
      <c r="H594" s="3442"/>
      <c r="I594" s="3442"/>
      <c r="J594" s="3442"/>
      <c r="K594" s="3442"/>
      <c r="L594" s="1349"/>
      <c r="M594" s="1349"/>
      <c r="N594" s="1349"/>
      <c r="O594" s="1349"/>
      <c r="R594" s="1009">
        <v>1267</v>
      </c>
      <c r="S594" s="1009">
        <v>14087</v>
      </c>
      <c r="T594" s="1009">
        <v>1385</v>
      </c>
      <c r="U594" s="1009">
        <v>4497</v>
      </c>
      <c r="V594" s="1009">
        <v>938</v>
      </c>
      <c r="W594" s="1009">
        <f>349+58</f>
        <v>407</v>
      </c>
      <c r="X594" s="1009">
        <f>SUM(R594:W594)</f>
        <v>22581</v>
      </c>
    </row>
    <row r="595" spans="1:31" s="1009" customFormat="1" ht="11">
      <c r="A595" s="3443" t="s">
        <v>2749</v>
      </c>
      <c r="B595" s="3443"/>
      <c r="C595" s="3443"/>
      <c r="D595" s="3443"/>
      <c r="E595" s="3443"/>
      <c r="F595" s="3443"/>
      <c r="G595" s="3443"/>
      <c r="H595" s="3443"/>
      <c r="I595" s="3443"/>
      <c r="J595" s="3443"/>
      <c r="K595" s="3443"/>
      <c r="L595" s="1349"/>
      <c r="M595" s="1349"/>
      <c r="N595" s="1349"/>
      <c r="O595" s="1349"/>
    </row>
    <row r="596" spans="1:31">
      <c r="A596" s="1355" t="s">
        <v>2750</v>
      </c>
      <c r="B596" s="1293"/>
      <c r="C596" s="1293"/>
      <c r="D596" s="1292"/>
      <c r="J596" s="1274"/>
      <c r="K596" s="1292"/>
      <c r="O596" s="1349"/>
      <c r="R596" s="1217">
        <f t="shared" ref="R596:W596" si="2">R592-R593</f>
        <v>5.3890881714715913E-2</v>
      </c>
      <c r="S596" s="1217">
        <f t="shared" si="2"/>
        <v>-5.7843053894867325E-2</v>
      </c>
      <c r="T596" s="1217">
        <f t="shared" si="2"/>
        <v>-1.6334750453921437E-2</v>
      </c>
      <c r="U596" s="1217">
        <f t="shared" si="2"/>
        <v>2.185027235286302E-2</v>
      </c>
      <c r="V596" s="1217">
        <f t="shared" si="2"/>
        <v>1.46065276117089E-3</v>
      </c>
      <c r="W596" s="1217">
        <f t="shared" si="2"/>
        <v>-3.0240024799610306E-3</v>
      </c>
    </row>
    <row r="597" spans="1:31">
      <c r="A597" s="1179"/>
      <c r="B597" s="1293"/>
      <c r="C597" s="1293"/>
      <c r="D597" s="1292"/>
      <c r="J597" s="1274"/>
      <c r="K597" s="1292"/>
    </row>
    <row r="598" spans="1:31">
      <c r="A598" s="1293"/>
      <c r="B598" s="1293"/>
      <c r="C598" s="1293"/>
      <c r="D598" s="1292"/>
      <c r="J598" s="1274"/>
      <c r="K598" s="1292"/>
      <c r="U598" s="1217">
        <f>SUM(U592:W592)</f>
        <v>0.27900000000000003</v>
      </c>
    </row>
    <row r="599" spans="1:31">
      <c r="U599" s="1217">
        <f>SUM(U593:W593)</f>
        <v>0.25871307736592714</v>
      </c>
    </row>
    <row r="600" spans="1:31">
      <c r="U600" s="1217">
        <f>U598-U599</f>
        <v>2.028692263407289E-2</v>
      </c>
    </row>
    <row r="603" spans="1:31">
      <c r="Q603" s="850" t="s">
        <v>2457</v>
      </c>
    </row>
    <row r="604" spans="1:31">
      <c r="Q604" s="850" t="s">
        <v>2456</v>
      </c>
      <c r="R604" s="850" t="s">
        <v>1620</v>
      </c>
      <c r="S604" s="850" t="s">
        <v>2458</v>
      </c>
      <c r="T604" s="850" t="s">
        <v>2459</v>
      </c>
      <c r="U604" s="850" t="s">
        <v>2460</v>
      </c>
      <c r="V604" s="850" t="s">
        <v>2461</v>
      </c>
      <c r="W604" s="850" t="s">
        <v>2462</v>
      </c>
    </row>
    <row r="605" spans="1:31">
      <c r="P605" s="850" t="s">
        <v>2455</v>
      </c>
      <c r="Q605" s="850">
        <v>32072</v>
      </c>
      <c r="R605" s="850">
        <v>798</v>
      </c>
      <c r="S605" s="850">
        <v>10859</v>
      </c>
      <c r="T605" s="850">
        <v>2086</v>
      </c>
      <c r="U605" s="850">
        <v>228</v>
      </c>
      <c r="V605" s="850">
        <v>803</v>
      </c>
      <c r="W605" s="850">
        <v>355</v>
      </c>
      <c r="X605" s="850">
        <f>SUM(Q605:W605)</f>
        <v>47201</v>
      </c>
    </row>
    <row r="606" spans="1:31">
      <c r="P606" s="850" t="s">
        <v>2463</v>
      </c>
      <c r="Q606" s="1217">
        <f>Q605/47201</f>
        <v>0.67947712972182794</v>
      </c>
      <c r="R606" s="1217">
        <f t="shared" ref="R606:W606" si="3">R605/47201</f>
        <v>1.690642147412131E-2</v>
      </c>
      <c r="S606" s="1217">
        <f t="shared" si="3"/>
        <v>0.23005868519734751</v>
      </c>
      <c r="T606" s="1217">
        <f t="shared" si="3"/>
        <v>4.4193978941124132E-2</v>
      </c>
      <c r="U606" s="1217">
        <f t="shared" si="3"/>
        <v>4.8304061354632315E-3</v>
      </c>
      <c r="V606" s="1217">
        <f t="shared" si="3"/>
        <v>1.7012351433232348E-2</v>
      </c>
      <c r="W606" s="1217">
        <f t="shared" si="3"/>
        <v>7.5210270968835407E-3</v>
      </c>
      <c r="X606" s="850" t="s">
        <v>2229</v>
      </c>
      <c r="Y606" s="850" t="s">
        <v>2465</v>
      </c>
      <c r="Z606" s="850" t="s">
        <v>2466</v>
      </c>
      <c r="AA606" s="850" t="s">
        <v>2467</v>
      </c>
      <c r="AB606" s="850" t="s">
        <v>2468</v>
      </c>
      <c r="AC606" s="850" t="s">
        <v>2470</v>
      </c>
      <c r="AD606" s="850" t="s">
        <v>2469</v>
      </c>
    </row>
    <row r="607" spans="1:31">
      <c r="P607" s="850" t="s">
        <v>2464</v>
      </c>
      <c r="Q607" s="850">
        <v>11033</v>
      </c>
      <c r="R607" s="850">
        <v>380</v>
      </c>
      <c r="S607" s="850">
        <v>3161</v>
      </c>
      <c r="T607" s="850">
        <v>5404</v>
      </c>
      <c r="U607" s="850">
        <v>168</v>
      </c>
      <c r="V607" s="850">
        <v>788</v>
      </c>
      <c r="W607" s="850">
        <v>37</v>
      </c>
      <c r="X607" s="850">
        <v>506</v>
      </c>
      <c r="Y607" s="850">
        <v>266</v>
      </c>
      <c r="Z607" s="850">
        <v>168</v>
      </c>
      <c r="AA607" s="850">
        <v>67</v>
      </c>
      <c r="AB607" s="850">
        <v>38</v>
      </c>
      <c r="AC607" s="850">
        <v>20</v>
      </c>
      <c r="AD607" s="850">
        <v>18</v>
      </c>
      <c r="AE607" s="850">
        <f>SUM(Q607:AD607)</f>
        <v>22054</v>
      </c>
    </row>
    <row r="608" spans="1:31">
      <c r="Q608" s="1217">
        <f>Q607/22054</f>
        <v>0.50027205949034192</v>
      </c>
      <c r="R608" s="1217">
        <f t="shared" ref="R608:AD608" si="4">R607/22054</f>
        <v>1.7230434388319581E-2</v>
      </c>
      <c r="S608" s="1217">
        <f t="shared" si="4"/>
        <v>0.14333000816178471</v>
      </c>
      <c r="T608" s="1217">
        <f t="shared" si="4"/>
        <v>0.24503491430126054</v>
      </c>
      <c r="U608" s="1217">
        <f t="shared" si="4"/>
        <v>7.6176657295728666E-3</v>
      </c>
      <c r="V608" s="1217">
        <f t="shared" si="4"/>
        <v>3.5730479731567968E-2</v>
      </c>
      <c r="W608" s="1217">
        <f t="shared" si="4"/>
        <v>1.6777001904416432E-3</v>
      </c>
      <c r="X608" s="1217">
        <f t="shared" si="4"/>
        <v>2.294368368549923E-2</v>
      </c>
      <c r="Y608" s="1217">
        <f t="shared" si="4"/>
        <v>1.2061304071823705E-2</v>
      </c>
      <c r="Z608" s="1217">
        <f t="shared" si="4"/>
        <v>7.6176657295728666E-3</v>
      </c>
      <c r="AA608" s="1217">
        <f t="shared" si="4"/>
        <v>3.0379976421510838E-3</v>
      </c>
      <c r="AB608" s="1217">
        <f t="shared" si="4"/>
        <v>1.723043438831958E-3</v>
      </c>
      <c r="AC608" s="1217">
        <f t="shared" si="4"/>
        <v>9.0686496780629361E-4</v>
      </c>
      <c r="AD608" s="1217">
        <f t="shared" si="4"/>
        <v>8.161784710256643E-4</v>
      </c>
    </row>
    <row r="609" spans="16:30">
      <c r="Q609" s="1217">
        <f>Q606-Q608</f>
        <v>0.17920507023148602</v>
      </c>
      <c r="R609" s="1217">
        <f t="shared" ref="R609:AD609" si="5">R606-R608</f>
        <v>-3.2401291419827116E-4</v>
      </c>
      <c r="S609" s="1217">
        <f t="shared" si="5"/>
        <v>8.6728677035562807E-2</v>
      </c>
      <c r="T609" s="1217">
        <f t="shared" si="5"/>
        <v>-0.20084093536013642</v>
      </c>
      <c r="U609" s="1217">
        <f t="shared" si="5"/>
        <v>-2.787259594109635E-3</v>
      </c>
      <c r="V609" s="1217">
        <f t="shared" si="5"/>
        <v>-1.8718128298335621E-2</v>
      </c>
      <c r="W609" s="1217">
        <f t="shared" si="5"/>
        <v>5.8433269064418975E-3</v>
      </c>
      <c r="X609" s="1217" t="e">
        <f t="shared" si="5"/>
        <v>#VALUE!</v>
      </c>
      <c r="Y609" s="1217" t="e">
        <f t="shared" si="5"/>
        <v>#VALUE!</v>
      </c>
      <c r="Z609" s="1217" t="e">
        <f t="shared" si="5"/>
        <v>#VALUE!</v>
      </c>
      <c r="AA609" s="1217" t="e">
        <f t="shared" si="5"/>
        <v>#VALUE!</v>
      </c>
      <c r="AB609" s="1217" t="e">
        <f t="shared" si="5"/>
        <v>#VALUE!</v>
      </c>
      <c r="AC609" s="1217" t="e">
        <f t="shared" si="5"/>
        <v>#VALUE!</v>
      </c>
      <c r="AD609" s="1217" t="e">
        <f t="shared" si="5"/>
        <v>#VALUE!</v>
      </c>
    </row>
    <row r="611" spans="16:30">
      <c r="P611" s="1217"/>
      <c r="Q611" s="850" t="s">
        <v>2471</v>
      </c>
    </row>
    <row r="612" spans="16:30">
      <c r="P612" s="1217"/>
      <c r="Q612" s="1217"/>
    </row>
    <row r="613" spans="16:30">
      <c r="Q613" s="850" t="s">
        <v>1620</v>
      </c>
      <c r="R613" s="850" t="s">
        <v>2461</v>
      </c>
      <c r="S613" s="850" t="s">
        <v>2472</v>
      </c>
      <c r="T613" s="850" t="s">
        <v>2473</v>
      </c>
      <c r="U613" s="850" t="s">
        <v>2474</v>
      </c>
      <c r="V613" s="850" t="s">
        <v>2467</v>
      </c>
      <c r="W613" s="850" t="s">
        <v>2465</v>
      </c>
    </row>
    <row r="614" spans="16:30">
      <c r="P614" s="850" t="s">
        <v>2475</v>
      </c>
      <c r="Q614" s="850">
        <v>2023</v>
      </c>
      <c r="R614" s="850">
        <v>924</v>
      </c>
      <c r="S614" s="850">
        <v>879</v>
      </c>
      <c r="T614" s="850">
        <v>205</v>
      </c>
      <c r="U614" s="850">
        <v>202</v>
      </c>
      <c r="V614" s="850">
        <v>185</v>
      </c>
      <c r="W614" s="850">
        <v>159</v>
      </c>
      <c r="X614" s="850">
        <f>SUM(Q614:W614)</f>
        <v>4577</v>
      </c>
      <c r="Y614" s="850">
        <f>SUM(X614)</f>
        <v>4577</v>
      </c>
      <c r="Z614" s="850">
        <v>23515</v>
      </c>
    </row>
    <row r="615" spans="16:30">
      <c r="P615" s="850">
        <v>2017</v>
      </c>
      <c r="Q615" s="850">
        <v>1100</v>
      </c>
      <c r="R615" s="850">
        <v>497</v>
      </c>
      <c r="X615" s="850">
        <v>1577</v>
      </c>
    </row>
    <row r="616" spans="16:30">
      <c r="Q616" s="2546" t="s">
        <v>2476</v>
      </c>
      <c r="R616" s="850" t="s">
        <v>2477</v>
      </c>
      <c r="X616" s="1240"/>
      <c r="Y616" s="1217">
        <f>Y614/Z614</f>
        <v>0.19464171805230704</v>
      </c>
    </row>
    <row r="688" spans="3:4">
      <c r="C688" s="1357"/>
      <c r="D688" s="1274"/>
    </row>
    <row r="689" spans="3:4">
      <c r="C689" s="1357"/>
      <c r="D689" s="1274"/>
    </row>
    <row r="690" spans="3:4">
      <c r="C690" s="1357"/>
      <c r="D690" s="1274"/>
    </row>
    <row r="691" spans="3:4">
      <c r="C691" s="1357"/>
      <c r="D691" s="1274"/>
    </row>
    <row r="692" spans="3:4">
      <c r="C692" s="1357"/>
      <c r="D692" s="1274"/>
    </row>
    <row r="693" spans="3:4">
      <c r="C693" s="1357"/>
      <c r="D693" s="1274"/>
    </row>
    <row r="694" spans="3:4">
      <c r="C694" s="1357"/>
      <c r="D694" s="1274"/>
    </row>
    <row r="695" spans="3:4">
      <c r="C695" s="1357"/>
      <c r="D695" s="1274"/>
    </row>
    <row r="696" spans="3:4">
      <c r="C696" s="1357"/>
      <c r="D696" s="1274"/>
    </row>
    <row r="697" spans="3:4">
      <c r="C697" s="1357"/>
      <c r="D697" s="1274"/>
    </row>
    <row r="698" spans="3:4">
      <c r="C698" s="1357"/>
      <c r="D698" s="1274"/>
    </row>
    <row r="699" spans="3:4">
      <c r="C699" s="1357"/>
      <c r="D699" s="1274"/>
    </row>
    <row r="700" spans="3:4">
      <c r="C700" s="1357"/>
      <c r="D700" s="1274"/>
    </row>
    <row r="701" spans="3:4">
      <c r="C701" s="1357"/>
      <c r="D701" s="1274"/>
    </row>
    <row r="702" spans="3:4">
      <c r="C702" s="1357"/>
      <c r="D702" s="1274"/>
    </row>
    <row r="703" spans="3:4">
      <c r="C703" s="1357"/>
      <c r="D703" s="1274"/>
    </row>
    <row r="704" spans="3:4">
      <c r="C704" s="1357"/>
      <c r="D704" s="1274"/>
    </row>
    <row r="705" spans="3:4">
      <c r="C705" s="1357"/>
      <c r="D705" s="1274"/>
    </row>
    <row r="706" spans="3:4">
      <c r="C706" s="1357"/>
      <c r="D706" s="1274"/>
    </row>
    <row r="707" spans="3:4">
      <c r="C707" s="1357"/>
      <c r="D707" s="1274"/>
    </row>
    <row r="708" spans="3:4">
      <c r="C708" s="1357"/>
      <c r="D708" s="1274"/>
    </row>
    <row r="709" spans="3:4">
      <c r="C709" s="1357"/>
      <c r="D709" s="1274"/>
    </row>
    <row r="710" spans="3:4">
      <c r="C710" s="1357"/>
      <c r="D710" s="1274"/>
    </row>
    <row r="711" spans="3:4">
      <c r="C711" s="1357"/>
      <c r="D711" s="1274"/>
    </row>
    <row r="712" spans="3:4">
      <c r="C712" s="1357"/>
      <c r="D712" s="1274"/>
    </row>
    <row r="713" spans="3:4">
      <c r="C713" s="1357"/>
      <c r="D713" s="1274"/>
    </row>
    <row r="714" spans="3:4">
      <c r="C714" s="1357"/>
      <c r="D714" s="1274"/>
    </row>
    <row r="715" spans="3:4">
      <c r="C715" s="1357"/>
      <c r="D715" s="1274"/>
    </row>
    <row r="716" spans="3:4">
      <c r="C716" s="1357"/>
      <c r="D716" s="1274"/>
    </row>
    <row r="717" spans="3:4">
      <c r="C717" s="1357"/>
      <c r="D717" s="1274"/>
    </row>
    <row r="718" spans="3:4">
      <c r="C718" s="1357"/>
      <c r="D718" s="1274"/>
    </row>
    <row r="719" spans="3:4">
      <c r="C719" s="1357"/>
      <c r="D719" s="1274"/>
    </row>
    <row r="720" spans="3:4">
      <c r="C720" s="1357"/>
      <c r="D720" s="1274"/>
    </row>
    <row r="721" spans="3:4">
      <c r="C721" s="1357"/>
      <c r="D721" s="1274"/>
    </row>
    <row r="722" spans="3:4">
      <c r="C722" s="1357"/>
      <c r="D722" s="1274"/>
    </row>
    <row r="723" spans="3:4">
      <c r="C723" s="1357"/>
      <c r="D723" s="1274"/>
    </row>
    <row r="724" spans="3:4">
      <c r="C724" s="1357"/>
      <c r="D724" s="1274"/>
    </row>
    <row r="725" spans="3:4">
      <c r="C725" s="1357"/>
      <c r="D725" s="1274"/>
    </row>
    <row r="726" spans="3:4">
      <c r="C726" s="1357"/>
      <c r="D726" s="1274"/>
    </row>
    <row r="727" spans="3:4">
      <c r="C727" s="1357"/>
      <c r="D727" s="1274"/>
    </row>
    <row r="728" spans="3:4">
      <c r="C728" s="1357"/>
      <c r="D728" s="1274"/>
    </row>
    <row r="729" spans="3:4">
      <c r="C729" s="1357"/>
      <c r="D729" s="1274"/>
    </row>
    <row r="730" spans="3:4">
      <c r="C730" s="1357"/>
      <c r="D730" s="1274"/>
    </row>
    <row r="731" spans="3:4">
      <c r="C731" s="1357"/>
      <c r="D731" s="1274"/>
    </row>
    <row r="732" spans="3:4">
      <c r="C732" s="1357"/>
      <c r="D732" s="1274"/>
    </row>
    <row r="733" spans="3:4">
      <c r="C733" s="1357"/>
      <c r="D733" s="1274"/>
    </row>
    <row r="734" spans="3:4">
      <c r="C734" s="1357"/>
      <c r="D734" s="1274"/>
    </row>
    <row r="735" spans="3:4">
      <c r="C735" s="1357"/>
      <c r="D735" s="1274"/>
    </row>
    <row r="736" spans="3:4">
      <c r="C736" s="1357"/>
      <c r="D736" s="1274"/>
    </row>
    <row r="737" spans="3:4">
      <c r="C737" s="1357"/>
      <c r="D737" s="1274"/>
    </row>
    <row r="738" spans="3:4">
      <c r="C738" s="1357"/>
      <c r="D738" s="1274"/>
    </row>
    <row r="739" spans="3:4">
      <c r="C739" s="1357"/>
      <c r="D739" s="1274"/>
    </row>
    <row r="740" spans="3:4">
      <c r="C740" s="1357"/>
      <c r="D740" s="1274"/>
    </row>
    <row r="741" spans="3:4">
      <c r="C741" s="1357"/>
      <c r="D741" s="1274"/>
    </row>
    <row r="742" spans="3:4">
      <c r="C742" s="1357"/>
      <c r="D742" s="1274"/>
    </row>
    <row r="743" spans="3:4">
      <c r="C743" s="1357"/>
      <c r="D743" s="1274"/>
    </row>
    <row r="744" spans="3:4">
      <c r="C744" s="1357"/>
      <c r="D744" s="1274"/>
    </row>
    <row r="745" spans="3:4">
      <c r="C745" s="1357"/>
      <c r="D745" s="1274"/>
    </row>
    <row r="746" spans="3:4">
      <c r="C746" s="1357"/>
      <c r="D746" s="1274"/>
    </row>
    <row r="747" spans="3:4">
      <c r="C747" s="1357"/>
      <c r="D747" s="1274"/>
    </row>
    <row r="748" spans="3:4">
      <c r="C748" s="1357"/>
      <c r="D748" s="1274"/>
    </row>
    <row r="749" spans="3:4">
      <c r="C749" s="1357"/>
      <c r="D749" s="1274"/>
    </row>
    <row r="750" spans="3:4">
      <c r="C750" s="1357"/>
      <c r="D750" s="1274"/>
    </row>
    <row r="751" spans="3:4">
      <c r="C751" s="1357"/>
      <c r="D751" s="1274"/>
    </row>
    <row r="752" spans="3:4">
      <c r="C752" s="1357"/>
      <c r="D752" s="1274"/>
    </row>
    <row r="753" spans="3:4">
      <c r="C753" s="1357"/>
      <c r="D753" s="1274"/>
    </row>
    <row r="754" spans="3:4">
      <c r="C754" s="1357"/>
      <c r="D754" s="1274"/>
    </row>
    <row r="755" spans="3:4">
      <c r="C755" s="1357"/>
      <c r="D755" s="1274"/>
    </row>
    <row r="756" spans="3:4">
      <c r="C756" s="1357"/>
      <c r="D756" s="1274"/>
    </row>
    <row r="757" spans="3:4">
      <c r="C757" s="1357"/>
      <c r="D757" s="1274"/>
    </row>
    <row r="758" spans="3:4">
      <c r="C758" s="1357"/>
      <c r="D758" s="1274"/>
    </row>
    <row r="759" spans="3:4">
      <c r="C759" s="1357"/>
      <c r="D759" s="1274"/>
    </row>
    <row r="760" spans="3:4">
      <c r="C760" s="1357"/>
      <c r="D760" s="1274"/>
    </row>
    <row r="761" spans="3:4">
      <c r="C761" s="1357"/>
      <c r="D761" s="1274"/>
    </row>
    <row r="762" spans="3:4">
      <c r="C762" s="1357"/>
      <c r="D762" s="1274"/>
    </row>
    <row r="763" spans="3:4">
      <c r="C763" s="1357"/>
      <c r="D763" s="1274"/>
    </row>
    <row r="764" spans="3:4">
      <c r="C764" s="1357"/>
      <c r="D764" s="1274"/>
    </row>
    <row r="765" spans="3:4">
      <c r="C765" s="1357"/>
      <c r="D765" s="1274"/>
    </row>
    <row r="766" spans="3:4">
      <c r="C766" s="1357"/>
      <c r="D766" s="1274"/>
    </row>
    <row r="767" spans="3:4">
      <c r="C767" s="1357"/>
      <c r="D767" s="1274"/>
    </row>
    <row r="768" spans="3:4">
      <c r="C768" s="1357"/>
      <c r="D768" s="1274"/>
    </row>
    <row r="769" spans="3:4">
      <c r="C769" s="1357"/>
      <c r="D769" s="1274"/>
    </row>
    <row r="770" spans="3:4">
      <c r="C770" s="1357"/>
      <c r="D770" s="1274"/>
    </row>
    <row r="771" spans="3:4">
      <c r="C771" s="1357"/>
      <c r="D771" s="1274"/>
    </row>
    <row r="772" spans="3:4">
      <c r="C772" s="1357"/>
      <c r="D772" s="1274"/>
    </row>
    <row r="773" spans="3:4">
      <c r="C773" s="1357"/>
      <c r="D773" s="1274"/>
    </row>
    <row r="774" spans="3:4">
      <c r="C774" s="1357"/>
      <c r="D774" s="1274"/>
    </row>
    <row r="775" spans="3:4">
      <c r="C775" s="1357"/>
      <c r="D775" s="1274"/>
    </row>
    <row r="776" spans="3:4">
      <c r="C776" s="1357"/>
      <c r="D776" s="1274"/>
    </row>
    <row r="777" spans="3:4">
      <c r="C777" s="1357"/>
      <c r="D777" s="1274"/>
    </row>
    <row r="778" spans="3:4">
      <c r="C778" s="1357"/>
      <c r="D778" s="1274"/>
    </row>
    <row r="779" spans="3:4">
      <c r="C779" s="1357"/>
      <c r="D779" s="1274"/>
    </row>
    <row r="780" spans="3:4">
      <c r="C780" s="1357"/>
      <c r="D780" s="1274"/>
    </row>
    <row r="781" spans="3:4">
      <c r="C781" s="1357"/>
      <c r="D781" s="1274"/>
    </row>
    <row r="782" spans="3:4">
      <c r="C782" s="1357"/>
      <c r="D782" s="1274"/>
    </row>
    <row r="783" spans="3:4">
      <c r="C783" s="1357"/>
      <c r="D783" s="1274"/>
    </row>
    <row r="784" spans="3:4">
      <c r="C784" s="1357"/>
      <c r="D784" s="1274"/>
    </row>
    <row r="785" spans="3:4">
      <c r="C785" s="1357"/>
      <c r="D785" s="1274"/>
    </row>
    <row r="786" spans="3:4">
      <c r="C786" s="1357"/>
      <c r="D786" s="1274"/>
    </row>
    <row r="787" spans="3:4">
      <c r="C787" s="1357"/>
      <c r="D787" s="1274"/>
    </row>
    <row r="788" spans="3:4">
      <c r="C788" s="1357"/>
      <c r="D788" s="1274"/>
    </row>
    <row r="789" spans="3:4">
      <c r="C789" s="1357"/>
      <c r="D789" s="1274"/>
    </row>
    <row r="790" spans="3:4">
      <c r="C790" s="1357"/>
      <c r="D790" s="1274"/>
    </row>
    <row r="791" spans="3:4">
      <c r="C791" s="1357"/>
      <c r="D791" s="1274"/>
    </row>
    <row r="792" spans="3:4">
      <c r="C792" s="1357"/>
      <c r="D792" s="1274"/>
    </row>
    <row r="793" spans="3:4">
      <c r="C793" s="1357"/>
      <c r="D793" s="1274"/>
    </row>
    <row r="794" spans="3:4">
      <c r="C794" s="1357"/>
      <c r="D794" s="1274"/>
    </row>
    <row r="795" spans="3:4">
      <c r="C795" s="1357"/>
      <c r="D795" s="1274"/>
    </row>
    <row r="796" spans="3:4">
      <c r="C796" s="1357"/>
      <c r="D796" s="1274"/>
    </row>
    <row r="797" spans="3:4">
      <c r="C797" s="1357"/>
      <c r="D797" s="1274"/>
    </row>
    <row r="798" spans="3:4">
      <c r="C798" s="1357"/>
      <c r="D798" s="1274"/>
    </row>
    <row r="799" spans="3:4">
      <c r="C799" s="1357"/>
      <c r="D799" s="1274"/>
    </row>
    <row r="800" spans="3:4">
      <c r="C800" s="1357"/>
      <c r="D800" s="1274"/>
    </row>
    <row r="801" spans="3:4">
      <c r="C801" s="1357"/>
      <c r="D801" s="1274"/>
    </row>
    <row r="802" spans="3:4">
      <c r="C802" s="1357"/>
      <c r="D802" s="1274"/>
    </row>
    <row r="803" spans="3:4">
      <c r="C803" s="1357"/>
      <c r="D803" s="1274"/>
    </row>
    <row r="804" spans="3:4">
      <c r="C804" s="1357"/>
      <c r="D804" s="1274"/>
    </row>
    <row r="805" spans="3:4">
      <c r="C805" s="1357"/>
      <c r="D805" s="1274"/>
    </row>
    <row r="806" spans="3:4">
      <c r="C806" s="1357"/>
      <c r="D806" s="1274"/>
    </row>
    <row r="807" spans="3:4">
      <c r="C807" s="1357"/>
      <c r="D807" s="1274"/>
    </row>
    <row r="808" spans="3:4">
      <c r="C808" s="1357"/>
      <c r="D808" s="1274"/>
    </row>
    <row r="809" spans="3:4">
      <c r="C809" s="1357"/>
      <c r="D809" s="1274"/>
    </row>
    <row r="810" spans="3:4">
      <c r="C810" s="1357"/>
      <c r="D810" s="1274"/>
    </row>
    <row r="811" spans="3:4">
      <c r="C811" s="1357"/>
      <c r="D811" s="1274"/>
    </row>
    <row r="812" spans="3:4">
      <c r="C812" s="1357"/>
      <c r="D812" s="1274"/>
    </row>
    <row r="813" spans="3:4">
      <c r="C813" s="1357"/>
      <c r="D813" s="1274"/>
    </row>
    <row r="814" spans="3:4">
      <c r="C814" s="1357"/>
      <c r="D814" s="1274"/>
    </row>
    <row r="815" spans="3:4">
      <c r="C815" s="1357"/>
      <c r="D815" s="1274"/>
    </row>
    <row r="816" spans="3:4">
      <c r="C816" s="1357"/>
      <c r="D816" s="1274"/>
    </row>
    <row r="817" spans="3:4">
      <c r="C817" s="1357"/>
      <c r="D817" s="1274"/>
    </row>
    <row r="818" spans="3:4">
      <c r="C818" s="1357"/>
      <c r="D818" s="1274"/>
    </row>
    <row r="819" spans="3:4">
      <c r="C819" s="1357"/>
      <c r="D819" s="1274"/>
    </row>
    <row r="820" spans="3:4">
      <c r="C820" s="1357"/>
      <c r="D820" s="1274"/>
    </row>
    <row r="821" spans="3:4">
      <c r="C821" s="1357"/>
      <c r="D821" s="1274"/>
    </row>
    <row r="822" spans="3:4">
      <c r="C822" s="1357"/>
      <c r="D822" s="1274"/>
    </row>
    <row r="823" spans="3:4">
      <c r="C823" s="1357"/>
      <c r="D823" s="1274"/>
    </row>
    <row r="824" spans="3:4">
      <c r="C824" s="1357"/>
      <c r="D824" s="1274"/>
    </row>
    <row r="825" spans="3:4">
      <c r="C825" s="1357"/>
      <c r="D825" s="1274"/>
    </row>
    <row r="826" spans="3:4">
      <c r="C826" s="1357"/>
      <c r="D826" s="1274"/>
    </row>
    <row r="827" spans="3:4">
      <c r="C827" s="1357"/>
      <c r="D827" s="1274"/>
    </row>
    <row r="828" spans="3:4">
      <c r="C828" s="1357"/>
      <c r="D828" s="1274"/>
    </row>
    <row r="829" spans="3:4">
      <c r="C829" s="1357"/>
      <c r="D829" s="1274"/>
    </row>
    <row r="830" spans="3:4">
      <c r="C830" s="1357"/>
      <c r="D830" s="1274"/>
    </row>
    <row r="831" spans="3:4">
      <c r="C831" s="1357"/>
      <c r="D831" s="1274"/>
    </row>
    <row r="832" spans="3:4">
      <c r="C832" s="1357"/>
      <c r="D832" s="1274"/>
    </row>
    <row r="833" spans="3:4">
      <c r="C833" s="1357"/>
      <c r="D833" s="1274"/>
    </row>
    <row r="834" spans="3:4">
      <c r="C834" s="1357"/>
      <c r="D834" s="1274"/>
    </row>
    <row r="835" spans="3:4">
      <c r="C835" s="1357"/>
      <c r="D835" s="1274"/>
    </row>
    <row r="836" spans="3:4">
      <c r="C836" s="1357"/>
      <c r="D836" s="1274"/>
    </row>
    <row r="837" spans="3:4">
      <c r="C837" s="1357"/>
      <c r="D837" s="1274"/>
    </row>
    <row r="838" spans="3:4">
      <c r="C838" s="1357"/>
      <c r="D838" s="1274"/>
    </row>
    <row r="839" spans="3:4">
      <c r="C839" s="1357"/>
      <c r="D839" s="1274"/>
    </row>
    <row r="840" spans="3:4">
      <c r="C840" s="1357"/>
      <c r="D840" s="1274"/>
    </row>
    <row r="841" spans="3:4">
      <c r="C841" s="1357"/>
      <c r="D841" s="1274"/>
    </row>
    <row r="842" spans="3:4">
      <c r="C842" s="1357"/>
      <c r="D842" s="1274"/>
    </row>
    <row r="843" spans="3:4">
      <c r="C843" s="1357"/>
      <c r="D843" s="1274"/>
    </row>
    <row r="844" spans="3:4">
      <c r="C844" s="1357"/>
      <c r="D844" s="1274"/>
    </row>
    <row r="845" spans="3:4">
      <c r="C845" s="1357"/>
      <c r="D845" s="1274"/>
    </row>
    <row r="846" spans="3:4">
      <c r="C846" s="1357"/>
      <c r="D846" s="1274"/>
    </row>
    <row r="847" spans="3:4">
      <c r="C847" s="1357"/>
      <c r="D847" s="1274"/>
    </row>
    <row r="848" spans="3:4">
      <c r="C848" s="1357"/>
      <c r="D848" s="1274"/>
    </row>
    <row r="849" spans="3:10">
      <c r="C849" s="1357"/>
      <c r="D849" s="1274"/>
    </row>
    <row r="850" spans="3:10">
      <c r="C850" s="1357"/>
      <c r="D850" s="1274"/>
    </row>
    <row r="851" spans="3:10">
      <c r="C851" s="1357"/>
      <c r="D851" s="1274"/>
    </row>
    <row r="852" spans="3:10">
      <c r="C852" s="1357"/>
      <c r="D852" s="1274"/>
    </row>
    <row r="853" spans="3:10">
      <c r="C853" s="1357"/>
      <c r="D853" s="1274"/>
    </row>
    <row r="854" spans="3:10">
      <c r="C854" s="1357"/>
      <c r="D854" s="1274"/>
    </row>
    <row r="855" spans="3:10">
      <c r="C855" s="1357"/>
      <c r="D855" s="1274"/>
    </row>
    <row r="856" spans="3:10">
      <c r="C856" s="1357"/>
      <c r="D856" s="1274"/>
    </row>
    <row r="857" spans="3:10">
      <c r="C857" s="1357"/>
      <c r="D857" s="1274"/>
    </row>
    <row r="858" spans="3:10">
      <c r="C858" s="1357"/>
      <c r="D858" s="1274"/>
    </row>
    <row r="859" spans="3:10">
      <c r="C859" s="1357"/>
      <c r="D859" s="1274"/>
    </row>
    <row r="860" spans="3:10">
      <c r="C860" s="1357"/>
      <c r="D860" s="1274"/>
    </row>
    <row r="861" spans="3:10">
      <c r="J861" s="1274"/>
    </row>
    <row r="862" spans="3:10">
      <c r="J862" s="1274"/>
    </row>
    <row r="863" spans="3:10">
      <c r="J863" s="1274"/>
    </row>
    <row r="864" spans="3:10">
      <c r="J864" s="1274"/>
    </row>
    <row r="865" spans="10:10">
      <c r="J865" s="1274"/>
    </row>
    <row r="866" spans="10:10">
      <c r="J866" s="1274"/>
    </row>
    <row r="867" spans="10:10">
      <c r="J867" s="1274"/>
    </row>
    <row r="868" spans="10:10">
      <c r="J868" s="1274"/>
    </row>
    <row r="869" spans="10:10">
      <c r="J869" s="1274"/>
    </row>
    <row r="870" spans="10:10">
      <c r="J870" s="1274"/>
    </row>
    <row r="871" spans="10:10">
      <c r="J871" s="1274"/>
    </row>
    <row r="872" spans="10:10">
      <c r="J872" s="1274"/>
    </row>
    <row r="873" spans="10:10">
      <c r="J873" s="1274"/>
    </row>
    <row r="874" spans="10:10">
      <c r="J874" s="1274"/>
    </row>
    <row r="875" spans="10:10">
      <c r="J875" s="1274"/>
    </row>
    <row r="876" spans="10:10">
      <c r="J876" s="1274"/>
    </row>
    <row r="877" spans="10:10">
      <c r="J877" s="1274"/>
    </row>
    <row r="878" spans="10:10">
      <c r="J878" s="1274"/>
    </row>
    <row r="879" spans="10:10">
      <c r="J879" s="1274"/>
    </row>
    <row r="880" spans="10:10">
      <c r="J880" s="1274"/>
    </row>
    <row r="881" spans="10:10">
      <c r="J881" s="1274"/>
    </row>
    <row r="882" spans="10:10">
      <c r="J882" s="1274"/>
    </row>
    <row r="883" spans="10:10">
      <c r="J883" s="1274"/>
    </row>
    <row r="884" spans="10:10">
      <c r="J884" s="1274"/>
    </row>
    <row r="885" spans="10:10">
      <c r="J885" s="1274"/>
    </row>
    <row r="886" spans="10:10">
      <c r="J886" s="1274"/>
    </row>
    <row r="887" spans="10:10">
      <c r="J887" s="1274"/>
    </row>
    <row r="888" spans="10:10">
      <c r="J888" s="1274"/>
    </row>
    <row r="889" spans="10:10">
      <c r="J889" s="1274"/>
    </row>
    <row r="890" spans="10:10">
      <c r="J890" s="1274"/>
    </row>
    <row r="891" spans="10:10">
      <c r="J891" s="1274"/>
    </row>
    <row r="892" spans="10:10">
      <c r="J892" s="1274"/>
    </row>
    <row r="893" spans="10:10">
      <c r="J893" s="1274"/>
    </row>
    <row r="894" spans="10:10">
      <c r="J894" s="1274"/>
    </row>
    <row r="895" spans="10:10">
      <c r="J895" s="1274"/>
    </row>
    <row r="896" spans="10:10">
      <c r="J896" s="1274"/>
    </row>
    <row r="897" spans="10:10">
      <c r="J897" s="1274"/>
    </row>
    <row r="898" spans="10:10">
      <c r="J898" s="1274"/>
    </row>
    <row r="899" spans="10:10">
      <c r="J899" s="1274"/>
    </row>
    <row r="900" spans="10:10">
      <c r="J900" s="1274"/>
    </row>
    <row r="901" spans="10:10">
      <c r="J901" s="1274"/>
    </row>
    <row r="902" spans="10:10">
      <c r="J902" s="1274"/>
    </row>
    <row r="903" spans="10:10">
      <c r="J903" s="1274"/>
    </row>
    <row r="904" spans="10:10">
      <c r="J904" s="1274"/>
    </row>
    <row r="905" spans="10:10">
      <c r="J905" s="1274"/>
    </row>
    <row r="906" spans="10:10">
      <c r="J906" s="1274"/>
    </row>
    <row r="907" spans="10:10">
      <c r="J907" s="1274"/>
    </row>
    <row r="908" spans="10:10">
      <c r="J908" s="1274"/>
    </row>
    <row r="909" spans="10:10">
      <c r="J909" s="1274"/>
    </row>
    <row r="910" spans="10:10">
      <c r="J910" s="1274"/>
    </row>
    <row r="911" spans="10:10">
      <c r="J911" s="1274"/>
    </row>
    <row r="912" spans="10:10">
      <c r="J912" s="1274"/>
    </row>
    <row r="913" spans="10:10">
      <c r="J913" s="1274"/>
    </row>
    <row r="914" spans="10:10">
      <c r="J914" s="1274"/>
    </row>
    <row r="915" spans="10:10">
      <c r="J915" s="1274"/>
    </row>
    <row r="916" spans="10:10">
      <c r="J916" s="1274"/>
    </row>
    <row r="917" spans="10:10">
      <c r="J917" s="1274"/>
    </row>
    <row r="918" spans="10:10">
      <c r="J918" s="1274"/>
    </row>
    <row r="919" spans="10:10">
      <c r="J919" s="1274"/>
    </row>
    <row r="920" spans="10:10">
      <c r="J920" s="1274"/>
    </row>
    <row r="921" spans="10:10">
      <c r="J921" s="1274"/>
    </row>
    <row r="922" spans="10:10">
      <c r="J922" s="1274"/>
    </row>
    <row r="923" spans="10:10">
      <c r="J923" s="1274"/>
    </row>
    <row r="924" spans="10:10">
      <c r="J924" s="1274"/>
    </row>
    <row r="925" spans="10:10">
      <c r="J925" s="1274"/>
    </row>
    <row r="926" spans="10:10">
      <c r="J926" s="1274"/>
    </row>
    <row r="927" spans="10:10">
      <c r="J927" s="1274"/>
    </row>
    <row r="928" spans="10:10">
      <c r="J928" s="1274"/>
    </row>
    <row r="929" spans="10:10">
      <c r="J929" s="1274"/>
    </row>
    <row r="930" spans="10:10">
      <c r="J930" s="1274"/>
    </row>
    <row r="931" spans="10:10">
      <c r="J931" s="1274"/>
    </row>
    <row r="932" spans="10:10">
      <c r="J932" s="1274"/>
    </row>
    <row r="933" spans="10:10">
      <c r="J933" s="1274"/>
    </row>
    <row r="934" spans="10:10">
      <c r="J934" s="1274"/>
    </row>
    <row r="935" spans="10:10">
      <c r="J935" s="1274"/>
    </row>
    <row r="936" spans="10:10">
      <c r="J936" s="1274"/>
    </row>
    <row r="937" spans="10:10">
      <c r="J937" s="1274"/>
    </row>
    <row r="938" spans="10:10">
      <c r="J938" s="1274"/>
    </row>
    <row r="939" spans="10:10">
      <c r="J939" s="1274"/>
    </row>
    <row r="940" spans="10:10">
      <c r="J940" s="1274"/>
    </row>
    <row r="941" spans="10:10">
      <c r="J941" s="1274"/>
    </row>
    <row r="942" spans="10:10">
      <c r="J942" s="1274"/>
    </row>
    <row r="943" spans="10:10">
      <c r="J943" s="1274"/>
    </row>
    <row r="944" spans="10:10">
      <c r="J944" s="1274"/>
    </row>
    <row r="945" spans="10:10">
      <c r="J945" s="1274"/>
    </row>
    <row r="946" spans="10:10">
      <c r="J946" s="1274"/>
    </row>
    <row r="947" spans="10:10">
      <c r="J947" s="1274"/>
    </row>
    <row r="948" spans="10:10">
      <c r="J948" s="1274"/>
    </row>
    <row r="949" spans="10:10">
      <c r="J949" s="1274"/>
    </row>
    <row r="950" spans="10:10">
      <c r="J950" s="1274"/>
    </row>
    <row r="951" spans="10:10">
      <c r="J951" s="1274"/>
    </row>
    <row r="952" spans="10:10">
      <c r="J952" s="1274"/>
    </row>
    <row r="953" spans="10:10">
      <c r="J953" s="1274"/>
    </row>
    <row r="954" spans="10:10">
      <c r="J954" s="1274"/>
    </row>
    <row r="955" spans="10:10">
      <c r="J955" s="1274"/>
    </row>
    <row r="956" spans="10:10">
      <c r="J956" s="1274"/>
    </row>
    <row r="957" spans="10:10">
      <c r="J957" s="1274"/>
    </row>
    <row r="958" spans="10:10">
      <c r="J958" s="1274"/>
    </row>
    <row r="959" spans="10:10">
      <c r="J959" s="1274"/>
    </row>
    <row r="960" spans="10:10">
      <c r="J960" s="1274"/>
    </row>
    <row r="961" spans="10:10">
      <c r="J961" s="1274"/>
    </row>
    <row r="962" spans="10:10">
      <c r="J962" s="1274"/>
    </row>
    <row r="963" spans="10:10">
      <c r="J963" s="1274"/>
    </row>
    <row r="964" spans="10:10">
      <c r="J964" s="1274"/>
    </row>
    <row r="965" spans="10:10">
      <c r="J965" s="1274"/>
    </row>
    <row r="966" spans="10:10">
      <c r="J966" s="1274"/>
    </row>
    <row r="967" spans="10:10">
      <c r="J967" s="1274"/>
    </row>
    <row r="968" spans="10:10">
      <c r="J968" s="1274"/>
    </row>
    <row r="969" spans="10:10">
      <c r="J969" s="1274"/>
    </row>
    <row r="970" spans="10:10">
      <c r="J970" s="1274"/>
    </row>
    <row r="971" spans="10:10">
      <c r="J971" s="1274"/>
    </row>
    <row r="972" spans="10:10">
      <c r="J972" s="1274"/>
    </row>
    <row r="973" spans="10:10">
      <c r="J973" s="1274"/>
    </row>
    <row r="974" spans="10:10">
      <c r="J974" s="1274"/>
    </row>
    <row r="975" spans="10:10">
      <c r="J975" s="1274"/>
    </row>
    <row r="976" spans="10:10">
      <c r="J976" s="1274"/>
    </row>
    <row r="977" spans="10:10">
      <c r="J977" s="1274"/>
    </row>
    <row r="978" spans="10:10">
      <c r="J978" s="1274"/>
    </row>
    <row r="979" spans="10:10">
      <c r="J979" s="1274"/>
    </row>
    <row r="980" spans="10:10">
      <c r="J980" s="1274"/>
    </row>
    <row r="981" spans="10:10">
      <c r="J981" s="1274"/>
    </row>
    <row r="982" spans="10:10">
      <c r="J982" s="1274"/>
    </row>
    <row r="983" spans="10:10">
      <c r="J983" s="1274"/>
    </row>
    <row r="984" spans="10:10">
      <c r="J984" s="1274"/>
    </row>
    <row r="985" spans="10:10">
      <c r="J985" s="1274"/>
    </row>
    <row r="986" spans="10:10">
      <c r="J986" s="1274"/>
    </row>
    <row r="987" spans="10:10">
      <c r="J987" s="1274"/>
    </row>
    <row r="988" spans="10:10">
      <c r="J988" s="1274"/>
    </row>
    <row r="989" spans="10:10">
      <c r="J989" s="1274"/>
    </row>
    <row r="990" spans="10:10">
      <c r="J990" s="1274"/>
    </row>
    <row r="991" spans="10:10">
      <c r="J991" s="1274"/>
    </row>
    <row r="992" spans="10:10">
      <c r="J992" s="1274"/>
    </row>
    <row r="993" spans="10:10">
      <c r="J993" s="1274"/>
    </row>
    <row r="994" spans="10:10">
      <c r="J994" s="1274"/>
    </row>
    <row r="995" spans="10:10">
      <c r="J995" s="1274"/>
    </row>
    <row r="996" spans="10:10">
      <c r="J996" s="1274"/>
    </row>
    <row r="997" spans="10:10">
      <c r="J997" s="1274"/>
    </row>
    <row r="998" spans="10:10">
      <c r="J998" s="1274"/>
    </row>
    <row r="999" spans="10:10">
      <c r="J999" s="1274"/>
    </row>
    <row r="1000" spans="10:10">
      <c r="J1000" s="1274"/>
    </row>
    <row r="1001" spans="10:10">
      <c r="J1001" s="1274"/>
    </row>
    <row r="1002" spans="10:10">
      <c r="J1002" s="1274"/>
    </row>
    <row r="1003" spans="10:10">
      <c r="J1003" s="1274"/>
    </row>
    <row r="1004" spans="10:10">
      <c r="J1004" s="1274"/>
    </row>
    <row r="1005" spans="10:10">
      <c r="J1005" s="1274"/>
    </row>
    <row r="1006" spans="10:10">
      <c r="J1006" s="1274"/>
    </row>
    <row r="1007" spans="10:10">
      <c r="J1007" s="1274"/>
    </row>
    <row r="1008" spans="10:10">
      <c r="J1008" s="1274"/>
    </row>
    <row r="1009" spans="10:10">
      <c r="J1009" s="1274"/>
    </row>
    <row r="1010" spans="10:10">
      <c r="J1010" s="1274"/>
    </row>
    <row r="1011" spans="10:10">
      <c r="J1011" s="1274"/>
    </row>
    <row r="1012" spans="10:10">
      <c r="J1012" s="1274"/>
    </row>
    <row r="1013" spans="10:10">
      <c r="J1013" s="1274"/>
    </row>
    <row r="1014" spans="10:10">
      <c r="J1014" s="1274"/>
    </row>
    <row r="1015" spans="10:10">
      <c r="J1015" s="1274"/>
    </row>
    <row r="1016" spans="10:10">
      <c r="J1016" s="1274"/>
    </row>
    <row r="1017" spans="10:10">
      <c r="J1017" s="1274"/>
    </row>
    <row r="1018" spans="10:10">
      <c r="J1018" s="1274"/>
    </row>
    <row r="1019" spans="10:10">
      <c r="J1019" s="1274"/>
    </row>
    <row r="1020" spans="10:10">
      <c r="J1020" s="1274"/>
    </row>
    <row r="1021" spans="10:10">
      <c r="J1021" s="1274"/>
    </row>
    <row r="1022" spans="10:10">
      <c r="J1022" s="1274"/>
    </row>
    <row r="1023" spans="10:10">
      <c r="J1023" s="1274"/>
    </row>
    <row r="1024" spans="10:10">
      <c r="J1024" s="1274"/>
    </row>
    <row r="1025" spans="10:10">
      <c r="J1025" s="1274"/>
    </row>
    <row r="1026" spans="10:10">
      <c r="J1026" s="1274"/>
    </row>
    <row r="1027" spans="10:10">
      <c r="J1027" s="1274"/>
    </row>
    <row r="1028" spans="10:10">
      <c r="J1028" s="1274"/>
    </row>
    <row r="1029" spans="10:10">
      <c r="J1029" s="1274"/>
    </row>
    <row r="1030" spans="10:10">
      <c r="J1030" s="1274"/>
    </row>
    <row r="1031" spans="10:10">
      <c r="J1031" s="1274"/>
    </row>
    <row r="1032" spans="10:10">
      <c r="J1032" s="1274"/>
    </row>
    <row r="1033" spans="10:10">
      <c r="J1033" s="1274"/>
    </row>
    <row r="1034" spans="10:10">
      <c r="J1034" s="1274"/>
    </row>
    <row r="1035" spans="10:10">
      <c r="J1035" s="1274"/>
    </row>
    <row r="1036" spans="10:10">
      <c r="J1036" s="1274"/>
    </row>
    <row r="1037" spans="10:10">
      <c r="J1037" s="1274"/>
    </row>
    <row r="1038" spans="10:10">
      <c r="J1038" s="1274"/>
    </row>
    <row r="1039" spans="10:10">
      <c r="J1039" s="1274"/>
    </row>
    <row r="1040" spans="10:10">
      <c r="J1040" s="1274"/>
    </row>
    <row r="1041" spans="10:10">
      <c r="J1041" s="1274"/>
    </row>
    <row r="1042" spans="10:10">
      <c r="J1042" s="1274"/>
    </row>
    <row r="1043" spans="10:10">
      <c r="J1043" s="1274"/>
    </row>
    <row r="1044" spans="10:10">
      <c r="J1044" s="1274"/>
    </row>
    <row r="1045" spans="10:10">
      <c r="J1045" s="1274"/>
    </row>
    <row r="1046" spans="10:10">
      <c r="J1046" s="1274"/>
    </row>
    <row r="1047" spans="10:10">
      <c r="J1047" s="1274"/>
    </row>
    <row r="1048" spans="10:10">
      <c r="J1048" s="1274"/>
    </row>
    <row r="1049" spans="10:10">
      <c r="J1049" s="1274"/>
    </row>
    <row r="1050" spans="10:10">
      <c r="J1050" s="1274"/>
    </row>
    <row r="1051" spans="10:10">
      <c r="J1051" s="1274"/>
    </row>
    <row r="1052" spans="10:10">
      <c r="J1052" s="1274"/>
    </row>
    <row r="1053" spans="10:10">
      <c r="J1053" s="1274"/>
    </row>
    <row r="1054" spans="10:10">
      <c r="J1054" s="1274"/>
    </row>
    <row r="1055" spans="10:10">
      <c r="J1055" s="1274"/>
    </row>
    <row r="1056" spans="10:10">
      <c r="J1056" s="1274"/>
    </row>
    <row r="1057" spans="10:10">
      <c r="J1057" s="1274"/>
    </row>
    <row r="1058" spans="10:10">
      <c r="J1058" s="1274"/>
    </row>
    <row r="1059" spans="10:10">
      <c r="J1059" s="1274"/>
    </row>
    <row r="1060" spans="10:10">
      <c r="J1060" s="1274"/>
    </row>
    <row r="1061" spans="10:10">
      <c r="J1061" s="1274"/>
    </row>
    <row r="1062" spans="10:10">
      <c r="J1062" s="1274"/>
    </row>
    <row r="1063" spans="10:10">
      <c r="J1063" s="1274"/>
    </row>
    <row r="1064" spans="10:10">
      <c r="J1064" s="1274"/>
    </row>
    <row r="1065" spans="10:10">
      <c r="J1065" s="1274"/>
    </row>
    <row r="1066" spans="10:10">
      <c r="J1066" s="1274"/>
    </row>
    <row r="1067" spans="10:10">
      <c r="J1067" s="1274"/>
    </row>
    <row r="1068" spans="10:10">
      <c r="J1068" s="1274"/>
    </row>
    <row r="1069" spans="10:10">
      <c r="J1069" s="1274"/>
    </row>
    <row r="1070" spans="10:10">
      <c r="J1070" s="1274"/>
    </row>
    <row r="1071" spans="10:10">
      <c r="J1071" s="1274"/>
    </row>
    <row r="1072" spans="10:10">
      <c r="J1072" s="1274"/>
    </row>
    <row r="1073" spans="10:10">
      <c r="J1073" s="1274"/>
    </row>
    <row r="1074" spans="10:10">
      <c r="J1074" s="1274"/>
    </row>
    <row r="1075" spans="10:10">
      <c r="J1075" s="1274"/>
    </row>
    <row r="1076" spans="10:10">
      <c r="J1076" s="1274"/>
    </row>
  </sheetData>
  <mergeCells count="19">
    <mergeCell ref="A595:K595"/>
    <mergeCell ref="A582:K582"/>
    <mergeCell ref="A583:K583"/>
    <mergeCell ref="A585:K585"/>
    <mergeCell ref="A586:K586"/>
    <mergeCell ref="A589:K589"/>
    <mergeCell ref="A592:K592"/>
    <mergeCell ref="A590:K590"/>
    <mergeCell ref="D5:J5"/>
    <mergeCell ref="D76:J76"/>
    <mergeCell ref="D145:J145"/>
    <mergeCell ref="A593:K593"/>
    <mergeCell ref="A594:K594"/>
    <mergeCell ref="D212:J212"/>
    <mergeCell ref="D281:J281"/>
    <mergeCell ref="D488:J488"/>
    <mergeCell ref="D552:J552"/>
    <mergeCell ref="D349:J349"/>
    <mergeCell ref="D421:J421"/>
  </mergeCells>
  <conditionalFormatting sqref="C592:C65549 C10:C66 C83:C135 C149:C150 C160:C202 C216:C226 C236:C271 C286:C305 C316:C339 C354:C382 C392:C411 C469:C478 C426:C459 C492:C532 C542">
    <cfRule type="expression" dxfId="200" priority="40" stopIfTrue="1">
      <formula>C19="CON#"</formula>
    </cfRule>
  </conditionalFormatting>
  <conditionalFormatting sqref="C582:C589 C591 C7:C9">
    <cfRule type="expression" dxfId="199" priority="117" stopIfTrue="1">
      <formula>C17="CON#"</formula>
    </cfRule>
  </conditionalFormatting>
  <conditionalFormatting sqref="C534:C535">
    <cfRule type="expression" dxfId="198" priority="120" stopIfTrue="1">
      <formula>#REF!="CON#"</formula>
    </cfRule>
  </conditionalFormatting>
  <conditionalFormatting sqref="C145:C146">
    <cfRule type="expression" dxfId="197" priority="129" stopIfTrue="1">
      <formula>C167="CON#"</formula>
    </cfRule>
  </conditionalFormatting>
  <conditionalFormatting sqref="C574">
    <cfRule type="expression" dxfId="196" priority="130" stopIfTrue="1">
      <formula>C597="CON#"</formula>
    </cfRule>
  </conditionalFormatting>
  <conditionalFormatting sqref="C561">
    <cfRule type="expression" dxfId="195" priority="132" stopIfTrue="1">
      <formula>C590="CON#"</formula>
    </cfRule>
  </conditionalFormatting>
  <conditionalFormatting sqref="C565">
    <cfRule type="expression" dxfId="194" priority="133" stopIfTrue="1">
      <formula>C593="CON#"</formula>
    </cfRule>
  </conditionalFormatting>
  <conditionalFormatting sqref="C563:C564">
    <cfRule type="expression" dxfId="193" priority="134" stopIfTrue="1">
      <formula>C592="CON#"</formula>
    </cfRule>
  </conditionalFormatting>
  <conditionalFormatting sqref="C581">
    <cfRule type="expression" dxfId="192" priority="138" stopIfTrue="1">
      <formula>C593="CON#"</formula>
    </cfRule>
  </conditionalFormatting>
  <conditionalFormatting sqref="C65550:C65555 C154:C159">
    <cfRule type="expression" dxfId="191" priority="139" stopIfTrue="1">
      <formula>C160="CON#"</formula>
    </cfRule>
  </conditionalFormatting>
  <conditionalFormatting sqref="C566:C567">
    <cfRule type="expression" dxfId="190" priority="141" stopIfTrue="1">
      <formula>C593="CON#"</formula>
    </cfRule>
  </conditionalFormatting>
  <conditionalFormatting sqref="C570">
    <cfRule type="expression" dxfId="189" priority="159" stopIfTrue="1">
      <formula>C595="CON#"</formula>
    </cfRule>
  </conditionalFormatting>
  <conditionalFormatting sqref="C568:C569">
    <cfRule type="expression" dxfId="188" priority="161" stopIfTrue="1">
      <formula>C594="CON#"</formula>
    </cfRule>
  </conditionalFormatting>
  <conditionalFormatting sqref="C79">
    <cfRule type="expression" dxfId="187" priority="24" stopIfTrue="1">
      <formula>C91="CON#"</formula>
    </cfRule>
  </conditionalFormatting>
  <conditionalFormatting sqref="C148">
    <cfRule type="expression" dxfId="186" priority="23" stopIfTrue="1">
      <formula>C168="CON#"</formula>
    </cfRule>
  </conditionalFormatting>
  <conditionalFormatting sqref="C215">
    <cfRule type="expression" dxfId="185" priority="22" stopIfTrue="1">
      <formula>C244="CON#"</formula>
    </cfRule>
  </conditionalFormatting>
  <conditionalFormatting sqref="C1:C6">
    <cfRule type="expression" dxfId="184" priority="163" stopIfTrue="1">
      <formula>C12="CON#"</formula>
    </cfRule>
  </conditionalFormatting>
  <conditionalFormatting sqref="C284:C285">
    <cfRule type="expression" dxfId="183" priority="21" stopIfTrue="1">
      <formula>C324="CON#"</formula>
    </cfRule>
  </conditionalFormatting>
  <conditionalFormatting sqref="C491">
    <cfRule type="expression" dxfId="182" priority="18" stopIfTrue="1">
      <formula>C476="CON#"</formula>
    </cfRule>
  </conditionalFormatting>
  <conditionalFormatting sqref="C555 C152">
    <cfRule type="expression" dxfId="181" priority="17" stopIfTrue="1">
      <formula>C145="CON#"</formula>
    </cfRule>
  </conditionalFormatting>
  <conditionalFormatting sqref="C75 C308:C315">
    <cfRule type="expression" dxfId="180" priority="165" stopIfTrue="1">
      <formula>C83="CON#"</formula>
    </cfRule>
  </conditionalFormatting>
  <conditionalFormatting sqref="C488:C489">
    <cfRule type="expression" dxfId="179" priority="16" stopIfTrue="1">
      <formula>C475="CON#"</formula>
    </cfRule>
  </conditionalFormatting>
  <conditionalFormatting sqref="C281:C282">
    <cfRule type="expression" dxfId="178" priority="14" stopIfTrue="1">
      <formula>C323="CON#"</formula>
    </cfRule>
  </conditionalFormatting>
  <conditionalFormatting sqref="C78 C67:C69 C203:C211 C479:C487 C543:C546 C136:C144">
    <cfRule type="expression" dxfId="177" priority="166" stopIfTrue="1">
      <formula>C80="CON#"</formula>
    </cfRule>
  </conditionalFormatting>
  <conditionalFormatting sqref="C76:C77 C272:C280 C340:C348 C547">
    <cfRule type="expression" dxfId="176" priority="167" stopIfTrue="1">
      <formula>C90="CON#"</formula>
    </cfRule>
  </conditionalFormatting>
  <conditionalFormatting sqref="C80:C82 C74">
    <cfRule type="expression" dxfId="175" priority="171" stopIfTrue="1">
      <formula>C78="CON#"</formula>
    </cfRule>
  </conditionalFormatting>
  <conditionalFormatting sqref="C70:C72 C386 C539">
    <cfRule type="expression" dxfId="174" priority="174" stopIfTrue="1">
      <formula>#REF!="CON#"</formula>
    </cfRule>
  </conditionalFormatting>
  <conditionalFormatting sqref="C73 C389:C391">
    <cfRule type="expression" dxfId="173" priority="175" stopIfTrue="1">
      <formula>C76="CON#"</formula>
    </cfRule>
  </conditionalFormatting>
  <conditionalFormatting sqref="C153 C554">
    <cfRule type="expression" dxfId="172" priority="178" stopIfTrue="1">
      <formula>C147="CON#"</formula>
    </cfRule>
  </conditionalFormatting>
  <conditionalFormatting sqref="C147">
    <cfRule type="expression" dxfId="171" priority="179" stopIfTrue="1">
      <formula>C168="CON#"</formula>
    </cfRule>
  </conditionalFormatting>
  <conditionalFormatting sqref="C229">
    <cfRule type="expression" dxfId="170" priority="183" stopIfTrue="1">
      <formula>C212="CON#"</formula>
    </cfRule>
  </conditionalFormatting>
  <conditionalFormatting sqref="C230">
    <cfRule type="expression" dxfId="169" priority="184" stopIfTrue="1">
      <formula>C214="CON#"</formula>
    </cfRule>
  </conditionalFormatting>
  <conditionalFormatting sqref="C214 C562">
    <cfRule type="expression" dxfId="168" priority="185" stopIfTrue="1">
      <formula>C244="CON#"</formula>
    </cfRule>
  </conditionalFormatting>
  <conditionalFormatting sqref="C212:C213">
    <cfRule type="expression" dxfId="167" priority="187" stopIfTrue="1">
      <formula>C243="CON#"</formula>
    </cfRule>
  </conditionalFormatting>
  <conditionalFormatting sqref="C227:C228 C383:C385 C460 C533">
    <cfRule type="expression" dxfId="166" priority="189" stopIfTrue="1">
      <formula>#REF!="CON#"</formula>
    </cfRule>
  </conditionalFormatting>
  <conditionalFormatting sqref="C231:C235 C464:C468">
    <cfRule type="expression" dxfId="165" priority="190" stopIfTrue="1">
      <formula>C236="CON#"</formula>
    </cfRule>
  </conditionalFormatting>
  <conditionalFormatting sqref="C306">
    <cfRule type="expression" dxfId="164" priority="191" stopIfTrue="1">
      <formula>C281="CON#"</formula>
    </cfRule>
  </conditionalFormatting>
  <conditionalFormatting sqref="C283">
    <cfRule type="expression" dxfId="163" priority="192" stopIfTrue="1">
      <formula>C324="CON#"</formula>
    </cfRule>
  </conditionalFormatting>
  <conditionalFormatting sqref="C307">
    <cfRule type="expression" dxfId="162" priority="193" stopIfTrue="1">
      <formula>C283="CON#"</formula>
    </cfRule>
  </conditionalFormatting>
  <conditionalFormatting sqref="C353">
    <cfRule type="expression" dxfId="161" priority="11" stopIfTrue="1">
      <formula>C362="CON#"</formula>
    </cfRule>
  </conditionalFormatting>
  <conditionalFormatting sqref="C351">
    <cfRule type="expression" dxfId="160" priority="12" stopIfTrue="1">
      <formula>C361="CON#"</formula>
    </cfRule>
  </conditionalFormatting>
  <conditionalFormatting sqref="C349">
    <cfRule type="expression" dxfId="159" priority="13" stopIfTrue="1">
      <formula>C360="CON#"</formula>
    </cfRule>
  </conditionalFormatting>
  <conditionalFormatting sqref="C352">
    <cfRule type="expression" dxfId="158" priority="10" stopIfTrue="1">
      <formula>C361="CON#"</formula>
    </cfRule>
  </conditionalFormatting>
  <conditionalFormatting sqref="C350">
    <cfRule type="expression" dxfId="157" priority="9" stopIfTrue="1">
      <formula>C361="CON#"</formula>
    </cfRule>
  </conditionalFormatting>
  <conditionalFormatting sqref="C425">
    <cfRule type="expression" dxfId="156" priority="6" stopIfTrue="1">
      <formula>C432="CON#"</formula>
    </cfRule>
  </conditionalFormatting>
  <conditionalFormatting sqref="C423">
    <cfRule type="expression" dxfId="155" priority="7" stopIfTrue="1">
      <formula>C431="CON#"</formula>
    </cfRule>
  </conditionalFormatting>
  <conditionalFormatting sqref="C421">
    <cfRule type="expression" dxfId="154" priority="8" stopIfTrue="1">
      <formula>C430="CON#"</formula>
    </cfRule>
  </conditionalFormatting>
  <conditionalFormatting sqref="C424">
    <cfRule type="expression" dxfId="153" priority="5" stopIfTrue="1">
      <formula>C431="CON#"</formula>
    </cfRule>
  </conditionalFormatting>
  <conditionalFormatting sqref="C422">
    <cfRule type="expression" dxfId="152" priority="4" stopIfTrue="1">
      <formula>C431="CON#"</formula>
    </cfRule>
  </conditionalFormatting>
  <conditionalFormatting sqref="C387 C463 C536">
    <cfRule type="expression" dxfId="151" priority="195" stopIfTrue="1">
      <formula>#REF!="CON#"</formula>
    </cfRule>
  </conditionalFormatting>
  <conditionalFormatting sqref="C388">
    <cfRule type="expression" dxfId="150" priority="197" stopIfTrue="1">
      <formula>#REF!="CON#"</formula>
    </cfRule>
  </conditionalFormatting>
  <conditionalFormatting sqref="C412:C420">
    <cfRule type="expression" dxfId="149" priority="198" stopIfTrue="1">
      <formula>C426="CON#"</formula>
    </cfRule>
  </conditionalFormatting>
  <conditionalFormatting sqref="C461">
    <cfRule type="expression" dxfId="148" priority="200" stopIfTrue="1">
      <formula>C488="CON#"</formula>
    </cfRule>
  </conditionalFormatting>
  <conditionalFormatting sqref="C462">
    <cfRule type="expression" dxfId="147" priority="201" stopIfTrue="1">
      <formula>C490="CON#"</formula>
    </cfRule>
  </conditionalFormatting>
  <conditionalFormatting sqref="C490">
    <cfRule type="expression" dxfId="146" priority="202" stopIfTrue="1">
      <formula>C476="CON#"</formula>
    </cfRule>
  </conditionalFormatting>
  <conditionalFormatting sqref="C548:C551">
    <cfRule type="expression" dxfId="145" priority="206" stopIfTrue="1">
      <formula>C582="CON#"</formula>
    </cfRule>
  </conditionalFormatting>
  <conditionalFormatting sqref="C537">
    <cfRule type="expression" dxfId="144" priority="209" stopIfTrue="1">
      <formula>C552="CON#"</formula>
    </cfRule>
  </conditionalFormatting>
  <conditionalFormatting sqref="C552:C553">
    <cfRule type="expression" dxfId="143" priority="210" stopIfTrue="1">
      <formula>C547="CON#"</formula>
    </cfRule>
  </conditionalFormatting>
  <conditionalFormatting sqref="C538">
    <cfRule type="expression" dxfId="142" priority="211" stopIfTrue="1">
      <formula>C554="CON#"</formula>
    </cfRule>
  </conditionalFormatting>
  <conditionalFormatting sqref="C540:C541">
    <cfRule type="expression" dxfId="141" priority="217" stopIfTrue="1">
      <formula>C542="CON#"</formula>
    </cfRule>
  </conditionalFormatting>
  <conditionalFormatting sqref="C151">
    <cfRule type="expression" dxfId="140" priority="219" stopIfTrue="1">
      <formula>#REF!="CON#"</formula>
    </cfRule>
  </conditionalFormatting>
  <conditionalFormatting sqref="C556:C560">
    <cfRule type="expression" dxfId="139" priority="220" stopIfTrue="1">
      <formula>C586="CON#"</formula>
    </cfRule>
  </conditionalFormatting>
  <conditionalFormatting sqref="C572:C573">
    <cfRule type="expression" dxfId="138" priority="223" stopIfTrue="1">
      <formula>C592="CON#"</formula>
    </cfRule>
  </conditionalFormatting>
  <conditionalFormatting sqref="C576">
    <cfRule type="expression" dxfId="137" priority="1" stopIfTrue="1">
      <formula>C601="CON#"</formula>
    </cfRule>
  </conditionalFormatting>
  <conditionalFormatting sqref="C574">
    <cfRule type="expression" dxfId="136" priority="227" stopIfTrue="1">
      <formula>C593="CON#"</formula>
    </cfRule>
  </conditionalFormatting>
  <conditionalFormatting sqref="C571:C573">
    <cfRule type="expression" dxfId="135" priority="231" stopIfTrue="1">
      <formula>C595="CON#"</formula>
    </cfRule>
  </conditionalFormatting>
  <pageMargins left="0.74803149606299213" right="0.74803149606299213" top="0.98425196850393704" bottom="0.98425196850393704" header="0.51181102362204722" footer="0.51181102362204722"/>
  <pageSetup paperSize="9" scale="72" firstPageNumber="24" fitToHeight="0" orientation="portrait" useFirstPageNumber="1"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5" manualBreakCount="5">
    <brk id="75" max="10" man="1"/>
    <brk id="348" max="10" man="1"/>
    <brk id="420" max="10" man="1"/>
    <brk id="487" max="10" man="1"/>
    <brk id="551" max="10" man="1"/>
  </rowBreaks>
  <ignoredErrors>
    <ignoredError sqref="I416 I406 E269" numberStoredAsText="1"/>
    <ignoredError sqref="I577:I580" formulaRange="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5">
    <tabColor theme="4"/>
  </sheetPr>
  <dimension ref="A1:U195"/>
  <sheetViews>
    <sheetView showGridLines="0" topLeftCell="A106" zoomScale="70" zoomScaleNormal="70" zoomScaleSheetLayoutView="85" workbookViewId="0">
      <selection activeCell="O152" sqref="O152"/>
    </sheetView>
  </sheetViews>
  <sheetFormatPr baseColWidth="10" defaultColWidth="9.3984375" defaultRowHeight="14"/>
  <cols>
    <col min="1" max="1" width="13.796875" style="1319" customWidth="1"/>
    <col min="2" max="2" width="26.19921875" style="1272" customWidth="1"/>
    <col min="3" max="3" width="12.796875" style="1272" customWidth="1"/>
    <col min="4" max="4" width="7.796875" style="1272" customWidth="1"/>
    <col min="5" max="5" width="1.19921875" style="1272" customWidth="1"/>
    <col min="6" max="6" width="7.3984375" style="1276" customWidth="1"/>
    <col min="7" max="10" width="7.3984375" style="862" customWidth="1"/>
    <col min="11" max="11" width="1.19921875" style="1272" customWidth="1"/>
    <col min="12" max="12" width="7.3984375" style="2297" customWidth="1"/>
    <col min="13" max="13" width="11.59765625" style="2297" customWidth="1"/>
    <col min="14" max="14" width="14" style="1325" customWidth="1"/>
    <col min="15" max="15" width="11.19921875" style="1272" customWidth="1"/>
    <col min="16" max="17" width="11" style="1272" customWidth="1"/>
    <col min="18" max="18" width="15" style="1272" customWidth="1"/>
    <col min="19" max="20" width="9.3984375" style="1272"/>
    <col min="21" max="21" width="11.19921875" style="1272" customWidth="1"/>
    <col min="22" max="16384" width="9.3984375" style="1272"/>
  </cols>
  <sheetData>
    <row r="1" spans="1:21">
      <c r="A1" s="1319" t="s">
        <v>1431</v>
      </c>
    </row>
    <row r="3" spans="1:21" ht="18" customHeight="1">
      <c r="A3" s="2324"/>
    </row>
    <row r="4" spans="1:21" s="2344" customFormat="1" ht="22">
      <c r="A4" s="3052" t="s">
        <v>2718</v>
      </c>
      <c r="B4" s="2347"/>
      <c r="C4" s="2347"/>
      <c r="D4" s="2347"/>
      <c r="E4" s="2347"/>
      <c r="F4" s="2347"/>
      <c r="G4" s="2348"/>
      <c r="H4" s="2348"/>
      <c r="I4" s="2348"/>
      <c r="J4" s="2348"/>
      <c r="K4" s="2347"/>
      <c r="L4" s="2349"/>
      <c r="M4" s="2345"/>
      <c r="N4" s="2346"/>
    </row>
    <row r="5" spans="1:21" ht="15" thickBot="1">
      <c r="A5" s="1370"/>
      <c r="B5" s="1364"/>
      <c r="C5" s="1364"/>
      <c r="D5" s="1364"/>
      <c r="E5" s="1364"/>
      <c r="F5" s="3416" t="s">
        <v>2422</v>
      </c>
      <c r="G5" s="3416"/>
      <c r="H5" s="3416"/>
      <c r="I5" s="3416"/>
      <c r="J5" s="3416"/>
      <c r="K5" s="1364"/>
      <c r="L5" s="2342"/>
    </row>
    <row r="6" spans="1:21" ht="3.75" customHeight="1">
      <c r="A6" s="1370"/>
      <c r="B6" s="1364"/>
      <c r="C6" s="1364"/>
      <c r="D6" s="1364"/>
      <c r="E6" s="1364"/>
      <c r="F6" s="1364"/>
      <c r="G6" s="1183"/>
      <c r="H6" s="1183"/>
      <c r="I6" s="1183"/>
      <c r="J6" s="1183"/>
      <c r="K6" s="1364"/>
      <c r="L6" s="2342"/>
    </row>
    <row r="7" spans="1:21">
      <c r="A7" s="1370" t="s">
        <v>268</v>
      </c>
      <c r="B7" s="1364" t="s">
        <v>269</v>
      </c>
      <c r="C7" s="1364" t="s">
        <v>216</v>
      </c>
      <c r="D7" s="1364"/>
      <c r="E7" s="1364"/>
      <c r="F7" s="2243" t="s">
        <v>806</v>
      </c>
      <c r="G7" s="2343" t="s">
        <v>2420</v>
      </c>
      <c r="H7" s="2244" t="s">
        <v>807</v>
      </c>
      <c r="I7" s="2245" t="s">
        <v>827</v>
      </c>
      <c r="J7" s="2246" t="s">
        <v>1972</v>
      </c>
      <c r="K7" s="1364"/>
      <c r="L7" s="2342" t="s">
        <v>219</v>
      </c>
      <c r="N7" s="1325" t="s">
        <v>1446</v>
      </c>
      <c r="U7" s="1276" t="s">
        <v>1447</v>
      </c>
    </row>
    <row r="8" spans="1:21" ht="3.75" customHeight="1">
      <c r="A8" s="1370"/>
      <c r="B8" s="1364"/>
      <c r="C8" s="1364"/>
      <c r="D8" s="1364"/>
      <c r="E8" s="1364"/>
      <c r="F8" s="1364"/>
      <c r="G8" s="1364"/>
      <c r="H8" s="1364"/>
      <c r="I8" s="1364"/>
      <c r="J8" s="1364"/>
      <c r="K8" s="1364"/>
      <c r="L8" s="1364"/>
      <c r="U8" s="1276"/>
    </row>
    <row r="9" spans="1:21" ht="10" customHeight="1">
      <c r="A9" s="2325"/>
    </row>
    <row r="10" spans="1:21">
      <c r="A10" s="2282" t="s">
        <v>1432</v>
      </c>
      <c r="B10" s="2265"/>
      <c r="C10" s="2265"/>
      <c r="D10" s="2265"/>
      <c r="E10" s="2265"/>
      <c r="F10" s="2265"/>
      <c r="G10" s="2269"/>
      <c r="H10" s="2269"/>
      <c r="I10" s="2269"/>
      <c r="J10" s="2269"/>
      <c r="K10" s="2265"/>
      <c r="L10" s="2355"/>
    </row>
    <row r="11" spans="1:21" ht="10" customHeight="1">
      <c r="A11" s="2325"/>
    </row>
    <row r="12" spans="1:21">
      <c r="A12" s="1330" t="s">
        <v>199</v>
      </c>
    </row>
    <row r="13" spans="1:21" ht="10" customHeight="1">
      <c r="A13" s="2325"/>
      <c r="N13" s="2328"/>
      <c r="O13" s="1276"/>
      <c r="P13" s="1276"/>
      <c r="Q13" s="1276"/>
      <c r="R13" s="1276"/>
      <c r="S13" s="1276"/>
    </row>
    <row r="14" spans="1:21">
      <c r="A14" s="2282" t="s">
        <v>1433</v>
      </c>
      <c r="B14" s="2265"/>
      <c r="C14" s="2265"/>
      <c r="D14" s="2265"/>
      <c r="E14" s="2265"/>
      <c r="F14" s="2265"/>
      <c r="G14" s="2269"/>
      <c r="H14" s="2269"/>
      <c r="I14" s="2269"/>
      <c r="J14" s="2269"/>
      <c r="K14" s="2265"/>
      <c r="L14" s="2355"/>
      <c r="N14" s="2328"/>
      <c r="O14" s="1276"/>
      <c r="P14" s="1276"/>
      <c r="Q14" s="1276"/>
      <c r="R14" s="1276"/>
      <c r="S14" s="1276"/>
    </row>
    <row r="15" spans="1:21" ht="10" customHeight="1">
      <c r="A15" s="2325"/>
      <c r="N15" s="2328"/>
      <c r="O15" s="1276"/>
      <c r="P15" s="1276"/>
      <c r="Q15" s="1276"/>
      <c r="R15" s="1276"/>
      <c r="S15" s="1276"/>
    </row>
    <row r="16" spans="1:21" ht="15" thickBot="1">
      <c r="A16" s="1330" t="s">
        <v>199</v>
      </c>
      <c r="N16" s="2328"/>
      <c r="O16" s="1276"/>
      <c r="P16" s="1276"/>
      <c r="Q16" s="1276"/>
      <c r="R16" s="1276"/>
      <c r="S16" s="1276"/>
    </row>
    <row r="17" spans="1:21" ht="10" customHeight="1" thickBot="1">
      <c r="A17" s="2325"/>
      <c r="N17" s="2328"/>
      <c r="O17" s="2362"/>
      <c r="P17" s="2363"/>
      <c r="Q17" s="2362"/>
      <c r="R17" s="2364"/>
      <c r="S17" s="2362"/>
    </row>
    <row r="18" spans="1:21" ht="15" thickBot="1">
      <c r="A18" s="2282" t="s">
        <v>1434</v>
      </c>
      <c r="B18" s="2265"/>
      <c r="C18" s="2265"/>
      <c r="D18" s="2265"/>
      <c r="E18" s="2265"/>
      <c r="F18" s="2265"/>
      <c r="G18" s="2269"/>
      <c r="H18" s="2269"/>
      <c r="I18" s="2269"/>
      <c r="J18" s="2269"/>
      <c r="K18" s="2265"/>
      <c r="L18" s="2355"/>
      <c r="N18" s="2328"/>
      <c r="O18" s="2365"/>
      <c r="P18" s="2365"/>
      <c r="Q18" s="2366"/>
      <c r="R18" s="2366"/>
      <c r="S18" s="2366"/>
    </row>
    <row r="19" spans="1:21" ht="10" customHeight="1">
      <c r="A19" s="2325"/>
      <c r="N19" s="2328"/>
      <c r="O19" s="1276"/>
      <c r="P19" s="1276"/>
      <c r="Q19" s="1276"/>
      <c r="R19" s="1276"/>
      <c r="S19" s="1276"/>
    </row>
    <row r="20" spans="1:21">
      <c r="A20" s="1319">
        <v>10622</v>
      </c>
      <c r="B20" s="1272" t="s">
        <v>1470</v>
      </c>
      <c r="C20" s="1272" t="s">
        <v>273</v>
      </c>
      <c r="E20" s="1357" t="s">
        <v>221</v>
      </c>
      <c r="F20" s="2298" t="s">
        <v>1469</v>
      </c>
      <c r="G20" s="2299"/>
      <c r="H20" s="2299"/>
      <c r="I20" s="2299"/>
      <c r="J20" s="2299"/>
      <c r="K20" s="1325" t="s">
        <v>221</v>
      </c>
      <c r="L20" s="2300" t="s">
        <v>221</v>
      </c>
      <c r="M20" s="2300"/>
      <c r="N20" s="2328"/>
      <c r="O20" s="1276"/>
      <c r="P20" s="1276"/>
      <c r="Q20" s="1276"/>
      <c r="R20" s="1276"/>
      <c r="S20" s="1276"/>
      <c r="U20" s="1272" t="s">
        <v>1412</v>
      </c>
    </row>
    <row r="21" spans="1:21" ht="10" customHeight="1">
      <c r="A21" s="2325"/>
      <c r="N21" s="2328"/>
      <c r="O21" s="1276"/>
      <c r="P21" s="1276"/>
      <c r="Q21" s="1276"/>
      <c r="R21" s="1276"/>
      <c r="S21" s="1276"/>
    </row>
    <row r="22" spans="1:21">
      <c r="A22" s="2282" t="s">
        <v>1435</v>
      </c>
      <c r="B22" s="2265"/>
      <c r="C22" s="2265"/>
      <c r="D22" s="2265"/>
      <c r="E22" s="2265"/>
      <c r="F22" s="2265"/>
      <c r="G22" s="2269"/>
      <c r="H22" s="2269"/>
      <c r="I22" s="2269"/>
      <c r="J22" s="2269"/>
      <c r="K22" s="2265"/>
      <c r="L22" s="2355"/>
      <c r="N22" s="2328"/>
      <c r="O22" s="1276"/>
      <c r="P22" s="1276"/>
      <c r="Q22" s="1276"/>
      <c r="R22" s="1276"/>
      <c r="S22" s="1276"/>
    </row>
    <row r="23" spans="1:21" ht="10" customHeight="1">
      <c r="A23" s="2325"/>
    </row>
    <row r="24" spans="1:21">
      <c r="A24" s="1319">
        <v>11389</v>
      </c>
      <c r="B24" s="1272" t="s">
        <v>1471</v>
      </c>
      <c r="C24" s="1272" t="s">
        <v>1443</v>
      </c>
      <c r="E24" s="1357" t="s">
        <v>221</v>
      </c>
      <c r="F24" s="2298" t="s">
        <v>1469</v>
      </c>
      <c r="G24" s="2301"/>
      <c r="H24" s="1277"/>
      <c r="I24" s="1277"/>
      <c r="K24" s="1272" t="s">
        <v>221</v>
      </c>
      <c r="L24" s="2297" t="s">
        <v>221</v>
      </c>
      <c r="U24" s="1272" t="s">
        <v>1412</v>
      </c>
    </row>
    <row r="25" spans="1:21" ht="10" customHeight="1">
      <c r="A25" s="2325"/>
    </row>
    <row r="26" spans="1:21">
      <c r="A26" s="2282" t="s">
        <v>1436</v>
      </c>
      <c r="B26" s="2265"/>
      <c r="C26" s="2265"/>
      <c r="D26" s="2265"/>
      <c r="E26" s="2265"/>
      <c r="F26" s="2265"/>
      <c r="G26" s="2269"/>
      <c r="H26" s="2269"/>
      <c r="I26" s="2269"/>
      <c r="J26" s="2269"/>
      <c r="K26" s="2265"/>
      <c r="L26" s="2355"/>
    </row>
    <row r="27" spans="1:21" ht="10" customHeight="1">
      <c r="A27" s="2325"/>
      <c r="L27" s="2297" t="s">
        <v>221</v>
      </c>
    </row>
    <row r="28" spans="1:21">
      <c r="A28" s="2326">
        <v>12597</v>
      </c>
      <c r="B28" s="2302" t="s">
        <v>1471</v>
      </c>
      <c r="C28" s="2302"/>
      <c r="D28" s="2302"/>
      <c r="E28" s="2302"/>
      <c r="F28" s="2303" t="s">
        <v>396</v>
      </c>
      <c r="G28" s="2304">
        <v>8.5283426551191588E-2</v>
      </c>
      <c r="H28" s="2303" t="s">
        <v>396</v>
      </c>
      <c r="I28" s="2303" t="s">
        <v>396</v>
      </c>
      <c r="J28" s="2304">
        <v>0.38586573945689967</v>
      </c>
      <c r="K28" s="2305"/>
      <c r="L28" s="2304">
        <v>0.39400000000000002</v>
      </c>
      <c r="M28" s="2306"/>
      <c r="N28" s="1325" t="s">
        <v>1445</v>
      </c>
    </row>
    <row r="29" spans="1:21" ht="10" customHeight="1">
      <c r="A29" s="2325"/>
      <c r="L29" s="2307"/>
      <c r="M29" s="2307"/>
    </row>
    <row r="30" spans="1:21">
      <c r="A30" s="2282" t="s">
        <v>1437</v>
      </c>
      <c r="B30" s="2265"/>
      <c r="C30" s="2265"/>
      <c r="D30" s="2265"/>
      <c r="E30" s="2265"/>
      <c r="F30" s="2265"/>
      <c r="G30" s="2269"/>
      <c r="H30" s="2269"/>
      <c r="I30" s="2269"/>
      <c r="J30" s="2269"/>
      <c r="K30" s="2265"/>
      <c r="L30" s="2355"/>
    </row>
    <row r="31" spans="1:21" ht="10" customHeight="1">
      <c r="A31" s="2325"/>
    </row>
    <row r="32" spans="1:21">
      <c r="A32" s="1319">
        <v>14375</v>
      </c>
      <c r="B32" s="1272" t="s">
        <v>1472</v>
      </c>
      <c r="C32" s="1272" t="s">
        <v>273</v>
      </c>
      <c r="E32" s="1357" t="s">
        <v>221</v>
      </c>
      <c r="F32" s="2298" t="s">
        <v>1469</v>
      </c>
      <c r="G32" s="1277"/>
      <c r="H32" s="1277"/>
      <c r="I32" s="1277"/>
      <c r="K32" s="1272" t="s">
        <v>221</v>
      </c>
      <c r="L32" s="2297" t="s">
        <v>221</v>
      </c>
      <c r="U32" s="1272" t="s">
        <v>1412</v>
      </c>
    </row>
    <row r="33" spans="1:21">
      <c r="A33" s="1319">
        <v>14649</v>
      </c>
      <c r="B33" s="2327" t="s">
        <v>1441</v>
      </c>
      <c r="C33" s="1272" t="s">
        <v>273</v>
      </c>
      <c r="E33" s="1357" t="s">
        <v>221</v>
      </c>
      <c r="F33" s="2298" t="s">
        <v>1469</v>
      </c>
      <c r="G33" s="1277"/>
      <c r="H33" s="1277"/>
      <c r="I33" s="1277"/>
      <c r="K33" s="1272" t="s">
        <v>221</v>
      </c>
      <c r="L33" s="2297" t="s">
        <v>221</v>
      </c>
      <c r="U33" s="1272" t="s">
        <v>1412</v>
      </c>
    </row>
    <row r="34" spans="1:21">
      <c r="A34" s="1328">
        <v>15746</v>
      </c>
      <c r="B34" s="1276" t="s">
        <v>1442</v>
      </c>
      <c r="C34" s="1276" t="s">
        <v>1467</v>
      </c>
      <c r="D34" s="1276"/>
      <c r="E34" s="1276"/>
      <c r="F34" s="2097">
        <v>-0.29219240544797925</v>
      </c>
      <c r="G34" s="2097" t="s">
        <v>396</v>
      </c>
      <c r="H34" s="2097" t="s">
        <v>396</v>
      </c>
      <c r="I34" s="2097" t="s">
        <v>396</v>
      </c>
      <c r="J34" s="2097">
        <v>0.29219240544797925</v>
      </c>
      <c r="K34" s="2308"/>
      <c r="L34" s="2308">
        <v>0.54800000000000004</v>
      </c>
      <c r="M34" s="2308"/>
      <c r="U34" s="2310" t="s">
        <v>1444</v>
      </c>
    </row>
    <row r="35" spans="1:21">
      <c r="A35" s="1328">
        <v>15748</v>
      </c>
      <c r="B35" s="1276" t="s">
        <v>1473</v>
      </c>
      <c r="C35" s="1276" t="s">
        <v>273</v>
      </c>
      <c r="D35" s="1276"/>
      <c r="E35" s="1276"/>
      <c r="F35" s="2298" t="s">
        <v>1469</v>
      </c>
      <c r="K35" s="1276"/>
      <c r="L35" s="2308">
        <v>0.45</v>
      </c>
      <c r="M35" s="2308"/>
      <c r="N35" s="1325" t="s">
        <v>221</v>
      </c>
      <c r="U35" s="1272" t="s">
        <v>1412</v>
      </c>
    </row>
    <row r="36" spans="1:21" s="1276" customFormat="1" ht="10" customHeight="1">
      <c r="A36" s="1348"/>
      <c r="G36" s="862"/>
      <c r="H36" s="862"/>
      <c r="I36" s="862"/>
      <c r="J36" s="862"/>
      <c r="L36" s="2298" t="s">
        <v>221</v>
      </c>
      <c r="M36" s="2298"/>
      <c r="N36" s="2328"/>
    </row>
    <row r="37" spans="1:21">
      <c r="A37" s="2282" t="s">
        <v>1404</v>
      </c>
      <c r="B37" s="2265"/>
      <c r="C37" s="2265"/>
      <c r="D37" s="2265"/>
      <c r="E37" s="2265"/>
      <c r="F37" s="2265"/>
      <c r="G37" s="2269"/>
      <c r="H37" s="2269"/>
      <c r="I37" s="2269"/>
      <c r="J37" s="2269"/>
      <c r="K37" s="2265"/>
      <c r="L37" s="2355"/>
    </row>
    <row r="38" spans="1:21" ht="10" customHeight="1">
      <c r="A38" s="2325"/>
      <c r="L38" s="2297" t="s">
        <v>221</v>
      </c>
    </row>
    <row r="39" spans="1:21">
      <c r="A39" s="1328">
        <v>16959</v>
      </c>
      <c r="B39" s="1276" t="s">
        <v>1472</v>
      </c>
      <c r="C39" s="1276" t="s">
        <v>414</v>
      </c>
      <c r="D39" s="1276"/>
      <c r="E39" s="1276"/>
      <c r="F39" s="2308">
        <v>0.10945816447783097</v>
      </c>
      <c r="G39" s="2097" t="s">
        <v>396</v>
      </c>
      <c r="H39" s="2309" t="s">
        <v>396</v>
      </c>
      <c r="I39" s="2309" t="s">
        <v>396</v>
      </c>
      <c r="J39" s="2097">
        <v>-0.10945816447783091</v>
      </c>
      <c r="K39" s="1276"/>
      <c r="L39" s="2308">
        <v>0.66600000000000004</v>
      </c>
      <c r="M39" s="2308"/>
    </row>
    <row r="40" spans="1:21">
      <c r="A40" s="2329">
        <v>17597</v>
      </c>
      <c r="B40" s="2310" t="s">
        <v>1438</v>
      </c>
      <c r="C40" s="2310" t="s">
        <v>273</v>
      </c>
      <c r="D40" s="2310"/>
      <c r="E40" s="2311" t="s">
        <v>221</v>
      </c>
      <c r="F40" s="2312" t="s">
        <v>1468</v>
      </c>
      <c r="G40" s="2313"/>
      <c r="H40" s="2313"/>
      <c r="I40" s="2313"/>
      <c r="J40" s="2305"/>
      <c r="K40" s="2310" t="s">
        <v>221</v>
      </c>
      <c r="L40" s="2314" t="s">
        <v>221</v>
      </c>
      <c r="M40" s="2314"/>
      <c r="U40" s="2310" t="s">
        <v>1449</v>
      </c>
    </row>
    <row r="41" spans="1:21" ht="10" customHeight="1"/>
    <row r="42" spans="1:21">
      <c r="A42" s="2282" t="s">
        <v>325</v>
      </c>
      <c r="B42" s="2265"/>
      <c r="C42" s="2265"/>
      <c r="D42" s="2265"/>
      <c r="E42" s="2265"/>
      <c r="F42" s="2265"/>
      <c r="G42" s="2269"/>
      <c r="H42" s="2269"/>
      <c r="I42" s="2269"/>
      <c r="J42" s="2269"/>
      <c r="K42" s="2265"/>
      <c r="L42" s="2355"/>
      <c r="M42" s="2298"/>
    </row>
    <row r="43" spans="1:21" ht="10" customHeight="1"/>
    <row r="44" spans="1:21">
      <c r="A44" s="1319">
        <v>18767</v>
      </c>
      <c r="B44" s="1272" t="s">
        <v>1439</v>
      </c>
      <c r="C44" s="1272" t="s">
        <v>273</v>
      </c>
      <c r="F44" s="2298" t="s">
        <v>1469</v>
      </c>
      <c r="G44" s="1277"/>
      <c r="H44" s="1277"/>
      <c r="I44" s="1277"/>
      <c r="J44" s="1277"/>
      <c r="K44" s="1272" t="s">
        <v>221</v>
      </c>
      <c r="L44" s="2298" t="s">
        <v>221</v>
      </c>
      <c r="M44" s="2298"/>
      <c r="U44" s="1272" t="s">
        <v>1412</v>
      </c>
    </row>
    <row r="45" spans="1:21" ht="10" customHeight="1"/>
    <row r="46" spans="1:21">
      <c r="A46" s="2282" t="s">
        <v>340</v>
      </c>
      <c r="B46" s="2265"/>
      <c r="C46" s="2265"/>
      <c r="D46" s="2265"/>
      <c r="E46" s="2265"/>
      <c r="F46" s="2265"/>
      <c r="G46" s="2269"/>
      <c r="H46" s="2269"/>
      <c r="I46" s="2269"/>
      <c r="J46" s="2269"/>
      <c r="K46" s="2265"/>
      <c r="L46" s="2355"/>
    </row>
    <row r="47" spans="1:21" ht="10" customHeight="1">
      <c r="A47" s="2325"/>
    </row>
    <row r="48" spans="1:21">
      <c r="A48" s="1319">
        <v>19294</v>
      </c>
      <c r="B48" s="1272" t="s">
        <v>1073</v>
      </c>
      <c r="C48" s="1272" t="s">
        <v>273</v>
      </c>
      <c r="F48" s="2298" t="s">
        <v>1469</v>
      </c>
      <c r="G48" s="1277"/>
      <c r="H48" s="1277"/>
      <c r="I48" s="1277"/>
      <c r="J48" s="1277"/>
      <c r="K48" s="1272" t="s">
        <v>221</v>
      </c>
      <c r="L48" s="2298" t="s">
        <v>221</v>
      </c>
      <c r="M48" s="2298"/>
      <c r="U48" s="1272" t="s">
        <v>1412</v>
      </c>
    </row>
    <row r="49" spans="1:21">
      <c r="A49" s="1319">
        <v>19464</v>
      </c>
      <c r="B49" s="1272" t="s">
        <v>1077</v>
      </c>
      <c r="C49" s="1272" t="s">
        <v>273</v>
      </c>
      <c r="F49" s="2298" t="s">
        <v>1469</v>
      </c>
      <c r="G49" s="1277"/>
      <c r="H49" s="1277"/>
      <c r="I49" s="1277"/>
      <c r="J49" s="1277"/>
      <c r="K49" s="1272" t="s">
        <v>221</v>
      </c>
      <c r="L49" s="2298" t="s">
        <v>221</v>
      </c>
      <c r="M49" s="2298"/>
      <c r="U49" s="1272" t="s">
        <v>1412</v>
      </c>
    </row>
    <row r="50" spans="1:21">
      <c r="A50" s="1319">
        <v>20048</v>
      </c>
      <c r="B50" s="1272" t="s">
        <v>1438</v>
      </c>
      <c r="C50" s="1272" t="s">
        <v>273</v>
      </c>
      <c r="F50" s="2298" t="s">
        <v>1469</v>
      </c>
      <c r="G50" s="1277"/>
      <c r="H50" s="1277"/>
      <c r="I50" s="1277"/>
      <c r="J50" s="1277"/>
      <c r="K50" s="1272" t="s">
        <v>221</v>
      </c>
      <c r="L50" s="2298" t="s">
        <v>221</v>
      </c>
      <c r="M50" s="2298"/>
      <c r="U50" s="1272" t="s">
        <v>1412</v>
      </c>
    </row>
    <row r="51" spans="1:21" s="1325" customFormat="1" ht="10" customHeight="1">
      <c r="A51" s="1319"/>
      <c r="B51" s="1272"/>
      <c r="C51" s="1272"/>
      <c r="D51" s="1272"/>
      <c r="E51" s="1272"/>
      <c r="F51" s="2298"/>
      <c r="G51" s="1277"/>
      <c r="H51" s="1277"/>
      <c r="I51" s="1277"/>
      <c r="J51" s="1277"/>
      <c r="K51" s="1272"/>
      <c r="L51" s="2298"/>
      <c r="M51" s="2298"/>
      <c r="U51" s="1272"/>
    </row>
    <row r="52" spans="1:21" s="1325" customFormat="1">
      <c r="A52" s="2282" t="s">
        <v>790</v>
      </c>
      <c r="B52" s="2265"/>
      <c r="C52" s="2265"/>
      <c r="D52" s="2265"/>
      <c r="E52" s="2265"/>
      <c r="F52" s="2265"/>
      <c r="G52" s="2269"/>
      <c r="H52" s="2269"/>
      <c r="I52" s="2269"/>
      <c r="J52" s="2269"/>
      <c r="K52" s="2265"/>
      <c r="L52" s="2355"/>
      <c r="M52" s="2297"/>
      <c r="U52" s="1272"/>
    </row>
    <row r="53" spans="1:21" s="1325" customFormat="1" ht="10" customHeight="1">
      <c r="A53" s="2325"/>
      <c r="B53" s="1272"/>
      <c r="C53" s="1272"/>
      <c r="D53" s="1272"/>
      <c r="E53" s="1272"/>
      <c r="F53" s="1276"/>
      <c r="G53" s="862"/>
      <c r="H53" s="862"/>
      <c r="I53" s="862"/>
      <c r="J53" s="862"/>
      <c r="K53" s="1272"/>
      <c r="L53" s="2297"/>
      <c r="M53" s="2297"/>
      <c r="U53" s="1272"/>
    </row>
    <row r="54" spans="1:21" s="1325" customFormat="1" ht="16">
      <c r="A54" s="1319">
        <v>20312</v>
      </c>
      <c r="B54" s="1272" t="s">
        <v>2409</v>
      </c>
      <c r="C54" s="1276" t="s">
        <v>1063</v>
      </c>
      <c r="D54" s="1276"/>
      <c r="E54" s="1276"/>
      <c r="F54" s="2308">
        <v>-4.5237035906083856E-3</v>
      </c>
      <c r="G54" s="2097" t="s">
        <v>396</v>
      </c>
      <c r="H54" s="2097" t="s">
        <v>396</v>
      </c>
      <c r="I54" s="2097" t="s">
        <v>396</v>
      </c>
      <c r="J54" s="2097">
        <v>4.5237035906083856E-3</v>
      </c>
      <c r="K54" s="1276"/>
      <c r="L54" s="2308">
        <v>0.89700000000000002</v>
      </c>
      <c r="M54" s="2308"/>
      <c r="U54" s="1276"/>
    </row>
    <row r="55" spans="1:21" s="1325" customFormat="1" ht="14.25" customHeight="1">
      <c r="A55" s="1319">
        <v>20583</v>
      </c>
      <c r="B55" s="1272" t="s">
        <v>2410</v>
      </c>
      <c r="C55" s="1276" t="s">
        <v>1484</v>
      </c>
      <c r="D55" s="1276"/>
      <c r="E55" s="1276"/>
      <c r="F55" s="2097" t="s">
        <v>396</v>
      </c>
      <c r="G55" s="2097">
        <v>0.10855452240067624</v>
      </c>
      <c r="H55" s="2097" t="s">
        <v>396</v>
      </c>
      <c r="I55" s="2097" t="s">
        <v>396</v>
      </c>
      <c r="J55" s="2097">
        <v>0.38925005084213804</v>
      </c>
      <c r="K55" s="1276"/>
      <c r="L55" s="2308">
        <v>0.88400000000000001</v>
      </c>
      <c r="M55" s="2308"/>
      <c r="U55" s="1276" t="s">
        <v>1450</v>
      </c>
    </row>
    <row r="56" spans="1:21" s="1325" customFormat="1" ht="10" customHeight="1">
      <c r="A56" s="2325"/>
      <c r="B56" s="1272"/>
      <c r="C56" s="1272"/>
      <c r="D56" s="1272"/>
      <c r="E56" s="1272"/>
      <c r="F56" s="1276"/>
      <c r="G56" s="862"/>
      <c r="H56" s="862"/>
      <c r="I56" s="862"/>
      <c r="J56" s="862"/>
      <c r="K56" s="1272"/>
      <c r="L56" s="2297"/>
      <c r="M56" s="2297"/>
      <c r="U56" s="1272"/>
    </row>
    <row r="57" spans="1:21" s="1325" customFormat="1">
      <c r="A57" s="2282" t="s">
        <v>791</v>
      </c>
      <c r="B57" s="2265"/>
      <c r="C57" s="2265"/>
      <c r="D57" s="2265"/>
      <c r="E57" s="2265"/>
      <c r="F57" s="2265"/>
      <c r="G57" s="2269"/>
      <c r="H57" s="2269"/>
      <c r="I57" s="2269"/>
      <c r="J57" s="2269"/>
      <c r="K57" s="2265"/>
      <c r="L57" s="2355"/>
      <c r="M57" s="2297"/>
      <c r="U57" s="1272"/>
    </row>
    <row r="58" spans="1:21" s="1325" customFormat="1" ht="10" customHeight="1">
      <c r="A58" s="2325"/>
      <c r="B58" s="1272"/>
      <c r="C58" s="1272"/>
      <c r="D58" s="1272"/>
      <c r="E58" s="1272"/>
      <c r="F58" s="1276"/>
      <c r="G58" s="862"/>
      <c r="H58" s="862"/>
      <c r="I58" s="862"/>
      <c r="J58" s="862"/>
      <c r="K58" s="1272"/>
      <c r="L58" s="2297"/>
      <c r="M58" s="2297"/>
      <c r="U58" s="1272"/>
    </row>
    <row r="59" spans="1:21" s="1325" customFormat="1">
      <c r="A59" s="1319" t="s">
        <v>199</v>
      </c>
      <c r="B59" s="1272"/>
      <c r="C59" s="2281"/>
      <c r="D59" s="2281"/>
      <c r="E59" s="1272"/>
      <c r="F59" s="1279"/>
      <c r="G59" s="1277"/>
      <c r="H59" s="1277"/>
      <c r="I59" s="1277"/>
      <c r="J59" s="1277"/>
      <c r="K59" s="1357"/>
      <c r="L59" s="2315"/>
      <c r="M59" s="2315"/>
      <c r="U59" s="1272"/>
    </row>
    <row r="60" spans="1:21" s="1325" customFormat="1" ht="10" customHeight="1">
      <c r="A60" s="1319"/>
      <c r="B60" s="1272"/>
      <c r="C60" s="1272"/>
      <c r="D60" s="1272"/>
      <c r="E60" s="1272"/>
      <c r="F60" s="1279"/>
      <c r="G60" s="1277"/>
      <c r="H60" s="1277"/>
      <c r="I60" s="1277"/>
      <c r="J60" s="1277"/>
      <c r="K60" s="1357"/>
      <c r="L60" s="2315"/>
      <c r="M60" s="2315"/>
      <c r="U60" s="1272"/>
    </row>
    <row r="61" spans="1:21" s="1325" customFormat="1">
      <c r="A61" s="2282" t="s">
        <v>792</v>
      </c>
      <c r="B61" s="2265"/>
      <c r="C61" s="2265"/>
      <c r="D61" s="2265"/>
      <c r="E61" s="2265"/>
      <c r="F61" s="2358"/>
      <c r="G61" s="2268"/>
      <c r="H61" s="2268"/>
      <c r="I61" s="2268"/>
      <c r="J61" s="2268"/>
      <c r="K61" s="2358"/>
      <c r="L61" s="2359"/>
      <c r="M61" s="2315"/>
      <c r="U61" s="1272"/>
    </row>
    <row r="62" spans="1:21" s="1325" customFormat="1" ht="10" customHeight="1">
      <c r="A62" s="2325"/>
      <c r="B62" s="1272"/>
      <c r="C62" s="1272"/>
      <c r="D62" s="1272"/>
      <c r="E62" s="1272"/>
      <c r="F62" s="1279"/>
      <c r="G62" s="1277"/>
      <c r="H62" s="1277"/>
      <c r="I62" s="1277"/>
      <c r="J62" s="1277"/>
      <c r="K62" s="1357"/>
      <c r="L62" s="2315"/>
      <c r="M62" s="2315"/>
      <c r="U62" s="1272"/>
    </row>
    <row r="63" spans="1:21" s="1325" customFormat="1">
      <c r="A63" s="1319" t="s">
        <v>199</v>
      </c>
      <c r="B63" s="1272"/>
      <c r="C63" s="1272"/>
      <c r="D63" s="1272"/>
      <c r="E63" s="1272"/>
      <c r="F63" s="1279"/>
      <c r="G63" s="1277"/>
      <c r="H63" s="1277"/>
      <c r="I63" s="1277"/>
      <c r="J63" s="1277"/>
      <c r="K63" s="1357"/>
      <c r="L63" s="2315"/>
      <c r="M63" s="2315"/>
      <c r="U63" s="1272"/>
    </row>
    <row r="64" spans="1:21" s="1325" customFormat="1" ht="10" customHeight="1">
      <c r="A64" s="1319"/>
      <c r="B64" s="1272"/>
      <c r="C64" s="1272"/>
      <c r="D64" s="1272"/>
      <c r="E64" s="1272"/>
      <c r="F64" s="1279"/>
      <c r="G64" s="1277"/>
      <c r="H64" s="1277"/>
      <c r="I64" s="1277"/>
      <c r="J64" s="1277"/>
      <c r="K64" s="1357"/>
      <c r="L64" s="2315"/>
      <c r="M64" s="2315"/>
      <c r="U64" s="1272"/>
    </row>
    <row r="65" spans="1:21" s="1325" customFormat="1">
      <c r="A65" s="2282" t="s">
        <v>793</v>
      </c>
      <c r="B65" s="2265"/>
      <c r="C65" s="2265"/>
      <c r="D65" s="2265"/>
      <c r="E65" s="2265"/>
      <c r="F65" s="2358"/>
      <c r="G65" s="2268"/>
      <c r="H65" s="2268"/>
      <c r="I65" s="2268"/>
      <c r="J65" s="2268"/>
      <c r="K65" s="2358"/>
      <c r="L65" s="2359"/>
      <c r="M65" s="2315"/>
      <c r="U65" s="1272"/>
    </row>
    <row r="66" spans="1:21" s="1325" customFormat="1" ht="10" customHeight="1">
      <c r="A66" s="1319"/>
      <c r="B66" s="1272"/>
      <c r="C66" s="1272"/>
      <c r="D66" s="1272"/>
      <c r="E66" s="1272"/>
      <c r="F66" s="1279"/>
      <c r="G66" s="1277"/>
      <c r="H66" s="1277"/>
      <c r="I66" s="1277"/>
      <c r="J66" s="1277"/>
      <c r="K66" s="1357"/>
      <c r="L66" s="2315"/>
      <c r="M66" s="2315"/>
      <c r="U66" s="1272"/>
    </row>
    <row r="67" spans="1:21">
      <c r="A67" s="1319">
        <v>25310</v>
      </c>
      <c r="B67" s="1272" t="s">
        <v>1440</v>
      </c>
      <c r="C67" s="1276" t="s">
        <v>1451</v>
      </c>
      <c r="D67" s="1276"/>
      <c r="E67" s="1276"/>
      <c r="F67" s="2308">
        <v>-5.5872792194864851E-2</v>
      </c>
      <c r="G67" s="2097" t="s">
        <v>396</v>
      </c>
      <c r="H67" s="2097" t="s">
        <v>396</v>
      </c>
      <c r="I67" s="2097" t="s">
        <v>396</v>
      </c>
      <c r="J67" s="2097">
        <v>5.5872792194864851E-2</v>
      </c>
      <c r="K67" s="1279"/>
      <c r="L67" s="2308">
        <v>0.91500000000000004</v>
      </c>
      <c r="M67" s="2308"/>
      <c r="N67" s="1325" t="s">
        <v>1448</v>
      </c>
    </row>
    <row r="68" spans="1:21" ht="10" customHeight="1">
      <c r="F68" s="1279"/>
      <c r="G68" s="1277"/>
      <c r="H68" s="1277"/>
      <c r="I68" s="1277"/>
      <c r="J68" s="1277"/>
      <c r="K68" s="1357"/>
      <c r="L68" s="2315"/>
      <c r="M68" s="2315"/>
    </row>
    <row r="69" spans="1:21">
      <c r="A69" s="2282" t="s">
        <v>794</v>
      </c>
      <c r="B69" s="2265"/>
      <c r="C69" s="2265"/>
      <c r="D69" s="2265"/>
      <c r="E69" s="2265"/>
      <c r="F69" s="2358"/>
      <c r="G69" s="2268"/>
      <c r="H69" s="2268"/>
      <c r="I69" s="2268"/>
      <c r="J69" s="2268"/>
      <c r="K69" s="2358"/>
      <c r="L69" s="2359"/>
      <c r="M69" s="2315"/>
    </row>
    <row r="70" spans="1:21" ht="10" customHeight="1">
      <c r="A70" s="2325"/>
      <c r="F70" s="1279"/>
      <c r="G70" s="1277"/>
      <c r="H70" s="1277"/>
      <c r="I70" s="1277"/>
      <c r="J70" s="1277"/>
      <c r="K70" s="1357"/>
      <c r="L70" s="2315"/>
      <c r="M70" s="2315"/>
    </row>
    <row r="71" spans="1:21">
      <c r="A71" s="1319" t="s">
        <v>199</v>
      </c>
      <c r="F71" s="1279"/>
      <c r="G71" s="1277"/>
      <c r="H71" s="1277"/>
      <c r="I71" s="1277"/>
      <c r="J71" s="1277"/>
      <c r="K71" s="1357"/>
      <c r="L71" s="2315"/>
      <c r="M71" s="2315"/>
    </row>
    <row r="72" spans="1:21" ht="1.5" customHeight="1">
      <c r="F72" s="1279"/>
      <c r="G72" s="1277"/>
      <c r="H72" s="1277"/>
      <c r="I72" s="1277"/>
      <c r="J72" s="1277"/>
      <c r="K72" s="1357"/>
      <c r="L72" s="2315"/>
      <c r="M72" s="2315"/>
    </row>
    <row r="73" spans="1:21" ht="4" customHeight="1">
      <c r="A73" s="1370"/>
      <c r="B73" s="1364"/>
      <c r="C73" s="1364"/>
      <c r="D73" s="1364"/>
      <c r="E73" s="1364"/>
      <c r="F73" s="2356"/>
      <c r="G73" s="1374"/>
      <c r="H73" s="1374"/>
      <c r="I73" s="1374"/>
      <c r="J73" s="1374"/>
      <c r="K73" s="2356"/>
      <c r="L73" s="2357"/>
      <c r="M73" s="2315"/>
    </row>
    <row r="74" spans="1:21" s="1349" customFormat="1" ht="11">
      <c r="A74" s="2330" t="s">
        <v>1113</v>
      </c>
      <c r="B74" s="1009"/>
      <c r="C74" s="1009"/>
      <c r="D74" s="1009"/>
      <c r="E74" s="1009"/>
      <c r="F74" s="2316"/>
      <c r="G74" s="2316"/>
      <c r="H74" s="2316"/>
      <c r="I74" s="2316"/>
      <c r="J74" s="2316"/>
      <c r="K74" s="2316"/>
      <c r="L74" s="1356"/>
      <c r="M74" s="1356"/>
      <c r="N74" s="2331"/>
    </row>
    <row r="75" spans="1:21" s="1349" customFormat="1" ht="22.5" customHeight="1">
      <c r="A75" s="3449" t="s">
        <v>1486</v>
      </c>
      <c r="B75" s="3449"/>
      <c r="C75" s="3449"/>
      <c r="D75" s="3449"/>
      <c r="E75" s="3449"/>
      <c r="F75" s="3449"/>
      <c r="G75" s="3449"/>
      <c r="H75" s="3449"/>
      <c r="I75" s="3449"/>
      <c r="J75" s="3449"/>
      <c r="K75" s="3449"/>
      <c r="L75" s="3449"/>
      <c r="M75" s="2332"/>
      <c r="N75" s="2331"/>
    </row>
    <row r="76" spans="1:21" s="1349" customFormat="1" ht="11.25" customHeight="1">
      <c r="A76" s="2330" t="s">
        <v>1423</v>
      </c>
      <c r="B76" s="2333"/>
      <c r="C76" s="2333"/>
      <c r="D76" s="2333"/>
      <c r="E76" s="2333"/>
      <c r="F76" s="2333"/>
      <c r="G76" s="2333"/>
      <c r="H76" s="2333"/>
      <c r="I76" s="2333"/>
      <c r="J76" s="2333"/>
      <c r="K76" s="2333"/>
      <c r="L76" s="2333"/>
      <c r="M76" s="2332"/>
      <c r="N76" s="2331"/>
    </row>
    <row r="77" spans="1:21" s="1349" customFormat="1" ht="33.75" customHeight="1">
      <c r="A77" s="3449" t="s">
        <v>1485</v>
      </c>
      <c r="B77" s="3449"/>
      <c r="C77" s="3449"/>
      <c r="D77" s="3449"/>
      <c r="E77" s="3449"/>
      <c r="F77" s="3449"/>
      <c r="G77" s="3449"/>
      <c r="H77" s="3449"/>
      <c r="I77" s="3449"/>
      <c r="J77" s="3449"/>
      <c r="K77" s="3449"/>
      <c r="L77" s="3449"/>
      <c r="M77" s="2333"/>
      <c r="N77" s="2331"/>
    </row>
    <row r="78" spans="1:21" s="1349" customFormat="1" ht="11">
      <c r="A78" s="2330" t="s">
        <v>1481</v>
      </c>
      <c r="F78" s="2317"/>
      <c r="G78" s="2318"/>
      <c r="H78" s="2318"/>
      <c r="I78" s="2318"/>
      <c r="J78" s="2318"/>
      <c r="K78" s="2319"/>
      <c r="L78" s="2332"/>
      <c r="M78" s="2332"/>
      <c r="N78" s="2331"/>
    </row>
    <row r="79" spans="1:21" ht="4.5" customHeight="1">
      <c r="F79" s="1279"/>
      <c r="G79" s="1277"/>
      <c r="H79" s="1277"/>
      <c r="I79" s="1277"/>
      <c r="J79" s="1277"/>
      <c r="K79" s="1357"/>
      <c r="L79" s="2315"/>
      <c r="M79" s="2315"/>
    </row>
    <row r="80" spans="1:21" ht="33.75" customHeight="1">
      <c r="A80" s="3449" t="s">
        <v>1487</v>
      </c>
      <c r="B80" s="3449"/>
      <c r="C80" s="3449"/>
      <c r="D80" s="3449"/>
      <c r="E80" s="3449"/>
      <c r="F80" s="3449"/>
      <c r="G80" s="3449"/>
      <c r="H80" s="3449"/>
      <c r="I80" s="3449"/>
      <c r="J80" s="3449"/>
      <c r="K80" s="3449"/>
      <c r="L80" s="3449"/>
      <c r="M80" s="2315"/>
    </row>
    <row r="81" spans="1:21" ht="19.5" customHeight="1">
      <c r="A81" s="2324"/>
      <c r="B81" s="1349"/>
      <c r="C81" s="1349"/>
      <c r="D81" s="1349"/>
      <c r="E81" s="1349"/>
      <c r="F81" s="2334"/>
      <c r="G81" s="2335"/>
      <c r="H81" s="2335"/>
      <c r="I81" s="2335"/>
      <c r="J81" s="2335"/>
      <c r="K81" s="1349"/>
      <c r="L81" s="2336"/>
      <c r="M81" s="2336"/>
    </row>
    <row r="82" spans="1:21" s="2344" customFormat="1" ht="22">
      <c r="A82" s="3052" t="s">
        <v>2753</v>
      </c>
      <c r="B82" s="2347"/>
      <c r="C82" s="2347"/>
      <c r="D82" s="2347"/>
      <c r="E82" s="2347"/>
      <c r="F82" s="2347"/>
      <c r="G82" s="2348"/>
      <c r="H82" s="2348"/>
      <c r="I82" s="2348"/>
      <c r="J82" s="2348"/>
      <c r="K82" s="2347"/>
      <c r="L82" s="2349"/>
      <c r="M82" s="2345"/>
      <c r="N82" s="2346"/>
    </row>
    <row r="83" spans="1:21" ht="15" customHeight="1" thickBot="1">
      <c r="A83" s="1370"/>
      <c r="B83" s="1364"/>
      <c r="C83" s="1364"/>
      <c r="D83" s="1364"/>
      <c r="E83" s="1364"/>
      <c r="F83" s="3416" t="s">
        <v>2422</v>
      </c>
      <c r="G83" s="3416"/>
      <c r="H83" s="3416"/>
      <c r="I83" s="3416"/>
      <c r="J83" s="3416"/>
      <c r="K83" s="1364"/>
      <c r="L83" s="2342"/>
    </row>
    <row r="84" spans="1:21" ht="3.75" customHeight="1">
      <c r="A84" s="1370"/>
      <c r="B84" s="1364"/>
      <c r="C84" s="1364"/>
      <c r="D84" s="1364"/>
      <c r="E84" s="1364"/>
      <c r="F84" s="1364"/>
      <c r="G84" s="1183"/>
      <c r="H84" s="1183"/>
      <c r="I84" s="1183"/>
      <c r="J84" s="1183"/>
      <c r="K84" s="1364"/>
      <c r="L84" s="2342"/>
    </row>
    <row r="85" spans="1:21">
      <c r="A85" s="1370" t="s">
        <v>268</v>
      </c>
      <c r="B85" s="1364" t="s">
        <v>269</v>
      </c>
      <c r="C85" s="1364" t="s">
        <v>216</v>
      </c>
      <c r="D85" s="1364"/>
      <c r="E85" s="1364"/>
      <c r="F85" s="2350" t="s">
        <v>1092</v>
      </c>
      <c r="G85" s="2351" t="s">
        <v>2418</v>
      </c>
      <c r="H85" s="2352" t="s">
        <v>2421</v>
      </c>
      <c r="I85" s="2353" t="s">
        <v>2419</v>
      </c>
      <c r="J85" s="2354" t="s">
        <v>1972</v>
      </c>
      <c r="K85" s="1364"/>
      <c r="L85" s="2342" t="s">
        <v>219</v>
      </c>
      <c r="N85" s="1325" t="s">
        <v>1446</v>
      </c>
      <c r="U85" s="1276" t="s">
        <v>1447</v>
      </c>
    </row>
    <row r="86" spans="1:21" ht="5.25" customHeight="1">
      <c r="A86" s="1370"/>
      <c r="B86" s="1364"/>
      <c r="C86" s="1364"/>
      <c r="D86" s="1364"/>
      <c r="E86" s="1364"/>
      <c r="F86" s="1364"/>
      <c r="G86" s="1364"/>
      <c r="H86" s="1364"/>
      <c r="I86" s="1364"/>
      <c r="J86" s="1364"/>
      <c r="K86" s="1364"/>
      <c r="L86" s="1364"/>
      <c r="U86" s="1276"/>
    </row>
    <row r="87" spans="1:21" ht="10" customHeight="1">
      <c r="A87" s="859"/>
      <c r="B87" s="850"/>
      <c r="C87" s="850"/>
      <c r="D87" s="850"/>
      <c r="E87" s="850"/>
      <c r="F87" s="1272"/>
      <c r="G87" s="1272"/>
      <c r="H87" s="1272"/>
      <c r="I87" s="1272"/>
      <c r="J87" s="1272"/>
      <c r="K87" s="861"/>
      <c r="L87" s="861"/>
      <c r="M87" s="861"/>
    </row>
    <row r="88" spans="1:21">
      <c r="A88" s="2264" t="s">
        <v>795</v>
      </c>
      <c r="B88" s="2218"/>
      <c r="C88" s="2218"/>
      <c r="D88" s="2218"/>
      <c r="E88" s="2218"/>
      <c r="F88" s="2360"/>
      <c r="G88" s="2361"/>
      <c r="H88" s="2360"/>
      <c r="I88" s="2361"/>
      <c r="J88" s="2360"/>
      <c r="K88" s="2269"/>
      <c r="L88" s="2218"/>
      <c r="M88" s="850"/>
    </row>
    <row r="89" spans="1:21" ht="10" customHeight="1">
      <c r="A89" s="2337"/>
      <c r="B89" s="850"/>
      <c r="C89" s="850"/>
      <c r="D89" s="850"/>
      <c r="E89" s="850"/>
      <c r="F89" s="861"/>
      <c r="G89" s="861"/>
      <c r="H89" s="861"/>
      <c r="I89" s="861"/>
      <c r="J89" s="861"/>
      <c r="K89" s="861"/>
      <c r="L89" s="850"/>
      <c r="M89" s="850"/>
    </row>
    <row r="90" spans="1:21">
      <c r="A90" s="1330" t="s">
        <v>199</v>
      </c>
      <c r="B90" s="850"/>
      <c r="C90" s="850"/>
      <c r="D90" s="850"/>
      <c r="E90" s="850"/>
      <c r="F90" s="861"/>
      <c r="G90" s="861"/>
      <c r="H90" s="861"/>
      <c r="I90" s="861"/>
      <c r="J90" s="861"/>
      <c r="K90" s="861"/>
      <c r="L90" s="850"/>
      <c r="M90" s="850"/>
    </row>
    <row r="91" spans="1:21" ht="10" customHeight="1">
      <c r="A91" s="2337"/>
      <c r="B91" s="850"/>
      <c r="C91" s="850"/>
      <c r="D91" s="850"/>
      <c r="E91" s="850"/>
      <c r="F91" s="861"/>
      <c r="G91" s="861"/>
      <c r="H91" s="861"/>
      <c r="I91" s="861"/>
      <c r="J91" s="861"/>
      <c r="K91" s="861"/>
      <c r="L91" s="850"/>
      <c r="M91" s="850"/>
    </row>
    <row r="92" spans="1:21">
      <c r="A92" s="2264" t="s">
        <v>796</v>
      </c>
      <c r="B92" s="2218"/>
      <c r="C92" s="2218"/>
      <c r="D92" s="2218"/>
      <c r="E92" s="2218"/>
      <c r="F92" s="2269"/>
      <c r="G92" s="2269"/>
      <c r="H92" s="2269"/>
      <c r="I92" s="2269"/>
      <c r="J92" s="2269"/>
      <c r="K92" s="2269"/>
      <c r="L92" s="2218"/>
      <c r="M92" s="850"/>
    </row>
    <row r="93" spans="1:21" ht="10" customHeight="1">
      <c r="A93" s="2337"/>
      <c r="B93" s="850"/>
      <c r="C93" s="850"/>
      <c r="D93" s="850"/>
      <c r="E93" s="850"/>
      <c r="F93" s="861"/>
      <c r="G93" s="861"/>
      <c r="H93" s="861"/>
      <c r="I93" s="861"/>
      <c r="J93" s="861"/>
      <c r="K93" s="861"/>
      <c r="L93" s="850"/>
      <c r="M93" s="850"/>
    </row>
    <row r="94" spans="1:21">
      <c r="A94" s="1330" t="s">
        <v>199</v>
      </c>
      <c r="B94" s="850"/>
      <c r="C94" s="850"/>
      <c r="D94" s="850"/>
      <c r="E94" s="850"/>
      <c r="F94" s="861"/>
      <c r="G94" s="861"/>
      <c r="H94" s="861"/>
      <c r="I94" s="861"/>
      <c r="J94" s="861"/>
      <c r="K94" s="861"/>
      <c r="L94" s="850"/>
      <c r="M94" s="850"/>
    </row>
    <row r="95" spans="1:21" ht="10" customHeight="1">
      <c r="A95" s="2337"/>
      <c r="B95" s="850"/>
      <c r="C95" s="850"/>
      <c r="D95" s="850"/>
      <c r="E95" s="850"/>
      <c r="F95" s="861"/>
      <c r="G95" s="861"/>
      <c r="H95" s="861"/>
      <c r="I95" s="861"/>
      <c r="J95" s="861"/>
      <c r="K95" s="861"/>
      <c r="L95" s="850"/>
      <c r="M95" s="850"/>
    </row>
    <row r="96" spans="1:21">
      <c r="A96" s="2264" t="s">
        <v>797</v>
      </c>
      <c r="B96" s="2218"/>
      <c r="C96" s="2218"/>
      <c r="D96" s="2218"/>
      <c r="E96" s="2218"/>
      <c r="F96" s="2269"/>
      <c r="G96" s="2269"/>
      <c r="H96" s="2269"/>
      <c r="I96" s="2269"/>
      <c r="J96" s="2269"/>
      <c r="K96" s="2269"/>
      <c r="L96" s="2218"/>
      <c r="M96" s="850"/>
    </row>
    <row r="97" spans="1:13" ht="10" customHeight="1">
      <c r="A97" s="2337"/>
      <c r="B97" s="850"/>
      <c r="C97" s="850"/>
      <c r="D97" s="850"/>
      <c r="E97" s="850"/>
      <c r="F97" s="861"/>
      <c r="G97" s="861"/>
      <c r="H97" s="861"/>
      <c r="I97" s="861"/>
      <c r="J97" s="861"/>
      <c r="K97" s="861"/>
      <c r="L97" s="850"/>
      <c r="M97" s="850"/>
    </row>
    <row r="98" spans="1:13">
      <c r="A98" s="2338">
        <v>29685</v>
      </c>
      <c r="B98" s="1331" t="s">
        <v>1067</v>
      </c>
      <c r="C98" s="3414" t="s">
        <v>1068</v>
      </c>
      <c r="D98" s="3414"/>
      <c r="E98" s="1331"/>
      <c r="F98" s="2320" t="s">
        <v>396</v>
      </c>
      <c r="G98" s="2320">
        <v>0.41</v>
      </c>
      <c r="H98" s="2320" t="s">
        <v>396</v>
      </c>
      <c r="I98" s="2320" t="s">
        <v>396</v>
      </c>
      <c r="J98" s="2320">
        <v>0.51200000000000001</v>
      </c>
      <c r="K98" s="2320"/>
      <c r="L98" s="2339">
        <v>0.82399999999999995</v>
      </c>
      <c r="M98" s="2339"/>
    </row>
    <row r="99" spans="1:13">
      <c r="A99" s="2338"/>
      <c r="B99" s="1331"/>
      <c r="C99" s="3414"/>
      <c r="D99" s="3414"/>
      <c r="E99" s="1331"/>
      <c r="F99" s="2320"/>
      <c r="G99" s="2320"/>
      <c r="H99" s="2320"/>
      <c r="I99" s="2320"/>
      <c r="J99" s="2320"/>
      <c r="K99" s="2320"/>
      <c r="L99" s="2339"/>
      <c r="M99" s="2339"/>
    </row>
    <row r="100" spans="1:13">
      <c r="A100" s="1319">
        <v>29818</v>
      </c>
      <c r="B100" s="850" t="s">
        <v>1067</v>
      </c>
      <c r="C100" s="1272" t="s">
        <v>1069</v>
      </c>
      <c r="E100" s="850"/>
      <c r="F100" s="1273" t="s">
        <v>396</v>
      </c>
      <c r="G100" s="1273">
        <v>-3.2000000000000001E-2</v>
      </c>
      <c r="H100" s="1273" t="s">
        <v>396</v>
      </c>
      <c r="I100" s="1273" t="s">
        <v>396</v>
      </c>
      <c r="J100" s="1273">
        <v>3.2000000000000001E-2</v>
      </c>
      <c r="K100" s="1273"/>
      <c r="L100" s="1217">
        <v>0.875</v>
      </c>
      <c r="M100" s="1217"/>
    </row>
    <row r="101" spans="1:13">
      <c r="A101" s="1319">
        <v>30014</v>
      </c>
      <c r="B101" s="850" t="s">
        <v>1070</v>
      </c>
      <c r="C101" s="1272" t="s">
        <v>1071</v>
      </c>
      <c r="E101" s="850"/>
      <c r="F101" s="1273">
        <v>0.22600000000000001</v>
      </c>
      <c r="G101" s="1273">
        <v>-0.224</v>
      </c>
      <c r="H101" s="1273" t="s">
        <v>396</v>
      </c>
      <c r="I101" s="1273">
        <v>8.9999999999999993E-3</v>
      </c>
      <c r="J101" s="1273">
        <v>0.29299999999999998</v>
      </c>
      <c r="K101" s="1273"/>
      <c r="L101" s="1217">
        <v>0.65700000000000003</v>
      </c>
      <c r="M101" s="1217"/>
    </row>
    <row r="102" spans="1:13" ht="10" customHeight="1">
      <c r="B102" s="850"/>
      <c r="E102" s="850"/>
      <c r="F102" s="1273"/>
      <c r="G102" s="1273"/>
      <c r="H102" s="1273"/>
      <c r="I102" s="1273"/>
      <c r="J102" s="1273"/>
      <c r="K102" s="1273"/>
      <c r="L102" s="1217"/>
      <c r="M102" s="1217"/>
    </row>
    <row r="103" spans="1:13" ht="10" customHeight="1">
      <c r="B103" s="850"/>
      <c r="E103" s="850"/>
      <c r="F103" s="1273"/>
      <c r="G103" s="1273"/>
      <c r="H103" s="1273"/>
      <c r="I103" s="1273"/>
      <c r="J103" s="1273"/>
      <c r="K103" s="1273"/>
      <c r="L103" s="1217"/>
      <c r="M103" s="1217"/>
    </row>
    <row r="104" spans="1:13" ht="16">
      <c r="A104" s="2264" t="s">
        <v>2411</v>
      </c>
      <c r="B104" s="2218"/>
      <c r="C104" s="2265"/>
      <c r="D104" s="2265"/>
      <c r="E104" s="2218"/>
      <c r="F104" s="2268"/>
      <c r="G104" s="2268"/>
      <c r="H104" s="2268"/>
      <c r="I104" s="2268"/>
      <c r="J104" s="2268"/>
      <c r="K104" s="2268"/>
      <c r="L104" s="2284"/>
      <c r="M104" s="1217"/>
    </row>
    <row r="105" spans="1:13" ht="10" customHeight="1">
      <c r="B105" s="850"/>
      <c r="E105" s="850"/>
      <c r="F105" s="1273"/>
      <c r="G105" s="1273"/>
      <c r="H105" s="1273"/>
      <c r="I105" s="1273"/>
      <c r="J105" s="1273"/>
      <c r="K105" s="1273"/>
      <c r="L105" s="1217"/>
      <c r="M105" s="1217"/>
    </row>
    <row r="106" spans="1:13">
      <c r="A106" s="1319">
        <v>31435</v>
      </c>
      <c r="B106" s="850" t="s">
        <v>1072</v>
      </c>
      <c r="C106" s="1272" t="s">
        <v>1071</v>
      </c>
      <c r="E106" s="850"/>
      <c r="F106" s="1273" t="s">
        <v>396</v>
      </c>
      <c r="G106" s="1273">
        <v>0.47499999999999998</v>
      </c>
      <c r="H106" s="1273" t="s">
        <v>396</v>
      </c>
      <c r="I106" s="1273" t="s">
        <v>396</v>
      </c>
      <c r="J106" s="1273">
        <v>-4.8000000000000001E-2</v>
      </c>
      <c r="K106" s="1273"/>
      <c r="L106" s="1217">
        <v>0.58899999999999997</v>
      </c>
      <c r="M106" s="1217"/>
    </row>
    <row r="107" spans="1:13">
      <c r="A107" s="1319">
        <v>31435</v>
      </c>
      <c r="B107" s="850" t="s">
        <v>1073</v>
      </c>
      <c r="C107" s="1272" t="s">
        <v>1086</v>
      </c>
      <c r="E107" s="850"/>
      <c r="F107" s="1273">
        <v>0.432</v>
      </c>
      <c r="G107" s="1273" t="s">
        <v>396</v>
      </c>
      <c r="H107" s="1273" t="s">
        <v>396</v>
      </c>
      <c r="I107" s="1273" t="s">
        <v>396</v>
      </c>
      <c r="J107" s="1273" t="s">
        <v>396</v>
      </c>
      <c r="K107" s="1273"/>
      <c r="L107" s="1217">
        <v>0.53500000000000003</v>
      </c>
      <c r="M107" s="1217"/>
    </row>
    <row r="108" spans="1:13">
      <c r="A108" s="1319">
        <v>31435</v>
      </c>
      <c r="B108" s="850" t="s">
        <v>1074</v>
      </c>
      <c r="C108" s="1272" t="s">
        <v>1071</v>
      </c>
      <c r="E108" s="850"/>
      <c r="F108" s="1273" t="s">
        <v>396</v>
      </c>
      <c r="G108" s="1273">
        <v>0.48499999999999999</v>
      </c>
      <c r="H108" s="1273" t="s">
        <v>396</v>
      </c>
      <c r="I108" s="1273" t="s">
        <v>396</v>
      </c>
      <c r="J108" s="1273" t="s">
        <v>396</v>
      </c>
      <c r="K108" s="1273"/>
      <c r="L108" s="1217">
        <v>0.52200000000000002</v>
      </c>
      <c r="M108" s="1217"/>
    </row>
    <row r="109" spans="1:13">
      <c r="A109" s="1319">
        <v>31435</v>
      </c>
      <c r="B109" s="850" t="s">
        <v>1075</v>
      </c>
      <c r="C109" s="1272" t="s">
        <v>1086</v>
      </c>
      <c r="E109" s="850"/>
      <c r="F109" s="1273">
        <v>0.35599999999999998</v>
      </c>
      <c r="G109" s="1273" t="s">
        <v>396</v>
      </c>
      <c r="H109" s="1273" t="s">
        <v>396</v>
      </c>
      <c r="I109" s="1273" t="s">
        <v>396</v>
      </c>
      <c r="J109" s="1273">
        <v>-6.0999999999999999E-2</v>
      </c>
      <c r="K109" s="1273"/>
      <c r="L109" s="1217">
        <v>0.63600000000000001</v>
      </c>
      <c r="M109" s="1217"/>
    </row>
    <row r="110" spans="1:13">
      <c r="A110" s="1319">
        <v>31435</v>
      </c>
      <c r="B110" s="850" t="s">
        <v>1076</v>
      </c>
      <c r="C110" s="1272" t="s">
        <v>1071</v>
      </c>
      <c r="E110" s="850"/>
      <c r="F110" s="1273" t="s">
        <v>396</v>
      </c>
      <c r="G110" s="1273">
        <v>0.35299999999999998</v>
      </c>
      <c r="H110" s="1273" t="s">
        <v>396</v>
      </c>
      <c r="I110" s="1273" t="s">
        <v>396</v>
      </c>
      <c r="J110" s="1273">
        <v>0.13700000000000001</v>
      </c>
      <c r="K110" s="1273"/>
      <c r="L110" s="1217">
        <v>0.54700000000000004</v>
      </c>
      <c r="M110" s="1217"/>
    </row>
    <row r="111" spans="1:13">
      <c r="A111" s="1319">
        <v>31435</v>
      </c>
      <c r="B111" s="850" t="s">
        <v>1070</v>
      </c>
      <c r="C111" s="1272" t="s">
        <v>1071</v>
      </c>
      <c r="E111" s="850"/>
      <c r="F111" s="1273" t="s">
        <v>396</v>
      </c>
      <c r="G111" s="1273">
        <v>0.214</v>
      </c>
      <c r="H111" s="1273" t="s">
        <v>396</v>
      </c>
      <c r="I111" s="1273" t="s">
        <v>396</v>
      </c>
      <c r="J111" s="1273">
        <v>2.4E-2</v>
      </c>
      <c r="K111" s="1273"/>
      <c r="L111" s="1217">
        <v>0.56599999999999995</v>
      </c>
      <c r="M111" s="1217"/>
    </row>
    <row r="112" spans="1:13">
      <c r="A112" s="1319">
        <v>31435</v>
      </c>
      <c r="B112" s="850" t="s">
        <v>1077</v>
      </c>
      <c r="C112" s="1272" t="s">
        <v>1100</v>
      </c>
      <c r="E112" s="850"/>
      <c r="F112" s="1273" t="s">
        <v>396</v>
      </c>
      <c r="G112" s="1273" t="s">
        <v>396</v>
      </c>
      <c r="H112" s="1273" t="s">
        <v>396</v>
      </c>
      <c r="I112" s="1273" t="s">
        <v>396</v>
      </c>
      <c r="J112" s="1273">
        <v>0.219</v>
      </c>
      <c r="K112" s="1273"/>
      <c r="L112" s="1217">
        <v>0.60499999999999998</v>
      </c>
      <c r="M112" s="1217"/>
    </row>
    <row r="113" spans="1:13">
      <c r="A113" s="1319">
        <v>31435</v>
      </c>
      <c r="B113" s="850" t="s">
        <v>1078</v>
      </c>
      <c r="C113" s="1272" t="s">
        <v>1071</v>
      </c>
      <c r="E113" s="850"/>
      <c r="F113" s="1273" t="s">
        <v>396</v>
      </c>
      <c r="G113" s="1273">
        <v>8.1000000000000003E-2</v>
      </c>
      <c r="H113" s="1273">
        <v>-2.1999999999999999E-2</v>
      </c>
      <c r="I113" s="1273">
        <v>5.6000000000000001E-2</v>
      </c>
      <c r="J113" s="1273">
        <v>-6.0000000000000001E-3</v>
      </c>
      <c r="K113" s="1273"/>
      <c r="L113" s="1217">
        <v>0.73799999999999999</v>
      </c>
      <c r="M113" s="1217"/>
    </row>
    <row r="114" spans="1:13">
      <c r="A114" s="1319">
        <v>31435</v>
      </c>
      <c r="B114" s="850" t="s">
        <v>1067</v>
      </c>
      <c r="C114" s="1272" t="s">
        <v>1071</v>
      </c>
      <c r="E114" s="850"/>
      <c r="F114" s="1273" t="s">
        <v>396</v>
      </c>
      <c r="G114" s="1273">
        <v>2.1000000000000001E-2</v>
      </c>
      <c r="H114" s="1273">
        <v>-7.5999999999999998E-2</v>
      </c>
      <c r="I114" s="1273">
        <v>0.05</v>
      </c>
      <c r="J114" s="1273">
        <v>5.0000000000000001E-3</v>
      </c>
      <c r="K114" s="1273"/>
      <c r="L114" s="1217">
        <v>0.80400000000000005</v>
      </c>
      <c r="M114" s="1217"/>
    </row>
    <row r="115" spans="1:13">
      <c r="A115" s="1319">
        <v>31435</v>
      </c>
      <c r="B115" s="850" t="s">
        <v>1079</v>
      </c>
      <c r="C115" s="1272" t="s">
        <v>1071</v>
      </c>
      <c r="E115" s="850"/>
      <c r="F115" s="1273" t="s">
        <v>396</v>
      </c>
      <c r="G115" s="1277">
        <v>0.315</v>
      </c>
      <c r="H115" s="1277" t="s">
        <v>396</v>
      </c>
      <c r="I115" s="1273" t="s">
        <v>396</v>
      </c>
      <c r="J115" s="1277">
        <v>7.2999999999999995E-2</v>
      </c>
      <c r="K115" s="1277"/>
      <c r="L115" s="1217">
        <v>0.81399999999999995</v>
      </c>
      <c r="M115" s="1217"/>
    </row>
    <row r="116" spans="1:13">
      <c r="A116" s="1319">
        <v>31435</v>
      </c>
      <c r="B116" s="850" t="s">
        <v>1080</v>
      </c>
      <c r="C116" s="1272" t="s">
        <v>1071</v>
      </c>
      <c r="E116" s="850"/>
      <c r="F116" s="1273" t="s">
        <v>396</v>
      </c>
      <c r="G116" s="1277">
        <v>0.56000000000000005</v>
      </c>
      <c r="H116" s="1277" t="s">
        <v>396</v>
      </c>
      <c r="I116" s="1273" t="s">
        <v>396</v>
      </c>
      <c r="J116" s="1277" t="s">
        <v>396</v>
      </c>
      <c r="K116" s="1277"/>
      <c r="L116" s="1217">
        <v>0.47</v>
      </c>
      <c r="M116" s="1217"/>
    </row>
    <row r="117" spans="1:13">
      <c r="A117" s="1319">
        <v>31435</v>
      </c>
      <c r="B117" s="850" t="s">
        <v>1081</v>
      </c>
      <c r="C117" s="1272" t="s">
        <v>1086</v>
      </c>
      <c r="E117" s="850"/>
      <c r="F117" s="1273">
        <v>0.161</v>
      </c>
      <c r="G117" s="1273" t="s">
        <v>396</v>
      </c>
      <c r="H117" s="1273">
        <v>-2.5999999999999999E-2</v>
      </c>
      <c r="I117" s="1273">
        <v>0.03</v>
      </c>
      <c r="J117" s="1273">
        <v>-1E-3</v>
      </c>
      <c r="K117" s="1273"/>
      <c r="L117" s="1217">
        <v>0.77</v>
      </c>
      <c r="M117" s="1217"/>
    </row>
    <row r="118" spans="1:13">
      <c r="A118" s="1319">
        <v>31435</v>
      </c>
      <c r="B118" s="850" t="s">
        <v>1082</v>
      </c>
      <c r="C118" s="1272" t="s">
        <v>1083</v>
      </c>
      <c r="E118" s="850"/>
      <c r="F118" s="1273" t="s">
        <v>396</v>
      </c>
      <c r="G118" s="1273">
        <v>2E-3</v>
      </c>
      <c r="H118" s="1273">
        <v>-7.6999999999999999E-2</v>
      </c>
      <c r="I118" s="1273">
        <v>8.6999999999999994E-2</v>
      </c>
      <c r="J118" s="1273">
        <v>-1.2E-2</v>
      </c>
      <c r="K118" s="1273"/>
      <c r="L118" s="1217">
        <v>0.76600000000000001</v>
      </c>
      <c r="M118" s="1217"/>
    </row>
    <row r="119" spans="1:13">
      <c r="A119" s="1319">
        <v>31435</v>
      </c>
      <c r="B119" s="850" t="s">
        <v>1084</v>
      </c>
      <c r="C119" s="1272" t="s">
        <v>1071</v>
      </c>
      <c r="E119" s="850"/>
      <c r="F119" s="1273" t="s">
        <v>396</v>
      </c>
      <c r="G119" s="1273">
        <v>0.45400000000000001</v>
      </c>
      <c r="H119" s="1273" t="s">
        <v>396</v>
      </c>
      <c r="I119" s="1273" t="s">
        <v>396</v>
      </c>
      <c r="J119" s="1273" t="s">
        <v>396</v>
      </c>
      <c r="K119" s="1273"/>
      <c r="L119" s="1217">
        <v>0.55100000000000005</v>
      </c>
      <c r="M119" s="1217"/>
    </row>
    <row r="120" spans="1:13">
      <c r="A120" s="1319">
        <v>31435</v>
      </c>
      <c r="B120" s="850" t="s">
        <v>1085</v>
      </c>
      <c r="C120" s="1272" t="s">
        <v>1071</v>
      </c>
      <c r="E120" s="850"/>
      <c r="F120" s="1273" t="s">
        <v>396</v>
      </c>
      <c r="G120" s="1273">
        <v>0.23899999999999999</v>
      </c>
      <c r="H120" s="1273" t="s">
        <v>396</v>
      </c>
      <c r="I120" s="1273" t="s">
        <v>396</v>
      </c>
      <c r="J120" s="1273">
        <v>0.13800000000000001</v>
      </c>
      <c r="K120" s="1273"/>
      <c r="L120" s="1217">
        <v>0.57199999999999995</v>
      </c>
      <c r="M120" s="1217"/>
    </row>
    <row r="121" spans="1:13" ht="10" customHeight="1">
      <c r="B121" s="850"/>
      <c r="E121" s="850"/>
      <c r="F121" s="1273"/>
      <c r="G121" s="1273"/>
      <c r="H121" s="1273"/>
      <c r="I121" s="1273"/>
      <c r="J121" s="1273"/>
      <c r="K121" s="1273"/>
      <c r="L121" s="1217"/>
      <c r="M121" s="1217"/>
    </row>
    <row r="122" spans="1:13">
      <c r="A122" s="2264" t="s">
        <v>799</v>
      </c>
      <c r="B122" s="2218"/>
      <c r="C122" s="2265"/>
      <c r="D122" s="2265"/>
      <c r="E122" s="2218"/>
      <c r="F122" s="2268"/>
      <c r="G122" s="2268"/>
      <c r="H122" s="2268"/>
      <c r="I122" s="2268"/>
      <c r="J122" s="2268"/>
      <c r="K122" s="2268"/>
      <c r="L122" s="2284"/>
      <c r="M122" s="1217"/>
    </row>
    <row r="123" spans="1:13" ht="10" customHeight="1">
      <c r="B123" s="850"/>
      <c r="E123" s="850"/>
      <c r="F123" s="1273"/>
      <c r="G123" s="1273"/>
      <c r="H123" s="1273"/>
      <c r="I123" s="1273"/>
      <c r="J123" s="1273"/>
      <c r="K123" s="1273"/>
      <c r="L123" s="1217"/>
      <c r="M123" s="1217"/>
    </row>
    <row r="124" spans="1:13">
      <c r="A124" s="1319">
        <v>33010</v>
      </c>
      <c r="B124" s="850" t="s">
        <v>1085</v>
      </c>
      <c r="C124" s="1272" t="s">
        <v>1071</v>
      </c>
      <c r="E124" s="850"/>
      <c r="F124" s="1273" t="s">
        <v>396</v>
      </c>
      <c r="G124" s="1273">
        <v>-3.5000000000000003E-2</v>
      </c>
      <c r="H124" s="1273">
        <v>-1.7000000000000001E-2</v>
      </c>
      <c r="I124" s="1273">
        <v>-1.6E-2</v>
      </c>
      <c r="J124" s="1273">
        <v>-4.8000000000000001E-2</v>
      </c>
      <c r="K124" s="1273"/>
      <c r="L124" s="1217">
        <v>0.53400000000000003</v>
      </c>
      <c r="M124" s="1217"/>
    </row>
    <row r="125" spans="1:13" ht="10" customHeight="1">
      <c r="B125" s="850"/>
      <c r="E125" s="850"/>
      <c r="F125" s="1273"/>
      <c r="G125" s="1273"/>
      <c r="H125" s="1273"/>
      <c r="I125" s="1273"/>
      <c r="J125" s="1273"/>
      <c r="K125" s="1273"/>
      <c r="L125" s="1217"/>
      <c r="M125" s="1217"/>
    </row>
    <row r="126" spans="1:13">
      <c r="A126" s="2264" t="s">
        <v>800</v>
      </c>
      <c r="B126" s="2218"/>
      <c r="C126" s="2265"/>
      <c r="D126" s="2265"/>
      <c r="E126" s="2218"/>
      <c r="F126" s="2268"/>
      <c r="G126" s="2268"/>
      <c r="H126" s="2268"/>
      <c r="I126" s="2268"/>
      <c r="J126" s="2268"/>
      <c r="K126" s="2268"/>
      <c r="L126" s="2284"/>
      <c r="M126" s="1217"/>
    </row>
    <row r="127" spans="1:13" ht="10" customHeight="1">
      <c r="B127" s="850"/>
      <c r="E127" s="850"/>
      <c r="F127" s="1273"/>
      <c r="G127" s="1273"/>
      <c r="H127" s="1273"/>
      <c r="I127" s="1273"/>
      <c r="J127" s="1273"/>
      <c r="K127" s="1273"/>
      <c r="L127" s="1217"/>
      <c r="M127" s="1217"/>
    </row>
    <row r="128" spans="1:13">
      <c r="A128" s="1319">
        <v>34865</v>
      </c>
      <c r="B128" s="850" t="s">
        <v>1077</v>
      </c>
      <c r="C128" s="1272" t="s">
        <v>1099</v>
      </c>
      <c r="E128" s="850"/>
      <c r="F128" s="1273" t="s">
        <v>396</v>
      </c>
      <c r="G128" s="1273" t="s">
        <v>396</v>
      </c>
      <c r="H128" s="1273" t="s">
        <v>396</v>
      </c>
      <c r="I128" s="1273" t="s">
        <v>396</v>
      </c>
      <c r="J128" s="1273">
        <v>-0.193</v>
      </c>
      <c r="K128" s="1273"/>
      <c r="L128" s="1217">
        <v>0.38600000000000001</v>
      </c>
      <c r="M128" s="1217"/>
    </row>
    <row r="129" spans="1:13" ht="10" customHeight="1">
      <c r="B129" s="850"/>
      <c r="E129" s="850"/>
      <c r="F129" s="1273"/>
      <c r="G129" s="1273"/>
      <c r="H129" s="1273"/>
      <c r="I129" s="1273"/>
      <c r="J129" s="1273"/>
      <c r="K129" s="1273"/>
      <c r="L129" s="1217"/>
      <c r="M129" s="1217"/>
    </row>
    <row r="130" spans="1:13">
      <c r="A130" s="2264" t="s">
        <v>801</v>
      </c>
      <c r="B130" s="2218"/>
      <c r="C130" s="2265"/>
      <c r="D130" s="2265"/>
      <c r="E130" s="2218"/>
      <c r="F130" s="2268"/>
      <c r="G130" s="2268"/>
      <c r="H130" s="2268"/>
      <c r="I130" s="2268"/>
      <c r="J130" s="2268"/>
      <c r="K130" s="2268"/>
      <c r="L130" s="2284"/>
      <c r="M130" s="1217"/>
    </row>
    <row r="131" spans="1:13" ht="10" customHeight="1">
      <c r="B131" s="850"/>
      <c r="E131" s="850"/>
      <c r="F131" s="1273"/>
      <c r="G131" s="1273"/>
      <c r="H131" s="1273"/>
      <c r="I131" s="1273"/>
      <c r="J131" s="1273"/>
      <c r="K131" s="1273"/>
      <c r="L131" s="1217"/>
      <c r="M131" s="1217"/>
    </row>
    <row r="132" spans="1:13">
      <c r="A132" s="1319">
        <v>36790</v>
      </c>
      <c r="B132" s="850" t="s">
        <v>1074</v>
      </c>
      <c r="C132" s="1272" t="s">
        <v>1087</v>
      </c>
      <c r="E132" s="850"/>
      <c r="F132" s="1273" t="s">
        <v>396</v>
      </c>
      <c r="G132" s="1273">
        <v>-0.222</v>
      </c>
      <c r="H132" s="1273">
        <v>0.03</v>
      </c>
      <c r="I132" s="1273">
        <v>-4.7E-2</v>
      </c>
      <c r="J132" s="1273">
        <v>-0.05</v>
      </c>
      <c r="K132" s="1273"/>
      <c r="L132" s="1217">
        <v>0.43</v>
      </c>
      <c r="M132" s="1217"/>
    </row>
    <row r="133" spans="1:13" ht="10" customHeight="1">
      <c r="B133" s="850"/>
      <c r="E133" s="850"/>
      <c r="F133" s="1273"/>
      <c r="G133" s="1273"/>
      <c r="H133" s="1273"/>
      <c r="I133" s="1273"/>
      <c r="J133" s="1273"/>
      <c r="K133" s="1273"/>
      <c r="L133" s="1217"/>
      <c r="M133" s="1217"/>
    </row>
    <row r="134" spans="1:13">
      <c r="A134" s="2264" t="s">
        <v>802</v>
      </c>
      <c r="B134" s="2218"/>
      <c r="C134" s="2265"/>
      <c r="D134" s="2265"/>
      <c r="E134" s="2218"/>
      <c r="F134" s="2268"/>
      <c r="G134" s="2268"/>
      <c r="H134" s="2268"/>
      <c r="I134" s="2268"/>
      <c r="J134" s="2268"/>
      <c r="K134" s="2268"/>
      <c r="L134" s="2284"/>
      <c r="M134" s="1217"/>
    </row>
    <row r="135" spans="1:13" ht="10" customHeight="1">
      <c r="B135" s="850"/>
      <c r="E135" s="850"/>
      <c r="F135" s="1273"/>
      <c r="G135" s="1273"/>
      <c r="H135" s="1273"/>
      <c r="I135" s="1273"/>
      <c r="J135" s="1273"/>
      <c r="K135" s="1273"/>
      <c r="L135" s="1217"/>
      <c r="M135" s="1217"/>
    </row>
    <row r="136" spans="1:13">
      <c r="A136" s="1319" t="s">
        <v>199</v>
      </c>
      <c r="B136" s="850"/>
      <c r="E136" s="850"/>
      <c r="F136" s="1273"/>
      <c r="G136" s="1273"/>
      <c r="H136" s="1273"/>
      <c r="I136" s="1273"/>
      <c r="J136" s="1273"/>
      <c r="K136" s="1273"/>
      <c r="L136" s="1217"/>
      <c r="M136" s="1217"/>
    </row>
    <row r="137" spans="1:13" ht="10" customHeight="1">
      <c r="B137" s="850"/>
      <c r="E137" s="850"/>
      <c r="F137" s="1273"/>
      <c r="G137" s="1273"/>
      <c r="H137" s="1273"/>
      <c r="I137" s="1273"/>
      <c r="J137" s="1273"/>
      <c r="K137" s="1273"/>
      <c r="L137" s="1217"/>
      <c r="M137" s="1217"/>
    </row>
    <row r="138" spans="1:13">
      <c r="A138" s="2264" t="s">
        <v>714</v>
      </c>
      <c r="B138" s="2218"/>
      <c r="C138" s="2265"/>
      <c r="D138" s="2265"/>
      <c r="E138" s="2218"/>
      <c r="F138" s="2268"/>
      <c r="G138" s="2268"/>
      <c r="H138" s="2268"/>
      <c r="I138" s="2268"/>
      <c r="J138" s="2268"/>
      <c r="K138" s="2268"/>
      <c r="L138" s="2284"/>
      <c r="M138" s="1217"/>
    </row>
    <row r="139" spans="1:13" ht="10" customHeight="1">
      <c r="B139" s="850"/>
      <c r="E139" s="850"/>
      <c r="F139" s="1273"/>
      <c r="G139" s="1273"/>
      <c r="H139" s="1273"/>
      <c r="I139" s="1273"/>
      <c r="J139" s="1273"/>
      <c r="K139" s="1273"/>
      <c r="L139" s="1217"/>
      <c r="M139" s="1217"/>
    </row>
    <row r="140" spans="1:13">
      <c r="A140" s="1319" t="s">
        <v>199</v>
      </c>
      <c r="B140" s="850"/>
      <c r="E140" s="850"/>
      <c r="F140" s="1273"/>
      <c r="G140" s="1273"/>
      <c r="H140" s="1273"/>
      <c r="I140" s="1273"/>
      <c r="J140" s="1273"/>
      <c r="K140" s="1273"/>
      <c r="L140" s="1217"/>
      <c r="M140" s="1217"/>
    </row>
    <row r="141" spans="1:13" ht="10" customHeight="1">
      <c r="B141" s="850"/>
      <c r="E141" s="850"/>
      <c r="F141" s="1273"/>
      <c r="G141" s="1273"/>
      <c r="H141" s="1273"/>
      <c r="I141" s="1273"/>
      <c r="J141" s="1273"/>
      <c r="K141" s="1273"/>
      <c r="L141" s="1217"/>
      <c r="M141" s="1217"/>
    </row>
    <row r="142" spans="1:13">
      <c r="A142" s="2282" t="s">
        <v>979</v>
      </c>
      <c r="B142" s="2218"/>
      <c r="C142" s="2265"/>
      <c r="D142" s="2265"/>
      <c r="E142" s="2218"/>
      <c r="F142" s="2268"/>
      <c r="G142" s="2268"/>
      <c r="H142" s="2268"/>
      <c r="I142" s="2268"/>
      <c r="J142" s="2268"/>
      <c r="K142" s="2268"/>
      <c r="L142" s="2284"/>
      <c r="M142" s="1217"/>
    </row>
    <row r="143" spans="1:13" ht="10" customHeight="1">
      <c r="B143" s="850"/>
      <c r="E143" s="850"/>
      <c r="F143" s="1273"/>
      <c r="G143" s="1273"/>
      <c r="H143" s="1273"/>
      <c r="I143" s="1273"/>
      <c r="J143" s="1273"/>
      <c r="K143" s="1273"/>
      <c r="L143" s="1217"/>
      <c r="M143" s="1217"/>
    </row>
    <row r="144" spans="1:13">
      <c r="A144" s="1319">
        <v>40703</v>
      </c>
      <c r="B144" s="850" t="s">
        <v>1062</v>
      </c>
      <c r="C144" s="1272" t="s">
        <v>1063</v>
      </c>
      <c r="E144" s="850"/>
      <c r="F144" s="1273">
        <v>-1.4999999999999999E-2</v>
      </c>
      <c r="G144" s="1273">
        <v>-1.4E-2</v>
      </c>
      <c r="H144" s="1273">
        <v>-4.0000000000000001E-3</v>
      </c>
      <c r="I144" s="1273">
        <v>-2.9000000000000001E-2</v>
      </c>
      <c r="J144" s="1273">
        <v>6.3E-2</v>
      </c>
      <c r="K144" s="1273"/>
      <c r="L144" s="1217">
        <v>0.374</v>
      </c>
      <c r="M144" s="1217"/>
    </row>
    <row r="145" spans="1:14" s="1276" customFormat="1">
      <c r="A145" s="1328">
        <v>41340</v>
      </c>
      <c r="B145" s="867" t="s">
        <v>1081</v>
      </c>
      <c r="C145" s="1276" t="s">
        <v>1063</v>
      </c>
      <c r="E145" s="867"/>
      <c r="F145" s="1277" t="s">
        <v>246</v>
      </c>
      <c r="G145" s="1277" t="s">
        <v>246</v>
      </c>
      <c r="H145" s="2321">
        <v>-5.0720726366405178E-2</v>
      </c>
      <c r="I145" s="2321">
        <v>3.1455068717914897E-2</v>
      </c>
      <c r="J145" s="1277">
        <v>1.9265657648490253E-2</v>
      </c>
      <c r="K145" s="1277"/>
      <c r="L145" s="2322">
        <v>0.55375639957137757</v>
      </c>
      <c r="M145" s="1308"/>
      <c r="N145" s="2328"/>
    </row>
    <row r="146" spans="1:14" s="1276" customFormat="1" ht="10" customHeight="1">
      <c r="A146" s="1328"/>
      <c r="B146" s="867"/>
      <c r="E146" s="867"/>
      <c r="F146" s="1277"/>
      <c r="G146" s="1277"/>
      <c r="H146" s="2321"/>
      <c r="I146" s="2321"/>
      <c r="J146" s="1277"/>
      <c r="K146" s="1277"/>
      <c r="L146" s="2322"/>
      <c r="M146" s="1308"/>
      <c r="N146" s="2328"/>
    </row>
    <row r="147" spans="1:14">
      <c r="A147" s="2282" t="s">
        <v>2082</v>
      </c>
      <c r="B147" s="2218"/>
      <c r="C147" s="2218"/>
      <c r="D147" s="2218"/>
      <c r="E147" s="2218"/>
      <c r="F147" s="2268"/>
      <c r="G147" s="2268"/>
      <c r="H147" s="2268"/>
      <c r="I147" s="2268"/>
      <c r="J147" s="2268"/>
      <c r="K147" s="2268"/>
      <c r="L147" s="2284"/>
      <c r="M147" s="1217"/>
    </row>
    <row r="148" spans="1:14" ht="10" customHeight="1">
      <c r="A148" s="2325"/>
      <c r="B148" s="850"/>
      <c r="C148" s="850"/>
      <c r="D148" s="850"/>
      <c r="E148" s="850"/>
      <c r="F148" s="1273"/>
      <c r="G148" s="1273"/>
      <c r="H148" s="1273"/>
      <c r="I148" s="1273"/>
      <c r="J148" s="1273"/>
      <c r="K148" s="1273"/>
      <c r="L148" s="1217"/>
      <c r="M148" s="1217"/>
    </row>
    <row r="149" spans="1:14">
      <c r="A149" s="1319" t="s">
        <v>199</v>
      </c>
      <c r="B149" s="850"/>
      <c r="C149" s="850"/>
      <c r="D149" s="850"/>
      <c r="E149" s="850"/>
      <c r="F149" s="1273"/>
      <c r="G149" s="1273"/>
      <c r="H149" s="1273"/>
      <c r="I149" s="1273"/>
      <c r="J149" s="1273"/>
      <c r="K149" s="1273"/>
      <c r="L149" s="1217"/>
      <c r="M149" s="1217"/>
    </row>
    <row r="150" spans="1:14">
      <c r="A150" s="2282" t="s">
        <v>2221</v>
      </c>
      <c r="B150" s="2218"/>
      <c r="C150" s="2218"/>
      <c r="D150" s="2218"/>
      <c r="E150" s="2218"/>
      <c r="F150" s="2268"/>
      <c r="G150" s="2268"/>
      <c r="H150" s="2268"/>
      <c r="I150" s="2268"/>
      <c r="J150" s="2268"/>
      <c r="K150" s="2268"/>
      <c r="L150" s="2284"/>
      <c r="M150" s="1217"/>
    </row>
    <row r="151" spans="1:14" ht="10" customHeight="1">
      <c r="A151" s="2325"/>
      <c r="B151" s="850"/>
      <c r="C151" s="850"/>
      <c r="D151" s="850"/>
      <c r="E151" s="850"/>
      <c r="F151" s="1273"/>
      <c r="G151" s="1273"/>
      <c r="H151" s="1273"/>
      <c r="I151" s="1273"/>
      <c r="J151" s="1273"/>
      <c r="K151" s="1273"/>
      <c r="L151" s="1217"/>
      <c r="M151" s="1217"/>
    </row>
    <row r="152" spans="1:14">
      <c r="A152" s="1319">
        <v>43223</v>
      </c>
      <c r="B152" s="850" t="s">
        <v>2223</v>
      </c>
      <c r="C152" s="850" t="s">
        <v>1063</v>
      </c>
      <c r="D152" s="850"/>
      <c r="E152" s="850"/>
      <c r="F152" s="1273">
        <v>-0.03</v>
      </c>
      <c r="G152" s="1273">
        <v>3.1E-2</v>
      </c>
      <c r="H152" s="1273">
        <v>-4.1000000000000002E-2</v>
      </c>
      <c r="I152" s="1273">
        <v>4.9000000000000002E-2</v>
      </c>
      <c r="J152" s="1273">
        <v>1.9E-2</v>
      </c>
      <c r="K152" s="1273"/>
      <c r="L152" s="1217">
        <v>0.54600000000000004</v>
      </c>
      <c r="M152" s="1217"/>
    </row>
    <row r="153" spans="1:14" ht="4" customHeight="1">
      <c r="A153" s="1370"/>
      <c r="B153" s="871"/>
      <c r="C153" s="871"/>
      <c r="D153" s="871"/>
      <c r="E153" s="871"/>
      <c r="F153" s="1374"/>
      <c r="G153" s="1374"/>
      <c r="H153" s="1374"/>
      <c r="I153" s="1374"/>
      <c r="J153" s="1374"/>
      <c r="K153" s="1374"/>
      <c r="L153" s="1375"/>
      <c r="M153" s="1217"/>
    </row>
    <row r="154" spans="1:14" s="1349" customFormat="1" ht="11">
      <c r="A154" s="2330" t="s">
        <v>1113</v>
      </c>
      <c r="B154" s="1009"/>
      <c r="C154" s="1009"/>
      <c r="D154" s="1009"/>
      <c r="E154" s="1009"/>
      <c r="F154" s="2316"/>
      <c r="G154" s="2316"/>
      <c r="H154" s="2316"/>
      <c r="I154" s="2316"/>
      <c r="J154" s="2316"/>
      <c r="K154" s="2316"/>
      <c r="L154" s="1356"/>
      <c r="M154" s="1356"/>
      <c r="N154" s="2331"/>
    </row>
    <row r="155" spans="1:14" s="1349" customFormat="1" ht="22.5" customHeight="1">
      <c r="A155" s="3449" t="s">
        <v>1574</v>
      </c>
      <c r="B155" s="3449"/>
      <c r="C155" s="3449"/>
      <c r="D155" s="3449"/>
      <c r="E155" s="3449"/>
      <c r="F155" s="3449"/>
      <c r="G155" s="3449"/>
      <c r="H155" s="3449"/>
      <c r="I155" s="3449"/>
      <c r="J155" s="3449"/>
      <c r="K155" s="3449"/>
      <c r="L155" s="3449"/>
      <c r="M155" s="1356"/>
      <c r="N155" s="2331"/>
    </row>
    <row r="156" spans="1:14" s="1349" customFormat="1" ht="11">
      <c r="A156" s="2330" t="s">
        <v>1575</v>
      </c>
      <c r="B156" s="1009"/>
      <c r="C156" s="1009"/>
      <c r="D156" s="1009"/>
      <c r="E156" s="1009"/>
      <c r="F156" s="2316"/>
      <c r="G156" s="2316"/>
      <c r="H156" s="2316"/>
      <c r="I156" s="2316"/>
      <c r="J156" s="2316"/>
      <c r="K156" s="2316"/>
      <c r="L156" s="1356"/>
      <c r="M156" s="1356"/>
      <c r="N156" s="2331"/>
    </row>
    <row r="157" spans="1:14" s="1349" customFormat="1" ht="11">
      <c r="A157" s="2330"/>
      <c r="B157" s="1009"/>
      <c r="C157" s="1009"/>
      <c r="D157" s="1009"/>
      <c r="E157" s="1009"/>
      <c r="F157" s="2316"/>
      <c r="G157" s="2316"/>
      <c r="H157" s="2316"/>
      <c r="I157" s="2316"/>
      <c r="J157" s="2316"/>
      <c r="K157" s="2316"/>
      <c r="L157" s="1356"/>
      <c r="M157" s="1356"/>
      <c r="N157" s="2331"/>
    </row>
    <row r="158" spans="1:14" s="1349" customFormat="1" ht="11">
      <c r="A158" s="2330" t="s">
        <v>1356</v>
      </c>
      <c r="B158" s="1009"/>
      <c r="C158" s="1009"/>
      <c r="D158" s="1009"/>
      <c r="E158" s="1009"/>
      <c r="F158" s="2316"/>
      <c r="G158" s="2316"/>
      <c r="H158" s="2316"/>
      <c r="I158" s="2316"/>
      <c r="J158" s="2316"/>
      <c r="K158" s="2316"/>
      <c r="L158" s="1356"/>
      <c r="M158" s="1356"/>
      <c r="N158" s="2331"/>
    </row>
    <row r="159" spans="1:14" s="1349" customFormat="1" ht="11">
      <c r="A159" s="1067" t="s">
        <v>1092</v>
      </c>
      <c r="B159" s="1009" t="s">
        <v>1093</v>
      </c>
      <c r="C159" s="1009" t="s">
        <v>113</v>
      </c>
      <c r="D159" s="1009" t="s">
        <v>75</v>
      </c>
      <c r="E159" s="1009"/>
      <c r="F159" s="2316"/>
      <c r="G159" s="2316"/>
      <c r="H159" s="2316"/>
      <c r="I159" s="2316"/>
      <c r="J159" s="2316"/>
      <c r="K159" s="2316"/>
      <c r="L159" s="1356"/>
      <c r="M159" s="1356"/>
      <c r="N159" s="2331"/>
    </row>
    <row r="160" spans="1:14" s="1349" customFormat="1" ht="11">
      <c r="A160" s="1067" t="s">
        <v>1066</v>
      </c>
      <c r="B160" s="1009" t="s">
        <v>1094</v>
      </c>
      <c r="C160" s="1009" t="s">
        <v>1095</v>
      </c>
      <c r="D160" s="1009" t="s">
        <v>1096</v>
      </c>
      <c r="E160" s="1009"/>
      <c r="F160" s="2316"/>
      <c r="G160" s="2316"/>
      <c r="H160" s="2316"/>
      <c r="I160" s="2316"/>
      <c r="J160" s="2316"/>
      <c r="K160" s="2316"/>
      <c r="L160" s="1356"/>
      <c r="M160" s="1356"/>
      <c r="N160" s="2331"/>
    </row>
    <row r="161" spans="1:21" s="1349" customFormat="1" ht="11">
      <c r="A161" s="1067" t="s">
        <v>1065</v>
      </c>
      <c r="B161" s="1009" t="s">
        <v>27</v>
      </c>
      <c r="C161" s="1009" t="s">
        <v>1097</v>
      </c>
      <c r="D161" s="1009" t="s">
        <v>1098</v>
      </c>
      <c r="E161" s="1009"/>
      <c r="F161" s="2316"/>
      <c r="G161" s="2316"/>
      <c r="H161" s="2316"/>
      <c r="I161" s="2316"/>
      <c r="J161" s="2316"/>
      <c r="K161" s="2316"/>
      <c r="L161" s="1356"/>
      <c r="M161" s="1356"/>
      <c r="N161" s="2331"/>
    </row>
    <row r="162" spans="1:21" s="1349" customFormat="1" ht="11">
      <c r="A162" s="1067"/>
      <c r="B162" s="1009"/>
      <c r="C162" s="1009"/>
      <c r="D162" s="1009"/>
      <c r="E162" s="1009"/>
      <c r="F162" s="2316"/>
      <c r="G162" s="2316"/>
      <c r="H162" s="2316"/>
      <c r="I162" s="2316"/>
      <c r="J162" s="2316"/>
      <c r="K162" s="2316"/>
      <c r="L162" s="1356"/>
      <c r="M162" s="1356"/>
      <c r="N162" s="2331"/>
    </row>
    <row r="163" spans="1:21" s="1349" customFormat="1" ht="11">
      <c r="A163" s="2330" t="s">
        <v>1114</v>
      </c>
      <c r="B163" s="1009"/>
      <c r="C163" s="1009"/>
      <c r="D163" s="1009"/>
      <c r="E163" s="1009"/>
      <c r="F163" s="2316"/>
      <c r="G163" s="2316"/>
      <c r="H163" s="2316"/>
      <c r="I163" s="2316"/>
      <c r="J163" s="2316"/>
      <c r="K163" s="2316"/>
      <c r="L163" s="1322"/>
      <c r="M163" s="1322"/>
      <c r="N163" s="2331"/>
    </row>
    <row r="164" spans="1:21" s="1349" customFormat="1" ht="11">
      <c r="A164" s="2330" t="s">
        <v>2412</v>
      </c>
      <c r="B164" s="1009"/>
      <c r="C164" s="1009"/>
      <c r="D164" s="1009"/>
      <c r="E164" s="1009"/>
      <c r="F164" s="1180"/>
      <c r="G164" s="1180"/>
      <c r="H164" s="1180"/>
      <c r="I164" s="1180"/>
      <c r="J164" s="1180"/>
      <c r="K164" s="1180"/>
      <c r="L164" s="1009"/>
      <c r="M164" s="1009"/>
      <c r="N164" s="2331"/>
    </row>
    <row r="165" spans="1:21" s="1349" customFormat="1" ht="11">
      <c r="A165" s="2330" t="s">
        <v>2413</v>
      </c>
      <c r="B165" s="1009"/>
      <c r="C165" s="1009"/>
      <c r="D165" s="1009"/>
      <c r="E165" s="1009"/>
      <c r="F165" s="1180"/>
      <c r="G165" s="1180"/>
      <c r="H165" s="1180"/>
      <c r="I165" s="1180"/>
      <c r="J165" s="1180"/>
      <c r="K165" s="1180"/>
      <c r="L165" s="1009"/>
      <c r="M165" s="1009"/>
      <c r="N165" s="2331"/>
    </row>
    <row r="166" spans="1:21" s="1349" customFormat="1" ht="11">
      <c r="A166" s="1067" t="s">
        <v>2414</v>
      </c>
      <c r="F166" s="2334"/>
      <c r="G166" s="2335"/>
      <c r="H166" s="2335"/>
      <c r="I166" s="2335"/>
      <c r="J166" s="2335"/>
      <c r="L166" s="2336"/>
      <c r="M166" s="2336"/>
      <c r="N166" s="2331"/>
    </row>
    <row r="167" spans="1:21" s="1349" customFormat="1" ht="11">
      <c r="A167" s="1067" t="s">
        <v>2415</v>
      </c>
      <c r="F167" s="2334"/>
      <c r="G167" s="2335"/>
      <c r="H167" s="2335"/>
      <c r="I167" s="2335"/>
      <c r="J167" s="2335"/>
      <c r="L167" s="2336"/>
      <c r="M167" s="2336"/>
      <c r="N167" s="2331"/>
    </row>
    <row r="168" spans="1:21" s="1349" customFormat="1" ht="11">
      <c r="A168" s="3398" t="s">
        <v>2416</v>
      </c>
      <c r="B168" s="3398"/>
      <c r="C168" s="3398"/>
      <c r="D168" s="3398"/>
      <c r="E168" s="3398"/>
      <c r="F168" s="3398"/>
      <c r="G168" s="3398"/>
      <c r="H168" s="3398"/>
      <c r="I168" s="1180"/>
      <c r="J168" s="1180"/>
      <c r="K168" s="1012"/>
      <c r="L168" s="1012"/>
      <c r="M168" s="1012"/>
      <c r="N168" s="2331"/>
    </row>
    <row r="169" spans="1:21" s="1349" customFormat="1" ht="11">
      <c r="A169" s="1067" t="s">
        <v>2417</v>
      </c>
      <c r="B169" s="1009"/>
      <c r="C169" s="1009"/>
      <c r="D169" s="1009"/>
      <c r="E169" s="1009"/>
      <c r="F169" s="1180"/>
      <c r="G169" s="1180"/>
      <c r="H169" s="1180"/>
      <c r="I169" s="1180"/>
      <c r="J169" s="1180"/>
      <c r="K169" s="1180"/>
      <c r="L169" s="1009"/>
      <c r="M169" s="1009"/>
      <c r="N169" s="2331"/>
    </row>
    <row r="174" spans="1:21">
      <c r="O174" s="1910" t="s">
        <v>113</v>
      </c>
      <c r="P174" s="1910" t="s">
        <v>1066</v>
      </c>
      <c r="Q174" s="1910" t="s">
        <v>1097</v>
      </c>
      <c r="R174" s="1910" t="s">
        <v>1095</v>
      </c>
      <c r="S174" s="1910" t="s">
        <v>1092</v>
      </c>
    </row>
    <row r="175" spans="1:21">
      <c r="M175" s="1256"/>
      <c r="N175" s="1256"/>
      <c r="U175" s="1256"/>
    </row>
    <row r="176" spans="1:21" ht="56">
      <c r="M176" s="1910"/>
      <c r="N176" s="1910" t="s">
        <v>1577</v>
      </c>
      <c r="O176" s="1137" t="s">
        <v>1701</v>
      </c>
      <c r="P176" s="2281" t="s">
        <v>1094</v>
      </c>
      <c r="Q176" s="1137" t="s">
        <v>1699</v>
      </c>
      <c r="R176" s="1012" t="s">
        <v>1096</v>
      </c>
      <c r="S176" s="1137" t="s">
        <v>1700</v>
      </c>
      <c r="T176" s="1272" t="s">
        <v>117</v>
      </c>
      <c r="U176" s="1910" t="s">
        <v>1168</v>
      </c>
    </row>
    <row r="177" spans="13:21">
      <c r="M177" s="1103" t="s">
        <v>229</v>
      </c>
      <c r="N177" s="1910">
        <v>1</v>
      </c>
      <c r="O177" s="1910"/>
      <c r="P177" s="1910"/>
      <c r="Q177" s="1910"/>
      <c r="R177" s="1910"/>
      <c r="S177" s="1910"/>
      <c r="T177" s="1272">
        <v>-1</v>
      </c>
      <c r="U177" s="1910">
        <v>2</v>
      </c>
    </row>
    <row r="178" spans="13:21">
      <c r="M178" s="1103" t="s">
        <v>230</v>
      </c>
      <c r="N178" s="1910"/>
      <c r="O178" s="1910">
        <v>1</v>
      </c>
      <c r="P178" s="1910">
        <v>-1</v>
      </c>
      <c r="Q178" s="1910"/>
      <c r="R178" s="1910"/>
      <c r="S178" s="1910"/>
      <c r="U178" s="1910">
        <v>14</v>
      </c>
    </row>
    <row r="179" spans="13:21">
      <c r="M179" s="1103" t="s">
        <v>231</v>
      </c>
      <c r="N179" s="1910"/>
      <c r="O179" s="1910"/>
      <c r="P179" s="1910"/>
      <c r="Q179" s="1910"/>
      <c r="R179" s="1910"/>
      <c r="S179" s="1910"/>
      <c r="U179" s="1910">
        <v>1</v>
      </c>
    </row>
    <row r="180" spans="13:21">
      <c r="M180" s="2323" t="s">
        <v>232</v>
      </c>
      <c r="N180" s="2340"/>
      <c r="O180" s="2340"/>
      <c r="P180" s="2340"/>
      <c r="Q180" s="2340">
        <v>1</v>
      </c>
      <c r="R180" s="2340">
        <v>-1</v>
      </c>
      <c r="S180" s="2340"/>
      <c r="T180" s="2341"/>
      <c r="U180" s="2340"/>
    </row>
    <row r="181" spans="13:21">
      <c r="M181" s="1103" t="s">
        <v>233</v>
      </c>
      <c r="N181" s="1910"/>
      <c r="O181" s="1910"/>
      <c r="P181" s="1910">
        <v>-1</v>
      </c>
      <c r="Q181" s="1910"/>
      <c r="R181" s="1910"/>
      <c r="S181" s="1910">
        <v>1</v>
      </c>
      <c r="U181" s="1910"/>
    </row>
    <row r="182" spans="13:21">
      <c r="M182" s="1103" t="s">
        <v>1528</v>
      </c>
      <c r="N182" s="1910"/>
      <c r="O182" s="1910"/>
      <c r="P182" s="1910"/>
      <c r="Q182" s="1910"/>
      <c r="R182" s="1910"/>
      <c r="S182" s="1910"/>
      <c r="U182" s="1910">
        <v>2</v>
      </c>
    </row>
    <row r="183" spans="13:21">
      <c r="M183" s="3051" t="s">
        <v>2717</v>
      </c>
      <c r="N183" s="1256"/>
      <c r="O183" s="1256"/>
      <c r="P183" s="1256"/>
      <c r="Q183" s="1256"/>
      <c r="U183" s="1256">
        <v>1</v>
      </c>
    </row>
    <row r="184" spans="13:21">
      <c r="M184" s="2297" t="s">
        <v>2751</v>
      </c>
    </row>
    <row r="195" spans="1:14" s="1276" customFormat="1">
      <c r="A195" s="1328"/>
      <c r="G195" s="862"/>
      <c r="H195" s="862"/>
      <c r="I195" s="862"/>
      <c r="J195" s="862"/>
      <c r="L195" s="2298"/>
      <c r="M195" s="2298"/>
      <c r="N195" s="2328"/>
    </row>
  </sheetData>
  <mergeCells count="8">
    <mergeCell ref="F5:J5"/>
    <mergeCell ref="F83:J83"/>
    <mergeCell ref="A168:H168"/>
    <mergeCell ref="A75:L75"/>
    <mergeCell ref="A77:L77"/>
    <mergeCell ref="A80:L80"/>
    <mergeCell ref="C98:D99"/>
    <mergeCell ref="A155:L155"/>
  </mergeCells>
  <pageMargins left="0.74803149606299213" right="0.74803149606299213" top="0.98425196850393704" bottom="0.98425196850393704" header="0.51181102362204722" footer="0.51181102362204722"/>
  <pageSetup paperSize="9" scale="70" firstPageNumber="31" fitToWidth="0" fitToHeight="0" orientation="portrait" useFirstPageNumber="1"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1" manualBreakCount="1">
    <brk id="80" max="16383"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6">
    <tabColor theme="4"/>
  </sheetPr>
  <dimension ref="A2:J33"/>
  <sheetViews>
    <sheetView showGridLines="0" zoomScale="80" zoomScaleNormal="80" workbookViewId="0">
      <selection activeCell="A3" sqref="A3:J33"/>
    </sheetView>
  </sheetViews>
  <sheetFormatPr baseColWidth="10" defaultColWidth="9.3984375" defaultRowHeight="14"/>
  <cols>
    <col min="1" max="1" width="18.19921875" style="850" customWidth="1"/>
    <col min="2" max="8" width="10.3984375" style="861" customWidth="1"/>
    <col min="9" max="10" width="10.3984375" style="850" customWidth="1"/>
    <col min="11" max="16384" width="9.3984375" style="850"/>
  </cols>
  <sheetData>
    <row r="2" spans="1:10">
      <c r="A2" s="880"/>
    </row>
    <row r="3" spans="1:10" ht="16">
      <c r="A3" s="1122" t="s">
        <v>2478</v>
      </c>
      <c r="B3" s="3242"/>
      <c r="C3" s="3242"/>
      <c r="D3" s="3242"/>
      <c r="E3" s="3242"/>
      <c r="F3" s="3242"/>
      <c r="G3" s="3242"/>
      <c r="H3" s="3242"/>
      <c r="I3" s="1122"/>
      <c r="J3" s="1122"/>
    </row>
    <row r="4" spans="1:10" ht="1" customHeight="1">
      <c r="A4" s="3243"/>
      <c r="B4" s="3244"/>
      <c r="C4" s="3244"/>
      <c r="D4" s="3244"/>
      <c r="E4" s="3244"/>
      <c r="F4" s="3244"/>
      <c r="G4" s="3244"/>
      <c r="H4" s="3244"/>
      <c r="I4" s="3243"/>
      <c r="J4" s="3243"/>
    </row>
    <row r="5" spans="1:10" ht="15">
      <c r="A5" s="1184"/>
      <c r="B5" s="3247">
        <v>1979</v>
      </c>
      <c r="C5" s="3247">
        <v>1984</v>
      </c>
      <c r="D5" s="3247">
        <v>1989</v>
      </c>
      <c r="E5" s="3247">
        <v>1994</v>
      </c>
      <c r="F5" s="3247">
        <v>1999</v>
      </c>
      <c r="G5" s="3247">
        <v>2004</v>
      </c>
      <c r="H5" s="3247">
        <v>2009</v>
      </c>
      <c r="I5" s="3247">
        <v>2014</v>
      </c>
      <c r="J5" s="3247">
        <v>2019</v>
      </c>
    </row>
    <row r="6" spans="1:10" ht="1" customHeight="1">
      <c r="A6" s="1176"/>
      <c r="B6" s="3248"/>
      <c r="C6" s="3248"/>
      <c r="D6" s="3248"/>
      <c r="E6" s="3248"/>
      <c r="F6" s="3248"/>
      <c r="G6" s="3248"/>
      <c r="H6" s="3248"/>
      <c r="I6" s="1176"/>
      <c r="J6" s="1176"/>
    </row>
    <row r="7" spans="1:10" ht="16">
      <c r="A7" s="3249" t="s">
        <v>35</v>
      </c>
      <c r="B7" s="3250"/>
      <c r="C7" s="3250"/>
      <c r="D7" s="3250"/>
      <c r="E7" s="3250"/>
      <c r="F7" s="3250"/>
      <c r="G7" s="3250"/>
      <c r="H7" s="3250"/>
      <c r="I7" s="3094"/>
      <c r="J7" s="3094"/>
    </row>
    <row r="8" spans="1:10" ht="3" customHeight="1">
      <c r="A8" s="1176"/>
      <c r="B8" s="1177"/>
      <c r="C8" s="1177"/>
      <c r="D8" s="1177"/>
      <c r="E8" s="1177"/>
      <c r="F8" s="1177"/>
      <c r="G8" s="1177"/>
      <c r="H8" s="1177"/>
      <c r="I8" s="1176"/>
      <c r="J8" s="1176"/>
    </row>
    <row r="9" spans="1:10" ht="13.5" customHeight="1">
      <c r="A9" s="1176" t="s">
        <v>816</v>
      </c>
      <c r="B9" s="1177" t="s">
        <v>103</v>
      </c>
      <c r="C9" s="1177" t="s">
        <v>103</v>
      </c>
      <c r="D9" s="1177" t="s">
        <v>103</v>
      </c>
      <c r="E9" s="1177" t="s">
        <v>103</v>
      </c>
      <c r="F9" s="1177">
        <v>0</v>
      </c>
      <c r="G9" s="1177">
        <v>0</v>
      </c>
      <c r="H9" s="1177">
        <v>2</v>
      </c>
      <c r="I9" s="2235">
        <v>0</v>
      </c>
      <c r="J9" s="2235">
        <v>0</v>
      </c>
    </row>
    <row r="10" spans="1:10" ht="13.25" customHeight="1">
      <c r="A10" s="1176" t="s">
        <v>2510</v>
      </c>
      <c r="B10" s="1177" t="s">
        <v>103</v>
      </c>
      <c r="C10" s="1177" t="s">
        <v>103</v>
      </c>
      <c r="D10" s="1177" t="s">
        <v>103</v>
      </c>
      <c r="E10" s="1177" t="s">
        <v>103</v>
      </c>
      <c r="F10" s="1177" t="s">
        <v>103</v>
      </c>
      <c r="G10" s="1177" t="s">
        <v>103</v>
      </c>
      <c r="H10" s="1177" t="s">
        <v>103</v>
      </c>
      <c r="I10" s="1177" t="s">
        <v>103</v>
      </c>
      <c r="J10" s="2235">
        <v>29</v>
      </c>
    </row>
    <row r="11" spans="1:10" ht="15" customHeight="1">
      <c r="A11" s="1176" t="s">
        <v>13</v>
      </c>
      <c r="B11" s="1177">
        <v>60</v>
      </c>
      <c r="C11" s="1177">
        <v>45</v>
      </c>
      <c r="D11" s="1177">
        <v>32</v>
      </c>
      <c r="E11" s="1177">
        <v>18</v>
      </c>
      <c r="F11" s="1177">
        <v>36</v>
      </c>
      <c r="G11" s="1177">
        <v>27</v>
      </c>
      <c r="H11" s="1177">
        <v>25</v>
      </c>
      <c r="I11" s="2235">
        <v>19</v>
      </c>
      <c r="J11" s="2235">
        <v>4</v>
      </c>
    </row>
    <row r="12" spans="1:10" ht="15.5" customHeight="1">
      <c r="A12" s="1176" t="s">
        <v>115</v>
      </c>
      <c r="B12" s="1177">
        <v>0</v>
      </c>
      <c r="C12" s="1177">
        <v>0</v>
      </c>
      <c r="D12" s="1177">
        <v>0</v>
      </c>
      <c r="E12" s="1177">
        <v>0</v>
      </c>
      <c r="F12" s="1177">
        <v>2</v>
      </c>
      <c r="G12" s="1177">
        <v>2</v>
      </c>
      <c r="H12" s="1177">
        <v>2</v>
      </c>
      <c r="I12" s="2235">
        <v>3</v>
      </c>
      <c r="J12" s="2235">
        <v>7</v>
      </c>
    </row>
    <row r="13" spans="1:10" ht="13.5" customHeight="1">
      <c r="A13" s="1176" t="s">
        <v>260</v>
      </c>
      <c r="B13" s="1177">
        <v>17</v>
      </c>
      <c r="C13" s="1177">
        <v>32</v>
      </c>
      <c r="D13" s="1177">
        <v>45</v>
      </c>
      <c r="E13" s="1177">
        <v>62</v>
      </c>
      <c r="F13" s="1177">
        <v>29</v>
      </c>
      <c r="G13" s="1177">
        <v>19</v>
      </c>
      <c r="H13" s="1177">
        <v>13</v>
      </c>
      <c r="I13" s="2235">
        <v>20</v>
      </c>
      <c r="J13" s="2235">
        <v>10</v>
      </c>
    </row>
    <row r="14" spans="1:10" ht="13.5" customHeight="1">
      <c r="A14" s="1176" t="s">
        <v>22</v>
      </c>
      <c r="B14" s="1177">
        <v>0</v>
      </c>
      <c r="C14" s="1177">
        <v>0</v>
      </c>
      <c r="D14" s="1177">
        <v>0</v>
      </c>
      <c r="E14" s="1177">
        <v>2</v>
      </c>
      <c r="F14" s="1177">
        <v>10</v>
      </c>
      <c r="G14" s="1177">
        <v>12</v>
      </c>
      <c r="H14" s="1177">
        <v>11</v>
      </c>
      <c r="I14" s="2235">
        <v>1</v>
      </c>
      <c r="J14" s="2235">
        <v>16</v>
      </c>
    </row>
    <row r="15" spans="1:10" ht="13.5" customHeight="1">
      <c r="A15" s="1176" t="s">
        <v>23</v>
      </c>
      <c r="B15" s="1177">
        <v>0</v>
      </c>
      <c r="C15" s="1177">
        <v>0</v>
      </c>
      <c r="D15" s="1177">
        <v>0</v>
      </c>
      <c r="E15" s="1177">
        <v>0</v>
      </c>
      <c r="F15" s="1177">
        <v>2</v>
      </c>
      <c r="G15" s="1177">
        <v>1</v>
      </c>
      <c r="H15" s="1177">
        <v>1</v>
      </c>
      <c r="I15" s="2235">
        <v>1</v>
      </c>
      <c r="J15" s="2235">
        <v>1</v>
      </c>
    </row>
    <row r="16" spans="1:10" ht="13.5" customHeight="1">
      <c r="A16" s="1176" t="s">
        <v>24</v>
      </c>
      <c r="B16" s="1177">
        <v>1</v>
      </c>
      <c r="C16" s="1177">
        <v>1</v>
      </c>
      <c r="D16" s="1177">
        <v>1</v>
      </c>
      <c r="E16" s="1177">
        <v>2</v>
      </c>
      <c r="F16" s="1177">
        <v>2</v>
      </c>
      <c r="G16" s="1177">
        <v>2</v>
      </c>
      <c r="H16" s="1177">
        <v>2</v>
      </c>
      <c r="I16" s="2235">
        <v>2</v>
      </c>
      <c r="J16" s="2235">
        <v>3</v>
      </c>
    </row>
    <row r="17" spans="1:10" ht="13.5" customHeight="1">
      <c r="A17" s="1176" t="s">
        <v>251</v>
      </c>
      <c r="B17" s="1177" t="s">
        <v>103</v>
      </c>
      <c r="C17" s="1177" t="s">
        <v>103</v>
      </c>
      <c r="D17" s="1177" t="s">
        <v>103</v>
      </c>
      <c r="E17" s="1177">
        <v>0</v>
      </c>
      <c r="F17" s="1177">
        <v>3</v>
      </c>
      <c r="G17" s="1177">
        <v>12</v>
      </c>
      <c r="H17" s="1177">
        <v>13</v>
      </c>
      <c r="I17" s="2235">
        <v>24</v>
      </c>
      <c r="J17" s="2235">
        <v>0</v>
      </c>
    </row>
    <row r="18" spans="1:10" ht="6.75" customHeight="1">
      <c r="A18" s="1176"/>
      <c r="B18" s="1177"/>
      <c r="C18" s="1177"/>
      <c r="D18" s="1177"/>
      <c r="E18" s="1177"/>
      <c r="F18" s="1177"/>
      <c r="G18" s="1177"/>
      <c r="H18" s="1177"/>
      <c r="I18" s="1176"/>
      <c r="J18" s="1176"/>
    </row>
    <row r="19" spans="1:10" ht="1" hidden="1" customHeight="1">
      <c r="A19" s="1176"/>
      <c r="B19" s="1177"/>
      <c r="C19" s="1177"/>
      <c r="D19" s="1177"/>
      <c r="E19" s="1177"/>
      <c r="F19" s="1177"/>
      <c r="G19" s="1177"/>
      <c r="H19" s="1177"/>
      <c r="I19" s="3251"/>
      <c r="J19" s="3251"/>
    </row>
    <row r="20" spans="1:10" s="880" customFormat="1" ht="16">
      <c r="A20" s="1060" t="s">
        <v>16</v>
      </c>
      <c r="B20" s="2237">
        <v>78</v>
      </c>
      <c r="C20" s="2237">
        <v>78</v>
      </c>
      <c r="D20" s="2237">
        <v>78</v>
      </c>
      <c r="E20" s="2237">
        <v>84</v>
      </c>
      <c r="F20" s="2237">
        <v>84</v>
      </c>
      <c r="G20" s="2237">
        <v>75</v>
      </c>
      <c r="H20" s="2237">
        <v>69</v>
      </c>
      <c r="I20" s="3252">
        <v>70</v>
      </c>
      <c r="J20" s="3252">
        <v>70</v>
      </c>
    </row>
    <row r="21" spans="1:10" ht="3.75" customHeight="1">
      <c r="A21" s="1176"/>
      <c r="B21" s="1177"/>
      <c r="C21" s="1177"/>
      <c r="D21" s="1177"/>
      <c r="E21" s="1177"/>
      <c r="F21" s="1177"/>
      <c r="G21" s="1177"/>
      <c r="H21" s="1177"/>
      <c r="I21" s="1176"/>
      <c r="J21" s="1176"/>
    </row>
    <row r="22" spans="1:10" ht="16">
      <c r="A22" s="3249" t="s">
        <v>20</v>
      </c>
      <c r="B22" s="3253"/>
      <c r="C22" s="3253"/>
      <c r="D22" s="3253"/>
      <c r="E22" s="3253"/>
      <c r="F22" s="3253"/>
      <c r="G22" s="3253"/>
      <c r="H22" s="3253"/>
      <c r="I22" s="3094"/>
      <c r="J22" s="3094"/>
    </row>
    <row r="23" spans="1:10" ht="3" customHeight="1">
      <c r="A23" s="1176"/>
      <c r="B23" s="1177"/>
      <c r="C23" s="1177"/>
      <c r="D23" s="1177"/>
      <c r="E23" s="1177"/>
      <c r="F23" s="1177"/>
      <c r="G23" s="1177"/>
      <c r="H23" s="1177"/>
      <c r="I23" s="1176"/>
      <c r="J23" s="1176"/>
    </row>
    <row r="24" spans="1:10" ht="13.5" customHeight="1">
      <c r="A24" s="1176" t="s">
        <v>71</v>
      </c>
      <c r="B24" s="1177">
        <v>0</v>
      </c>
      <c r="C24" s="1177">
        <v>0</v>
      </c>
      <c r="D24" s="1177">
        <v>0</v>
      </c>
      <c r="E24" s="1177">
        <v>0</v>
      </c>
      <c r="F24" s="1177">
        <v>0</v>
      </c>
      <c r="G24" s="1177">
        <v>0</v>
      </c>
      <c r="H24" s="1177">
        <v>0</v>
      </c>
      <c r="I24" s="1176">
        <v>0</v>
      </c>
      <c r="J24" s="1176">
        <v>1</v>
      </c>
    </row>
    <row r="25" spans="1:10" ht="13.5" customHeight="1">
      <c r="A25" s="1176" t="s">
        <v>1092</v>
      </c>
      <c r="B25" s="1177">
        <v>1</v>
      </c>
      <c r="C25" s="1177">
        <v>1</v>
      </c>
      <c r="D25" s="1177">
        <v>1</v>
      </c>
      <c r="E25" s="1177">
        <v>1</v>
      </c>
      <c r="F25" s="1177">
        <v>1</v>
      </c>
      <c r="G25" s="1177">
        <v>1</v>
      </c>
      <c r="H25" s="1177">
        <v>1</v>
      </c>
      <c r="I25" s="2235">
        <v>1</v>
      </c>
      <c r="J25" s="2235">
        <v>1</v>
      </c>
    </row>
    <row r="26" spans="1:10" ht="13.5" customHeight="1">
      <c r="A26" s="1176" t="s">
        <v>113</v>
      </c>
      <c r="B26" s="1177">
        <v>1</v>
      </c>
      <c r="C26" s="1177">
        <v>1</v>
      </c>
      <c r="D26" s="1177">
        <v>1</v>
      </c>
      <c r="E26" s="1177">
        <v>1</v>
      </c>
      <c r="F26" s="1177">
        <v>1</v>
      </c>
      <c r="G26" s="1177">
        <v>0</v>
      </c>
      <c r="H26" s="1177">
        <v>0</v>
      </c>
      <c r="I26" s="2235">
        <v>0</v>
      </c>
      <c r="J26" s="2235">
        <v>0</v>
      </c>
    </row>
    <row r="27" spans="1:10" ht="13.5" customHeight="1">
      <c r="A27" s="1176" t="s">
        <v>729</v>
      </c>
      <c r="B27" s="1177" t="s">
        <v>103</v>
      </c>
      <c r="C27" s="1177">
        <v>0</v>
      </c>
      <c r="D27" s="1177">
        <v>0</v>
      </c>
      <c r="E27" s="1177">
        <v>0</v>
      </c>
      <c r="F27" s="1177">
        <v>0</v>
      </c>
      <c r="G27" s="1177">
        <v>1</v>
      </c>
      <c r="H27" s="1177">
        <v>1</v>
      </c>
      <c r="I27" s="2235">
        <v>1</v>
      </c>
      <c r="J27" s="2235">
        <v>1</v>
      </c>
    </row>
    <row r="28" spans="1:10" ht="13.5" customHeight="1">
      <c r="A28" s="1176" t="s">
        <v>1066</v>
      </c>
      <c r="B28" s="1177">
        <v>1</v>
      </c>
      <c r="C28" s="1177">
        <v>1</v>
      </c>
      <c r="D28" s="1177">
        <v>1</v>
      </c>
      <c r="E28" s="1177">
        <v>1</v>
      </c>
      <c r="F28" s="1177">
        <v>1</v>
      </c>
      <c r="G28" s="1177">
        <v>1</v>
      </c>
      <c r="H28" s="1177">
        <v>1</v>
      </c>
      <c r="I28" s="2235">
        <v>1</v>
      </c>
      <c r="J28" s="2235">
        <v>0</v>
      </c>
    </row>
    <row r="29" spans="1:10" ht="3" customHeight="1">
      <c r="A29" s="1176"/>
      <c r="B29" s="1177"/>
      <c r="C29" s="1177"/>
      <c r="D29" s="1177"/>
      <c r="E29" s="1177"/>
      <c r="F29" s="1177"/>
      <c r="G29" s="1177"/>
      <c r="H29" s="1177"/>
      <c r="I29" s="1176"/>
      <c r="J29" s="1176"/>
    </row>
    <row r="30" spans="1:10" ht="13.5" customHeight="1">
      <c r="A30" s="3251" t="s">
        <v>16</v>
      </c>
      <c r="B30" s="3254">
        <v>3</v>
      </c>
      <c r="C30" s="3254">
        <v>3</v>
      </c>
      <c r="D30" s="3254">
        <v>3</v>
      </c>
      <c r="E30" s="3254">
        <v>3</v>
      </c>
      <c r="F30" s="3254">
        <v>3</v>
      </c>
      <c r="G30" s="3254">
        <v>3</v>
      </c>
      <c r="H30" s="3254">
        <v>3</v>
      </c>
      <c r="I30" s="3255">
        <v>3</v>
      </c>
      <c r="J30" s="3255">
        <v>3</v>
      </c>
    </row>
    <row r="31" spans="1:10" ht="1" customHeight="1">
      <c r="A31" s="1176"/>
      <c r="B31" s="1177"/>
      <c r="C31" s="1177"/>
      <c r="D31" s="1177"/>
      <c r="E31" s="1177"/>
      <c r="F31" s="1177"/>
      <c r="G31" s="1177"/>
      <c r="H31" s="1177"/>
      <c r="I31" s="1176"/>
      <c r="J31" s="1176"/>
    </row>
    <row r="32" spans="1:10" ht="16">
      <c r="A32" s="1060" t="s">
        <v>702</v>
      </c>
      <c r="B32" s="2237">
        <v>81</v>
      </c>
      <c r="C32" s="2237">
        <v>81</v>
      </c>
      <c r="D32" s="2237">
        <v>81</v>
      </c>
      <c r="E32" s="2237">
        <v>87</v>
      </c>
      <c r="F32" s="2237">
        <v>87</v>
      </c>
      <c r="G32" s="2237">
        <v>78</v>
      </c>
      <c r="H32" s="2237">
        <v>72</v>
      </c>
      <c r="I32" s="2237">
        <v>73</v>
      </c>
      <c r="J32" s="2237">
        <v>73</v>
      </c>
    </row>
    <row r="33" spans="1:10" ht="4" customHeight="1">
      <c r="A33" s="3245"/>
      <c r="B33" s="3246"/>
      <c r="C33" s="3246"/>
      <c r="D33" s="3246"/>
      <c r="E33" s="3246"/>
      <c r="F33" s="3246"/>
      <c r="G33" s="3246"/>
      <c r="H33" s="3246"/>
      <c r="I33" s="3246"/>
      <c r="J33" s="3246"/>
    </row>
  </sheetData>
  <sortState xmlns:xlrd2="http://schemas.microsoft.com/office/spreadsheetml/2017/richdata2" ref="A24:J28">
    <sortCondition ref="A24:A28"/>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H5:AA42"/>
  <sheetViews>
    <sheetView showGridLines="0" zoomScale="85" zoomScaleNormal="85" workbookViewId="0">
      <selection activeCell="O25" sqref="O25"/>
    </sheetView>
  </sheetViews>
  <sheetFormatPr baseColWidth="10" defaultColWidth="9" defaultRowHeight="13"/>
  <sheetData>
    <row r="5" spans="8:8">
      <c r="H5" s="2545"/>
    </row>
    <row r="42" spans="15:27">
      <c r="O42" t="s">
        <v>1199</v>
      </c>
      <c r="R42" t="s">
        <v>2448</v>
      </c>
      <c r="V42" t="s">
        <v>18</v>
      </c>
      <c r="AA42" t="s">
        <v>19</v>
      </c>
    </row>
  </sheetData>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7"/>
  <dimension ref="A1:M43"/>
  <sheetViews>
    <sheetView showGridLines="0" zoomScale="50" zoomScaleNormal="50" workbookViewId="0">
      <selection activeCell="S34" sqref="S34"/>
    </sheetView>
  </sheetViews>
  <sheetFormatPr baseColWidth="10" defaultColWidth="9.3984375" defaultRowHeight="13"/>
  <cols>
    <col min="1" max="1" width="20.796875" style="113" customWidth="1"/>
    <col min="2" max="2" width="9.19921875" style="113" customWidth="1"/>
    <col min="3" max="3" width="9.3984375" style="113"/>
    <col min="4" max="9" width="9.3984375" style="238"/>
    <col min="10" max="10" width="9.3984375" style="238" customWidth="1"/>
    <col min="11" max="13" width="8.796875" customWidth="1"/>
    <col min="14" max="16384" width="9.3984375" style="113"/>
  </cols>
  <sheetData>
    <row r="1" spans="1:10">
      <c r="I1" s="115"/>
    </row>
    <row r="7" spans="1:10">
      <c r="A7" s="178" t="s">
        <v>2478</v>
      </c>
      <c r="B7" s="178"/>
    </row>
    <row r="8" spans="1:10" ht="6" customHeight="1">
      <c r="A8" s="360"/>
      <c r="B8" s="360"/>
      <c r="C8" s="360"/>
    </row>
    <row r="9" spans="1:10" ht="1" customHeight="1">
      <c r="D9" s="364"/>
      <c r="E9" s="364"/>
      <c r="F9" s="364"/>
      <c r="G9" s="364"/>
      <c r="H9" s="364"/>
      <c r="I9" s="364"/>
      <c r="J9" s="364"/>
    </row>
    <row r="10" spans="1:10">
      <c r="A10" s="360"/>
      <c r="B10" s="187">
        <v>2019</v>
      </c>
      <c r="C10" s="373">
        <v>2014</v>
      </c>
      <c r="D10" s="369">
        <v>2009</v>
      </c>
      <c r="E10" s="369">
        <v>2004</v>
      </c>
      <c r="F10" s="369">
        <v>1999</v>
      </c>
      <c r="G10" s="369">
        <v>1994</v>
      </c>
      <c r="H10" s="369">
        <v>1989</v>
      </c>
      <c r="I10" s="369">
        <v>1984</v>
      </c>
      <c r="J10" s="369">
        <v>1979</v>
      </c>
    </row>
    <row r="11" spans="1:10" ht="1" customHeight="1">
      <c r="C11" s="149"/>
      <c r="D11" s="370"/>
      <c r="E11" s="370"/>
      <c r="F11" s="370"/>
      <c r="G11" s="370"/>
      <c r="H11" s="370"/>
      <c r="I11" s="370"/>
      <c r="J11" s="370"/>
    </row>
    <row r="12" spans="1:10">
      <c r="A12" s="178" t="s">
        <v>35</v>
      </c>
      <c r="B12" s="178"/>
      <c r="C12" s="149"/>
      <c r="D12" s="370"/>
      <c r="E12" s="370"/>
      <c r="F12" s="370"/>
      <c r="G12" s="370"/>
      <c r="H12" s="370"/>
      <c r="I12" s="370"/>
      <c r="J12" s="370"/>
    </row>
    <row r="13" spans="1:10" ht="1" customHeight="1">
      <c r="C13" s="149"/>
    </row>
    <row r="14" spans="1:10">
      <c r="A14" s="113" t="s">
        <v>13</v>
      </c>
      <c r="B14" s="113">
        <v>4</v>
      </c>
      <c r="C14" s="374">
        <v>19</v>
      </c>
      <c r="D14" s="238">
        <v>25</v>
      </c>
      <c r="E14" s="238">
        <v>27</v>
      </c>
      <c r="F14" s="238">
        <v>36</v>
      </c>
      <c r="G14" s="238">
        <v>18</v>
      </c>
      <c r="H14" s="238">
        <v>32</v>
      </c>
      <c r="I14" s="238">
        <v>45</v>
      </c>
      <c r="J14" s="238">
        <v>60</v>
      </c>
    </row>
    <row r="15" spans="1:10">
      <c r="A15" s="113" t="s">
        <v>260</v>
      </c>
      <c r="B15" s="113">
        <v>10</v>
      </c>
      <c r="C15" s="374">
        <v>20</v>
      </c>
      <c r="D15" s="238">
        <v>13</v>
      </c>
      <c r="E15" s="238">
        <v>19</v>
      </c>
      <c r="F15" s="238">
        <v>29</v>
      </c>
      <c r="G15" s="238">
        <v>62</v>
      </c>
      <c r="H15" s="238">
        <v>45</v>
      </c>
      <c r="I15" s="238">
        <v>32</v>
      </c>
      <c r="J15" s="238">
        <v>17</v>
      </c>
    </row>
    <row r="16" spans="1:10">
      <c r="A16" s="113" t="s">
        <v>22</v>
      </c>
      <c r="B16" s="113">
        <v>16</v>
      </c>
      <c r="C16" s="378">
        <v>1</v>
      </c>
      <c r="D16" s="117">
        <v>11</v>
      </c>
      <c r="E16" s="117">
        <v>12</v>
      </c>
      <c r="F16" s="117">
        <v>10</v>
      </c>
      <c r="G16" s="117">
        <v>2</v>
      </c>
      <c r="H16" s="117">
        <v>0</v>
      </c>
      <c r="I16" s="117">
        <v>0</v>
      </c>
      <c r="J16" s="117">
        <v>0</v>
      </c>
    </row>
    <row r="17" spans="1:10">
      <c r="A17" s="113" t="s">
        <v>251</v>
      </c>
      <c r="B17" s="113">
        <v>0</v>
      </c>
      <c r="C17" s="374">
        <v>24</v>
      </c>
      <c r="D17" s="238">
        <v>13</v>
      </c>
      <c r="E17" s="238">
        <v>12</v>
      </c>
      <c r="F17" s="238">
        <v>3</v>
      </c>
      <c r="G17" s="238">
        <v>0</v>
      </c>
      <c r="H17" s="238" t="s">
        <v>103</v>
      </c>
      <c r="I17" s="238" t="s">
        <v>103</v>
      </c>
      <c r="J17" s="238" t="s">
        <v>103</v>
      </c>
    </row>
    <row r="18" spans="1:10">
      <c r="A18" s="113" t="s">
        <v>2510</v>
      </c>
      <c r="B18" s="113">
        <v>29</v>
      </c>
      <c r="C18" s="238" t="s">
        <v>103</v>
      </c>
      <c r="D18" s="238" t="s">
        <v>103</v>
      </c>
      <c r="E18" s="238" t="s">
        <v>103</v>
      </c>
      <c r="F18" s="238" t="s">
        <v>103</v>
      </c>
      <c r="G18" s="238" t="s">
        <v>103</v>
      </c>
      <c r="H18" s="238" t="s">
        <v>103</v>
      </c>
      <c r="I18" s="238" t="s">
        <v>103</v>
      </c>
      <c r="J18" s="238" t="s">
        <v>103</v>
      </c>
    </row>
    <row r="19" spans="1:10">
      <c r="A19" s="113" t="s">
        <v>24</v>
      </c>
      <c r="B19" s="113">
        <v>3</v>
      </c>
      <c r="C19" s="374">
        <v>2</v>
      </c>
      <c r="D19" s="238">
        <v>2</v>
      </c>
      <c r="E19" s="238">
        <v>2</v>
      </c>
      <c r="F19" s="238">
        <v>2</v>
      </c>
      <c r="G19" s="238">
        <v>2</v>
      </c>
      <c r="H19" s="238">
        <v>1</v>
      </c>
      <c r="I19" s="238">
        <v>1</v>
      </c>
      <c r="J19" s="238">
        <v>1</v>
      </c>
    </row>
    <row r="20" spans="1:10">
      <c r="A20" s="113" t="s">
        <v>23</v>
      </c>
      <c r="B20" s="113">
        <v>1</v>
      </c>
      <c r="C20" s="374">
        <v>1</v>
      </c>
      <c r="D20" s="238">
        <v>1</v>
      </c>
      <c r="E20" s="238">
        <v>1</v>
      </c>
      <c r="F20" s="238">
        <v>2</v>
      </c>
      <c r="G20" s="238">
        <v>0</v>
      </c>
      <c r="H20" s="238">
        <v>0</v>
      </c>
      <c r="I20" s="238">
        <v>0</v>
      </c>
      <c r="J20" s="238">
        <v>0</v>
      </c>
    </row>
    <row r="21" spans="1:10">
      <c r="A21" s="113" t="s">
        <v>115</v>
      </c>
      <c r="B21" s="113">
        <v>7</v>
      </c>
      <c r="C21" s="374">
        <v>3</v>
      </c>
      <c r="D21" s="238">
        <v>2</v>
      </c>
      <c r="E21" s="238">
        <v>2</v>
      </c>
      <c r="F21" s="238">
        <v>2</v>
      </c>
      <c r="G21" s="238">
        <v>0</v>
      </c>
      <c r="H21" s="238">
        <v>0</v>
      </c>
      <c r="I21" s="238">
        <v>0</v>
      </c>
      <c r="J21" s="238">
        <v>0</v>
      </c>
    </row>
    <row r="22" spans="1:10">
      <c r="A22" s="113" t="s">
        <v>816</v>
      </c>
      <c r="B22" s="113">
        <v>0</v>
      </c>
      <c r="C22" s="374">
        <v>0</v>
      </c>
      <c r="D22" s="238">
        <v>2</v>
      </c>
      <c r="E22" s="238">
        <v>0</v>
      </c>
      <c r="F22" s="238">
        <v>0</v>
      </c>
      <c r="G22" s="238" t="s">
        <v>103</v>
      </c>
      <c r="H22" s="238" t="s">
        <v>103</v>
      </c>
      <c r="I22" s="238" t="s">
        <v>103</v>
      </c>
      <c r="J22" s="238" t="s">
        <v>103</v>
      </c>
    </row>
    <row r="23" spans="1:10" ht="3" customHeight="1">
      <c r="C23" s="366"/>
    </row>
    <row r="24" spans="1:10">
      <c r="A24" s="367" t="s">
        <v>16</v>
      </c>
      <c r="B24" s="367">
        <v>70</v>
      </c>
      <c r="C24" s="375">
        <v>70</v>
      </c>
      <c r="D24" s="371">
        <v>69</v>
      </c>
      <c r="E24" s="371">
        <v>75</v>
      </c>
      <c r="F24" s="371">
        <v>84</v>
      </c>
      <c r="G24" s="371">
        <v>84</v>
      </c>
      <c r="H24" s="371">
        <v>78</v>
      </c>
      <c r="I24" s="371">
        <v>78</v>
      </c>
      <c r="J24" s="371">
        <v>78</v>
      </c>
    </row>
    <row r="25" spans="1:10" ht="1" customHeight="1">
      <c r="C25" s="149"/>
    </row>
    <row r="26" spans="1:10">
      <c r="A26" s="178" t="s">
        <v>20</v>
      </c>
      <c r="B26" s="178"/>
      <c r="C26" s="149"/>
    </row>
    <row r="27" spans="1:10" ht="1" customHeight="1">
      <c r="C27" s="149"/>
    </row>
    <row r="28" spans="1:10">
      <c r="A28" s="113" t="s">
        <v>1092</v>
      </c>
      <c r="B28" s="113">
        <v>1</v>
      </c>
      <c r="C28" s="374">
        <v>1</v>
      </c>
      <c r="D28" s="238">
        <v>1</v>
      </c>
      <c r="E28" s="238">
        <v>1</v>
      </c>
      <c r="F28" s="238">
        <v>1</v>
      </c>
      <c r="G28" s="238">
        <v>1</v>
      </c>
      <c r="H28" s="238">
        <v>1</v>
      </c>
      <c r="I28" s="238">
        <v>1</v>
      </c>
      <c r="J28" s="238">
        <v>1</v>
      </c>
    </row>
    <row r="29" spans="1:10">
      <c r="A29" s="113" t="s">
        <v>113</v>
      </c>
      <c r="B29" s="113">
        <v>0</v>
      </c>
      <c r="C29" s="374">
        <v>0</v>
      </c>
      <c r="D29" s="238">
        <v>0</v>
      </c>
      <c r="E29" s="238">
        <v>0</v>
      </c>
      <c r="F29" s="238">
        <v>1</v>
      </c>
      <c r="G29" s="238">
        <v>1</v>
      </c>
      <c r="H29" s="238">
        <v>1</v>
      </c>
      <c r="I29" s="238">
        <v>1</v>
      </c>
      <c r="J29" s="238">
        <v>1</v>
      </c>
    </row>
    <row r="30" spans="1:10">
      <c r="A30" s="113" t="s">
        <v>1066</v>
      </c>
      <c r="B30" s="113">
        <v>0</v>
      </c>
      <c r="C30" s="374">
        <v>1</v>
      </c>
      <c r="D30" s="238">
        <v>1</v>
      </c>
      <c r="E30" s="238">
        <v>1</v>
      </c>
      <c r="F30" s="238">
        <v>1</v>
      </c>
      <c r="G30" s="238">
        <v>1</v>
      </c>
      <c r="H30" s="238">
        <v>1</v>
      </c>
      <c r="I30" s="238">
        <v>1</v>
      </c>
      <c r="J30" s="238">
        <v>1</v>
      </c>
    </row>
    <row r="31" spans="1:10">
      <c r="A31" s="113" t="s">
        <v>71</v>
      </c>
      <c r="B31" s="113">
        <v>1</v>
      </c>
      <c r="C31" s="374">
        <v>0</v>
      </c>
      <c r="D31" s="238">
        <v>0</v>
      </c>
      <c r="E31" s="238">
        <v>0</v>
      </c>
      <c r="F31" s="238">
        <v>0</v>
      </c>
      <c r="G31" s="238">
        <v>0</v>
      </c>
      <c r="H31" s="238">
        <v>0</v>
      </c>
      <c r="I31" s="238">
        <v>0</v>
      </c>
      <c r="J31" s="238">
        <v>0</v>
      </c>
    </row>
    <row r="32" spans="1:10">
      <c r="A32" s="113" t="s">
        <v>729</v>
      </c>
      <c r="B32" s="113">
        <v>1</v>
      </c>
      <c r="C32" s="374">
        <v>1</v>
      </c>
      <c r="D32" s="238">
        <v>1</v>
      </c>
      <c r="E32" s="238">
        <v>1</v>
      </c>
      <c r="F32" s="238">
        <v>0</v>
      </c>
      <c r="G32" s="238">
        <v>0</v>
      </c>
      <c r="H32" s="238">
        <v>0</v>
      </c>
      <c r="I32" s="238">
        <v>0</v>
      </c>
      <c r="J32" s="238" t="s">
        <v>103</v>
      </c>
    </row>
    <row r="33" spans="1:10" ht="3" customHeight="1">
      <c r="C33" s="149"/>
    </row>
    <row r="34" spans="1:10">
      <c r="A34" s="367" t="s">
        <v>16</v>
      </c>
      <c r="B34" s="367">
        <v>3</v>
      </c>
      <c r="C34" s="375">
        <v>3</v>
      </c>
      <c r="D34" s="371">
        <v>3</v>
      </c>
      <c r="E34" s="371">
        <v>3</v>
      </c>
      <c r="F34" s="371">
        <v>3</v>
      </c>
      <c r="G34" s="371">
        <v>3</v>
      </c>
      <c r="H34" s="371">
        <v>3</v>
      </c>
      <c r="I34" s="371">
        <v>3</v>
      </c>
      <c r="J34" s="371">
        <v>3</v>
      </c>
    </row>
    <row r="35" spans="1:10" ht="1" customHeight="1">
      <c r="C35" s="149"/>
    </row>
    <row r="36" spans="1:10">
      <c r="A36" s="178" t="s">
        <v>702</v>
      </c>
      <c r="B36" s="178">
        <v>73</v>
      </c>
      <c r="C36" s="376">
        <v>73</v>
      </c>
      <c r="D36" s="372">
        <v>72</v>
      </c>
      <c r="E36" s="372">
        <v>78</v>
      </c>
      <c r="F36" s="372">
        <v>87</v>
      </c>
      <c r="G36" s="372">
        <v>87</v>
      </c>
      <c r="H36" s="372">
        <v>81</v>
      </c>
      <c r="I36" s="372">
        <v>81</v>
      </c>
      <c r="J36" s="372">
        <v>81</v>
      </c>
    </row>
    <row r="37" spans="1:10" ht="3" customHeight="1">
      <c r="A37" s="360"/>
      <c r="B37" s="360"/>
      <c r="C37" s="377"/>
      <c r="D37" s="115"/>
      <c r="E37" s="115"/>
      <c r="F37" s="115"/>
      <c r="G37" s="115"/>
      <c r="H37" s="115"/>
      <c r="I37" s="115"/>
      <c r="J37" s="115"/>
    </row>
    <row r="38" spans="1:10">
      <c r="A38" s="113" t="s">
        <v>1113</v>
      </c>
    </row>
    <row r="39" spans="1:10">
      <c r="A39" s="113" t="s">
        <v>1578</v>
      </c>
      <c r="D39" s="113"/>
      <c r="E39" s="113"/>
      <c r="F39" s="113"/>
      <c r="G39" s="113"/>
      <c r="H39" s="113"/>
      <c r="I39" s="113"/>
    </row>
    <row r="40" spans="1:10">
      <c r="A40" s="113" t="s">
        <v>1579</v>
      </c>
      <c r="D40" s="113"/>
      <c r="E40" s="113"/>
      <c r="F40" s="113"/>
      <c r="G40" s="113"/>
      <c r="H40" s="113"/>
      <c r="I40" s="113"/>
    </row>
    <row r="41" spans="1:10">
      <c r="A41" s="113" t="s">
        <v>1580</v>
      </c>
      <c r="D41" s="113"/>
      <c r="E41" s="113"/>
      <c r="F41" s="113"/>
      <c r="G41" s="113"/>
      <c r="H41" s="113"/>
      <c r="I41" s="113"/>
    </row>
    <row r="42" spans="1:10">
      <c r="A42" s="113" t="s">
        <v>1114</v>
      </c>
      <c r="D42" s="113"/>
      <c r="E42" s="113"/>
      <c r="F42" s="113"/>
      <c r="G42" s="113"/>
      <c r="H42" s="113"/>
      <c r="I42" s="113"/>
    </row>
    <row r="43" spans="1:10">
      <c r="A43" s="113" t="s">
        <v>1581</v>
      </c>
      <c r="D43" s="113"/>
      <c r="E43" s="113"/>
      <c r="F43" s="113"/>
      <c r="G43" s="113"/>
      <c r="H43" s="113"/>
      <c r="I43" s="113"/>
    </row>
  </sheetData>
  <pageMargins left="0.7" right="0.7" top="0.75" bottom="0.75" header="0.3" footer="0.3"/>
  <pageSetup paperSize="9" orientation="portrait" horizontalDpi="1200" verticalDpi="120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8">
    <tabColor theme="0"/>
  </sheetPr>
  <dimension ref="A1:J75"/>
  <sheetViews>
    <sheetView showGridLines="0" zoomScale="70" zoomScaleNormal="70" workbookViewId="0">
      <selection activeCell="A3" sqref="A3"/>
    </sheetView>
  </sheetViews>
  <sheetFormatPr baseColWidth="10" defaultColWidth="9.3984375" defaultRowHeight="13"/>
  <cols>
    <col min="1" max="1" width="18.796875" style="944" customWidth="1"/>
    <col min="2" max="8" width="11.796875" style="944" customWidth="1"/>
    <col min="9" max="9" width="11.3984375" style="944" bestFit="1" customWidth="1"/>
    <col min="10" max="10" width="11.3984375" style="944" customWidth="1"/>
    <col min="11" max="16384" width="9.3984375" style="944"/>
  </cols>
  <sheetData>
    <row r="1" spans="1:10" ht="12.75" customHeight="1"/>
    <row r="2" spans="1:10" ht="13.5" customHeight="1">
      <c r="A2" s="880"/>
    </row>
    <row r="3" spans="1:10" ht="16">
      <c r="A3" s="1122" t="s">
        <v>2703</v>
      </c>
      <c r="B3" s="1147"/>
      <c r="C3" s="1147"/>
      <c r="D3" s="1147"/>
      <c r="E3" s="1147"/>
      <c r="F3" s="1147"/>
      <c r="G3" s="1147"/>
      <c r="H3" s="1147"/>
      <c r="I3" s="1147"/>
      <c r="J3" s="1147"/>
    </row>
    <row r="4" spans="1:10">
      <c r="A4" s="1023"/>
      <c r="B4" s="1022">
        <v>1979</v>
      </c>
      <c r="C4" s="1022">
        <v>1984</v>
      </c>
      <c r="D4" s="1022">
        <v>1989</v>
      </c>
      <c r="E4" s="1022">
        <v>1994</v>
      </c>
      <c r="F4" s="1022">
        <v>1999</v>
      </c>
      <c r="G4" s="1022">
        <v>2004</v>
      </c>
      <c r="H4" s="1022">
        <v>2009</v>
      </c>
      <c r="I4" s="1022">
        <v>2014</v>
      </c>
      <c r="J4" s="1022">
        <v>2019</v>
      </c>
    </row>
    <row r="5" spans="1:10" ht="12.75" customHeight="1">
      <c r="A5" s="1388" t="s">
        <v>35</v>
      </c>
      <c r="B5" s="1389"/>
      <c r="C5" s="1389"/>
      <c r="D5" s="1389"/>
      <c r="E5" s="1389"/>
      <c r="F5" s="1389"/>
      <c r="G5" s="1389"/>
      <c r="H5" s="1389"/>
      <c r="I5" s="1389"/>
      <c r="J5" s="1389"/>
    </row>
    <row r="6" spans="1:10" ht="4.5" customHeight="1">
      <c r="A6" s="947"/>
    </row>
    <row r="7" spans="1:10" ht="12.75" customHeight="1">
      <c r="A7" s="1117" t="s">
        <v>1108</v>
      </c>
    </row>
    <row r="8" spans="1:10" ht="2.25" customHeight="1">
      <c r="A8" s="1117"/>
    </row>
    <row r="9" spans="1:10" ht="12.75" customHeight="1">
      <c r="A9" s="944" t="s">
        <v>13</v>
      </c>
      <c r="B9" s="944">
        <v>6508493</v>
      </c>
      <c r="C9" s="944">
        <v>5426821</v>
      </c>
      <c r="D9" s="944">
        <v>5331098</v>
      </c>
      <c r="E9" s="944">
        <v>4268539</v>
      </c>
      <c r="F9" s="944">
        <v>2803820</v>
      </c>
      <c r="G9" s="944">
        <v>4397087</v>
      </c>
      <c r="H9" s="944">
        <v>4198664</v>
      </c>
      <c r="I9" s="1131">
        <v>3788405</v>
      </c>
      <c r="J9" s="1131">
        <v>1511485</v>
      </c>
    </row>
    <row r="10" spans="1:10" ht="12.75" customHeight="1">
      <c r="A10" s="944" t="s">
        <v>14</v>
      </c>
      <c r="B10" s="944">
        <v>4253207</v>
      </c>
      <c r="C10" s="944">
        <v>4865261</v>
      </c>
      <c r="D10" s="944">
        <v>6153661</v>
      </c>
      <c r="E10" s="944">
        <v>6753881</v>
      </c>
      <c r="F10" s="944">
        <v>3578203</v>
      </c>
      <c r="G10" s="944">
        <v>3718683</v>
      </c>
      <c r="H10" s="944">
        <v>2381760</v>
      </c>
      <c r="I10" s="1131">
        <v>4020646</v>
      </c>
      <c r="J10" s="1131">
        <v>2347255</v>
      </c>
    </row>
    <row r="11" spans="1:10" ht="12.75" customHeight="1">
      <c r="A11" s="944" t="s">
        <v>2329</v>
      </c>
      <c r="B11" s="944">
        <v>1691531</v>
      </c>
      <c r="C11" s="944">
        <v>2591635</v>
      </c>
      <c r="D11" s="944">
        <v>944861</v>
      </c>
      <c r="E11" s="944">
        <v>2557887</v>
      </c>
      <c r="F11" s="944">
        <v>1266549</v>
      </c>
      <c r="G11" s="944">
        <v>2452327</v>
      </c>
      <c r="H11" s="944">
        <v>2080613</v>
      </c>
      <c r="I11" s="1131">
        <v>1087632</v>
      </c>
      <c r="J11" s="1131">
        <v>3367284</v>
      </c>
    </row>
    <row r="12" spans="1:10" ht="12.75" customHeight="1">
      <c r="A12" s="944" t="s">
        <v>251</v>
      </c>
      <c r="E12" s="944">
        <v>150251</v>
      </c>
      <c r="F12" s="944">
        <v>696055</v>
      </c>
      <c r="G12" s="944">
        <v>2660768</v>
      </c>
      <c r="H12" s="944">
        <v>2498226</v>
      </c>
      <c r="I12" s="1131">
        <v>4352051</v>
      </c>
      <c r="J12" s="1131">
        <v>549348</v>
      </c>
    </row>
    <row r="13" spans="1:10" ht="12.75" customHeight="1">
      <c r="A13" s="944" t="s">
        <v>24</v>
      </c>
      <c r="B13" s="944">
        <v>247836</v>
      </c>
      <c r="C13" s="944">
        <v>230594</v>
      </c>
      <c r="D13" s="944">
        <v>406686</v>
      </c>
      <c r="E13" s="944">
        <v>487237</v>
      </c>
      <c r="F13" s="944">
        <v>185235</v>
      </c>
      <c r="G13" s="944">
        <v>231505</v>
      </c>
      <c r="H13" s="944">
        <v>321007</v>
      </c>
      <c r="I13" s="1378">
        <v>389503</v>
      </c>
      <c r="J13" s="1378">
        <v>594553</v>
      </c>
    </row>
    <row r="14" spans="1:10" ht="12.75" customHeight="1">
      <c r="A14" s="944" t="s">
        <v>23</v>
      </c>
      <c r="B14" s="944">
        <v>83399</v>
      </c>
      <c r="C14" s="944">
        <v>103031</v>
      </c>
      <c r="D14" s="944">
        <v>115062</v>
      </c>
      <c r="E14" s="944">
        <v>162478</v>
      </c>
      <c r="F14" s="944">
        <v>268528</v>
      </c>
      <c r="G14" s="944">
        <v>159888</v>
      </c>
      <c r="H14" s="944">
        <v>126702</v>
      </c>
      <c r="I14" s="1378">
        <v>111864</v>
      </c>
      <c r="J14" s="1378">
        <v>163928</v>
      </c>
    </row>
    <row r="15" spans="1:10" ht="12.75" customHeight="1">
      <c r="A15" s="944" t="s">
        <v>2330</v>
      </c>
      <c r="B15" s="944">
        <v>17953</v>
      </c>
      <c r="C15" s="944">
        <v>70853</v>
      </c>
      <c r="D15" s="944">
        <v>2292718</v>
      </c>
      <c r="E15" s="944">
        <v>494561</v>
      </c>
      <c r="F15" s="944">
        <v>625378</v>
      </c>
      <c r="G15" s="944">
        <v>1028283</v>
      </c>
      <c r="H15" s="944">
        <v>1303745</v>
      </c>
      <c r="I15" s="1131">
        <v>1244975</v>
      </c>
      <c r="J15" s="1131">
        <v>2010909</v>
      </c>
    </row>
    <row r="16" spans="1:10" ht="12.75" customHeight="1">
      <c r="A16" s="944" t="s">
        <v>816</v>
      </c>
      <c r="F16" s="944">
        <v>102644</v>
      </c>
      <c r="G16" s="944">
        <v>808201</v>
      </c>
      <c r="H16" s="944">
        <v>943598</v>
      </c>
      <c r="I16" s="1131">
        <v>179694</v>
      </c>
      <c r="J16" s="1131"/>
    </row>
    <row r="17" spans="1:10" ht="12.75" customHeight="1">
      <c r="A17" s="944" t="s">
        <v>2479</v>
      </c>
      <c r="I17" s="1131"/>
      <c r="J17" s="1131">
        <v>5248533</v>
      </c>
    </row>
    <row r="18" spans="1:10" ht="12.75" customHeight="1">
      <c r="A18" s="944" t="s">
        <v>12</v>
      </c>
      <c r="B18" s="944">
        <v>71433</v>
      </c>
      <c r="C18" s="944">
        <v>24678</v>
      </c>
      <c r="D18" s="944">
        <v>117181</v>
      </c>
      <c r="E18" s="944">
        <v>417888</v>
      </c>
      <c r="F18" s="944">
        <v>475841</v>
      </c>
      <c r="G18" s="944">
        <v>1001861</v>
      </c>
      <c r="H18" s="944">
        <v>1282887</v>
      </c>
      <c r="I18" s="1378">
        <v>654054</v>
      </c>
      <c r="J18" s="1378">
        <v>833959</v>
      </c>
    </row>
    <row r="19" spans="1:10" ht="2.25" customHeight="1">
      <c r="I19" s="1383"/>
      <c r="J19" s="1383"/>
    </row>
    <row r="20" spans="1:10" ht="12.75" customHeight="1">
      <c r="A20" s="944" t="s">
        <v>16</v>
      </c>
      <c r="B20" s="944">
        <v>12873852</v>
      </c>
      <c r="C20" s="944">
        <v>13312873</v>
      </c>
      <c r="D20" s="944">
        <v>15361267</v>
      </c>
      <c r="E20" s="944">
        <v>15292722</v>
      </c>
      <c r="F20" s="944">
        <v>10002253</v>
      </c>
      <c r="G20" s="944">
        <v>16458603</v>
      </c>
      <c r="H20" s="944">
        <v>15137202</v>
      </c>
      <c r="I20" s="1378">
        <v>15828824</v>
      </c>
      <c r="J20" s="1378">
        <f>SUM(J9:J19)</f>
        <v>16627254</v>
      </c>
    </row>
    <row r="21" spans="1:10" ht="6" customHeight="1">
      <c r="I21" s="1383"/>
      <c r="J21" s="1383"/>
    </row>
    <row r="22" spans="1:10" ht="12.75" customHeight="1">
      <c r="A22" s="1151" t="s">
        <v>1109</v>
      </c>
      <c r="I22" s="1383"/>
      <c r="J22" s="1383"/>
    </row>
    <row r="23" spans="1:10" ht="2.25" customHeight="1">
      <c r="A23" s="1117"/>
      <c r="I23" s="1383"/>
      <c r="J23" s="1383"/>
    </row>
    <row r="24" spans="1:10" ht="12.75" customHeight="1">
      <c r="A24" s="944" t="s">
        <v>13</v>
      </c>
      <c r="B24" s="1384">
        <f t="shared" ref="B24:I26" si="0">B9/B$20</f>
        <v>0.50555909761895668</v>
      </c>
      <c r="C24" s="1136">
        <f t="shared" si="0"/>
        <v>0.40763710432751821</v>
      </c>
      <c r="D24" s="1136">
        <f t="shared" si="0"/>
        <v>0.347048065761763</v>
      </c>
      <c r="E24" s="1136">
        <f t="shared" si="0"/>
        <v>0.27912225174824989</v>
      </c>
      <c r="F24" s="1136">
        <f t="shared" si="0"/>
        <v>0.28031884416440978</v>
      </c>
      <c r="G24" s="1136">
        <f t="shared" si="0"/>
        <v>0.26716040237436922</v>
      </c>
      <c r="H24" s="1136">
        <f t="shared" si="0"/>
        <v>0.27737385020032101</v>
      </c>
      <c r="I24" s="1136">
        <f t="shared" si="0"/>
        <v>0.23933584705976893</v>
      </c>
      <c r="J24" s="1136">
        <f t="shared" ref="J24:J31" si="1">J9/J$20</f>
        <v>9.0904066299823172E-2</v>
      </c>
    </row>
    <row r="25" spans="1:10" ht="12.75" customHeight="1">
      <c r="A25" s="944" t="s">
        <v>14</v>
      </c>
      <c r="B25" s="1136">
        <f t="shared" si="0"/>
        <v>0.33037563271661036</v>
      </c>
      <c r="C25" s="1136">
        <f t="shared" si="0"/>
        <v>0.36545537540995093</v>
      </c>
      <c r="D25" s="1136">
        <f t="shared" si="0"/>
        <v>0.40059592740624844</v>
      </c>
      <c r="E25" s="1136">
        <f t="shared" si="0"/>
        <v>0.44164021290650546</v>
      </c>
      <c r="F25" s="1136">
        <f t="shared" si="0"/>
        <v>0.3577397012453094</v>
      </c>
      <c r="G25" s="1136">
        <f t="shared" si="0"/>
        <v>0.22594159419241111</v>
      </c>
      <c r="H25" s="1136">
        <f t="shared" si="0"/>
        <v>0.15734479859620026</v>
      </c>
      <c r="I25" s="1136">
        <f t="shared" si="0"/>
        <v>0.25400787828584109</v>
      </c>
      <c r="J25" s="1136">
        <f t="shared" si="1"/>
        <v>0.14116913111449431</v>
      </c>
    </row>
    <row r="26" spans="1:10" ht="12.75" customHeight="1">
      <c r="A26" s="944" t="s">
        <v>2329</v>
      </c>
      <c r="B26" s="1136">
        <f t="shared" si="0"/>
        <v>0.13139276418588625</v>
      </c>
      <c r="C26" s="1136">
        <f t="shared" si="0"/>
        <v>0.19467135305805142</v>
      </c>
      <c r="D26" s="1136">
        <f t="shared" si="0"/>
        <v>6.1509314303305841E-2</v>
      </c>
      <c r="E26" s="1136">
        <f t="shared" si="0"/>
        <v>0.16726172096766032</v>
      </c>
      <c r="F26" s="1136">
        <f t="shared" si="0"/>
        <v>0.12662637107859601</v>
      </c>
      <c r="G26" s="1136">
        <f t="shared" si="0"/>
        <v>0.14899970550355945</v>
      </c>
      <c r="H26" s="1136">
        <f t="shared" si="0"/>
        <v>0.13745030290274252</v>
      </c>
      <c r="I26" s="1136">
        <f t="shared" si="0"/>
        <v>6.8712116579222812E-2</v>
      </c>
      <c r="J26" s="1136">
        <f t="shared" si="1"/>
        <v>0.20251594159805342</v>
      </c>
    </row>
    <row r="27" spans="1:10">
      <c r="A27" s="944" t="s">
        <v>251</v>
      </c>
      <c r="B27" s="1136"/>
      <c r="C27" s="1136"/>
      <c r="D27" s="1136"/>
      <c r="E27" s="1136">
        <f t="shared" ref="E27:I30" si="2">E12/E$20</f>
        <v>9.8250004152301996E-3</v>
      </c>
      <c r="F27" s="1136">
        <f t="shared" si="2"/>
        <v>6.9589821413235595E-2</v>
      </c>
      <c r="G27" s="1136">
        <f t="shared" si="2"/>
        <v>0.16166426761736705</v>
      </c>
      <c r="H27" s="1136">
        <f t="shared" si="2"/>
        <v>0.16503882289474633</v>
      </c>
      <c r="I27" s="1136">
        <f t="shared" si="2"/>
        <v>0.2749446831931418</v>
      </c>
      <c r="J27" s="1136">
        <f t="shared" si="1"/>
        <v>3.3039009327697766E-2</v>
      </c>
    </row>
    <row r="28" spans="1:10" ht="12.75" customHeight="1">
      <c r="A28" s="944" t="s">
        <v>24</v>
      </c>
      <c r="B28" s="1136">
        <f t="shared" ref="B28:D30" si="3">B13/B$20</f>
        <v>1.9251114584818901E-2</v>
      </c>
      <c r="C28" s="1136">
        <f t="shared" si="3"/>
        <v>1.7321129706562962E-2</v>
      </c>
      <c r="D28" s="1136">
        <f t="shared" si="3"/>
        <v>2.6474769301256206E-2</v>
      </c>
      <c r="E28" s="1136">
        <f t="shared" si="2"/>
        <v>3.1860711258597393E-2</v>
      </c>
      <c r="F28" s="1136">
        <f t="shared" si="2"/>
        <v>1.8519327595492737E-2</v>
      </c>
      <c r="G28" s="1136">
        <f t="shared" si="2"/>
        <v>1.4065896115241373E-2</v>
      </c>
      <c r="H28" s="1136">
        <f t="shared" si="2"/>
        <v>2.1206495097310585E-2</v>
      </c>
      <c r="I28" s="1136">
        <f t="shared" si="2"/>
        <v>2.4607197603561705E-2</v>
      </c>
      <c r="J28" s="1136">
        <f t="shared" si="1"/>
        <v>3.5757738469623428E-2</v>
      </c>
    </row>
    <row r="29" spans="1:10" ht="12.75" customHeight="1">
      <c r="A29" s="944" t="s">
        <v>23</v>
      </c>
      <c r="B29" s="1136">
        <f t="shared" si="3"/>
        <v>6.4781698593396912E-3</v>
      </c>
      <c r="C29" s="1136">
        <f t="shared" si="3"/>
        <v>7.7392009974105516E-3</v>
      </c>
      <c r="D29" s="1136">
        <f t="shared" si="3"/>
        <v>7.4903977647156322E-3</v>
      </c>
      <c r="E29" s="1136">
        <f t="shared" si="2"/>
        <v>1.0624531067785055E-2</v>
      </c>
      <c r="F29" s="1136">
        <f t="shared" si="2"/>
        <v>2.6846751426903518E-2</v>
      </c>
      <c r="G29" s="1136">
        <f t="shared" si="2"/>
        <v>9.7145547529155427E-3</v>
      </c>
      <c r="H29" s="1136">
        <f t="shared" si="2"/>
        <v>8.3702390970273113E-3</v>
      </c>
      <c r="I29" s="1136">
        <f t="shared" si="2"/>
        <v>7.0671074490435927E-3</v>
      </c>
      <c r="J29" s="1136">
        <f t="shared" si="1"/>
        <v>9.8589941550180204E-3</v>
      </c>
    </row>
    <row r="30" spans="1:10" ht="12.75" customHeight="1">
      <c r="A30" s="944" t="s">
        <v>2330</v>
      </c>
      <c r="B30" s="1136">
        <f t="shared" si="3"/>
        <v>1.394532110513621E-3</v>
      </c>
      <c r="C30" s="1136">
        <f t="shared" si="3"/>
        <v>5.3221419598910016E-3</v>
      </c>
      <c r="D30" s="1136">
        <f t="shared" si="3"/>
        <v>0.14925318334744134</v>
      </c>
      <c r="E30" s="1136">
        <f t="shared" si="2"/>
        <v>3.2339631885023479E-2</v>
      </c>
      <c r="F30" s="1136">
        <f t="shared" si="2"/>
        <v>6.2523713407369313E-2</v>
      </c>
      <c r="G30" s="1136">
        <f t="shared" si="2"/>
        <v>6.2476930757731988E-2</v>
      </c>
      <c r="H30" s="1136">
        <f t="shared" si="2"/>
        <v>8.6128532868888191E-2</v>
      </c>
      <c r="I30" s="1136">
        <f t="shared" si="2"/>
        <v>7.8652400203577985E-2</v>
      </c>
      <c r="J30" s="1136">
        <f t="shared" si="1"/>
        <v>0.12094053534035144</v>
      </c>
    </row>
    <row r="31" spans="1:10">
      <c r="A31" s="944" t="s">
        <v>816</v>
      </c>
      <c r="B31" s="1136"/>
      <c r="C31" s="1136"/>
      <c r="D31" s="1136"/>
      <c r="E31" s="1136"/>
      <c r="F31" s="1136">
        <f>F16/F$20</f>
        <v>1.0262087951584509E-2</v>
      </c>
      <c r="G31" s="1136">
        <f>G16/G$20</f>
        <v>4.9105078966908675E-2</v>
      </c>
      <c r="H31" s="1136">
        <f>H16/H$20</f>
        <v>6.2336355159956246E-2</v>
      </c>
      <c r="I31" s="1136">
        <f>I16/I$20</f>
        <v>1.1352327879822278E-2</v>
      </c>
      <c r="J31" s="1136">
        <f t="shared" si="1"/>
        <v>0</v>
      </c>
    </row>
    <row r="32" spans="1:10">
      <c r="A32" s="944" t="s">
        <v>2479</v>
      </c>
      <c r="B32" s="1136"/>
      <c r="C32" s="1136"/>
      <c r="D32" s="1136"/>
      <c r="E32" s="1136"/>
      <c r="F32" s="1136"/>
      <c r="G32" s="1136"/>
      <c r="H32" s="1136"/>
      <c r="I32" s="1136"/>
      <c r="J32" s="1136">
        <f>J17/J20</f>
        <v>0.31565843644416569</v>
      </c>
    </row>
    <row r="33" spans="1:10">
      <c r="A33" s="944" t="s">
        <v>12</v>
      </c>
      <c r="B33" s="1136">
        <f t="shared" ref="B33:I33" si="4">B18/B$20</f>
        <v>5.5486889238745328E-3</v>
      </c>
      <c r="C33" s="1136">
        <f t="shared" si="4"/>
        <v>1.8536945406149371E-3</v>
      </c>
      <c r="D33" s="1136">
        <f t="shared" si="4"/>
        <v>7.6283421152695281E-3</v>
      </c>
      <c r="E33" s="1136">
        <f t="shared" si="4"/>
        <v>2.7325939750948196E-2</v>
      </c>
      <c r="F33" s="1136">
        <f t="shared" si="4"/>
        <v>4.7573381717099135E-2</v>
      </c>
      <c r="G33" s="1136">
        <f t="shared" si="4"/>
        <v>6.0871569719495637E-2</v>
      </c>
      <c r="H33" s="1136">
        <f t="shared" si="4"/>
        <v>8.4750603182807499E-2</v>
      </c>
      <c r="I33" s="1136">
        <f t="shared" si="4"/>
        <v>4.1320441746019794E-2</v>
      </c>
      <c r="J33" s="1136">
        <f>J18/J$20</f>
        <v>5.0156147250772734E-2</v>
      </c>
    </row>
    <row r="34" spans="1:10" ht="5.25" customHeight="1">
      <c r="B34" s="1136"/>
      <c r="C34" s="1136"/>
      <c r="D34" s="1136"/>
      <c r="E34" s="1136"/>
      <c r="F34" s="1136"/>
      <c r="G34" s="1136"/>
      <c r="H34" s="1136"/>
      <c r="I34" s="1136"/>
      <c r="J34" s="1136"/>
    </row>
    <row r="35" spans="1:10" ht="12.75" customHeight="1">
      <c r="A35" s="944" t="s">
        <v>219</v>
      </c>
      <c r="B35" s="1153">
        <f t="shared" ref="B35:I35" si="5">B20/B74</f>
        <v>0.32083303708146338</v>
      </c>
      <c r="C35" s="1153">
        <f t="shared" si="5"/>
        <v>0.32134128887302993</v>
      </c>
      <c r="D35" s="1153">
        <f t="shared" si="5"/>
        <v>0.36510232432159551</v>
      </c>
      <c r="E35" s="1153">
        <f t="shared" si="5"/>
        <v>0.36160298991735212</v>
      </c>
      <c r="F35" s="1153">
        <f t="shared" si="5"/>
        <v>0.23117333028931228</v>
      </c>
      <c r="G35" s="1153">
        <f t="shared" si="5"/>
        <v>0.38200665119354255</v>
      </c>
      <c r="H35" s="1153">
        <f t="shared" si="5"/>
        <v>0.34268944301947729</v>
      </c>
      <c r="I35" s="1153">
        <f t="shared" si="5"/>
        <v>0.34977146382454655</v>
      </c>
      <c r="J35" s="1063">
        <v>0.36699999999999999</v>
      </c>
    </row>
    <row r="36" spans="1:10" ht="12.75" customHeight="1">
      <c r="I36" s="1383"/>
      <c r="J36" s="1383"/>
    </row>
    <row r="37" spans="1:10" ht="12.75" customHeight="1">
      <c r="A37" s="1388" t="s">
        <v>730</v>
      </c>
      <c r="B37" s="1389"/>
      <c r="C37" s="1389"/>
      <c r="D37" s="1389"/>
      <c r="E37" s="1389"/>
      <c r="F37" s="1389"/>
      <c r="G37" s="1389"/>
      <c r="H37" s="1389"/>
      <c r="I37" s="1390"/>
      <c r="J37" s="1390"/>
    </row>
    <row r="38" spans="1:10" ht="6" customHeight="1">
      <c r="A38" s="947"/>
      <c r="I38" s="1383"/>
      <c r="J38" s="1383"/>
    </row>
    <row r="39" spans="1:10" ht="12.75" customHeight="1">
      <c r="A39" s="1151" t="s">
        <v>1110</v>
      </c>
      <c r="I39" s="1383"/>
      <c r="J39" s="1383"/>
    </row>
    <row r="40" spans="1:10" ht="2.25" customHeight="1">
      <c r="A40" s="1117"/>
      <c r="I40" s="1383"/>
      <c r="J40" s="1383"/>
    </row>
    <row r="41" spans="1:10" ht="12.75" customHeight="1">
      <c r="A41" s="944" t="s">
        <v>1092</v>
      </c>
      <c r="B41" s="1379">
        <v>170688</v>
      </c>
      <c r="C41" s="1380">
        <v>230251</v>
      </c>
      <c r="D41" s="1380">
        <v>160110</v>
      </c>
      <c r="E41" s="1380">
        <v>163246</v>
      </c>
      <c r="F41" s="1380">
        <v>192762</v>
      </c>
      <c r="G41" s="1380">
        <v>175761</v>
      </c>
      <c r="H41" s="1378">
        <v>88346</v>
      </c>
      <c r="I41" s="1378">
        <v>131163</v>
      </c>
      <c r="J41" s="1378">
        <v>124991</v>
      </c>
    </row>
    <row r="42" spans="1:10" ht="12.75" customHeight="1">
      <c r="A42" s="944" t="s">
        <v>113</v>
      </c>
      <c r="B42" s="1379">
        <v>140622</v>
      </c>
      <c r="C42" s="1380">
        <v>151399</v>
      </c>
      <c r="D42" s="1380">
        <v>136335</v>
      </c>
      <c r="E42" s="1380">
        <v>161992</v>
      </c>
      <c r="F42" s="1380">
        <v>190731</v>
      </c>
      <c r="G42" s="1380">
        <v>87559</v>
      </c>
      <c r="H42" s="1378">
        <v>78489</v>
      </c>
      <c r="I42" s="1378">
        <v>81594</v>
      </c>
      <c r="J42" s="1378">
        <v>78589</v>
      </c>
    </row>
    <row r="43" spans="1:10" ht="12.75" customHeight="1">
      <c r="A43" s="944" t="s">
        <v>1066</v>
      </c>
      <c r="B43" s="1379">
        <v>125169</v>
      </c>
      <c r="C43" s="1380">
        <v>147169</v>
      </c>
      <c r="D43" s="1380">
        <v>118785</v>
      </c>
      <c r="E43" s="1380">
        <v>133459</v>
      </c>
      <c r="F43" s="1380">
        <v>119507</v>
      </c>
      <c r="G43" s="1380">
        <v>91164</v>
      </c>
      <c r="H43" s="1378">
        <v>82893</v>
      </c>
      <c r="I43" s="1378">
        <v>83438</v>
      </c>
      <c r="J43" s="1378">
        <v>53052</v>
      </c>
    </row>
    <row r="44" spans="1:10" ht="12.75" customHeight="1">
      <c r="A44" s="944" t="s">
        <v>27</v>
      </c>
      <c r="B44" s="1381"/>
      <c r="C44" s="1380">
        <v>91476</v>
      </c>
      <c r="D44" s="1380">
        <v>48914</v>
      </c>
      <c r="E44" s="1380">
        <v>55215</v>
      </c>
      <c r="F44" s="1380">
        <v>117643</v>
      </c>
      <c r="G44" s="1380">
        <v>144541</v>
      </c>
      <c r="H44" s="1378">
        <v>126184</v>
      </c>
      <c r="I44" s="1378">
        <v>159813</v>
      </c>
      <c r="J44" s="1378">
        <v>126951</v>
      </c>
    </row>
    <row r="45" spans="1:10" ht="12.75" customHeight="1">
      <c r="A45" s="944" t="s">
        <v>71</v>
      </c>
      <c r="B45" s="1379">
        <v>39026</v>
      </c>
      <c r="C45" s="1380">
        <v>34046</v>
      </c>
      <c r="D45" s="1380">
        <v>27905</v>
      </c>
      <c r="E45" s="1380">
        <v>23157</v>
      </c>
      <c r="F45" s="1380">
        <v>14391</v>
      </c>
      <c r="G45" s="1381"/>
      <c r="H45" s="1378">
        <v>26699</v>
      </c>
      <c r="I45" s="1378">
        <v>44432</v>
      </c>
      <c r="J45" s="1378">
        <v>105928</v>
      </c>
    </row>
    <row r="46" spans="1:10" ht="12.75" customHeight="1">
      <c r="A46" s="944" t="s">
        <v>12</v>
      </c>
      <c r="B46" s="1380">
        <v>96734</v>
      </c>
      <c r="C46" s="1380">
        <v>30976</v>
      </c>
      <c r="D46" s="1380">
        <v>42762</v>
      </c>
      <c r="E46" s="1380">
        <v>22798</v>
      </c>
      <c r="F46" s="1131">
        <v>43775</v>
      </c>
      <c r="G46" s="1131">
        <v>50252</v>
      </c>
      <c r="H46" s="1131">
        <v>81961</v>
      </c>
      <c r="I46" s="1131">
        <v>125685</v>
      </c>
      <c r="J46" s="1131">
        <v>82936</v>
      </c>
    </row>
    <row r="47" spans="1:10" ht="2.25" customHeight="1">
      <c r="B47" s="1380"/>
      <c r="C47" s="1380"/>
      <c r="D47" s="1380"/>
      <c r="E47" s="1380"/>
      <c r="F47" s="1131"/>
      <c r="G47" s="1131"/>
      <c r="H47" s="1131"/>
      <c r="I47" s="1382"/>
      <c r="J47" s="1382"/>
    </row>
    <row r="48" spans="1:10" ht="12.75" customHeight="1">
      <c r="A48" s="944" t="s">
        <v>16</v>
      </c>
      <c r="B48" s="1380">
        <v>572239</v>
      </c>
      <c r="C48" s="1380">
        <v>685317</v>
      </c>
      <c r="D48" s="1380">
        <v>534811</v>
      </c>
      <c r="E48" s="1380">
        <v>559867</v>
      </c>
      <c r="F48" s="1380">
        <v>678809</v>
      </c>
      <c r="G48" s="1131">
        <v>549277</v>
      </c>
      <c r="H48" s="1131">
        <v>484572</v>
      </c>
      <c r="I48" s="1378">
        <v>626125</v>
      </c>
      <c r="J48" s="1378">
        <f>SUM(J41:J47)</f>
        <v>572447</v>
      </c>
    </row>
    <row r="49" spans="1:10" ht="4.5" customHeight="1">
      <c r="I49" s="1383"/>
      <c r="J49" s="1383"/>
    </row>
    <row r="50" spans="1:10" ht="12.75" customHeight="1">
      <c r="A50" s="1151" t="s">
        <v>1111</v>
      </c>
      <c r="I50" s="1383"/>
      <c r="J50" s="1383"/>
    </row>
    <row r="51" spans="1:10" ht="2.25" customHeight="1">
      <c r="A51" s="1117"/>
      <c r="I51" s="1383"/>
      <c r="J51" s="1383"/>
    </row>
    <row r="52" spans="1:10" ht="12.75" customHeight="1">
      <c r="A52" s="944" t="s">
        <v>1092</v>
      </c>
      <c r="B52" s="1136">
        <f t="shared" ref="B52:I57" si="6">B41/B$48</f>
        <v>0.29828096302419094</v>
      </c>
      <c r="C52" s="1136">
        <f t="shared" si="6"/>
        <v>0.33597736521930727</v>
      </c>
      <c r="D52" s="1136">
        <f t="shared" si="6"/>
        <v>0.29937678918346855</v>
      </c>
      <c r="E52" s="1136">
        <f t="shared" si="6"/>
        <v>0.29157996452728951</v>
      </c>
      <c r="F52" s="1136">
        <f t="shared" si="6"/>
        <v>0.28397089608417098</v>
      </c>
      <c r="G52" s="1136">
        <f t="shared" si="6"/>
        <v>0.3199860908066422</v>
      </c>
      <c r="H52" s="1136">
        <f t="shared" si="6"/>
        <v>0.18231759160661368</v>
      </c>
      <c r="I52" s="1136">
        <f t="shared" si="6"/>
        <v>0.2094837292872829</v>
      </c>
      <c r="J52" s="1136">
        <f t="shared" ref="J52:J57" si="7">J41/J$48</f>
        <v>0.21834510443761607</v>
      </c>
    </row>
    <row r="53" spans="1:10" ht="12.75" customHeight="1">
      <c r="A53" s="944" t="s">
        <v>113</v>
      </c>
      <c r="B53" s="1136">
        <f t="shared" si="6"/>
        <v>0.24573997927439409</v>
      </c>
      <c r="C53" s="1136">
        <f t="shared" si="6"/>
        <v>0.22091820281709049</v>
      </c>
      <c r="D53" s="1136">
        <f t="shared" si="6"/>
        <v>0.2549218321986646</v>
      </c>
      <c r="E53" s="1136">
        <f t="shared" si="6"/>
        <v>0.28934014685630693</v>
      </c>
      <c r="F53" s="1136">
        <f t="shared" si="6"/>
        <v>0.2809788909693301</v>
      </c>
      <c r="G53" s="1136">
        <f t="shared" si="6"/>
        <v>0.15940773052576387</v>
      </c>
      <c r="H53" s="1136">
        <f t="shared" si="6"/>
        <v>0.1619759292736683</v>
      </c>
      <c r="I53" s="1136">
        <f t="shared" si="6"/>
        <v>0.13031583150329407</v>
      </c>
      <c r="J53" s="1136">
        <f t="shared" si="7"/>
        <v>0.13728607189835915</v>
      </c>
    </row>
    <row r="54" spans="1:10" ht="12.75" customHeight="1">
      <c r="A54" s="944" t="s">
        <v>1066</v>
      </c>
      <c r="B54" s="1136">
        <f t="shared" si="6"/>
        <v>0.21873552833693613</v>
      </c>
      <c r="C54" s="1136">
        <f t="shared" si="6"/>
        <v>0.21474587672566126</v>
      </c>
      <c r="D54" s="1136">
        <f t="shared" si="6"/>
        <v>0.22210650117518152</v>
      </c>
      <c r="E54" s="1136">
        <f t="shared" si="6"/>
        <v>0.23837625721823219</v>
      </c>
      <c r="F54" s="1136">
        <f t="shared" si="6"/>
        <v>0.17605394153583703</v>
      </c>
      <c r="G54" s="1136">
        <f t="shared" si="6"/>
        <v>0.16597090356960151</v>
      </c>
      <c r="H54" s="1136">
        <f t="shared" si="6"/>
        <v>0.17106436195240335</v>
      </c>
      <c r="I54" s="1136">
        <f t="shared" si="6"/>
        <v>0.13326093032541425</v>
      </c>
      <c r="J54" s="1136">
        <f t="shared" si="7"/>
        <v>9.2675828504647589E-2</v>
      </c>
    </row>
    <row r="55" spans="1:10" ht="12.75" customHeight="1">
      <c r="A55" s="944" t="s">
        <v>27</v>
      </c>
      <c r="B55" s="1136">
        <f t="shared" si="6"/>
        <v>0</v>
      </c>
      <c r="C55" s="1136">
        <f t="shared" si="6"/>
        <v>0.13347983487933321</v>
      </c>
      <c r="D55" s="1136">
        <f t="shared" si="6"/>
        <v>9.1460347674225104E-2</v>
      </c>
      <c r="E55" s="1136">
        <f t="shared" si="6"/>
        <v>9.8621636924483849E-2</v>
      </c>
      <c r="F55" s="1136">
        <f t="shared" si="6"/>
        <v>0.17330795555156164</v>
      </c>
      <c r="G55" s="1136">
        <f t="shared" si="6"/>
        <v>0.26314773784447554</v>
      </c>
      <c r="H55" s="1136">
        <f t="shared" si="6"/>
        <v>0.26040299480778917</v>
      </c>
      <c r="I55" s="1136">
        <f t="shared" si="6"/>
        <v>0.25524136554202437</v>
      </c>
      <c r="J55" s="1136">
        <f t="shared" si="7"/>
        <v>0.22176900219583648</v>
      </c>
    </row>
    <row r="56" spans="1:10" ht="12.75" customHeight="1">
      <c r="A56" s="944" t="s">
        <v>71</v>
      </c>
      <c r="B56" s="1136">
        <f t="shared" si="6"/>
        <v>6.8198777084400045E-2</v>
      </c>
      <c r="C56" s="1136">
        <f t="shared" si="6"/>
        <v>4.967919955290763E-2</v>
      </c>
      <c r="D56" s="1136">
        <f t="shared" si="6"/>
        <v>5.2177311237053839E-2</v>
      </c>
      <c r="E56" s="1136">
        <f t="shared" si="6"/>
        <v>4.1361609096446122E-2</v>
      </c>
      <c r="F56" s="1136">
        <f t="shared" si="6"/>
        <v>2.1200367113576868E-2</v>
      </c>
      <c r="G56" s="1136">
        <f t="shared" si="6"/>
        <v>0</v>
      </c>
      <c r="H56" s="1136">
        <f t="shared" si="6"/>
        <v>5.5098107195628306E-2</v>
      </c>
      <c r="I56" s="1136">
        <f t="shared" si="6"/>
        <v>7.0963465761629069E-2</v>
      </c>
      <c r="J56" s="1136">
        <f t="shared" si="7"/>
        <v>0.18504420496569987</v>
      </c>
    </row>
    <row r="57" spans="1:10" ht="12.75" customHeight="1">
      <c r="A57" s="944" t="s">
        <v>12</v>
      </c>
      <c r="B57" s="1136">
        <f t="shared" si="6"/>
        <v>0.16904475228007879</v>
      </c>
      <c r="C57" s="1136">
        <f t="shared" si="6"/>
        <v>4.5199520805700139E-2</v>
      </c>
      <c r="D57" s="1136">
        <f t="shared" si="6"/>
        <v>7.9957218531406415E-2</v>
      </c>
      <c r="E57" s="1136">
        <f t="shared" si="6"/>
        <v>4.0720385377241382E-2</v>
      </c>
      <c r="F57" s="1136">
        <f t="shared" si="6"/>
        <v>6.448794874552341E-2</v>
      </c>
      <c r="G57" s="1136">
        <f t="shared" si="6"/>
        <v>9.1487537253516896E-2</v>
      </c>
      <c r="H57" s="1136">
        <f t="shared" si="6"/>
        <v>0.16914101516389721</v>
      </c>
      <c r="I57" s="1136">
        <f t="shared" si="6"/>
        <v>0.20073467758035535</v>
      </c>
      <c r="J57" s="1136">
        <f t="shared" si="7"/>
        <v>0.14487978799784085</v>
      </c>
    </row>
    <row r="58" spans="1:10" ht="4.5" customHeight="1"/>
    <row r="59" spans="1:10" ht="12.75" customHeight="1">
      <c r="A59" s="944" t="s">
        <v>219</v>
      </c>
      <c r="B59" s="1153">
        <f t="shared" ref="B59:I59" si="8">B48/B75</f>
        <v>0.55619986450720571</v>
      </c>
      <c r="C59" s="1153">
        <f t="shared" si="8"/>
        <v>0.64406768510730283</v>
      </c>
      <c r="D59" s="1153">
        <f t="shared" si="8"/>
        <v>0.48318203337031507</v>
      </c>
      <c r="E59" s="1153">
        <f t="shared" si="8"/>
        <v>0.48671220825103623</v>
      </c>
      <c r="F59" s="1153">
        <f t="shared" si="8"/>
        <v>0.56980190664539032</v>
      </c>
      <c r="G59" s="1153">
        <f t="shared" si="8"/>
        <v>0.51206569780612654</v>
      </c>
      <c r="H59" s="1153">
        <f t="shared" si="8"/>
        <v>0.42432654190663749</v>
      </c>
      <c r="I59" s="1153">
        <f t="shared" si="8"/>
        <v>0.51038457870295273</v>
      </c>
      <c r="J59" s="1153">
        <v>0.44800000000000001</v>
      </c>
    </row>
    <row r="60" spans="1:10" ht="12.75" customHeight="1">
      <c r="B60" s="1153"/>
      <c r="C60" s="1153"/>
      <c r="D60" s="1153"/>
      <c r="E60" s="1153"/>
      <c r="F60" s="1153"/>
      <c r="G60" s="1153"/>
      <c r="H60" s="1153"/>
      <c r="I60" s="1153"/>
      <c r="J60" s="1153"/>
    </row>
    <row r="61" spans="1:10" ht="12.75" customHeight="1">
      <c r="A61" s="944" t="s">
        <v>1112</v>
      </c>
      <c r="B61" s="1153">
        <f t="shared" ref="B61:I61" si="9">(B20+B48)/(B74+B75)</f>
        <v>0.32671696671081341</v>
      </c>
      <c r="C61" s="1153">
        <f t="shared" si="9"/>
        <v>0.32942248865592882</v>
      </c>
      <c r="D61" s="1153">
        <f t="shared" si="9"/>
        <v>0.36812906315596405</v>
      </c>
      <c r="E61" s="1153">
        <f t="shared" si="9"/>
        <v>0.36491578359576199</v>
      </c>
      <c r="F61" s="1153">
        <f t="shared" si="9"/>
        <v>0.24024717086474848</v>
      </c>
      <c r="G61" s="1153">
        <f t="shared" si="9"/>
        <v>0.38516604752735262</v>
      </c>
      <c r="H61" s="1153">
        <f t="shared" si="9"/>
        <v>0.34474682820936697</v>
      </c>
      <c r="I61" s="1153">
        <f t="shared" si="9"/>
        <v>0.35401047022288334</v>
      </c>
      <c r="J61" s="1153">
        <v>0.36899999999999999</v>
      </c>
    </row>
    <row r="62" spans="1:10" ht="3.75" customHeight="1">
      <c r="A62" s="1023"/>
      <c r="B62" s="1023"/>
      <c r="C62" s="1023"/>
      <c r="D62" s="1023"/>
      <c r="E62" s="1023"/>
      <c r="F62" s="1023"/>
      <c r="G62" s="1023"/>
      <c r="H62" s="1023"/>
      <c r="I62" s="1023"/>
      <c r="J62" s="1023"/>
    </row>
    <row r="63" spans="1:10" ht="3" customHeight="1"/>
    <row r="64" spans="1:10" s="1009" customFormat="1" ht="11">
      <c r="A64" s="1009" t="s">
        <v>1113</v>
      </c>
    </row>
    <row r="65" spans="1:9" s="1009" customFormat="1" ht="11.25" customHeight="1">
      <c r="A65" s="3398" t="s">
        <v>1464</v>
      </c>
      <c r="B65" s="3398"/>
      <c r="C65" s="3398"/>
      <c r="D65" s="3398"/>
      <c r="E65" s="3398"/>
      <c r="F65" s="3398"/>
      <c r="G65" s="3398"/>
      <c r="H65" s="3398"/>
    </row>
    <row r="66" spans="1:9" s="1009" customFormat="1" ht="11">
      <c r="A66" s="1009" t="s">
        <v>1465</v>
      </c>
    </row>
    <row r="67" spans="1:9" s="1009" customFormat="1" ht="4.5" customHeight="1"/>
    <row r="68" spans="1:9" s="1009" customFormat="1" ht="11">
      <c r="A68" s="1009" t="s">
        <v>1114</v>
      </c>
    </row>
    <row r="69" spans="1:9" s="1009" customFormat="1" ht="11">
      <c r="A69" s="1069" t="s">
        <v>2331</v>
      </c>
    </row>
    <row r="70" spans="1:9" s="1009" customFormat="1" ht="11">
      <c r="A70" s="1009" t="s">
        <v>2332</v>
      </c>
    </row>
    <row r="73" spans="1:9">
      <c r="A73" s="944" t="s">
        <v>1115</v>
      </c>
    </row>
    <row r="74" spans="1:9">
      <c r="A74" s="944" t="s">
        <v>35</v>
      </c>
      <c r="B74" s="1131">
        <v>40126329</v>
      </c>
      <c r="C74" s="1131">
        <v>41429077</v>
      </c>
      <c r="D74" s="1131">
        <v>42073868</v>
      </c>
      <c r="E74" s="1131">
        <v>42291470</v>
      </c>
      <c r="F74" s="1131">
        <v>43267331</v>
      </c>
      <c r="G74" s="1131">
        <v>43084598</v>
      </c>
      <c r="H74" s="1131">
        <v>44171778</v>
      </c>
      <c r="I74" s="1386">
        <v>45254761</v>
      </c>
    </row>
    <row r="75" spans="1:9">
      <c r="A75" s="944" t="s">
        <v>20</v>
      </c>
      <c r="B75" s="1387">
        <v>1028837</v>
      </c>
      <c r="C75" s="1387">
        <v>1064045</v>
      </c>
      <c r="D75" s="1387">
        <v>1106852</v>
      </c>
      <c r="E75" s="1387">
        <v>1150304</v>
      </c>
      <c r="F75" s="1387">
        <v>1191307</v>
      </c>
      <c r="G75" s="1387">
        <v>1072669</v>
      </c>
      <c r="H75" s="1387">
        <v>1141979</v>
      </c>
      <c r="I75" s="1386">
        <v>1226771</v>
      </c>
    </row>
  </sheetData>
  <mergeCells count="1">
    <mergeCell ref="A65:H65"/>
  </mergeCells>
  <pageMargins left="0.7" right="0.7" top="0.75" bottom="0.75" header="0.3" footer="0.3"/>
  <pageSetup paperSize="9" orientation="portrait"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9">
    <tabColor theme="4"/>
  </sheetPr>
  <dimension ref="A2:AE80"/>
  <sheetViews>
    <sheetView showGridLines="0" topLeftCell="A4" zoomScale="85" zoomScaleNormal="85" workbookViewId="0">
      <selection activeCell="L37" sqref="L37"/>
    </sheetView>
  </sheetViews>
  <sheetFormatPr baseColWidth="10" defaultColWidth="9.3984375" defaultRowHeight="13" outlineLevelCol="1"/>
  <cols>
    <col min="1" max="1" width="1.796875" style="3025" customWidth="1"/>
    <col min="2" max="2" width="18.796875" style="944" customWidth="1"/>
    <col min="3" max="9" width="11.796875" style="944" customWidth="1"/>
    <col min="10" max="10" width="11.3984375" style="944" customWidth="1"/>
    <col min="11" max="11" width="9.19921875" style="944" hidden="1" customWidth="1"/>
    <col min="12" max="12" width="11.3984375" style="944" customWidth="1"/>
    <col min="13" max="13" width="9.3984375" style="944" hidden="1" customWidth="1" outlineLevel="1"/>
    <col min="14" max="14" width="10.3984375" style="944" hidden="1" customWidth="1" outlineLevel="1"/>
    <col min="15" max="15" width="9.3984375" style="944" hidden="1" customWidth="1" outlineLevel="1"/>
    <col min="16" max="16" width="11.796875" style="944" hidden="1" customWidth="1" outlineLevel="1"/>
    <col min="17" max="18" width="9.3984375" style="944" hidden="1" customWidth="1" outlineLevel="1"/>
    <col min="19" max="19" width="10.3984375" style="944" hidden="1" customWidth="1" outlineLevel="1"/>
    <col min="20" max="20" width="11" style="944" hidden="1" customWidth="1" outlineLevel="1"/>
    <col min="21" max="21" width="9.3984375" style="944" hidden="1" customWidth="1" outlineLevel="1"/>
    <col min="22" max="22" width="1.796875" style="944" hidden="1" customWidth="1" outlineLevel="1"/>
    <col min="23" max="23" width="0.3984375" style="944" hidden="1" customWidth="1" outlineLevel="1"/>
    <col min="24" max="24" width="15.19921875" style="944" hidden="1" customWidth="1" outlineLevel="1"/>
    <col min="25" max="26" width="9.3984375" style="944" hidden="1" customWidth="1" outlineLevel="1"/>
    <col min="27" max="27" width="10.3984375" style="944" hidden="1" customWidth="1" outlineLevel="1"/>
    <col min="28" max="29" width="9.3984375" style="944" hidden="1" customWidth="1" outlineLevel="1"/>
    <col min="30" max="30" width="9.3984375" style="944" collapsed="1"/>
    <col min="31" max="16384" width="9.3984375" style="944"/>
  </cols>
  <sheetData>
    <row r="2" spans="1:29" ht="6" customHeight="1"/>
    <row r="3" spans="1:29" ht="12.75" customHeight="1"/>
    <row r="4" spans="1:29" ht="12.75" customHeight="1"/>
    <row r="5" spans="1:29" ht="13.5" customHeight="1">
      <c r="A5" s="3053"/>
    </row>
    <row r="6" spans="1:29" ht="6" customHeight="1"/>
    <row r="7" spans="1:29" s="1077" customFormat="1" ht="16">
      <c r="A7" s="3054"/>
      <c r="B7" s="1122" t="s">
        <v>2703</v>
      </c>
      <c r="C7" s="1147"/>
      <c r="D7" s="1147"/>
      <c r="E7" s="1147"/>
      <c r="F7" s="1147"/>
      <c r="G7" s="1147"/>
      <c r="H7" s="1147"/>
      <c r="I7" s="1147"/>
      <c r="J7" s="1147"/>
      <c r="K7" s="1147"/>
      <c r="L7" s="1147"/>
      <c r="M7" s="1147"/>
      <c r="N7" s="1147"/>
      <c r="O7" s="1147"/>
      <c r="P7" s="1147"/>
      <c r="Q7" s="1147"/>
      <c r="R7" s="1147"/>
      <c r="S7" s="1147"/>
      <c r="T7" s="1147"/>
      <c r="U7" s="1147"/>
      <c r="V7" s="1147"/>
      <c r="W7" s="1147"/>
      <c r="X7" s="1147"/>
      <c r="Y7" s="1147"/>
      <c r="Z7" s="1147"/>
      <c r="AA7" s="1147"/>
      <c r="AB7" s="1147"/>
      <c r="AC7" s="1147"/>
    </row>
    <row r="8" spans="1:29">
      <c r="A8" s="3026"/>
      <c r="B8" s="1023"/>
      <c r="C8" s="1022">
        <v>1979</v>
      </c>
      <c r="D8" s="1022">
        <v>1984</v>
      </c>
      <c r="E8" s="1022">
        <v>1989</v>
      </c>
      <c r="F8" s="1022">
        <v>1994</v>
      </c>
      <c r="G8" s="1022">
        <v>1999</v>
      </c>
      <c r="H8" s="1022">
        <v>2004</v>
      </c>
      <c r="I8" s="1022">
        <v>2009</v>
      </c>
      <c r="J8" s="1022">
        <v>2014</v>
      </c>
      <c r="K8" s="1022">
        <v>2014</v>
      </c>
      <c r="L8" s="1022">
        <v>2019</v>
      </c>
      <c r="M8" s="1022">
        <v>2014</v>
      </c>
      <c r="N8" s="1022">
        <v>2014</v>
      </c>
      <c r="O8" s="1022">
        <v>2014</v>
      </c>
      <c r="P8" s="1022">
        <v>2014</v>
      </c>
      <c r="Q8" s="1022">
        <v>2014</v>
      </c>
      <c r="R8" s="1022">
        <v>2014</v>
      </c>
      <c r="S8" s="1022">
        <v>2014</v>
      </c>
      <c r="T8" s="1022">
        <v>2014</v>
      </c>
      <c r="U8" s="1022">
        <v>2014</v>
      </c>
      <c r="V8" s="1022">
        <v>2014</v>
      </c>
      <c r="W8" s="1022">
        <v>2014</v>
      </c>
      <c r="X8" s="1022">
        <v>2014</v>
      </c>
      <c r="Y8" s="1022">
        <v>2014</v>
      </c>
      <c r="Z8" s="1022">
        <v>2014</v>
      </c>
      <c r="AA8" s="1022">
        <v>2014</v>
      </c>
      <c r="AB8" s="1022">
        <v>2014</v>
      </c>
      <c r="AC8" s="1022">
        <v>2014</v>
      </c>
    </row>
    <row r="9" spans="1:29" s="1077" customFormat="1" ht="3" customHeight="1">
      <c r="A9" s="3055"/>
      <c r="C9" s="1167"/>
      <c r="D9" s="1167"/>
      <c r="E9" s="1167"/>
      <c r="F9" s="1167"/>
      <c r="G9" s="1167"/>
      <c r="H9" s="1167"/>
      <c r="I9" s="1167"/>
      <c r="J9" s="1167"/>
      <c r="K9" s="1167"/>
      <c r="L9" s="1167"/>
      <c r="M9" s="1167"/>
      <c r="N9" s="1167"/>
      <c r="O9" s="1167"/>
      <c r="P9" s="1167"/>
      <c r="Q9" s="1167"/>
      <c r="R9" s="1167"/>
      <c r="S9" s="1167"/>
      <c r="T9" s="1167"/>
      <c r="U9" s="1167"/>
      <c r="V9" s="1167"/>
      <c r="W9" s="1167"/>
      <c r="X9" s="1167"/>
      <c r="Y9" s="1167"/>
      <c r="Z9" s="1167"/>
      <c r="AA9" s="1167"/>
      <c r="AB9" s="1167"/>
      <c r="AC9" s="1167"/>
    </row>
    <row r="10" spans="1:29" ht="12.75" customHeight="1">
      <c r="A10" s="3055"/>
      <c r="B10" s="1400" t="s">
        <v>35</v>
      </c>
      <c r="C10" s="1401"/>
      <c r="D10" s="1077"/>
      <c r="E10" s="1401"/>
      <c r="F10" s="1077"/>
      <c r="G10" s="1401"/>
      <c r="H10" s="1077"/>
      <c r="I10" s="1401"/>
      <c r="J10" s="1077"/>
      <c r="K10" s="1077"/>
      <c r="L10" s="1401"/>
      <c r="M10" s="1077"/>
      <c r="N10" s="1077"/>
      <c r="O10" s="1077"/>
      <c r="P10" s="1077"/>
      <c r="Q10" s="1077"/>
      <c r="R10" s="1077"/>
      <c r="S10" s="1077"/>
      <c r="T10" s="1077"/>
      <c r="U10" s="1077"/>
      <c r="V10" s="1077"/>
      <c r="W10" s="1077"/>
      <c r="X10" s="1077"/>
      <c r="Y10" s="1077"/>
      <c r="Z10" s="1077"/>
      <c r="AA10" s="1077"/>
      <c r="AB10" s="1077"/>
      <c r="AC10" s="1077"/>
    </row>
    <row r="11" spans="1:29" ht="4.5" customHeight="1">
      <c r="A11" s="3055"/>
      <c r="B11" s="1400"/>
      <c r="C11" s="1401"/>
      <c r="D11" s="1077"/>
      <c r="E11" s="1401"/>
      <c r="F11" s="1077"/>
      <c r="G11" s="1401"/>
      <c r="H11" s="1077"/>
      <c r="I11" s="1401"/>
      <c r="J11" s="1077"/>
      <c r="K11" s="1077"/>
      <c r="L11" s="1401"/>
      <c r="M11" s="1077"/>
      <c r="N11" s="1077"/>
      <c r="O11" s="1077"/>
      <c r="P11" s="1077"/>
      <c r="Q11" s="1077"/>
      <c r="R11" s="1077"/>
      <c r="S11" s="1077"/>
      <c r="T11" s="1077"/>
      <c r="U11" s="1077"/>
      <c r="V11" s="1077"/>
      <c r="W11" s="1077"/>
      <c r="X11" s="1077"/>
      <c r="Y11" s="1077"/>
      <c r="Z11" s="1077"/>
      <c r="AA11" s="1077"/>
      <c r="AB11" s="1077"/>
      <c r="AC11" s="1077"/>
    </row>
    <row r="12" spans="1:29" ht="12.75" customHeight="1">
      <c r="A12" s="3055"/>
      <c r="B12" s="1402" t="s">
        <v>1108</v>
      </c>
      <c r="C12" s="1401"/>
      <c r="D12" s="1077"/>
      <c r="E12" s="1401"/>
      <c r="F12" s="1077"/>
      <c r="G12" s="1401"/>
      <c r="H12" s="1077"/>
      <c r="I12" s="1401"/>
      <c r="J12" s="1077"/>
      <c r="K12" s="1077"/>
      <c r="L12" s="1401"/>
      <c r="M12" s="1077"/>
      <c r="N12" s="1077"/>
      <c r="O12" s="1077"/>
      <c r="P12" s="1077"/>
      <c r="Q12" s="1077"/>
      <c r="R12" s="1077"/>
      <c r="S12" s="1077"/>
      <c r="T12" s="1077"/>
      <c r="U12" s="1077"/>
      <c r="V12" s="1077"/>
      <c r="W12" s="1077"/>
      <c r="X12" s="1077"/>
      <c r="Y12" s="1077"/>
      <c r="Z12" s="1077"/>
      <c r="AA12" s="1077"/>
      <c r="AB12" s="1077"/>
      <c r="AC12" s="1077"/>
    </row>
    <row r="13" spans="1:29" ht="2.25" customHeight="1">
      <c r="A13" s="3055"/>
      <c r="B13" s="1402"/>
      <c r="C13" s="1401"/>
      <c r="D13" s="1077"/>
      <c r="E13" s="1401"/>
      <c r="F13" s="1077"/>
      <c r="G13" s="1401"/>
      <c r="H13" s="1077"/>
      <c r="I13" s="1401"/>
      <c r="J13" s="1077"/>
      <c r="K13" s="1077"/>
      <c r="L13" s="1401"/>
      <c r="M13" s="1077"/>
      <c r="N13" s="1077"/>
      <c r="O13" s="1077"/>
      <c r="P13" s="1077"/>
      <c r="Q13" s="1077"/>
      <c r="R13" s="1077"/>
      <c r="S13" s="1077"/>
      <c r="T13" s="1077"/>
      <c r="U13" s="1077"/>
      <c r="V13" s="1077"/>
      <c r="W13" s="1077"/>
      <c r="X13" s="1077"/>
      <c r="Y13" s="1077"/>
      <c r="Z13" s="1077"/>
      <c r="AA13" s="1077"/>
      <c r="AB13" s="1077"/>
      <c r="AC13" s="1077"/>
    </row>
    <row r="14" spans="1:29" ht="12.75" customHeight="1">
      <c r="A14" s="3055"/>
      <c r="B14" s="1077" t="s">
        <v>13</v>
      </c>
      <c r="C14" s="1401">
        <v>6508493</v>
      </c>
      <c r="D14" s="1077">
        <v>5426821</v>
      </c>
      <c r="E14" s="1401">
        <v>5331098</v>
      </c>
      <c r="F14" s="1077">
        <v>4268539</v>
      </c>
      <c r="G14" s="1401">
        <v>3578203</v>
      </c>
      <c r="H14" s="1077">
        <v>4397087</v>
      </c>
      <c r="I14" s="1401">
        <v>4198664</v>
      </c>
      <c r="J14" s="1392">
        <v>3788405</v>
      </c>
      <c r="K14" s="1392">
        <v>3788405</v>
      </c>
      <c r="L14" s="1398">
        <v>1511485</v>
      </c>
      <c r="M14" s="1392">
        <v>3788405</v>
      </c>
      <c r="N14" s="1392">
        <v>3788405</v>
      </c>
      <c r="O14" s="1392">
        <v>3788405</v>
      </c>
      <c r="P14" s="1392">
        <v>3788405</v>
      </c>
      <c r="Q14" s="1392">
        <v>3788405</v>
      </c>
      <c r="R14" s="1392">
        <v>3788405</v>
      </c>
      <c r="S14" s="1392">
        <v>3788405</v>
      </c>
      <c r="T14" s="1392">
        <v>3788405</v>
      </c>
      <c r="U14" s="1392">
        <v>3788405</v>
      </c>
      <c r="V14" s="1392">
        <v>3788405</v>
      </c>
      <c r="W14" s="1392">
        <v>3788405</v>
      </c>
      <c r="X14" s="1392">
        <v>3788405</v>
      </c>
      <c r="Y14" s="1392">
        <v>3788405</v>
      </c>
      <c r="Z14" s="1392">
        <v>3788405</v>
      </c>
      <c r="AA14" s="1392">
        <v>3788405</v>
      </c>
      <c r="AB14" s="1392">
        <v>3788405</v>
      </c>
      <c r="AC14" s="1392">
        <v>3788405</v>
      </c>
    </row>
    <row r="15" spans="1:29" ht="12.75" customHeight="1">
      <c r="A15" s="3055"/>
      <c r="B15" s="1077" t="s">
        <v>14</v>
      </c>
      <c r="C15" s="1401">
        <v>4253207</v>
      </c>
      <c r="D15" s="1077">
        <v>4865261</v>
      </c>
      <c r="E15" s="1401">
        <v>6153661</v>
      </c>
      <c r="F15" s="1077">
        <v>6753881</v>
      </c>
      <c r="G15" s="1401">
        <v>2803820</v>
      </c>
      <c r="H15" s="1077">
        <v>3718683</v>
      </c>
      <c r="I15" s="1401">
        <v>2381760</v>
      </c>
      <c r="J15" s="1392">
        <v>4020646</v>
      </c>
      <c r="K15" s="1392">
        <v>4020646</v>
      </c>
      <c r="L15" s="1398">
        <v>2347255</v>
      </c>
      <c r="M15" s="1392">
        <v>4020646</v>
      </c>
      <c r="N15" s="1392">
        <v>4020646</v>
      </c>
      <c r="O15" s="1392">
        <v>4020646</v>
      </c>
      <c r="P15" s="1392">
        <v>4020646</v>
      </c>
      <c r="Q15" s="1392">
        <v>4020646</v>
      </c>
      <c r="R15" s="1392">
        <v>4020646</v>
      </c>
      <c r="S15" s="1392">
        <v>4020646</v>
      </c>
      <c r="T15" s="1392">
        <v>4020646</v>
      </c>
      <c r="U15" s="1392">
        <v>4020646</v>
      </c>
      <c r="V15" s="1392">
        <v>4020646</v>
      </c>
      <c r="W15" s="1392">
        <v>4020646</v>
      </c>
      <c r="X15" s="1392">
        <v>4020646</v>
      </c>
      <c r="Y15" s="1392">
        <v>4020646</v>
      </c>
      <c r="Z15" s="1392">
        <v>4020646</v>
      </c>
      <c r="AA15" s="1392">
        <v>4020646</v>
      </c>
      <c r="AB15" s="1392">
        <v>4020646</v>
      </c>
      <c r="AC15" s="1392">
        <v>4020646</v>
      </c>
    </row>
    <row r="16" spans="1:29" ht="12.75" customHeight="1">
      <c r="A16" s="3055"/>
      <c r="B16" s="1077" t="s">
        <v>2329</v>
      </c>
      <c r="C16" s="1401">
        <v>1691531</v>
      </c>
      <c r="D16" s="1077">
        <v>2591635</v>
      </c>
      <c r="E16" s="1401">
        <v>944861</v>
      </c>
      <c r="F16" s="1077">
        <v>2557887</v>
      </c>
      <c r="G16" s="1401">
        <v>1266549</v>
      </c>
      <c r="H16" s="1077">
        <v>2452327</v>
      </c>
      <c r="I16" s="1401">
        <v>2080613</v>
      </c>
      <c r="J16" s="1392">
        <v>1087632</v>
      </c>
      <c r="K16" s="1392">
        <v>1087632</v>
      </c>
      <c r="L16" s="1398">
        <v>3367284</v>
      </c>
      <c r="M16" s="1392">
        <v>1087632</v>
      </c>
      <c r="N16" s="1392">
        <v>1087632</v>
      </c>
      <c r="O16" s="1392">
        <v>1087632</v>
      </c>
      <c r="P16" s="1392">
        <v>1087632</v>
      </c>
      <c r="Q16" s="1392">
        <v>1087632</v>
      </c>
      <c r="R16" s="1392">
        <v>1087632</v>
      </c>
      <c r="S16" s="1392">
        <v>1087632</v>
      </c>
      <c r="T16" s="1392">
        <v>1087632</v>
      </c>
      <c r="U16" s="1392">
        <v>1087632</v>
      </c>
      <c r="V16" s="1392">
        <v>1087632</v>
      </c>
      <c r="W16" s="1392">
        <v>1087632</v>
      </c>
      <c r="X16" s="1392">
        <v>1087632</v>
      </c>
      <c r="Y16" s="1392">
        <v>1087632</v>
      </c>
      <c r="Z16" s="1392">
        <v>1087632</v>
      </c>
      <c r="AA16" s="1392">
        <v>1087632</v>
      </c>
      <c r="AB16" s="1392">
        <v>1087632</v>
      </c>
      <c r="AC16" s="1392">
        <v>1087632</v>
      </c>
    </row>
    <row r="17" spans="1:30" ht="12.75" customHeight="1">
      <c r="A17" s="3055"/>
      <c r="B17" s="1077" t="s">
        <v>251</v>
      </c>
      <c r="C17" s="1401"/>
      <c r="D17" s="1077"/>
      <c r="E17" s="1401"/>
      <c r="F17" s="1077">
        <v>150251</v>
      </c>
      <c r="G17" s="1401">
        <v>696055</v>
      </c>
      <c r="H17" s="1077">
        <v>2660768</v>
      </c>
      <c r="I17" s="1401">
        <v>2498226</v>
      </c>
      <c r="J17" s="1392">
        <v>4352051</v>
      </c>
      <c r="K17" s="1392">
        <v>4352051</v>
      </c>
      <c r="L17" s="1398">
        <v>549348</v>
      </c>
      <c r="M17" s="1392">
        <v>4352051</v>
      </c>
      <c r="N17" s="1392">
        <v>4352051</v>
      </c>
      <c r="O17" s="1392">
        <v>4352051</v>
      </c>
      <c r="P17" s="1392">
        <v>4352051</v>
      </c>
      <c r="Q17" s="1392">
        <v>4352051</v>
      </c>
      <c r="R17" s="1392">
        <v>4352051</v>
      </c>
      <c r="S17" s="1392">
        <v>4352051</v>
      </c>
      <c r="T17" s="1392">
        <v>4352051</v>
      </c>
      <c r="U17" s="1392">
        <v>4352051</v>
      </c>
      <c r="V17" s="1392">
        <v>4352051</v>
      </c>
      <c r="W17" s="1392">
        <v>4352051</v>
      </c>
      <c r="X17" s="1392">
        <v>4352051</v>
      </c>
      <c r="Y17" s="1392">
        <v>4352051</v>
      </c>
      <c r="Z17" s="1392">
        <v>4352051</v>
      </c>
      <c r="AA17" s="1392">
        <v>4352051</v>
      </c>
      <c r="AB17" s="1392">
        <v>4352051</v>
      </c>
      <c r="AC17" s="1392">
        <v>4352051</v>
      </c>
    </row>
    <row r="18" spans="1:30" ht="12.75" customHeight="1">
      <c r="A18" s="3055"/>
      <c r="B18" s="1077" t="s">
        <v>24</v>
      </c>
      <c r="C18" s="1401">
        <v>247836</v>
      </c>
      <c r="D18" s="1077">
        <v>230594</v>
      </c>
      <c r="E18" s="1401">
        <v>406686</v>
      </c>
      <c r="F18" s="1077">
        <v>487237</v>
      </c>
      <c r="G18" s="1401">
        <v>268528</v>
      </c>
      <c r="H18" s="1077">
        <v>231505</v>
      </c>
      <c r="I18" s="1401">
        <v>321007</v>
      </c>
      <c r="J18" s="1403">
        <v>389503</v>
      </c>
      <c r="K18" s="1403">
        <v>389503</v>
      </c>
      <c r="L18" s="1396">
        <v>594553</v>
      </c>
      <c r="M18" s="1403">
        <v>389503</v>
      </c>
      <c r="N18" s="1403">
        <v>389503</v>
      </c>
      <c r="O18" s="1403">
        <v>389503</v>
      </c>
      <c r="P18" s="1403">
        <v>389503</v>
      </c>
      <c r="Q18" s="1403">
        <v>389503</v>
      </c>
      <c r="R18" s="1403">
        <v>389503</v>
      </c>
      <c r="S18" s="1403">
        <v>389503</v>
      </c>
      <c r="T18" s="1403">
        <v>389503</v>
      </c>
      <c r="U18" s="1403">
        <v>389503</v>
      </c>
      <c r="V18" s="1403">
        <v>389503</v>
      </c>
      <c r="W18" s="1403">
        <v>389503</v>
      </c>
      <c r="X18" s="1403">
        <v>389503</v>
      </c>
      <c r="Y18" s="1403">
        <v>389503</v>
      </c>
      <c r="Z18" s="1403">
        <v>389503</v>
      </c>
      <c r="AA18" s="1403">
        <v>389503</v>
      </c>
      <c r="AB18" s="1403">
        <v>389503</v>
      </c>
      <c r="AC18" s="1403">
        <v>389503</v>
      </c>
    </row>
    <row r="19" spans="1:30" ht="12.75" customHeight="1">
      <c r="A19" s="3055"/>
      <c r="B19" s="1077" t="s">
        <v>23</v>
      </c>
      <c r="C19" s="1401">
        <v>83399</v>
      </c>
      <c r="D19" s="1077">
        <v>103031</v>
      </c>
      <c r="E19" s="1401">
        <v>115062</v>
      </c>
      <c r="F19" s="1077">
        <v>162478</v>
      </c>
      <c r="G19" s="1401">
        <v>185235</v>
      </c>
      <c r="H19" s="1077">
        <v>159888</v>
      </c>
      <c r="I19" s="1401">
        <v>126702</v>
      </c>
      <c r="J19" s="1403">
        <v>111864</v>
      </c>
      <c r="K19" s="1403">
        <v>111864</v>
      </c>
      <c r="L19" s="1396">
        <v>163928</v>
      </c>
      <c r="M19" s="1403">
        <v>111864</v>
      </c>
      <c r="N19" s="1403">
        <v>111864</v>
      </c>
      <c r="O19" s="1403">
        <v>111864</v>
      </c>
      <c r="P19" s="1403">
        <v>111864</v>
      </c>
      <c r="Q19" s="1403">
        <v>111864</v>
      </c>
      <c r="R19" s="1403">
        <v>111864</v>
      </c>
      <c r="S19" s="1403">
        <v>111864</v>
      </c>
      <c r="T19" s="1403">
        <v>111864</v>
      </c>
      <c r="U19" s="1403">
        <v>111864</v>
      </c>
      <c r="V19" s="1403">
        <v>111864</v>
      </c>
      <c r="W19" s="1403">
        <v>111864</v>
      </c>
      <c r="X19" s="1403">
        <v>111864</v>
      </c>
      <c r="Y19" s="1403">
        <v>111864</v>
      </c>
      <c r="Z19" s="1403">
        <v>111864</v>
      </c>
      <c r="AA19" s="1403">
        <v>111864</v>
      </c>
      <c r="AB19" s="1403">
        <v>111864</v>
      </c>
      <c r="AC19" s="1403">
        <v>111864</v>
      </c>
    </row>
    <row r="20" spans="1:30" ht="12.75" customHeight="1">
      <c r="A20" s="3055"/>
      <c r="B20" s="1077" t="s">
        <v>2330</v>
      </c>
      <c r="C20" s="1401">
        <v>17953</v>
      </c>
      <c r="D20" s="1077">
        <v>70853</v>
      </c>
      <c r="E20" s="1401">
        <v>2292718</v>
      </c>
      <c r="F20" s="1077">
        <v>494561</v>
      </c>
      <c r="G20" s="1401">
        <v>625378</v>
      </c>
      <c r="H20" s="1077">
        <v>1028283</v>
      </c>
      <c r="I20" s="1401">
        <v>1303745</v>
      </c>
      <c r="J20" s="1392">
        <v>1244975</v>
      </c>
      <c r="K20" s="1392">
        <v>1244975</v>
      </c>
      <c r="L20" s="1398">
        <v>2010909</v>
      </c>
      <c r="M20" s="1392">
        <v>1244975</v>
      </c>
      <c r="N20" s="1392">
        <v>1244975</v>
      </c>
      <c r="O20" s="1392">
        <v>1244975</v>
      </c>
      <c r="P20" s="1392">
        <v>1244975</v>
      </c>
      <c r="Q20" s="1392">
        <v>1244975</v>
      </c>
      <c r="R20" s="1392">
        <v>1244975</v>
      </c>
      <c r="S20" s="1392">
        <v>1244975</v>
      </c>
      <c r="T20" s="1392">
        <v>1244975</v>
      </c>
      <c r="U20" s="1392">
        <v>1244975</v>
      </c>
      <c r="V20" s="1392">
        <v>1244975</v>
      </c>
      <c r="W20" s="1392">
        <v>1244975</v>
      </c>
      <c r="X20" s="1392">
        <v>1244975</v>
      </c>
      <c r="Y20" s="1392">
        <v>1244975</v>
      </c>
      <c r="Z20" s="1392">
        <v>1244975</v>
      </c>
      <c r="AA20" s="1392">
        <v>1244975</v>
      </c>
      <c r="AB20" s="1392">
        <v>1244975</v>
      </c>
      <c r="AC20" s="1392">
        <v>1244975</v>
      </c>
    </row>
    <row r="21" spans="1:30" ht="12.75" customHeight="1">
      <c r="A21" s="3055"/>
      <c r="B21" s="1077" t="s">
        <v>816</v>
      </c>
      <c r="C21" s="1401"/>
      <c r="D21" s="1077"/>
      <c r="E21" s="1401"/>
      <c r="F21" s="1077"/>
      <c r="G21" s="1401">
        <v>102644</v>
      </c>
      <c r="H21" s="1077">
        <v>808201</v>
      </c>
      <c r="I21" s="1401">
        <v>943598</v>
      </c>
      <c r="J21" s="1392">
        <v>179694</v>
      </c>
      <c r="K21" s="1392">
        <v>179694</v>
      </c>
      <c r="L21" s="1398"/>
      <c r="M21" s="1392">
        <v>179694</v>
      </c>
      <c r="N21" s="1392">
        <v>179694</v>
      </c>
      <c r="O21" s="1392">
        <v>179694</v>
      </c>
      <c r="P21" s="1392">
        <v>179694</v>
      </c>
      <c r="Q21" s="1392">
        <v>179694</v>
      </c>
      <c r="R21" s="1392">
        <v>179694</v>
      </c>
      <c r="S21" s="1392">
        <v>179694</v>
      </c>
      <c r="T21" s="1392">
        <v>179694</v>
      </c>
      <c r="U21" s="1392">
        <v>179694</v>
      </c>
      <c r="V21" s="1392">
        <v>179694</v>
      </c>
      <c r="W21" s="1392">
        <v>179694</v>
      </c>
      <c r="X21" s="1392">
        <v>179694</v>
      </c>
      <c r="Y21" s="1392">
        <v>179694</v>
      </c>
      <c r="Z21" s="1392">
        <v>179694</v>
      </c>
      <c r="AA21" s="1392">
        <v>179694</v>
      </c>
      <c r="AB21" s="1392">
        <v>179694</v>
      </c>
      <c r="AC21" s="1392">
        <v>179694</v>
      </c>
    </row>
    <row r="22" spans="1:30" ht="12.75" customHeight="1">
      <c r="A22" s="3055"/>
      <c r="B22" s="1077" t="s">
        <v>2479</v>
      </c>
      <c r="C22" s="1401"/>
      <c r="D22" s="1077"/>
      <c r="E22" s="1401"/>
      <c r="F22" s="1077"/>
      <c r="G22" s="1401"/>
      <c r="H22" s="1077"/>
      <c r="I22" s="1401"/>
      <c r="J22" s="1392"/>
      <c r="K22" s="1392"/>
      <c r="L22" s="1396">
        <v>5248533</v>
      </c>
      <c r="M22" s="1392"/>
      <c r="N22" s="1392"/>
      <c r="O22" s="1392"/>
      <c r="P22" s="1392"/>
      <c r="Q22" s="1392"/>
      <c r="R22" s="1392"/>
      <c r="S22" s="1392"/>
      <c r="T22" s="1392"/>
      <c r="U22" s="1392"/>
      <c r="V22" s="1392"/>
      <c r="W22" s="1392"/>
      <c r="X22" s="1392"/>
      <c r="Y22" s="1392"/>
      <c r="Z22" s="1392"/>
      <c r="AA22" s="1392"/>
      <c r="AB22" s="1392"/>
      <c r="AC22" s="1392"/>
    </row>
    <row r="23" spans="1:30" ht="12.75" customHeight="1">
      <c r="A23" s="3055"/>
      <c r="B23" s="1077" t="s">
        <v>12</v>
      </c>
      <c r="C23" s="1401">
        <v>71433</v>
      </c>
      <c r="D23" s="1077">
        <v>24678</v>
      </c>
      <c r="E23" s="1401">
        <v>117181</v>
      </c>
      <c r="F23" s="1077">
        <v>417888</v>
      </c>
      <c r="G23" s="1401">
        <v>475841</v>
      </c>
      <c r="H23" s="1077">
        <v>1001861</v>
      </c>
      <c r="I23" s="1401">
        <v>1282887</v>
      </c>
      <c r="J23" s="1403">
        <v>654054</v>
      </c>
      <c r="K23" s="1403">
        <v>654054</v>
      </c>
      <c r="L23" s="1396">
        <v>833959</v>
      </c>
      <c r="M23" s="1403">
        <v>654054</v>
      </c>
      <c r="N23" s="1403">
        <v>654054</v>
      </c>
      <c r="O23" s="1403">
        <v>654054</v>
      </c>
      <c r="P23" s="1403">
        <v>654054</v>
      </c>
      <c r="Q23" s="1403">
        <v>654054</v>
      </c>
      <c r="R23" s="1403">
        <v>654054</v>
      </c>
      <c r="S23" s="1403">
        <v>654054</v>
      </c>
      <c r="T23" s="1403">
        <v>654054</v>
      </c>
      <c r="U23" s="1403">
        <v>654054</v>
      </c>
      <c r="V23" s="1403">
        <v>654054</v>
      </c>
      <c r="W23" s="1403">
        <v>654054</v>
      </c>
      <c r="X23" s="1403">
        <v>654054</v>
      </c>
      <c r="Y23" s="1403">
        <v>654054</v>
      </c>
      <c r="Z23" s="1403">
        <v>654054</v>
      </c>
      <c r="AA23" s="1403">
        <v>654054</v>
      </c>
      <c r="AB23" s="1403">
        <v>654054</v>
      </c>
      <c r="AC23" s="1403">
        <v>654054</v>
      </c>
    </row>
    <row r="24" spans="1:30" ht="2.25" customHeight="1">
      <c r="A24" s="3055"/>
      <c r="B24" s="1077"/>
      <c r="C24" s="1401"/>
      <c r="D24" s="1077"/>
      <c r="E24" s="1401"/>
      <c r="F24" s="1077"/>
      <c r="G24" s="1401"/>
      <c r="H24" s="1077"/>
      <c r="I24" s="1401"/>
      <c r="J24" s="1404"/>
      <c r="K24" s="1404"/>
      <c r="L24" s="2549"/>
      <c r="M24" s="1404"/>
      <c r="N24" s="1404"/>
      <c r="O24" s="1404"/>
      <c r="P24" s="1404"/>
      <c r="Q24" s="1404"/>
      <c r="R24" s="1404"/>
      <c r="S24" s="1404"/>
      <c r="T24" s="1404"/>
      <c r="U24" s="1404"/>
      <c r="V24" s="1404"/>
      <c r="W24" s="1404"/>
      <c r="X24" s="1404"/>
      <c r="Y24" s="1404"/>
      <c r="Z24" s="1404"/>
      <c r="AA24" s="1404"/>
      <c r="AB24" s="1404"/>
      <c r="AC24" s="1404"/>
    </row>
    <row r="25" spans="1:30" s="947" customFormat="1" ht="12.75" customHeight="1">
      <c r="A25" s="3056"/>
      <c r="B25" s="1400" t="s">
        <v>16</v>
      </c>
      <c r="C25" s="1405">
        <v>12873852</v>
      </c>
      <c r="D25" s="1400">
        <v>13312873</v>
      </c>
      <c r="E25" s="1405">
        <v>15361267</v>
      </c>
      <c r="F25" s="1400">
        <v>15292722</v>
      </c>
      <c r="G25" s="1405">
        <v>10002253</v>
      </c>
      <c r="H25" s="1400">
        <v>16458603</v>
      </c>
      <c r="I25" s="1405">
        <v>15137202</v>
      </c>
      <c r="J25" s="1393">
        <v>15828824</v>
      </c>
      <c r="K25" s="1393">
        <v>15828824</v>
      </c>
      <c r="L25" s="1405">
        <v>16627254</v>
      </c>
      <c r="M25" s="1393">
        <v>15828824</v>
      </c>
      <c r="N25" s="1393">
        <v>15828824</v>
      </c>
      <c r="O25" s="1393">
        <v>15828824</v>
      </c>
      <c r="P25" s="1393">
        <v>15828824</v>
      </c>
      <c r="Q25" s="1393">
        <v>15828824</v>
      </c>
      <c r="R25" s="1393">
        <v>15828824</v>
      </c>
      <c r="S25" s="1393">
        <v>15828824</v>
      </c>
      <c r="T25" s="1393">
        <v>15828824</v>
      </c>
      <c r="U25" s="1393">
        <v>15828824</v>
      </c>
      <c r="V25" s="1393">
        <v>15828824</v>
      </c>
      <c r="W25" s="1393">
        <v>15828824</v>
      </c>
      <c r="X25" s="1393">
        <v>15828824</v>
      </c>
      <c r="Y25" s="1393">
        <v>15828824</v>
      </c>
      <c r="Z25" s="1393">
        <v>15828824</v>
      </c>
      <c r="AA25" s="1393">
        <v>15828824</v>
      </c>
      <c r="AB25" s="1393">
        <v>15828824</v>
      </c>
      <c r="AC25" s="1393">
        <v>15828824</v>
      </c>
    </row>
    <row r="26" spans="1:30" ht="6" customHeight="1">
      <c r="A26" s="3055"/>
      <c r="B26" s="1077"/>
      <c r="C26" s="1401"/>
      <c r="D26" s="1077"/>
      <c r="E26" s="1401"/>
      <c r="F26" s="1077"/>
      <c r="G26" s="1401"/>
      <c r="H26" s="1077"/>
      <c r="I26" s="1401"/>
      <c r="J26" s="1404"/>
      <c r="K26" s="1404"/>
      <c r="L26" s="1401"/>
      <c r="M26" s="1404"/>
      <c r="N26" s="1404"/>
      <c r="O26" s="1404"/>
      <c r="P26" s="1404"/>
      <c r="Q26" s="1404"/>
      <c r="R26" s="1404"/>
      <c r="S26" s="1404"/>
      <c r="T26" s="1404"/>
      <c r="U26" s="1404"/>
      <c r="V26" s="1404"/>
      <c r="W26" s="1404"/>
      <c r="X26" s="1404"/>
      <c r="Y26" s="1404"/>
      <c r="Z26" s="1404"/>
      <c r="AA26" s="1404"/>
      <c r="AB26" s="1404"/>
      <c r="AC26" s="1404"/>
    </row>
    <row r="27" spans="1:30" ht="12.75" customHeight="1">
      <c r="A27" s="3055"/>
      <c r="B27" s="1402" t="s">
        <v>1109</v>
      </c>
      <c r="C27" s="1401"/>
      <c r="D27" s="1077"/>
      <c r="E27" s="1401"/>
      <c r="F27" s="1077"/>
      <c r="G27" s="1401"/>
      <c r="H27" s="1077"/>
      <c r="I27" s="1401"/>
      <c r="J27" s="1404"/>
      <c r="K27" s="1404"/>
      <c r="L27" s="2549"/>
      <c r="M27" s="1404"/>
      <c r="N27" s="1404"/>
      <c r="O27" s="1404"/>
      <c r="P27" s="1404"/>
      <c r="Q27" s="1404"/>
      <c r="R27" s="1404"/>
      <c r="S27" s="1404"/>
      <c r="T27" s="1404"/>
      <c r="U27" s="1404"/>
      <c r="V27" s="1404"/>
      <c r="W27" s="1404"/>
      <c r="X27" s="1404"/>
      <c r="Y27" s="1404"/>
      <c r="Z27" s="1404"/>
      <c r="AA27" s="1404"/>
      <c r="AB27" s="1404"/>
      <c r="AC27" s="1404"/>
    </row>
    <row r="28" spans="1:30" ht="2.25" customHeight="1">
      <c r="A28" s="3055"/>
      <c r="B28" s="1402"/>
      <c r="C28" s="1401"/>
      <c r="D28" s="1077"/>
      <c r="E28" s="1401"/>
      <c r="F28" s="1077"/>
      <c r="G28" s="1401"/>
      <c r="H28" s="1077"/>
      <c r="I28" s="1401"/>
      <c r="J28" s="1404"/>
      <c r="K28" s="1404"/>
      <c r="L28" s="2549"/>
      <c r="M28" s="1404"/>
      <c r="N28" s="1404"/>
      <c r="O28" s="1404"/>
      <c r="P28" s="1404"/>
      <c r="Q28" s="1404"/>
      <c r="R28" s="1404"/>
      <c r="S28" s="1404"/>
      <c r="T28" s="1404"/>
      <c r="U28" s="1404"/>
      <c r="V28" s="1404"/>
      <c r="W28" s="1404"/>
      <c r="X28" s="1404"/>
      <c r="Y28" s="1404"/>
      <c r="Z28" s="1404"/>
      <c r="AA28" s="1404"/>
      <c r="AB28" s="1404"/>
      <c r="AC28" s="1404"/>
    </row>
    <row r="29" spans="1:30" ht="12.75" customHeight="1">
      <c r="A29" s="3067">
        <v>0.6</v>
      </c>
      <c r="B29" s="1077" t="s">
        <v>13</v>
      </c>
      <c r="C29" s="1406">
        <v>0.50555909761895701</v>
      </c>
      <c r="D29" s="1407">
        <v>0.40763710432751821</v>
      </c>
      <c r="E29" s="1408">
        <v>0.347048065761763</v>
      </c>
      <c r="F29" s="1409">
        <v>0.27912225174824989</v>
      </c>
      <c r="G29" s="1408">
        <f>G14/G25</f>
        <v>0.3577397012453094</v>
      </c>
      <c r="H29" s="1409">
        <v>0.26716040237436922</v>
      </c>
      <c r="I29" s="1408">
        <v>0.27737385020032101</v>
      </c>
      <c r="J29" s="1409">
        <v>0.23933584705976893</v>
      </c>
      <c r="K29" s="1409">
        <v>0.23933584705976893</v>
      </c>
      <c r="L29" s="1408">
        <v>0.09</v>
      </c>
      <c r="M29" s="1409">
        <v>0.23933584705976893</v>
      </c>
      <c r="N29" s="1409">
        <v>0.23933584705976893</v>
      </c>
      <c r="O29" s="1409">
        <v>0.23933584705976893</v>
      </c>
      <c r="P29" s="1409">
        <v>0.23933584705976893</v>
      </c>
      <c r="Q29" s="1409">
        <v>0.23933584705976893</v>
      </c>
      <c r="R29" s="1409">
        <v>0.23933584705976893</v>
      </c>
      <c r="S29" s="1409">
        <v>0.23933584705976893</v>
      </c>
      <c r="T29" s="1409">
        <v>0.23933584705976893</v>
      </c>
      <c r="U29" s="1409">
        <v>0.23933584705976893</v>
      </c>
      <c r="V29" s="1409">
        <v>0.23933584705976893</v>
      </c>
      <c r="W29" s="1409">
        <v>0.23933584705976893</v>
      </c>
      <c r="X29" s="1409">
        <v>0.23933584705976893</v>
      </c>
      <c r="Y29" s="1409">
        <v>0.23933584705976893</v>
      </c>
      <c r="Z29" s="1409">
        <v>0.23933584705976893</v>
      </c>
      <c r="AA29" s="1409">
        <v>0.23933584705976893</v>
      </c>
      <c r="AB29" s="1409">
        <v>0.23933584705976893</v>
      </c>
      <c r="AC29" s="1409">
        <v>0.23933584705976893</v>
      </c>
      <c r="AD29" s="1066"/>
    </row>
    <row r="30" spans="1:30" ht="12.75" customHeight="1">
      <c r="A30" s="3068">
        <v>0.6</v>
      </c>
      <c r="B30" s="1077" t="s">
        <v>14</v>
      </c>
      <c r="C30" s="1408">
        <v>0.33037563271661036</v>
      </c>
      <c r="D30" s="1409">
        <v>0.36545537540995093</v>
      </c>
      <c r="E30" s="1406">
        <v>0.40059592740624844</v>
      </c>
      <c r="F30" s="1407">
        <v>0.44164021290650546</v>
      </c>
      <c r="G30" s="1408">
        <f>G15/G25</f>
        <v>0.28031884416440978</v>
      </c>
      <c r="H30" s="1409">
        <v>0.22594159419241111</v>
      </c>
      <c r="I30" s="1408">
        <v>0.15734479859620026</v>
      </c>
      <c r="J30" s="1409">
        <v>0.25400787828584109</v>
      </c>
      <c r="K30" s="1409">
        <v>0.25400787828584109</v>
      </c>
      <c r="L30" s="1408">
        <v>0.14000000000000001</v>
      </c>
      <c r="M30" s="1409">
        <v>0.25400787828584109</v>
      </c>
      <c r="N30" s="1409">
        <v>0.25400787828584109</v>
      </c>
      <c r="O30" s="1409">
        <v>0.25400787828584109</v>
      </c>
      <c r="P30" s="1409">
        <v>0.25400787828584109</v>
      </c>
      <c r="Q30" s="1409">
        <v>0.25400787828584109</v>
      </c>
      <c r="R30" s="1409">
        <v>0.25400787828584109</v>
      </c>
      <c r="S30" s="1409">
        <v>0.25400787828584109</v>
      </c>
      <c r="T30" s="1409">
        <v>0.25400787828584109</v>
      </c>
      <c r="U30" s="1409">
        <v>0.25400787828584109</v>
      </c>
      <c r="V30" s="1409">
        <v>0.25400787828584109</v>
      </c>
      <c r="W30" s="1409">
        <v>0.25400787828584109</v>
      </c>
      <c r="X30" s="1409">
        <v>0.25400787828584109</v>
      </c>
      <c r="Y30" s="1409">
        <v>0.25400787828584109</v>
      </c>
      <c r="Z30" s="1409">
        <v>0.25400787828584109</v>
      </c>
      <c r="AA30" s="1409">
        <v>0.25400787828584109</v>
      </c>
      <c r="AB30" s="1409">
        <v>0.25400787828584109</v>
      </c>
      <c r="AC30" s="1409">
        <v>0.25400787828584109</v>
      </c>
      <c r="AD30" s="1066"/>
    </row>
    <row r="31" spans="1:30" ht="12.75" customHeight="1">
      <c r="A31" s="3069">
        <v>0.6</v>
      </c>
      <c r="B31" s="1077" t="s">
        <v>2329</v>
      </c>
      <c r="C31" s="1408">
        <v>0.13139276418588625</v>
      </c>
      <c r="D31" s="1409">
        <v>0.19467135305805142</v>
      </c>
      <c r="E31" s="1408">
        <v>6.1509314303305841E-2</v>
      </c>
      <c r="F31" s="1409">
        <v>0.16726172096766032</v>
      </c>
      <c r="G31" s="1408">
        <v>0.12662637107859601</v>
      </c>
      <c r="H31" s="1409">
        <v>0.14899970550355945</v>
      </c>
      <c r="I31" s="1408">
        <v>0.13745030290274252</v>
      </c>
      <c r="J31" s="1409">
        <v>6.8712116579222812E-2</v>
      </c>
      <c r="K31" s="1409">
        <v>6.8712116579222812E-2</v>
      </c>
      <c r="L31" s="1408">
        <v>0.2</v>
      </c>
      <c r="M31" s="1409">
        <v>6.8712116579222812E-2</v>
      </c>
      <c r="N31" s="1409">
        <v>6.8712116579222812E-2</v>
      </c>
      <c r="O31" s="1409">
        <v>6.8712116579222812E-2</v>
      </c>
      <c r="P31" s="1409">
        <v>6.8712116579222812E-2</v>
      </c>
      <c r="Q31" s="1409">
        <v>6.8712116579222812E-2</v>
      </c>
      <c r="R31" s="1409">
        <v>6.8712116579222812E-2</v>
      </c>
      <c r="S31" s="1409">
        <v>6.8712116579222812E-2</v>
      </c>
      <c r="T31" s="1409">
        <v>6.8712116579222812E-2</v>
      </c>
      <c r="U31" s="1409">
        <v>6.8712116579222812E-2</v>
      </c>
      <c r="V31" s="1409">
        <v>6.8712116579222812E-2</v>
      </c>
      <c r="W31" s="1409">
        <v>6.8712116579222812E-2</v>
      </c>
      <c r="X31" s="1409">
        <v>6.8712116579222812E-2</v>
      </c>
      <c r="Y31" s="1409">
        <v>6.8712116579222812E-2</v>
      </c>
      <c r="Z31" s="1409">
        <v>6.8712116579222812E-2</v>
      </c>
      <c r="AA31" s="1409">
        <v>6.8712116579222812E-2</v>
      </c>
      <c r="AB31" s="1409">
        <v>6.8712116579222812E-2</v>
      </c>
      <c r="AC31" s="1409">
        <v>6.8712116579222812E-2</v>
      </c>
      <c r="AD31" s="1066"/>
    </row>
    <row r="32" spans="1:30">
      <c r="A32" s="3057">
        <v>0.6</v>
      </c>
      <c r="B32" s="1077" t="s">
        <v>251</v>
      </c>
      <c r="C32" s="1408"/>
      <c r="D32" s="1409"/>
      <c r="E32" s="1408"/>
      <c r="F32" s="1409">
        <v>9.8250004152301996E-3</v>
      </c>
      <c r="G32" s="1408">
        <v>6.9589821413235595E-2</v>
      </c>
      <c r="H32" s="1409">
        <v>0.16166426761736705</v>
      </c>
      <c r="I32" s="1408">
        <v>0.16503882289474633</v>
      </c>
      <c r="J32" s="1409">
        <v>0.2749446831931418</v>
      </c>
      <c r="K32" s="1409">
        <v>0.2749446831931418</v>
      </c>
      <c r="L32" s="1408">
        <v>0.03</v>
      </c>
      <c r="M32" s="1409">
        <v>0.2749446831931418</v>
      </c>
      <c r="N32" s="1409">
        <v>0.2749446831931418</v>
      </c>
      <c r="O32" s="1409">
        <v>0.2749446831931418</v>
      </c>
      <c r="P32" s="1409">
        <v>0.2749446831931418</v>
      </c>
      <c r="Q32" s="1409">
        <v>0.2749446831931418</v>
      </c>
      <c r="R32" s="1409">
        <v>0.2749446831931418</v>
      </c>
      <c r="S32" s="1409">
        <v>0.2749446831931418</v>
      </c>
      <c r="T32" s="1409">
        <v>0.2749446831931418</v>
      </c>
      <c r="U32" s="1409">
        <v>0.2749446831931418</v>
      </c>
      <c r="V32" s="1409">
        <v>0.2749446831931418</v>
      </c>
      <c r="W32" s="1409">
        <v>0.2749446831931418</v>
      </c>
      <c r="X32" s="1409">
        <v>0.2749446831931418</v>
      </c>
      <c r="Y32" s="1409">
        <v>0.2749446831931418</v>
      </c>
      <c r="Z32" s="1409">
        <v>0.2749446831931418</v>
      </c>
      <c r="AA32" s="1409">
        <v>0.2749446831931418</v>
      </c>
      <c r="AB32" s="1409">
        <v>0.2749446831931418</v>
      </c>
      <c r="AC32" s="1409">
        <v>0.2749446831931418</v>
      </c>
      <c r="AD32" s="1066"/>
    </row>
    <row r="33" spans="1:30" ht="12.75" customHeight="1">
      <c r="A33" s="3070">
        <v>0.6</v>
      </c>
      <c r="B33" s="1077" t="s">
        <v>24</v>
      </c>
      <c r="C33" s="1408">
        <v>1.9251114584818901E-2</v>
      </c>
      <c r="D33" s="1409">
        <v>1.7321129706562962E-2</v>
      </c>
      <c r="E33" s="1408">
        <v>2.6474769301256206E-2</v>
      </c>
      <c r="F33" s="1409">
        <v>3.1860711258597393E-2</v>
      </c>
      <c r="G33" s="1408">
        <v>1.8519327595492737E-2</v>
      </c>
      <c r="H33" s="1409">
        <v>1.4065896115241373E-2</v>
      </c>
      <c r="I33" s="1408">
        <v>2.1206495097310585E-2</v>
      </c>
      <c r="J33" s="1409">
        <v>2.4607197603561705E-2</v>
      </c>
      <c r="K33" s="1409">
        <v>2.4607197603561705E-2</v>
      </c>
      <c r="L33" s="1408">
        <v>0.04</v>
      </c>
      <c r="M33" s="1409">
        <v>2.4607197603561705E-2</v>
      </c>
      <c r="N33" s="1409">
        <v>2.4607197603561705E-2</v>
      </c>
      <c r="O33" s="1409">
        <v>2.4607197603561705E-2</v>
      </c>
      <c r="P33" s="1409">
        <v>2.4607197603561705E-2</v>
      </c>
      <c r="Q33" s="1409">
        <v>2.4607197603561705E-2</v>
      </c>
      <c r="R33" s="1409">
        <v>2.4607197603561705E-2</v>
      </c>
      <c r="S33" s="1409">
        <v>2.4607197603561705E-2</v>
      </c>
      <c r="T33" s="1409">
        <v>2.4607197603561705E-2</v>
      </c>
      <c r="U33" s="1409">
        <v>2.4607197603561705E-2</v>
      </c>
      <c r="V33" s="1409">
        <v>2.4607197603561705E-2</v>
      </c>
      <c r="W33" s="1409">
        <v>2.4607197603561705E-2</v>
      </c>
      <c r="X33" s="1409">
        <v>2.4607197603561705E-2</v>
      </c>
      <c r="Y33" s="1409">
        <v>2.4607197603561705E-2</v>
      </c>
      <c r="Z33" s="1409">
        <v>2.4607197603561705E-2</v>
      </c>
      <c r="AA33" s="1409">
        <v>2.4607197603561705E-2</v>
      </c>
      <c r="AB33" s="1409">
        <v>2.4607197603561705E-2</v>
      </c>
      <c r="AC33" s="1409">
        <v>2.4607197603561705E-2</v>
      </c>
      <c r="AD33" s="1066"/>
    </row>
    <row r="34" spans="1:30" ht="12.75" customHeight="1">
      <c r="A34" s="3071">
        <v>0.6</v>
      </c>
      <c r="B34" s="1077" t="s">
        <v>23</v>
      </c>
      <c r="C34" s="1408">
        <v>6.4781698593396912E-3</v>
      </c>
      <c r="D34" s="1409">
        <v>7.7392009974105516E-3</v>
      </c>
      <c r="E34" s="1408">
        <v>7.4903977647156322E-3</v>
      </c>
      <c r="F34" s="1409">
        <v>1.0624531067785055E-2</v>
      </c>
      <c r="G34" s="1408">
        <v>2.6846751426903518E-2</v>
      </c>
      <c r="H34" s="1409">
        <v>9.7145547529155427E-3</v>
      </c>
      <c r="I34" s="1408">
        <v>8.3702390970273113E-3</v>
      </c>
      <c r="J34" s="1409">
        <v>7.0671074490435927E-3</v>
      </c>
      <c r="K34" s="1409">
        <v>7.0671074490435927E-3</v>
      </c>
      <c r="L34" s="1408">
        <v>0.01</v>
      </c>
      <c r="M34" s="1409">
        <v>7.0671074490435927E-3</v>
      </c>
      <c r="N34" s="1409">
        <v>7.0671074490435927E-3</v>
      </c>
      <c r="O34" s="1409">
        <v>7.0671074490435927E-3</v>
      </c>
      <c r="P34" s="1409">
        <v>7.0671074490435927E-3</v>
      </c>
      <c r="Q34" s="1409">
        <v>7.0671074490435927E-3</v>
      </c>
      <c r="R34" s="1409">
        <v>7.0671074490435927E-3</v>
      </c>
      <c r="S34" s="1409">
        <v>7.0671074490435927E-3</v>
      </c>
      <c r="T34" s="1409">
        <v>7.0671074490435927E-3</v>
      </c>
      <c r="U34" s="1409">
        <v>7.0671074490435927E-3</v>
      </c>
      <c r="V34" s="1409">
        <v>7.0671074490435927E-3</v>
      </c>
      <c r="W34" s="1409">
        <v>7.0671074490435927E-3</v>
      </c>
      <c r="X34" s="1409">
        <v>7.0671074490435927E-3</v>
      </c>
      <c r="Y34" s="1409">
        <v>7.0671074490435927E-3</v>
      </c>
      <c r="Z34" s="1409">
        <v>7.0671074490435927E-3</v>
      </c>
      <c r="AA34" s="1409">
        <v>7.0671074490435927E-3</v>
      </c>
      <c r="AB34" s="1409">
        <v>7.0671074490435927E-3</v>
      </c>
      <c r="AC34" s="1409">
        <v>7.0671074490435927E-3</v>
      </c>
      <c r="AD34" s="1066"/>
    </row>
    <row r="35" spans="1:30" ht="14.5" customHeight="1">
      <c r="A35" s="3072">
        <v>0.6</v>
      </c>
      <c r="B35" s="1077" t="s">
        <v>2330</v>
      </c>
      <c r="C35" s="1408">
        <v>1.394532110513621E-3</v>
      </c>
      <c r="D35" s="1409">
        <v>5.3221419598910016E-3</v>
      </c>
      <c r="E35" s="1408">
        <v>0.14925318334744134</v>
      </c>
      <c r="F35" s="1409">
        <v>3.2339631885023479E-2</v>
      </c>
      <c r="G35" s="1408">
        <v>6.2523713407369313E-2</v>
      </c>
      <c r="H35" s="1409">
        <v>6.2476930757731988E-2</v>
      </c>
      <c r="I35" s="1408">
        <v>8.6128532868888191E-2</v>
      </c>
      <c r="J35" s="1409">
        <v>7.8652400203577985E-2</v>
      </c>
      <c r="K35" s="1409">
        <v>7.8652400203577985E-2</v>
      </c>
      <c r="L35" s="1408">
        <v>0.12</v>
      </c>
      <c r="M35" s="1409">
        <v>7.8652400203577985E-2</v>
      </c>
      <c r="N35" s="1409">
        <v>7.8652400203577985E-2</v>
      </c>
      <c r="O35" s="1409">
        <v>7.8652400203577985E-2</v>
      </c>
      <c r="P35" s="1409">
        <v>7.8652400203577985E-2</v>
      </c>
      <c r="Q35" s="1409">
        <v>7.8652400203577985E-2</v>
      </c>
      <c r="R35" s="1409">
        <v>7.8652400203577985E-2</v>
      </c>
      <c r="S35" s="1409">
        <v>7.8652400203577985E-2</v>
      </c>
      <c r="T35" s="1409">
        <v>7.8652400203577985E-2</v>
      </c>
      <c r="U35" s="1409">
        <v>7.8652400203577985E-2</v>
      </c>
      <c r="V35" s="1409">
        <v>7.8652400203577985E-2</v>
      </c>
      <c r="W35" s="1409">
        <v>7.8652400203577985E-2</v>
      </c>
      <c r="X35" s="1409">
        <v>7.8652400203577985E-2</v>
      </c>
      <c r="Y35" s="1409">
        <v>7.8652400203577985E-2</v>
      </c>
      <c r="Z35" s="1409">
        <v>7.8652400203577985E-2</v>
      </c>
      <c r="AA35" s="1409">
        <v>7.8652400203577985E-2</v>
      </c>
      <c r="AB35" s="1409">
        <v>7.8652400203577985E-2</v>
      </c>
      <c r="AC35" s="1409">
        <v>7.8652400203577985E-2</v>
      </c>
      <c r="AD35" s="1066"/>
    </row>
    <row r="36" spans="1:30">
      <c r="A36" s="3073">
        <v>0.6</v>
      </c>
      <c r="B36" s="1077" t="s">
        <v>816</v>
      </c>
      <c r="C36" s="1408"/>
      <c r="D36" s="1409"/>
      <c r="E36" s="1408"/>
      <c r="F36" s="1409"/>
      <c r="G36" s="1408">
        <v>1.0262087951584509E-2</v>
      </c>
      <c r="H36" s="1409">
        <v>4.9105078966908675E-2</v>
      </c>
      <c r="I36" s="1408">
        <v>6.2336355159956246E-2</v>
      </c>
      <c r="J36" s="1409">
        <v>1.1352327879822278E-2</v>
      </c>
      <c r="K36" s="1409">
        <v>1.1352327879822278E-2</v>
      </c>
      <c r="L36" s="1408">
        <v>0</v>
      </c>
      <c r="M36" s="1409">
        <v>1.1352327879822278E-2</v>
      </c>
      <c r="N36" s="1409">
        <v>1.1352327879822278E-2</v>
      </c>
      <c r="O36" s="1409">
        <v>1.1352327879822278E-2</v>
      </c>
      <c r="P36" s="1409">
        <v>1.1352327879822278E-2</v>
      </c>
      <c r="Q36" s="1409">
        <v>1.1352327879822278E-2</v>
      </c>
      <c r="R36" s="1409">
        <v>1.1352327879822278E-2</v>
      </c>
      <c r="S36" s="1409">
        <v>1.1352327879822278E-2</v>
      </c>
      <c r="T36" s="1409">
        <v>1.1352327879822278E-2</v>
      </c>
      <c r="U36" s="1409">
        <v>1.1352327879822278E-2</v>
      </c>
      <c r="V36" s="1409">
        <v>1.1352327879822278E-2</v>
      </c>
      <c r="W36" s="1409">
        <v>1.1352327879822278E-2</v>
      </c>
      <c r="X36" s="1409">
        <v>1.1352327879822278E-2</v>
      </c>
      <c r="Y36" s="1409">
        <v>1.1352327879822278E-2</v>
      </c>
      <c r="Z36" s="1409">
        <v>1.1352327879822278E-2</v>
      </c>
      <c r="AA36" s="1409">
        <v>1.1352327879822278E-2</v>
      </c>
      <c r="AB36" s="1409">
        <v>1.1352327879822278E-2</v>
      </c>
      <c r="AC36" s="1409">
        <v>1.1352327879822278E-2</v>
      </c>
      <c r="AD36" s="1066"/>
    </row>
    <row r="37" spans="1:30">
      <c r="A37" s="3058"/>
      <c r="B37" s="1077" t="s">
        <v>2479</v>
      </c>
      <c r="C37" s="1408"/>
      <c r="D37" s="1409"/>
      <c r="E37" s="1408"/>
      <c r="F37" s="1409"/>
      <c r="G37" s="1408"/>
      <c r="H37" s="1409"/>
      <c r="I37" s="1408"/>
      <c r="J37" s="1409"/>
      <c r="K37" s="1409"/>
      <c r="L37" s="1408">
        <v>0.32</v>
      </c>
      <c r="M37" s="1409"/>
      <c r="N37" s="1409"/>
      <c r="O37" s="1409"/>
      <c r="P37" s="1409"/>
      <c r="Q37" s="1409"/>
      <c r="R37" s="1409"/>
      <c r="S37" s="1409"/>
      <c r="T37" s="1409"/>
      <c r="U37" s="1409"/>
      <c r="V37" s="1409"/>
      <c r="W37" s="1409"/>
      <c r="X37" s="1409"/>
      <c r="Y37" s="1409"/>
      <c r="Z37" s="1409"/>
      <c r="AA37" s="1409"/>
      <c r="AB37" s="1409"/>
      <c r="AC37" s="1409"/>
      <c r="AD37" s="1066"/>
    </row>
    <row r="38" spans="1:30">
      <c r="A38" s="3074">
        <v>0.6</v>
      </c>
      <c r="B38" s="1077" t="s">
        <v>12</v>
      </c>
      <c r="C38" s="1408">
        <v>5.5486889238745328E-3</v>
      </c>
      <c r="D38" s="1409">
        <v>1.8536945406149371E-3</v>
      </c>
      <c r="E38" s="1408">
        <v>7.6283421152695281E-3</v>
      </c>
      <c r="F38" s="1409">
        <v>2.7325939750948196E-2</v>
      </c>
      <c r="G38" s="1408">
        <v>4.7573381717099135E-2</v>
      </c>
      <c r="H38" s="1409">
        <v>6.0871569719495637E-2</v>
      </c>
      <c r="I38" s="1408">
        <v>8.4750603182807499E-2</v>
      </c>
      <c r="J38" s="1409">
        <v>4.1320441746019794E-2</v>
      </c>
      <c r="K38" s="1409">
        <v>4.1320441746019794E-2</v>
      </c>
      <c r="L38" s="1408">
        <v>0.05</v>
      </c>
      <c r="M38" s="1409">
        <v>4.1320441746019794E-2</v>
      </c>
      <c r="N38" s="1409">
        <v>4.1320441746019794E-2</v>
      </c>
      <c r="O38" s="1409">
        <v>4.1320441746019794E-2</v>
      </c>
      <c r="P38" s="1409">
        <v>4.1320441746019794E-2</v>
      </c>
      <c r="Q38" s="1409">
        <v>4.1320441746019794E-2</v>
      </c>
      <c r="R38" s="1409">
        <v>4.1320441746019794E-2</v>
      </c>
      <c r="S38" s="1409">
        <v>4.1320441746019794E-2</v>
      </c>
      <c r="T38" s="1409">
        <v>4.1320441746019794E-2</v>
      </c>
      <c r="U38" s="1409">
        <v>4.1320441746019794E-2</v>
      </c>
      <c r="V38" s="1409">
        <v>4.1320441746019794E-2</v>
      </c>
      <c r="W38" s="1409">
        <v>4.1320441746019794E-2</v>
      </c>
      <c r="X38" s="1409">
        <v>4.1320441746019794E-2</v>
      </c>
      <c r="Y38" s="1409">
        <v>4.1320441746019794E-2</v>
      </c>
      <c r="Z38" s="1409">
        <v>4.1320441746019794E-2</v>
      </c>
      <c r="AA38" s="1409">
        <v>4.1320441746019794E-2</v>
      </c>
      <c r="AB38" s="1409">
        <v>4.1320441746019794E-2</v>
      </c>
      <c r="AC38" s="1409">
        <v>4.1320441746019794E-2</v>
      </c>
      <c r="AD38" s="1066"/>
    </row>
    <row r="39" spans="1:30" ht="5.25" customHeight="1">
      <c r="A39" s="3057"/>
      <c r="B39" s="1077"/>
      <c r="C39" s="1408"/>
      <c r="D39" s="1409"/>
      <c r="E39" s="1408"/>
      <c r="F39" s="1409"/>
      <c r="G39" s="1408"/>
      <c r="H39" s="1409"/>
      <c r="I39" s="1408"/>
      <c r="J39" s="1409"/>
      <c r="K39" s="1409"/>
      <c r="L39" s="1408"/>
      <c r="M39" s="1409"/>
      <c r="N39" s="1409"/>
      <c r="O39" s="1409"/>
      <c r="P39" s="1409"/>
      <c r="Q39" s="1409"/>
      <c r="R39" s="1409"/>
      <c r="S39" s="1409"/>
      <c r="T39" s="1409"/>
      <c r="U39" s="1409"/>
      <c r="V39" s="1409"/>
      <c r="W39" s="1409"/>
      <c r="X39" s="1409"/>
      <c r="Y39" s="1409"/>
      <c r="Z39" s="1409"/>
      <c r="AA39" s="1409"/>
      <c r="AB39" s="1409"/>
      <c r="AC39" s="1409"/>
      <c r="AD39" s="1066"/>
    </row>
    <row r="40" spans="1:30" ht="12.75" customHeight="1">
      <c r="A40" s="3057"/>
      <c r="B40" s="1077" t="s">
        <v>219</v>
      </c>
      <c r="C40" s="1410">
        <v>0.32083303708146338</v>
      </c>
      <c r="D40" s="1411">
        <v>0.32134128887302993</v>
      </c>
      <c r="E40" s="1410">
        <v>0.36510232432159551</v>
      </c>
      <c r="F40" s="1411">
        <v>0.36160298991735212</v>
      </c>
      <c r="G40" s="1410">
        <v>0.23117333028931228</v>
      </c>
      <c r="H40" s="1411">
        <v>0.38200665119354255</v>
      </c>
      <c r="I40" s="1410">
        <v>0.34268944301947729</v>
      </c>
      <c r="J40" s="1411">
        <v>0.34977146382454655</v>
      </c>
      <c r="K40" s="1411" t="e">
        <v>#DIV/0!</v>
      </c>
      <c r="L40" s="1410">
        <v>0.37</v>
      </c>
      <c r="M40" s="1411" t="e">
        <f t="shared" ref="M40:AC40" si="0">M25/M79</f>
        <v>#DIV/0!</v>
      </c>
      <c r="N40" s="1411" t="e">
        <f t="shared" si="0"/>
        <v>#DIV/0!</v>
      </c>
      <c r="O40" s="1411" t="e">
        <f t="shared" si="0"/>
        <v>#DIV/0!</v>
      </c>
      <c r="P40" s="1411" t="e">
        <f t="shared" si="0"/>
        <v>#DIV/0!</v>
      </c>
      <c r="Q40" s="1411" t="e">
        <f t="shared" si="0"/>
        <v>#DIV/0!</v>
      </c>
      <c r="R40" s="1411" t="e">
        <f t="shared" si="0"/>
        <v>#DIV/0!</v>
      </c>
      <c r="S40" s="1411" t="e">
        <f t="shared" si="0"/>
        <v>#DIV/0!</v>
      </c>
      <c r="T40" s="1411" t="e">
        <f t="shared" si="0"/>
        <v>#DIV/0!</v>
      </c>
      <c r="U40" s="1411" t="e">
        <f t="shared" si="0"/>
        <v>#DIV/0!</v>
      </c>
      <c r="V40" s="1411" t="e">
        <f t="shared" si="0"/>
        <v>#DIV/0!</v>
      </c>
      <c r="W40" s="1411" t="e">
        <f t="shared" si="0"/>
        <v>#DIV/0!</v>
      </c>
      <c r="X40" s="1411" t="e">
        <f t="shared" si="0"/>
        <v>#DIV/0!</v>
      </c>
      <c r="Y40" s="1411" t="e">
        <f t="shared" si="0"/>
        <v>#DIV/0!</v>
      </c>
      <c r="Z40" s="1411" t="e">
        <f t="shared" si="0"/>
        <v>#DIV/0!</v>
      </c>
      <c r="AA40" s="1411" t="e">
        <f t="shared" si="0"/>
        <v>#DIV/0!</v>
      </c>
      <c r="AB40" s="1411" t="e">
        <f t="shared" si="0"/>
        <v>#DIV/0!</v>
      </c>
      <c r="AC40" s="1411" t="e">
        <f t="shared" si="0"/>
        <v>#DIV/0!</v>
      </c>
      <c r="AD40" s="1066"/>
    </row>
    <row r="41" spans="1:30" ht="12.75" customHeight="1">
      <c r="C41" s="1412"/>
      <c r="D41" s="1413"/>
      <c r="E41" s="1412"/>
      <c r="F41" s="1413"/>
      <c r="G41" s="1412"/>
      <c r="H41" s="1413"/>
      <c r="I41" s="1412"/>
      <c r="J41" s="1413"/>
      <c r="K41" s="1413"/>
      <c r="L41" s="1412"/>
      <c r="M41" s="1413"/>
      <c r="N41" s="1413"/>
      <c r="O41" s="1413"/>
      <c r="P41" s="1413"/>
      <c r="Q41" s="1413"/>
      <c r="R41" s="1413"/>
      <c r="S41" s="1413"/>
      <c r="T41" s="1413"/>
      <c r="U41" s="1413"/>
      <c r="V41" s="1413"/>
      <c r="W41" s="1413"/>
      <c r="X41" s="1413"/>
      <c r="Y41" s="1413"/>
      <c r="Z41" s="1413"/>
      <c r="AA41" s="1413"/>
      <c r="AB41" s="1413"/>
      <c r="AC41" s="1413"/>
    </row>
    <row r="42" spans="1:30" ht="12.75" customHeight="1">
      <c r="B42" s="947" t="s">
        <v>730</v>
      </c>
      <c r="C42" s="1401"/>
      <c r="E42" s="1401"/>
      <c r="G42" s="1401"/>
      <c r="I42" s="1401"/>
      <c r="J42" s="1383"/>
      <c r="K42" s="1383"/>
      <c r="L42" s="2549"/>
      <c r="M42" s="1383"/>
      <c r="N42" s="1383"/>
      <c r="O42" s="1383"/>
      <c r="P42" s="1383"/>
      <c r="Q42" s="1383"/>
      <c r="R42" s="1383"/>
      <c r="S42" s="1383"/>
      <c r="T42" s="1383"/>
      <c r="U42" s="1383"/>
      <c r="V42" s="1383"/>
      <c r="W42" s="1383"/>
      <c r="X42" s="1383"/>
      <c r="Y42" s="1383"/>
      <c r="Z42" s="1383"/>
      <c r="AA42" s="1383"/>
      <c r="AB42" s="1383"/>
      <c r="AC42" s="1383"/>
    </row>
    <row r="43" spans="1:30" ht="6" customHeight="1">
      <c r="B43" s="947"/>
      <c r="C43" s="1401"/>
      <c r="E43" s="1401"/>
      <c r="G43" s="1401"/>
      <c r="I43" s="1401"/>
      <c r="J43" s="1383"/>
      <c r="K43" s="1383"/>
      <c r="L43" s="2549"/>
      <c r="M43" s="1383"/>
      <c r="N43" s="1383"/>
      <c r="O43" s="1383"/>
      <c r="P43" s="1383"/>
      <c r="Q43" s="1383"/>
      <c r="R43" s="1383"/>
      <c r="S43" s="1383"/>
      <c r="T43" s="1383"/>
      <c r="U43" s="1383"/>
      <c r="V43" s="1383"/>
      <c r="W43" s="1383"/>
      <c r="X43" s="1383"/>
      <c r="Y43" s="1383"/>
      <c r="Z43" s="1383"/>
      <c r="AA43" s="1383"/>
      <c r="AB43" s="1383"/>
      <c r="AC43" s="1383"/>
    </row>
    <row r="44" spans="1:30" ht="12.75" customHeight="1">
      <c r="B44" s="1117" t="s">
        <v>1110</v>
      </c>
      <c r="C44" s="1401"/>
      <c r="E44" s="1401"/>
      <c r="G44" s="1401"/>
      <c r="I44" s="1401"/>
      <c r="J44" s="1383"/>
      <c r="K44" s="1383"/>
      <c r="L44" s="2549"/>
      <c r="M44" s="1383"/>
      <c r="N44" s="1383"/>
      <c r="O44" s="1383"/>
      <c r="P44" s="1383"/>
      <c r="Q44" s="1383"/>
      <c r="R44" s="1383"/>
      <c r="S44" s="1383"/>
      <c r="T44" s="1383"/>
      <c r="U44" s="1383"/>
      <c r="V44" s="1383"/>
      <c r="W44" s="1383"/>
      <c r="X44" s="1383"/>
      <c r="Y44" s="1383"/>
      <c r="Z44" s="1383"/>
      <c r="AA44" s="1383"/>
      <c r="AB44" s="1383"/>
      <c r="AC44" s="1383"/>
    </row>
    <row r="45" spans="1:30" ht="2.25" customHeight="1">
      <c r="B45" s="1117"/>
      <c r="C45" s="1401"/>
      <c r="E45" s="1401"/>
      <c r="G45" s="1401"/>
      <c r="I45" s="1401"/>
      <c r="J45" s="1383"/>
      <c r="K45" s="1383"/>
      <c r="L45" s="2549"/>
      <c r="M45" s="1383"/>
      <c r="N45" s="1383"/>
      <c r="O45" s="1383"/>
      <c r="P45" s="1383"/>
      <c r="Q45" s="1383"/>
      <c r="R45" s="1383"/>
      <c r="S45" s="1383"/>
      <c r="T45" s="1383"/>
      <c r="U45" s="1383"/>
      <c r="V45" s="1383"/>
      <c r="W45" s="1383"/>
      <c r="X45" s="1383"/>
      <c r="Y45" s="1383"/>
      <c r="Z45" s="1383"/>
      <c r="AA45" s="1383"/>
      <c r="AB45" s="1383"/>
      <c r="AC45" s="1383"/>
    </row>
    <row r="46" spans="1:30" ht="12.75" customHeight="1">
      <c r="B46" s="944" t="s">
        <v>1092</v>
      </c>
      <c r="C46" s="1395">
        <v>170688</v>
      </c>
      <c r="D46" s="1380">
        <v>230251</v>
      </c>
      <c r="E46" s="1395">
        <v>160110</v>
      </c>
      <c r="F46" s="1380">
        <v>163246</v>
      </c>
      <c r="G46" s="1395">
        <v>192762</v>
      </c>
      <c r="H46" s="1380">
        <v>175761</v>
      </c>
      <c r="I46" s="1396">
        <v>88346</v>
      </c>
      <c r="J46" s="1385">
        <v>131163</v>
      </c>
      <c r="K46" s="1385">
        <v>131163</v>
      </c>
      <c r="L46" s="2550">
        <v>124991</v>
      </c>
      <c r="M46" s="1385">
        <v>131163</v>
      </c>
      <c r="N46" s="1385">
        <v>131163</v>
      </c>
      <c r="O46" s="1385">
        <v>131163</v>
      </c>
      <c r="P46" s="1385">
        <v>131163</v>
      </c>
      <c r="Q46" s="1385">
        <v>131163</v>
      </c>
      <c r="R46" s="1385">
        <v>131163</v>
      </c>
      <c r="S46" s="1385">
        <v>131163</v>
      </c>
      <c r="T46" s="1385">
        <v>131163</v>
      </c>
      <c r="U46" s="1385">
        <v>131163</v>
      </c>
      <c r="V46" s="1385">
        <v>131163</v>
      </c>
      <c r="W46" s="1385">
        <v>131163</v>
      </c>
      <c r="X46" s="1385">
        <v>131163</v>
      </c>
      <c r="Y46" s="1385">
        <v>131163</v>
      </c>
      <c r="Z46" s="1385">
        <v>131163</v>
      </c>
      <c r="AA46" s="1385">
        <v>131163</v>
      </c>
      <c r="AB46" s="1385">
        <v>131163</v>
      </c>
      <c r="AC46" s="1385">
        <v>131163</v>
      </c>
    </row>
    <row r="47" spans="1:30" ht="12.75" customHeight="1">
      <c r="B47" s="944" t="s">
        <v>113</v>
      </c>
      <c r="C47" s="1395">
        <v>140622</v>
      </c>
      <c r="D47" s="1380">
        <v>151399</v>
      </c>
      <c r="E47" s="1395">
        <v>136335</v>
      </c>
      <c r="F47" s="1380">
        <v>161992</v>
      </c>
      <c r="G47" s="1395">
        <v>190731</v>
      </c>
      <c r="H47" s="1380">
        <v>87559</v>
      </c>
      <c r="I47" s="1396">
        <v>78489</v>
      </c>
      <c r="J47" s="1378">
        <v>81594</v>
      </c>
      <c r="K47" s="1378">
        <v>81594</v>
      </c>
      <c r="L47" s="1396">
        <v>78589</v>
      </c>
      <c r="M47" s="1378">
        <v>81594</v>
      </c>
      <c r="N47" s="1378">
        <v>81594</v>
      </c>
      <c r="O47" s="1378">
        <v>81594</v>
      </c>
      <c r="P47" s="1378">
        <v>81594</v>
      </c>
      <c r="Q47" s="1378">
        <v>81594</v>
      </c>
      <c r="R47" s="1378">
        <v>81594</v>
      </c>
      <c r="S47" s="1378">
        <v>81594</v>
      </c>
      <c r="T47" s="1378">
        <v>81594</v>
      </c>
      <c r="U47" s="1378">
        <v>81594</v>
      </c>
      <c r="V47" s="1378">
        <v>81594</v>
      </c>
      <c r="W47" s="1378">
        <v>81594</v>
      </c>
      <c r="X47" s="1378">
        <v>81594</v>
      </c>
      <c r="Y47" s="1378">
        <v>81594</v>
      </c>
      <c r="Z47" s="1378">
        <v>81594</v>
      </c>
      <c r="AA47" s="1378">
        <v>81594</v>
      </c>
      <c r="AB47" s="1378">
        <v>81594</v>
      </c>
      <c r="AC47" s="1378">
        <v>81594</v>
      </c>
    </row>
    <row r="48" spans="1:30" ht="12.75" customHeight="1">
      <c r="B48" s="944" t="s">
        <v>1066</v>
      </c>
      <c r="C48" s="1395">
        <v>125169</v>
      </c>
      <c r="D48" s="1380">
        <v>147169</v>
      </c>
      <c r="E48" s="1395">
        <v>118785</v>
      </c>
      <c r="F48" s="1380">
        <v>133459</v>
      </c>
      <c r="G48" s="1395">
        <v>119507</v>
      </c>
      <c r="H48" s="1380">
        <v>91164</v>
      </c>
      <c r="I48" s="1396">
        <v>82893</v>
      </c>
      <c r="J48" s="1378">
        <v>83438</v>
      </c>
      <c r="K48" s="1378">
        <v>83438</v>
      </c>
      <c r="L48" s="1396">
        <v>53052</v>
      </c>
      <c r="M48" s="1378">
        <v>83438</v>
      </c>
      <c r="N48" s="1378">
        <v>83438</v>
      </c>
      <c r="O48" s="1378">
        <v>83438</v>
      </c>
      <c r="P48" s="1378">
        <v>83438</v>
      </c>
      <c r="Q48" s="1378">
        <v>83438</v>
      </c>
      <c r="R48" s="1378">
        <v>83438</v>
      </c>
      <c r="S48" s="1378">
        <v>83438</v>
      </c>
      <c r="T48" s="1378">
        <v>83438</v>
      </c>
      <c r="U48" s="1378">
        <v>83438</v>
      </c>
      <c r="V48" s="1378">
        <v>83438</v>
      </c>
      <c r="W48" s="1378">
        <v>83438</v>
      </c>
      <c r="X48" s="1378">
        <v>83438</v>
      </c>
      <c r="Y48" s="1378">
        <v>83438</v>
      </c>
      <c r="Z48" s="1378">
        <v>83438</v>
      </c>
      <c r="AA48" s="1378">
        <v>83438</v>
      </c>
      <c r="AB48" s="1378">
        <v>83438</v>
      </c>
      <c r="AC48" s="1378">
        <v>83438</v>
      </c>
    </row>
    <row r="49" spans="1:31" ht="12.75" customHeight="1">
      <c r="B49" s="944" t="s">
        <v>27</v>
      </c>
      <c r="C49" s="1397"/>
      <c r="D49" s="1380">
        <v>91476</v>
      </c>
      <c r="E49" s="1395">
        <v>48914</v>
      </c>
      <c r="F49" s="1380">
        <v>55215</v>
      </c>
      <c r="G49" s="1395">
        <v>117643</v>
      </c>
      <c r="H49" s="1380">
        <v>144541</v>
      </c>
      <c r="I49" s="1396">
        <v>126184</v>
      </c>
      <c r="J49" s="1378">
        <v>159813</v>
      </c>
      <c r="K49" s="1378">
        <v>159813</v>
      </c>
      <c r="L49" s="1396">
        <v>126951</v>
      </c>
      <c r="M49" s="1378">
        <v>159813</v>
      </c>
      <c r="N49" s="1378">
        <v>159813</v>
      </c>
      <c r="O49" s="1378">
        <v>159813</v>
      </c>
      <c r="P49" s="1378">
        <v>159813</v>
      </c>
      <c r="Q49" s="1378">
        <v>159813</v>
      </c>
      <c r="R49" s="1378">
        <v>159813</v>
      </c>
      <c r="S49" s="1378">
        <v>159813</v>
      </c>
      <c r="T49" s="1378">
        <v>159813</v>
      </c>
      <c r="U49" s="1378">
        <v>159813</v>
      </c>
      <c r="V49" s="1378">
        <v>159813</v>
      </c>
      <c r="W49" s="1378">
        <v>159813</v>
      </c>
      <c r="X49" s="1378">
        <v>159813</v>
      </c>
      <c r="Y49" s="1378">
        <v>159813</v>
      </c>
      <c r="Z49" s="1378">
        <v>159813</v>
      </c>
      <c r="AA49" s="1378">
        <v>159813</v>
      </c>
      <c r="AB49" s="1378">
        <v>159813</v>
      </c>
      <c r="AC49" s="1378">
        <v>159813</v>
      </c>
    </row>
    <row r="50" spans="1:31" ht="12.75" customHeight="1">
      <c r="B50" s="944" t="s">
        <v>71</v>
      </c>
      <c r="C50" s="1395">
        <v>39026</v>
      </c>
      <c r="D50" s="1380">
        <v>34046</v>
      </c>
      <c r="E50" s="1395">
        <v>27905</v>
      </c>
      <c r="F50" s="1380">
        <v>23157</v>
      </c>
      <c r="G50" s="1395">
        <v>14391</v>
      </c>
      <c r="H50" s="1381"/>
      <c r="I50" s="1396">
        <v>26699</v>
      </c>
      <c r="J50" s="1378">
        <v>44432</v>
      </c>
      <c r="K50" s="1378">
        <v>44432</v>
      </c>
      <c r="L50" s="1396">
        <v>105928</v>
      </c>
      <c r="M50" s="1378">
        <v>44432</v>
      </c>
      <c r="N50" s="1378">
        <v>44432</v>
      </c>
      <c r="O50" s="1378">
        <v>44432</v>
      </c>
      <c r="P50" s="1378">
        <v>44432</v>
      </c>
      <c r="Q50" s="1378">
        <v>44432</v>
      </c>
      <c r="R50" s="1378">
        <v>44432</v>
      </c>
      <c r="S50" s="1378">
        <v>44432</v>
      </c>
      <c r="T50" s="1378">
        <v>44432</v>
      </c>
      <c r="U50" s="1378">
        <v>44432</v>
      </c>
      <c r="V50" s="1378">
        <v>44432</v>
      </c>
      <c r="W50" s="1378">
        <v>44432</v>
      </c>
      <c r="X50" s="1378">
        <v>44432</v>
      </c>
      <c r="Y50" s="1378">
        <v>44432</v>
      </c>
      <c r="Z50" s="1378">
        <v>44432</v>
      </c>
      <c r="AA50" s="1378">
        <v>44432</v>
      </c>
      <c r="AB50" s="1378">
        <v>44432</v>
      </c>
      <c r="AC50" s="1378">
        <v>44432</v>
      </c>
    </row>
    <row r="51" spans="1:31" ht="12.75" customHeight="1">
      <c r="B51" s="944" t="s">
        <v>12</v>
      </c>
      <c r="C51" s="1395">
        <v>96734</v>
      </c>
      <c r="D51" s="1380">
        <v>30976</v>
      </c>
      <c r="E51" s="1395">
        <v>42762</v>
      </c>
      <c r="F51" s="1380">
        <v>22798</v>
      </c>
      <c r="G51" s="1398">
        <v>43775</v>
      </c>
      <c r="H51" s="1131">
        <v>50252</v>
      </c>
      <c r="I51" s="1398">
        <v>81961</v>
      </c>
      <c r="J51" s="1131">
        <v>125685</v>
      </c>
      <c r="K51" s="1131">
        <v>125685</v>
      </c>
      <c r="L51" s="1398">
        <v>82936</v>
      </c>
      <c r="M51" s="1131">
        <v>125685</v>
      </c>
      <c r="N51" s="1131">
        <v>125685</v>
      </c>
      <c r="O51" s="1131">
        <v>125685</v>
      </c>
      <c r="P51" s="1131">
        <v>125685</v>
      </c>
      <c r="Q51" s="1131">
        <v>125685</v>
      </c>
      <c r="R51" s="1131">
        <v>125685</v>
      </c>
      <c r="S51" s="1131">
        <v>125685</v>
      </c>
      <c r="T51" s="1131">
        <v>125685</v>
      </c>
      <c r="U51" s="1131">
        <v>125685</v>
      </c>
      <c r="V51" s="1131">
        <v>125685</v>
      </c>
      <c r="W51" s="1131">
        <v>125685</v>
      </c>
      <c r="X51" s="1131">
        <v>125685</v>
      </c>
      <c r="Y51" s="1131">
        <v>125685</v>
      </c>
      <c r="Z51" s="1131">
        <v>125685</v>
      </c>
      <c r="AA51" s="1131">
        <v>125685</v>
      </c>
      <c r="AB51" s="1131">
        <v>125685</v>
      </c>
      <c r="AC51" s="1131">
        <v>125685</v>
      </c>
    </row>
    <row r="52" spans="1:31" ht="2.25" customHeight="1">
      <c r="C52" s="1395"/>
      <c r="D52" s="1380"/>
      <c r="E52" s="1395"/>
      <c r="F52" s="1380"/>
      <c r="G52" s="1398"/>
      <c r="H52" s="1131"/>
      <c r="I52" s="1398"/>
      <c r="J52" s="1382"/>
      <c r="K52" s="1382"/>
      <c r="L52" s="2551"/>
      <c r="M52" s="1382"/>
      <c r="N52" s="1382"/>
      <c r="O52" s="1382"/>
      <c r="P52" s="1382"/>
      <c r="Q52" s="1382"/>
      <c r="R52" s="1382"/>
      <c r="S52" s="1382"/>
      <c r="T52" s="1382"/>
      <c r="U52" s="1382"/>
      <c r="V52" s="1382"/>
      <c r="W52" s="1382"/>
      <c r="X52" s="1382"/>
      <c r="Y52" s="1382"/>
      <c r="Z52" s="1382"/>
      <c r="AA52" s="1382"/>
      <c r="AB52" s="1382"/>
      <c r="AC52" s="1382"/>
    </row>
    <row r="53" spans="1:31" ht="12.75" customHeight="1">
      <c r="B53" s="944" t="s">
        <v>16</v>
      </c>
      <c r="C53" s="1395">
        <v>572239</v>
      </c>
      <c r="D53" s="1380">
        <v>685317</v>
      </c>
      <c r="E53" s="1395">
        <v>534811</v>
      </c>
      <c r="F53" s="1380">
        <v>559867</v>
      </c>
      <c r="G53" s="1395">
        <v>678809</v>
      </c>
      <c r="H53" s="1131">
        <v>549277</v>
      </c>
      <c r="I53" s="1398">
        <v>484572</v>
      </c>
      <c r="J53" s="1378">
        <v>626125</v>
      </c>
      <c r="K53" s="1378">
        <v>626125</v>
      </c>
      <c r="L53" s="1396">
        <v>572447</v>
      </c>
      <c r="M53" s="1378">
        <v>626125</v>
      </c>
      <c r="N53" s="1378">
        <v>626125</v>
      </c>
      <c r="O53" s="1378">
        <v>626125</v>
      </c>
      <c r="P53" s="1378">
        <v>626125</v>
      </c>
      <c r="Q53" s="1378">
        <v>626125</v>
      </c>
      <c r="R53" s="1378">
        <v>626125</v>
      </c>
      <c r="S53" s="1378">
        <v>626125</v>
      </c>
      <c r="T53" s="1378">
        <v>626125</v>
      </c>
      <c r="U53" s="1378">
        <v>626125</v>
      </c>
      <c r="V53" s="1378">
        <v>626125</v>
      </c>
      <c r="W53" s="1378">
        <v>626125</v>
      </c>
      <c r="X53" s="1378">
        <v>626125</v>
      </c>
      <c r="Y53" s="1378">
        <v>626125</v>
      </c>
      <c r="Z53" s="1378">
        <v>626125</v>
      </c>
      <c r="AA53" s="1378">
        <v>626125</v>
      </c>
      <c r="AB53" s="1378">
        <v>626125</v>
      </c>
      <c r="AC53" s="1378">
        <v>626125</v>
      </c>
    </row>
    <row r="54" spans="1:31" ht="4.5" customHeight="1">
      <c r="C54" s="1401"/>
      <c r="E54" s="1401"/>
      <c r="G54" s="1401"/>
      <c r="I54" s="1401"/>
      <c r="J54" s="1383"/>
      <c r="K54" s="1383"/>
      <c r="L54" s="2549"/>
      <c r="M54" s="1383"/>
      <c r="N54" s="1383"/>
      <c r="O54" s="1383"/>
      <c r="P54" s="1383"/>
      <c r="Q54" s="1383"/>
      <c r="R54" s="1383"/>
      <c r="S54" s="1383"/>
      <c r="T54" s="1383"/>
      <c r="U54" s="1383"/>
      <c r="V54" s="1383"/>
      <c r="W54" s="1383"/>
      <c r="X54" s="1383"/>
      <c r="Y54" s="1383"/>
      <c r="Z54" s="1383"/>
      <c r="AA54" s="1383"/>
      <c r="AB54" s="1383"/>
      <c r="AC54" s="1383"/>
    </row>
    <row r="55" spans="1:31" ht="12.75" customHeight="1">
      <c r="B55" s="1117" t="s">
        <v>1111</v>
      </c>
      <c r="C55" s="1401"/>
      <c r="E55" s="1401"/>
      <c r="G55" s="1401"/>
      <c r="I55" s="1401"/>
      <c r="J55" s="1383"/>
      <c r="K55" s="1383"/>
      <c r="L55" s="2549"/>
      <c r="M55" s="1383"/>
      <c r="N55" s="1383"/>
      <c r="O55" s="1383"/>
      <c r="P55" s="1383"/>
      <c r="Q55" s="1383"/>
      <c r="R55" s="1383"/>
      <c r="S55" s="1383"/>
      <c r="T55" s="1383"/>
      <c r="U55" s="1383"/>
      <c r="V55" s="1383"/>
      <c r="W55" s="1383"/>
      <c r="X55" s="1383"/>
      <c r="Y55" s="1383"/>
      <c r="Z55" s="1383"/>
      <c r="AA55" s="1383"/>
      <c r="AB55" s="1383"/>
      <c r="AC55" s="1383"/>
    </row>
    <row r="56" spans="1:31" ht="2.25" customHeight="1" thickBot="1">
      <c r="B56" s="1117"/>
      <c r="C56" s="1401"/>
      <c r="E56" s="1401"/>
      <c r="G56" s="1401"/>
      <c r="I56" s="1401"/>
      <c r="J56" s="1383"/>
      <c r="K56" s="1383"/>
      <c r="L56" s="2549"/>
      <c r="M56" s="1383"/>
      <c r="N56" s="1383"/>
      <c r="O56" s="1383"/>
      <c r="P56" s="1383"/>
      <c r="Q56" s="1383"/>
      <c r="R56" s="1383"/>
      <c r="S56" s="1383"/>
      <c r="T56" s="1383"/>
      <c r="U56" s="1383"/>
      <c r="V56" s="1383"/>
      <c r="W56" s="1383"/>
      <c r="X56" s="1383"/>
      <c r="Y56" s="1383"/>
      <c r="Z56" s="1383"/>
      <c r="AA56" s="1383"/>
      <c r="AB56" s="1383"/>
      <c r="AC56" s="1383"/>
    </row>
    <row r="57" spans="1:31" ht="12.75" customHeight="1" thickBot="1">
      <c r="A57" s="3059"/>
      <c r="B57" s="944" t="s">
        <v>1092</v>
      </c>
      <c r="C57" s="1414">
        <v>0.3</v>
      </c>
      <c r="D57" s="2552">
        <f t="shared" ref="C57:J62" si="1">D46/D$53</f>
        <v>0.33597736521930727</v>
      </c>
      <c r="E57" s="1414">
        <f t="shared" si="1"/>
        <v>0.29937678918346855</v>
      </c>
      <c r="F57" s="2552">
        <f t="shared" si="1"/>
        <v>0.29157996452728951</v>
      </c>
      <c r="G57" s="1414">
        <f t="shared" si="1"/>
        <v>0.28397089608417098</v>
      </c>
      <c r="H57" s="1414">
        <f t="shared" si="1"/>
        <v>0.3199860908066422</v>
      </c>
      <c r="I57" s="1414">
        <f t="shared" si="1"/>
        <v>0.18231759160661368</v>
      </c>
      <c r="J57" s="2552">
        <f t="shared" si="1"/>
        <v>0.2094837292872829</v>
      </c>
      <c r="K57" s="1136">
        <f t="shared" ref="K57:AC57" si="2">K46/K$53</f>
        <v>0.2094837292872829</v>
      </c>
      <c r="L57" s="1414">
        <v>0.22</v>
      </c>
      <c r="M57" s="1136">
        <f t="shared" si="2"/>
        <v>0.2094837292872829</v>
      </c>
      <c r="N57" s="1136">
        <f t="shared" si="2"/>
        <v>0.2094837292872829</v>
      </c>
      <c r="O57" s="1136">
        <f t="shared" si="2"/>
        <v>0.2094837292872829</v>
      </c>
      <c r="P57" s="1136">
        <f t="shared" si="2"/>
        <v>0.2094837292872829</v>
      </c>
      <c r="Q57" s="1136">
        <f t="shared" si="2"/>
        <v>0.2094837292872829</v>
      </c>
      <c r="R57" s="1136">
        <f t="shared" si="2"/>
        <v>0.2094837292872829</v>
      </c>
      <c r="S57" s="1136">
        <f t="shared" si="2"/>
        <v>0.2094837292872829</v>
      </c>
      <c r="T57" s="1136">
        <f t="shared" si="2"/>
        <v>0.2094837292872829</v>
      </c>
      <c r="U57" s="1136">
        <f t="shared" si="2"/>
        <v>0.2094837292872829</v>
      </c>
      <c r="V57" s="1136">
        <f t="shared" si="2"/>
        <v>0.2094837292872829</v>
      </c>
      <c r="W57" s="1136">
        <f t="shared" si="2"/>
        <v>0.2094837292872829</v>
      </c>
      <c r="X57" s="1136">
        <f t="shared" si="2"/>
        <v>0.2094837292872829</v>
      </c>
      <c r="Y57" s="1136">
        <f t="shared" si="2"/>
        <v>0.2094837292872829</v>
      </c>
      <c r="Z57" s="1136">
        <f t="shared" si="2"/>
        <v>0.2094837292872829</v>
      </c>
      <c r="AA57" s="1136">
        <f t="shared" si="2"/>
        <v>0.2094837292872829</v>
      </c>
      <c r="AB57" s="1136">
        <f t="shared" si="2"/>
        <v>0.2094837292872829</v>
      </c>
      <c r="AC57" s="1136">
        <f t="shared" si="2"/>
        <v>0.2094837292872829</v>
      </c>
      <c r="AE57" s="1136"/>
    </row>
    <row r="58" spans="1:31" ht="12.75" customHeight="1" thickBot="1">
      <c r="A58" s="3060"/>
      <c r="B58" s="944" t="s">
        <v>113</v>
      </c>
      <c r="C58" s="1414">
        <f t="shared" si="1"/>
        <v>0.24573997927439409</v>
      </c>
      <c r="D58" s="1136">
        <f t="shared" si="1"/>
        <v>0.22091820281709049</v>
      </c>
      <c r="E58" s="1414">
        <f t="shared" si="1"/>
        <v>0.2549218321986646</v>
      </c>
      <c r="F58" s="1136">
        <f t="shared" si="1"/>
        <v>0.28934014685630693</v>
      </c>
      <c r="G58" s="1414">
        <f t="shared" si="1"/>
        <v>0.2809788909693301</v>
      </c>
      <c r="H58" s="1136">
        <f t="shared" si="1"/>
        <v>0.15940773052576387</v>
      </c>
      <c r="I58" s="1414">
        <f t="shared" si="1"/>
        <v>0.1619759292736683</v>
      </c>
      <c r="J58" s="1136">
        <f t="shared" si="1"/>
        <v>0.13031583150329407</v>
      </c>
      <c r="K58" s="1136">
        <f t="shared" ref="K58:AC58" si="3">K47/K$53</f>
        <v>0.13031583150329407</v>
      </c>
      <c r="L58" s="1414">
        <v>0.14000000000000001</v>
      </c>
      <c r="M58" s="1136">
        <f t="shared" si="3"/>
        <v>0.13031583150329407</v>
      </c>
      <c r="N58" s="1136">
        <f t="shared" si="3"/>
        <v>0.13031583150329407</v>
      </c>
      <c r="O58" s="1136">
        <f t="shared" si="3"/>
        <v>0.13031583150329407</v>
      </c>
      <c r="P58" s="1136">
        <f t="shared" si="3"/>
        <v>0.13031583150329407</v>
      </c>
      <c r="Q58" s="1136">
        <f t="shared" si="3"/>
        <v>0.13031583150329407</v>
      </c>
      <c r="R58" s="1136">
        <f t="shared" si="3"/>
        <v>0.13031583150329407</v>
      </c>
      <c r="S58" s="1136">
        <f t="shared" si="3"/>
        <v>0.13031583150329407</v>
      </c>
      <c r="T58" s="1136">
        <f t="shared" si="3"/>
        <v>0.13031583150329407</v>
      </c>
      <c r="U58" s="1136">
        <f t="shared" si="3"/>
        <v>0.13031583150329407</v>
      </c>
      <c r="V58" s="1136">
        <f t="shared" si="3"/>
        <v>0.13031583150329407</v>
      </c>
      <c r="W58" s="1136">
        <f t="shared" si="3"/>
        <v>0.13031583150329407</v>
      </c>
      <c r="X58" s="1136">
        <f t="shared" si="3"/>
        <v>0.13031583150329407</v>
      </c>
      <c r="Y58" s="1136">
        <f t="shared" si="3"/>
        <v>0.13031583150329407</v>
      </c>
      <c r="Z58" s="1136">
        <f t="shared" si="3"/>
        <v>0.13031583150329407</v>
      </c>
      <c r="AA58" s="1136">
        <f t="shared" si="3"/>
        <v>0.13031583150329407</v>
      </c>
      <c r="AB58" s="1136">
        <f t="shared" si="3"/>
        <v>0.13031583150329407</v>
      </c>
      <c r="AC58" s="1136">
        <f t="shared" si="3"/>
        <v>0.13031583150329407</v>
      </c>
      <c r="AE58" s="1136"/>
    </row>
    <row r="59" spans="1:31" ht="12.75" customHeight="1" thickBot="1">
      <c r="A59" s="3061"/>
      <c r="B59" s="944" t="s">
        <v>1066</v>
      </c>
      <c r="C59" s="1414">
        <f t="shared" si="1"/>
        <v>0.21873552833693613</v>
      </c>
      <c r="D59" s="1136">
        <f t="shared" si="1"/>
        <v>0.21474587672566126</v>
      </c>
      <c r="E59" s="1414">
        <f t="shared" si="1"/>
        <v>0.22210650117518152</v>
      </c>
      <c r="F59" s="1136">
        <f t="shared" si="1"/>
        <v>0.23837625721823219</v>
      </c>
      <c r="G59" s="1414">
        <f t="shared" si="1"/>
        <v>0.17605394153583703</v>
      </c>
      <c r="H59" s="1136">
        <f t="shared" si="1"/>
        <v>0.16597090356960151</v>
      </c>
      <c r="I59" s="1414">
        <f t="shared" si="1"/>
        <v>0.17106436195240335</v>
      </c>
      <c r="J59" s="1136">
        <f t="shared" si="1"/>
        <v>0.13326093032541425</v>
      </c>
      <c r="K59" s="1136">
        <f t="shared" ref="K59:AC59" si="4">K48/K$53</f>
        <v>0.13326093032541425</v>
      </c>
      <c r="L59" s="1414">
        <v>0.09</v>
      </c>
      <c r="M59" s="1136">
        <f t="shared" si="4"/>
        <v>0.13326093032541425</v>
      </c>
      <c r="N59" s="1136">
        <f t="shared" si="4"/>
        <v>0.13326093032541425</v>
      </c>
      <c r="O59" s="1136">
        <f t="shared" si="4"/>
        <v>0.13326093032541425</v>
      </c>
      <c r="P59" s="1136">
        <f t="shared" si="4"/>
        <v>0.13326093032541425</v>
      </c>
      <c r="Q59" s="1136">
        <f t="shared" si="4"/>
        <v>0.13326093032541425</v>
      </c>
      <c r="R59" s="1136">
        <f t="shared" si="4"/>
        <v>0.13326093032541425</v>
      </c>
      <c r="S59" s="1136">
        <f t="shared" si="4"/>
        <v>0.13326093032541425</v>
      </c>
      <c r="T59" s="1136">
        <f t="shared" si="4"/>
        <v>0.13326093032541425</v>
      </c>
      <c r="U59" s="1136">
        <f t="shared" si="4"/>
        <v>0.13326093032541425</v>
      </c>
      <c r="V59" s="1136">
        <f t="shared" si="4"/>
        <v>0.13326093032541425</v>
      </c>
      <c r="W59" s="1136">
        <f t="shared" si="4"/>
        <v>0.13326093032541425</v>
      </c>
      <c r="X59" s="1136">
        <f t="shared" si="4"/>
        <v>0.13326093032541425</v>
      </c>
      <c r="Y59" s="1136">
        <f t="shared" si="4"/>
        <v>0.13326093032541425</v>
      </c>
      <c r="Z59" s="1136">
        <f t="shared" si="4"/>
        <v>0.13326093032541425</v>
      </c>
      <c r="AA59" s="1136">
        <f t="shared" si="4"/>
        <v>0.13326093032541425</v>
      </c>
      <c r="AB59" s="1136">
        <f t="shared" si="4"/>
        <v>0.13326093032541425</v>
      </c>
      <c r="AC59" s="1136">
        <f t="shared" si="4"/>
        <v>0.13326093032541425</v>
      </c>
      <c r="AE59" s="1136"/>
    </row>
    <row r="60" spans="1:31" ht="12.75" customHeight="1" thickBot="1">
      <c r="A60" s="3062"/>
      <c r="B60" s="944" t="s">
        <v>27</v>
      </c>
      <c r="C60" s="1414">
        <f t="shared" si="1"/>
        <v>0</v>
      </c>
      <c r="D60" s="1136">
        <f t="shared" si="1"/>
        <v>0.13347983487933321</v>
      </c>
      <c r="E60" s="1414">
        <f t="shared" si="1"/>
        <v>9.1460347674225104E-2</v>
      </c>
      <c r="F60" s="1136">
        <f t="shared" si="1"/>
        <v>9.8621636924483849E-2</v>
      </c>
      <c r="G60" s="1414">
        <f t="shared" si="1"/>
        <v>0.17330795555156164</v>
      </c>
      <c r="H60" s="1136">
        <f t="shared" si="1"/>
        <v>0.26314773784447554</v>
      </c>
      <c r="I60" s="1414">
        <f t="shared" si="1"/>
        <v>0.26040299480778917</v>
      </c>
      <c r="J60" s="1136">
        <f t="shared" si="1"/>
        <v>0.25524136554202437</v>
      </c>
      <c r="K60" s="1136">
        <f t="shared" ref="K60:AC60" si="5">K49/K$53</f>
        <v>0.25524136554202437</v>
      </c>
      <c r="L60" s="1414">
        <v>0.22</v>
      </c>
      <c r="M60" s="1136">
        <f t="shared" si="5"/>
        <v>0.25524136554202437</v>
      </c>
      <c r="N60" s="1136">
        <f t="shared" si="5"/>
        <v>0.25524136554202437</v>
      </c>
      <c r="O60" s="1136">
        <f t="shared" si="5"/>
        <v>0.25524136554202437</v>
      </c>
      <c r="P60" s="1136">
        <f t="shared" si="5"/>
        <v>0.25524136554202437</v>
      </c>
      <c r="Q60" s="1136">
        <f t="shared" si="5"/>
        <v>0.25524136554202437</v>
      </c>
      <c r="R60" s="1136">
        <f t="shared" si="5"/>
        <v>0.25524136554202437</v>
      </c>
      <c r="S60" s="1136">
        <f t="shared" si="5"/>
        <v>0.25524136554202437</v>
      </c>
      <c r="T60" s="1136">
        <f t="shared" si="5"/>
        <v>0.25524136554202437</v>
      </c>
      <c r="U60" s="1136">
        <f t="shared" si="5"/>
        <v>0.25524136554202437</v>
      </c>
      <c r="V60" s="1136">
        <f t="shared" si="5"/>
        <v>0.25524136554202437</v>
      </c>
      <c r="W60" s="1136">
        <f t="shared" si="5"/>
        <v>0.25524136554202437</v>
      </c>
      <c r="X60" s="1136">
        <f t="shared" si="5"/>
        <v>0.25524136554202437</v>
      </c>
      <c r="Y60" s="1136">
        <f t="shared" si="5"/>
        <v>0.25524136554202437</v>
      </c>
      <c r="Z60" s="1136">
        <f t="shared" si="5"/>
        <v>0.25524136554202437</v>
      </c>
      <c r="AA60" s="1136">
        <f t="shared" si="5"/>
        <v>0.25524136554202437</v>
      </c>
      <c r="AB60" s="1136">
        <f t="shared" si="5"/>
        <v>0.25524136554202437</v>
      </c>
      <c r="AC60" s="1136">
        <f t="shared" si="5"/>
        <v>0.25524136554202437</v>
      </c>
      <c r="AE60" s="1136"/>
    </row>
    <row r="61" spans="1:31" ht="12.75" customHeight="1" thickBot="1">
      <c r="A61" s="3063"/>
      <c r="B61" s="944" t="s">
        <v>71</v>
      </c>
      <c r="C61" s="1414">
        <f t="shared" si="1"/>
        <v>6.8198777084400045E-2</v>
      </c>
      <c r="D61" s="2552">
        <f t="shared" si="1"/>
        <v>4.967919955290763E-2</v>
      </c>
      <c r="E61" s="1414">
        <f t="shared" si="1"/>
        <v>5.2177311237053839E-2</v>
      </c>
      <c r="F61" s="2552">
        <f t="shared" si="1"/>
        <v>4.1361609096446122E-2</v>
      </c>
      <c r="G61" s="1414">
        <f t="shared" si="1"/>
        <v>2.1200367113576868E-2</v>
      </c>
      <c r="H61" s="2552">
        <f t="shared" si="1"/>
        <v>0</v>
      </c>
      <c r="I61" s="1414">
        <f t="shared" si="1"/>
        <v>5.5098107195628306E-2</v>
      </c>
      <c r="J61" s="2552">
        <f t="shared" si="1"/>
        <v>7.0963465761629069E-2</v>
      </c>
      <c r="K61" s="1136">
        <f t="shared" ref="K61:AC61" si="6">K50/K$53</f>
        <v>7.0963465761629069E-2</v>
      </c>
      <c r="L61" s="1414">
        <v>0.19</v>
      </c>
      <c r="M61" s="1136">
        <f t="shared" si="6"/>
        <v>7.0963465761629069E-2</v>
      </c>
      <c r="N61" s="1136">
        <f t="shared" si="6"/>
        <v>7.0963465761629069E-2</v>
      </c>
      <c r="O61" s="1136">
        <f t="shared" si="6"/>
        <v>7.0963465761629069E-2</v>
      </c>
      <c r="P61" s="1136">
        <f t="shared" si="6"/>
        <v>7.0963465761629069E-2</v>
      </c>
      <c r="Q61" s="1136">
        <f t="shared" si="6"/>
        <v>7.0963465761629069E-2</v>
      </c>
      <c r="R61" s="1136">
        <f t="shared" si="6"/>
        <v>7.0963465761629069E-2</v>
      </c>
      <c r="S61" s="1136">
        <f t="shared" si="6"/>
        <v>7.0963465761629069E-2</v>
      </c>
      <c r="T61" s="1136">
        <f t="shared" si="6"/>
        <v>7.0963465761629069E-2</v>
      </c>
      <c r="U61" s="1136">
        <f t="shared" si="6"/>
        <v>7.0963465761629069E-2</v>
      </c>
      <c r="V61" s="1136">
        <f t="shared" si="6"/>
        <v>7.0963465761629069E-2</v>
      </c>
      <c r="W61" s="1136">
        <f t="shared" si="6"/>
        <v>7.0963465761629069E-2</v>
      </c>
      <c r="X61" s="1136">
        <f t="shared" si="6"/>
        <v>7.0963465761629069E-2</v>
      </c>
      <c r="Y61" s="1136">
        <f t="shared" si="6"/>
        <v>7.0963465761629069E-2</v>
      </c>
      <c r="Z61" s="1136">
        <f t="shared" si="6"/>
        <v>7.0963465761629069E-2</v>
      </c>
      <c r="AA61" s="1136">
        <f t="shared" si="6"/>
        <v>7.0963465761629069E-2</v>
      </c>
      <c r="AB61" s="1136">
        <f t="shared" si="6"/>
        <v>7.0963465761629069E-2</v>
      </c>
      <c r="AC61" s="1136">
        <f t="shared" si="6"/>
        <v>7.0963465761629069E-2</v>
      </c>
      <c r="AE61" s="1136"/>
    </row>
    <row r="62" spans="1:31" ht="12.75" customHeight="1" thickBot="1">
      <c r="A62" s="3064"/>
      <c r="B62" s="944" t="s">
        <v>12</v>
      </c>
      <c r="C62" s="1414">
        <f t="shared" si="1"/>
        <v>0.16904475228007879</v>
      </c>
      <c r="D62" s="1136">
        <f t="shared" si="1"/>
        <v>4.5199520805700139E-2</v>
      </c>
      <c r="E62" s="1414">
        <f t="shared" si="1"/>
        <v>7.9957218531406415E-2</v>
      </c>
      <c r="F62" s="1136">
        <f t="shared" si="1"/>
        <v>4.0720385377241382E-2</v>
      </c>
      <c r="G62" s="1414">
        <f t="shared" si="1"/>
        <v>6.448794874552341E-2</v>
      </c>
      <c r="H62" s="1136">
        <f t="shared" si="1"/>
        <v>9.1487537253516896E-2</v>
      </c>
      <c r="I62" s="1414">
        <f t="shared" si="1"/>
        <v>0.16914101516389721</v>
      </c>
      <c r="J62" s="1136">
        <f t="shared" si="1"/>
        <v>0.20073467758035535</v>
      </c>
      <c r="K62" s="1136">
        <f t="shared" ref="K62:AC62" si="7">K51/K$53</f>
        <v>0.20073467758035535</v>
      </c>
      <c r="L62" s="1414">
        <v>0.14000000000000001</v>
      </c>
      <c r="M62" s="1136">
        <f t="shared" si="7"/>
        <v>0.20073467758035535</v>
      </c>
      <c r="N62" s="1136">
        <f t="shared" si="7"/>
        <v>0.20073467758035535</v>
      </c>
      <c r="O62" s="1136">
        <f t="shared" si="7"/>
        <v>0.20073467758035535</v>
      </c>
      <c r="P62" s="1136">
        <f t="shared" si="7"/>
        <v>0.20073467758035535</v>
      </c>
      <c r="Q62" s="1136">
        <f t="shared" si="7"/>
        <v>0.20073467758035535</v>
      </c>
      <c r="R62" s="1136">
        <f t="shared" si="7"/>
        <v>0.20073467758035535</v>
      </c>
      <c r="S62" s="1136">
        <f t="shared" si="7"/>
        <v>0.20073467758035535</v>
      </c>
      <c r="T62" s="1136">
        <f t="shared" si="7"/>
        <v>0.20073467758035535</v>
      </c>
      <c r="U62" s="1136">
        <f t="shared" si="7"/>
        <v>0.20073467758035535</v>
      </c>
      <c r="V62" s="1136">
        <f t="shared" si="7"/>
        <v>0.20073467758035535</v>
      </c>
      <c r="W62" s="1136">
        <f t="shared" si="7"/>
        <v>0.20073467758035535</v>
      </c>
      <c r="X62" s="1136">
        <f t="shared" si="7"/>
        <v>0.20073467758035535</v>
      </c>
      <c r="Y62" s="1136">
        <f t="shared" si="7"/>
        <v>0.20073467758035535</v>
      </c>
      <c r="Z62" s="1136">
        <f t="shared" si="7"/>
        <v>0.20073467758035535</v>
      </c>
      <c r="AA62" s="1136">
        <f t="shared" si="7"/>
        <v>0.20073467758035535</v>
      </c>
      <c r="AB62" s="1136">
        <f t="shared" si="7"/>
        <v>0.20073467758035535</v>
      </c>
      <c r="AC62" s="1136">
        <f t="shared" si="7"/>
        <v>0.20073467758035535</v>
      </c>
      <c r="AE62" s="1136"/>
    </row>
    <row r="63" spans="1:31" ht="4.5" customHeight="1">
      <c r="A63" s="3065"/>
      <c r="C63" s="1401"/>
      <c r="E63" s="1401"/>
      <c r="G63" s="1401"/>
      <c r="I63" s="1401"/>
      <c r="L63" s="1401"/>
    </row>
    <row r="64" spans="1:31" ht="12.75" customHeight="1">
      <c r="A64" s="3065"/>
      <c r="B64" s="944" t="s">
        <v>219</v>
      </c>
      <c r="C64" s="1415">
        <v>0.55619986450720571</v>
      </c>
      <c r="D64" s="1153">
        <v>0.64406768510730283</v>
      </c>
      <c r="E64" s="1415">
        <v>0.48318203337031507</v>
      </c>
      <c r="F64" s="1153">
        <v>0.48671220825103623</v>
      </c>
      <c r="G64" s="1415">
        <v>0.56980190664539032</v>
      </c>
      <c r="H64" s="1153">
        <v>0.51206569780612654</v>
      </c>
      <c r="I64" s="1415">
        <v>0.42432654190663749</v>
      </c>
      <c r="J64" s="1153">
        <v>0.51038457870295273</v>
      </c>
      <c r="K64" s="1153" t="e">
        <v>#DIV/0!</v>
      </c>
      <c r="L64" s="1415">
        <v>0.44800000000000001</v>
      </c>
      <c r="M64" s="1153" t="e">
        <f t="shared" ref="M64:AC64" si="8">M53/M80</f>
        <v>#DIV/0!</v>
      </c>
      <c r="N64" s="1153" t="e">
        <f t="shared" si="8"/>
        <v>#DIV/0!</v>
      </c>
      <c r="O64" s="1153" t="e">
        <f t="shared" si="8"/>
        <v>#DIV/0!</v>
      </c>
      <c r="P64" s="1153" t="e">
        <f t="shared" si="8"/>
        <v>#DIV/0!</v>
      </c>
      <c r="Q64" s="1153" t="e">
        <f t="shared" si="8"/>
        <v>#DIV/0!</v>
      </c>
      <c r="R64" s="1153" t="e">
        <f t="shared" si="8"/>
        <v>#DIV/0!</v>
      </c>
      <c r="S64" s="1153" t="e">
        <f t="shared" si="8"/>
        <v>#DIV/0!</v>
      </c>
      <c r="T64" s="1153" t="e">
        <f t="shared" si="8"/>
        <v>#DIV/0!</v>
      </c>
      <c r="U64" s="1153" t="e">
        <f t="shared" si="8"/>
        <v>#DIV/0!</v>
      </c>
      <c r="V64" s="1153" t="e">
        <f t="shared" si="8"/>
        <v>#DIV/0!</v>
      </c>
      <c r="W64" s="1153" t="e">
        <f t="shared" si="8"/>
        <v>#DIV/0!</v>
      </c>
      <c r="X64" s="1153" t="e">
        <f t="shared" si="8"/>
        <v>#DIV/0!</v>
      </c>
      <c r="Y64" s="1153" t="e">
        <f t="shared" si="8"/>
        <v>#DIV/0!</v>
      </c>
      <c r="Z64" s="1153" t="e">
        <f t="shared" si="8"/>
        <v>#DIV/0!</v>
      </c>
      <c r="AA64" s="1153" t="e">
        <f t="shared" si="8"/>
        <v>#DIV/0!</v>
      </c>
      <c r="AB64" s="1153" t="e">
        <f t="shared" si="8"/>
        <v>#DIV/0!</v>
      </c>
      <c r="AC64" s="1153" t="e">
        <f t="shared" si="8"/>
        <v>#DIV/0!</v>
      </c>
      <c r="AE64" s="1153"/>
    </row>
    <row r="65" spans="1:31" ht="12.75" customHeight="1">
      <c r="C65" s="1415"/>
      <c r="D65" s="1153"/>
      <c r="E65" s="1415"/>
      <c r="F65" s="1153"/>
      <c r="G65" s="1415"/>
      <c r="H65" s="1153"/>
      <c r="I65" s="1415"/>
      <c r="J65" s="1153"/>
      <c r="K65" s="1153"/>
      <c r="L65" s="1415"/>
      <c r="M65" s="1153"/>
      <c r="N65" s="1153"/>
      <c r="O65" s="1153"/>
      <c r="P65" s="1153"/>
      <c r="Q65" s="1153"/>
      <c r="R65" s="1153"/>
      <c r="S65" s="1153"/>
      <c r="T65" s="1153"/>
      <c r="U65" s="1153"/>
      <c r="V65" s="1153"/>
      <c r="W65" s="1153"/>
      <c r="X65" s="1153"/>
      <c r="Y65" s="1153"/>
      <c r="Z65" s="1153"/>
      <c r="AA65" s="1153"/>
      <c r="AB65" s="1153"/>
      <c r="AC65" s="1153"/>
      <c r="AE65" s="1153"/>
    </row>
    <row r="66" spans="1:31" ht="12.75" customHeight="1">
      <c r="B66" s="944" t="s">
        <v>1112</v>
      </c>
      <c r="C66" s="1415">
        <v>0.32671696671081341</v>
      </c>
      <c r="D66" s="1153">
        <v>0.32942248865592882</v>
      </c>
      <c r="E66" s="1415">
        <v>0.36812906315596405</v>
      </c>
      <c r="F66" s="1153">
        <v>0.36491578359576199</v>
      </c>
      <c r="G66" s="1415">
        <v>0.24024717086474848</v>
      </c>
      <c r="H66" s="1153">
        <v>0.38516604752735262</v>
      </c>
      <c r="I66" s="1415">
        <v>0.34474682820936697</v>
      </c>
      <c r="J66" s="1153">
        <v>0.35401047022288334</v>
      </c>
      <c r="K66" s="1153" t="e">
        <v>#DIV/0!</v>
      </c>
      <c r="L66" s="1415">
        <v>0.36899999999999999</v>
      </c>
      <c r="M66" s="1153" t="e">
        <f t="shared" ref="M66:AC66" si="9">(M25+M53)/(M79+M80)</f>
        <v>#DIV/0!</v>
      </c>
      <c r="N66" s="1153" t="e">
        <f t="shared" si="9"/>
        <v>#DIV/0!</v>
      </c>
      <c r="O66" s="1153" t="e">
        <f t="shared" si="9"/>
        <v>#DIV/0!</v>
      </c>
      <c r="P66" s="1153" t="e">
        <f t="shared" si="9"/>
        <v>#DIV/0!</v>
      </c>
      <c r="Q66" s="1153" t="e">
        <f t="shared" si="9"/>
        <v>#DIV/0!</v>
      </c>
      <c r="R66" s="1153" t="e">
        <f t="shared" si="9"/>
        <v>#DIV/0!</v>
      </c>
      <c r="S66" s="1153" t="e">
        <f t="shared" si="9"/>
        <v>#DIV/0!</v>
      </c>
      <c r="T66" s="1153" t="e">
        <f t="shared" si="9"/>
        <v>#DIV/0!</v>
      </c>
      <c r="U66" s="1153" t="e">
        <f t="shared" si="9"/>
        <v>#DIV/0!</v>
      </c>
      <c r="V66" s="1153" t="e">
        <f t="shared" si="9"/>
        <v>#DIV/0!</v>
      </c>
      <c r="W66" s="1153" t="e">
        <f t="shared" si="9"/>
        <v>#DIV/0!</v>
      </c>
      <c r="X66" s="1153" t="e">
        <f t="shared" si="9"/>
        <v>#DIV/0!</v>
      </c>
      <c r="Y66" s="1153" t="e">
        <f t="shared" si="9"/>
        <v>#DIV/0!</v>
      </c>
      <c r="Z66" s="1153" t="e">
        <f t="shared" si="9"/>
        <v>#DIV/0!</v>
      </c>
      <c r="AA66" s="1153" t="e">
        <f t="shared" si="9"/>
        <v>#DIV/0!</v>
      </c>
      <c r="AB66" s="1153" t="e">
        <f t="shared" si="9"/>
        <v>#DIV/0!</v>
      </c>
      <c r="AC66" s="1153" t="e">
        <f t="shared" si="9"/>
        <v>#DIV/0!</v>
      </c>
      <c r="AE66" s="1153"/>
    </row>
    <row r="67" spans="1:31" ht="4.5" customHeight="1">
      <c r="A67" s="3026"/>
      <c r="B67" s="1023"/>
      <c r="C67" s="1023"/>
      <c r="D67" s="1023"/>
      <c r="E67" s="1023"/>
      <c r="F67" s="1023"/>
      <c r="G67" s="1023"/>
      <c r="H67" s="1023"/>
      <c r="I67" s="1023"/>
      <c r="J67" s="1023"/>
      <c r="K67" s="1023"/>
      <c r="L67" s="1023"/>
      <c r="M67" s="1023"/>
      <c r="N67" s="1023"/>
      <c r="O67" s="1023"/>
      <c r="P67" s="1023"/>
      <c r="Q67" s="1023"/>
      <c r="R67" s="1023"/>
      <c r="S67" s="1023"/>
      <c r="T67" s="1023"/>
      <c r="U67" s="1023"/>
      <c r="V67" s="1023"/>
      <c r="W67" s="1023"/>
      <c r="X67" s="1023"/>
      <c r="Y67" s="1023"/>
      <c r="Z67" s="1023"/>
      <c r="AA67" s="1023"/>
      <c r="AB67" s="1023"/>
      <c r="AC67" s="1023"/>
    </row>
    <row r="68" spans="1:31" ht="3" customHeight="1"/>
    <row r="69" spans="1:31" s="1009" customFormat="1" ht="11">
      <c r="A69" s="3066"/>
      <c r="B69" s="1009" t="s">
        <v>1113</v>
      </c>
    </row>
    <row r="70" spans="1:31" s="1009" customFormat="1" ht="11.25" customHeight="1">
      <c r="A70" s="3066"/>
      <c r="B70" s="3398" t="s">
        <v>1464</v>
      </c>
      <c r="C70" s="3398"/>
      <c r="D70" s="3398"/>
      <c r="E70" s="3398"/>
      <c r="F70" s="3398"/>
      <c r="G70" s="3398"/>
      <c r="H70" s="3398"/>
      <c r="I70" s="3398"/>
    </row>
    <row r="71" spans="1:31" s="1009" customFormat="1" ht="11">
      <c r="A71" s="3066"/>
      <c r="B71" s="1009" t="s">
        <v>1465</v>
      </c>
    </row>
    <row r="72" spans="1:31" s="1009" customFormat="1" ht="4.5" customHeight="1">
      <c r="A72" s="3066"/>
    </row>
    <row r="73" spans="1:31" s="1009" customFormat="1" ht="11">
      <c r="A73" s="3066"/>
      <c r="B73" s="1009" t="s">
        <v>1114</v>
      </c>
    </row>
    <row r="74" spans="1:31" s="1009" customFormat="1" ht="11">
      <c r="A74" s="3066"/>
      <c r="B74" s="1069" t="s">
        <v>2331</v>
      </c>
    </row>
    <row r="75" spans="1:31" s="1009" customFormat="1" ht="11">
      <c r="A75" s="3066"/>
      <c r="B75" s="1009" t="s">
        <v>2332</v>
      </c>
    </row>
    <row r="79" spans="1:31">
      <c r="C79" s="1131"/>
      <c r="D79" s="1131"/>
      <c r="E79" s="1131"/>
      <c r="F79" s="1131"/>
      <c r="G79" s="1131"/>
      <c r="H79" s="1131"/>
      <c r="I79" s="1131"/>
      <c r="J79" s="1386"/>
    </row>
    <row r="80" spans="1:31">
      <c r="C80" s="1387"/>
      <c r="D80" s="1387"/>
      <c r="E80" s="1387"/>
      <c r="F80" s="1387"/>
      <c r="G80" s="1387"/>
      <c r="H80" s="1387"/>
      <c r="I80" s="1387"/>
      <c r="J80" s="1386"/>
    </row>
  </sheetData>
  <mergeCells count="1">
    <mergeCell ref="B70:I70"/>
  </mergeCells>
  <conditionalFormatting sqref="C29:AC29">
    <cfRule type="dataBar" priority="68">
      <dataBar>
        <cfvo type="num" val="0"/>
        <cfvo type="max"/>
        <color rgb="FF0000FF"/>
      </dataBar>
      <extLst>
        <ext xmlns:x14="http://schemas.microsoft.com/office/spreadsheetml/2009/9/main" uri="{B025F937-C7B1-47D3-B67F-A62EFF666E3E}">
          <x14:id>{208B498B-EF85-4F5E-9D16-45E188BA9CD4}</x14:id>
        </ext>
      </extLst>
    </cfRule>
  </conditionalFormatting>
  <conditionalFormatting sqref="C31:AC31">
    <cfRule type="dataBar" priority="66">
      <dataBar>
        <cfvo type="percent" val="0"/>
        <cfvo type="max"/>
        <color rgb="FFFFC000"/>
      </dataBar>
      <extLst>
        <ext xmlns:x14="http://schemas.microsoft.com/office/spreadsheetml/2009/9/main" uri="{B025F937-C7B1-47D3-B67F-A62EFF666E3E}">
          <x14:id>{862D6A53-C8E9-4716-A3DD-9DB1D8F752C9}</x14:id>
        </ext>
      </extLst>
    </cfRule>
  </conditionalFormatting>
  <conditionalFormatting sqref="C32:AC32">
    <cfRule type="dataBar" priority="65">
      <dataBar>
        <cfvo type="num" val="0"/>
        <cfvo type="max"/>
        <color rgb="FF70147A"/>
      </dataBar>
      <extLst>
        <ext xmlns:x14="http://schemas.microsoft.com/office/spreadsheetml/2009/9/main" uri="{B025F937-C7B1-47D3-B67F-A62EFF666E3E}">
          <x14:id>{A7E6E0A4-DA8B-4A54-BA74-7DF61CC93C16}</x14:id>
        </ext>
      </extLst>
    </cfRule>
  </conditionalFormatting>
  <conditionalFormatting sqref="C33:AC33">
    <cfRule type="dataBar" priority="64">
      <dataBar>
        <cfvo type="num" val="0"/>
        <cfvo type="max"/>
        <color rgb="FFFFFF00"/>
      </dataBar>
      <extLst>
        <ext xmlns:x14="http://schemas.microsoft.com/office/spreadsheetml/2009/9/main" uri="{B025F937-C7B1-47D3-B67F-A62EFF666E3E}">
          <x14:id>{AEECF220-71D5-4179-BCA2-5024A87A72F8}</x14:id>
        </ext>
      </extLst>
    </cfRule>
  </conditionalFormatting>
  <conditionalFormatting sqref="C34:AC34">
    <cfRule type="dataBar" priority="63">
      <dataBar>
        <cfvo type="num" val="0"/>
        <cfvo type="max"/>
        <color rgb="FF00FF00"/>
      </dataBar>
      <extLst>
        <ext xmlns:x14="http://schemas.microsoft.com/office/spreadsheetml/2009/9/main" uri="{B025F937-C7B1-47D3-B67F-A62EFF666E3E}">
          <x14:id>{0673619F-A1A9-49ED-9A61-DA2CF6E3DFD9}</x14:id>
        </ext>
      </extLst>
    </cfRule>
  </conditionalFormatting>
  <conditionalFormatting sqref="C35:AC35">
    <cfRule type="dataBar" priority="62">
      <dataBar>
        <cfvo type="num" val="0"/>
        <cfvo type="max"/>
        <color rgb="FF008000"/>
      </dataBar>
      <extLst>
        <ext xmlns:x14="http://schemas.microsoft.com/office/spreadsheetml/2009/9/main" uri="{B025F937-C7B1-47D3-B67F-A62EFF666E3E}">
          <x14:id>{9C87C98E-7708-443F-AE32-D33B0A3AE795}</x14:id>
        </ext>
      </extLst>
    </cfRule>
  </conditionalFormatting>
  <conditionalFormatting sqref="C36:AC37">
    <cfRule type="dataBar" priority="61">
      <dataBar>
        <cfvo type="num" val="0"/>
        <cfvo type="max"/>
        <color rgb="FF666699"/>
      </dataBar>
      <extLst>
        <ext xmlns:x14="http://schemas.microsoft.com/office/spreadsheetml/2009/9/main" uri="{B025F937-C7B1-47D3-B67F-A62EFF666E3E}">
          <x14:id>{E8D4FBFF-E69B-4694-96FA-5F9C35C178A7}</x14:id>
        </ext>
      </extLst>
    </cfRule>
  </conditionalFormatting>
  <conditionalFormatting sqref="C38:AC38">
    <cfRule type="dataBar" priority="60">
      <dataBar>
        <cfvo type="num" val="0"/>
        <cfvo type="max"/>
        <color theme="0" tint="-0.499984740745262"/>
      </dataBar>
      <extLst>
        <ext xmlns:x14="http://schemas.microsoft.com/office/spreadsheetml/2009/9/main" uri="{B025F937-C7B1-47D3-B67F-A62EFF666E3E}">
          <x14:id>{0739E4E4-1D98-49F7-AF5C-2D912FE58D68}</x14:id>
        </ext>
      </extLst>
    </cfRule>
  </conditionalFormatting>
  <conditionalFormatting sqref="C57">
    <cfRule type="dataBar" priority="58">
      <dataBar>
        <cfvo type="num" val="0"/>
        <cfvo type="num" val="1"/>
        <color rgb="FFCC3300"/>
      </dataBar>
      <extLst>
        <ext xmlns:x14="http://schemas.microsoft.com/office/spreadsheetml/2009/9/main" uri="{B025F937-C7B1-47D3-B67F-A62EFF666E3E}">
          <x14:id>{1E94BC32-624D-41BE-A623-AA277C0AAF36}</x14:id>
        </ext>
      </extLst>
    </cfRule>
  </conditionalFormatting>
  <conditionalFormatting sqref="C58:AC58">
    <cfRule type="dataBar" priority="57">
      <dataBar>
        <cfvo type="num" val="0"/>
        <cfvo type="num" val="1"/>
        <color rgb="FF4EA268"/>
      </dataBar>
      <extLst>
        <ext xmlns:x14="http://schemas.microsoft.com/office/spreadsheetml/2009/9/main" uri="{B025F937-C7B1-47D3-B67F-A62EFF666E3E}">
          <x14:id>{5D33EAA1-AC20-4DE6-9DF8-49546155BAC4}</x14:id>
        </ext>
      </extLst>
    </cfRule>
  </conditionalFormatting>
  <conditionalFormatting sqref="C59:AC59">
    <cfRule type="dataBar" priority="56">
      <dataBar>
        <cfvo type="num" val="0"/>
        <cfvo type="num" val="1"/>
        <color rgb="FFA1CDF0"/>
      </dataBar>
      <extLst>
        <ext xmlns:x14="http://schemas.microsoft.com/office/spreadsheetml/2009/9/main" uri="{B025F937-C7B1-47D3-B67F-A62EFF666E3E}">
          <x14:id>{88E1F2F9-8C97-4F2D-A745-EB970E913136}</x14:id>
        </ext>
      </extLst>
    </cfRule>
  </conditionalFormatting>
  <conditionalFormatting sqref="C60:AC60">
    <cfRule type="dataBar" priority="55">
      <dataBar>
        <cfvo type="num" val="0"/>
        <cfvo type="num" val="1"/>
        <color rgb="FF02665F"/>
      </dataBar>
      <extLst>
        <ext xmlns:x14="http://schemas.microsoft.com/office/spreadsheetml/2009/9/main" uri="{B025F937-C7B1-47D3-B67F-A62EFF666E3E}">
          <x14:id>{DB6CEE5D-0137-4612-A34A-B8054762F7A8}</x14:id>
        </ext>
      </extLst>
    </cfRule>
  </conditionalFormatting>
  <conditionalFormatting sqref="L61">
    <cfRule type="dataBar" priority="54">
      <dataBar>
        <cfvo type="num" val="0"/>
        <cfvo type="num" val="1"/>
        <color rgb="FFCDAF2D"/>
      </dataBar>
      <extLst>
        <ext xmlns:x14="http://schemas.microsoft.com/office/spreadsheetml/2009/9/main" uri="{B025F937-C7B1-47D3-B67F-A62EFF666E3E}">
          <x14:id>{643B5BDB-7A76-4B5A-AC60-D44DA5A1BEAE}</x14:id>
        </ext>
      </extLst>
    </cfRule>
  </conditionalFormatting>
  <conditionalFormatting sqref="C62:AC62">
    <cfRule type="dataBar" priority="53">
      <dataBar>
        <cfvo type="num" val="0"/>
        <cfvo type="num" val="1"/>
        <color theme="0" tint="-0.499984740745262"/>
      </dataBar>
      <extLst>
        <ext xmlns:x14="http://schemas.microsoft.com/office/spreadsheetml/2009/9/main" uri="{B025F937-C7B1-47D3-B67F-A62EFF666E3E}">
          <x14:id>{9261E278-8725-447B-963A-E01492967ED4}</x14:id>
        </ext>
      </extLst>
    </cfRule>
  </conditionalFormatting>
  <conditionalFormatting sqref="A29">
    <cfRule type="dataBar" priority="52">
      <dataBar>
        <cfvo type="min"/>
        <cfvo type="max"/>
        <color rgb="FF0000FF"/>
      </dataBar>
      <extLst>
        <ext xmlns:x14="http://schemas.microsoft.com/office/spreadsheetml/2009/9/main" uri="{B025F937-C7B1-47D3-B67F-A62EFF666E3E}">
          <x14:id>{03500D7D-9BA5-45DE-8310-0BAF3F00807D}</x14:id>
        </ext>
      </extLst>
    </cfRule>
  </conditionalFormatting>
  <conditionalFormatting sqref="A30">
    <cfRule type="dataBar" priority="51">
      <dataBar>
        <cfvo type="min"/>
        <cfvo type="max"/>
        <color rgb="FFFF0000"/>
      </dataBar>
      <extLst>
        <ext xmlns:x14="http://schemas.microsoft.com/office/spreadsheetml/2009/9/main" uri="{B025F937-C7B1-47D3-B67F-A62EFF666E3E}">
          <x14:id>{11F9BCFF-D421-45F8-8870-366C909296FB}</x14:id>
        </ext>
      </extLst>
    </cfRule>
  </conditionalFormatting>
  <conditionalFormatting sqref="A31">
    <cfRule type="dataBar" priority="50">
      <dataBar>
        <cfvo type="min"/>
        <cfvo type="max"/>
        <color rgb="FFFFC000"/>
      </dataBar>
      <extLst>
        <ext xmlns:x14="http://schemas.microsoft.com/office/spreadsheetml/2009/9/main" uri="{B025F937-C7B1-47D3-B67F-A62EFF666E3E}">
          <x14:id>{4CE44419-D0C9-4AFD-8829-21CCD3EB1099}</x14:id>
        </ext>
      </extLst>
    </cfRule>
  </conditionalFormatting>
  <conditionalFormatting sqref="A32">
    <cfRule type="dataBar" priority="49">
      <dataBar>
        <cfvo type="min"/>
        <cfvo type="max"/>
        <color rgb="FF70147A"/>
      </dataBar>
      <extLst>
        <ext xmlns:x14="http://schemas.microsoft.com/office/spreadsheetml/2009/9/main" uri="{B025F937-C7B1-47D3-B67F-A62EFF666E3E}">
          <x14:id>{05118E86-E05F-448E-B642-E52F4EB9FFC8}</x14:id>
        </ext>
      </extLst>
    </cfRule>
  </conditionalFormatting>
  <conditionalFormatting sqref="A33">
    <cfRule type="dataBar" priority="48">
      <dataBar>
        <cfvo type="min"/>
        <cfvo type="max"/>
        <color rgb="FFFFFF00"/>
      </dataBar>
      <extLst>
        <ext xmlns:x14="http://schemas.microsoft.com/office/spreadsheetml/2009/9/main" uri="{B025F937-C7B1-47D3-B67F-A62EFF666E3E}">
          <x14:id>{ECF52A1A-0F78-407B-A47E-431997485B99}</x14:id>
        </ext>
      </extLst>
    </cfRule>
  </conditionalFormatting>
  <conditionalFormatting sqref="A34">
    <cfRule type="dataBar" priority="47">
      <dataBar>
        <cfvo type="min"/>
        <cfvo type="max"/>
        <color rgb="FF00FF00"/>
      </dataBar>
      <extLst>
        <ext xmlns:x14="http://schemas.microsoft.com/office/spreadsheetml/2009/9/main" uri="{B025F937-C7B1-47D3-B67F-A62EFF666E3E}">
          <x14:id>{948DCE92-3FE5-44BF-BE6F-09BCCB077CF0}</x14:id>
        </ext>
      </extLst>
    </cfRule>
  </conditionalFormatting>
  <conditionalFormatting sqref="A35">
    <cfRule type="dataBar" priority="46">
      <dataBar>
        <cfvo type="min"/>
        <cfvo type="max"/>
        <color rgb="FF008000"/>
      </dataBar>
      <extLst>
        <ext xmlns:x14="http://schemas.microsoft.com/office/spreadsheetml/2009/9/main" uri="{B025F937-C7B1-47D3-B67F-A62EFF666E3E}">
          <x14:id>{A1712610-C5A6-40AC-9BF1-EE581F3FAB9E}</x14:id>
        </ext>
      </extLst>
    </cfRule>
  </conditionalFormatting>
  <conditionalFormatting sqref="A37:AD37">
    <cfRule type="dataBar" priority="45">
      <dataBar>
        <cfvo type="min"/>
        <cfvo type="max"/>
        <color rgb="FF00B0F0"/>
      </dataBar>
      <extLst>
        <ext xmlns:x14="http://schemas.microsoft.com/office/spreadsheetml/2009/9/main" uri="{B025F937-C7B1-47D3-B67F-A62EFF666E3E}">
          <x14:id>{2D8C832F-AC40-4292-ADA5-1AA73732FCFD}</x14:id>
        </ext>
      </extLst>
    </cfRule>
  </conditionalFormatting>
  <conditionalFormatting sqref="A38">
    <cfRule type="dataBar" priority="44">
      <dataBar>
        <cfvo type="min"/>
        <cfvo type="max"/>
        <color theme="0" tint="-0.499984740745262"/>
      </dataBar>
      <extLst>
        <ext xmlns:x14="http://schemas.microsoft.com/office/spreadsheetml/2009/9/main" uri="{B025F937-C7B1-47D3-B67F-A62EFF666E3E}">
          <x14:id>{44215956-AC2F-4D5B-AACB-4DADBD891203}</x14:id>
        </ext>
      </extLst>
    </cfRule>
  </conditionalFormatting>
  <conditionalFormatting sqref="A57">
    <cfRule type="dataBar" priority="43">
      <dataBar>
        <cfvo type="min"/>
        <cfvo type="max"/>
        <color rgb="FF000080"/>
      </dataBar>
      <extLst>
        <ext xmlns:x14="http://schemas.microsoft.com/office/spreadsheetml/2009/9/main" uri="{B025F937-C7B1-47D3-B67F-A62EFF666E3E}">
          <x14:id>{1B37E933-21AD-4EA4-8233-28587E6A7333}</x14:id>
        </ext>
      </extLst>
    </cfRule>
  </conditionalFormatting>
  <conditionalFormatting sqref="A58">
    <cfRule type="dataBar" priority="42">
      <dataBar>
        <cfvo type="min"/>
        <cfvo type="max"/>
        <color rgb="FFCCFFCC"/>
      </dataBar>
      <extLst>
        <ext xmlns:x14="http://schemas.microsoft.com/office/spreadsheetml/2009/9/main" uri="{B025F937-C7B1-47D3-B67F-A62EFF666E3E}">
          <x14:id>{BE0E4306-412D-4E37-9F53-CDD3DEC9B62C}</x14:id>
        </ext>
      </extLst>
    </cfRule>
  </conditionalFormatting>
  <conditionalFormatting sqref="A59">
    <cfRule type="dataBar" priority="41">
      <dataBar>
        <cfvo type="min"/>
        <cfvo type="max"/>
        <color rgb="FF99CCFF"/>
      </dataBar>
      <extLst>
        <ext xmlns:x14="http://schemas.microsoft.com/office/spreadsheetml/2009/9/main" uri="{B025F937-C7B1-47D3-B67F-A62EFF666E3E}">
          <x14:id>{D2764C97-F56D-4C6D-96E5-5B297DF09128}</x14:id>
        </ext>
      </extLst>
    </cfRule>
  </conditionalFormatting>
  <conditionalFormatting sqref="A60">
    <cfRule type="dataBar" priority="40">
      <dataBar>
        <cfvo type="min"/>
        <cfvo type="max"/>
        <color rgb="FF99CC00"/>
      </dataBar>
      <extLst>
        <ext xmlns:x14="http://schemas.microsoft.com/office/spreadsheetml/2009/9/main" uri="{B025F937-C7B1-47D3-B67F-A62EFF666E3E}">
          <x14:id>{56784ACB-DD97-4416-A9B5-2373E7109233}</x14:id>
        </ext>
      </extLst>
    </cfRule>
  </conditionalFormatting>
  <conditionalFormatting sqref="A61">
    <cfRule type="dataBar" priority="39">
      <dataBar>
        <cfvo type="min"/>
        <cfvo type="max"/>
        <color rgb="FFFF9600"/>
      </dataBar>
      <extLst>
        <ext xmlns:x14="http://schemas.microsoft.com/office/spreadsheetml/2009/9/main" uri="{B025F937-C7B1-47D3-B67F-A62EFF666E3E}">
          <x14:id>{E2DA623F-4DB8-48A3-9C7C-BC47D0CA3877}</x14:id>
        </ext>
      </extLst>
    </cfRule>
  </conditionalFormatting>
  <conditionalFormatting sqref="A62">
    <cfRule type="dataBar" priority="38">
      <dataBar>
        <cfvo type="num" val="0"/>
        <cfvo type="max"/>
        <color theme="0" tint="-0.499984740745262"/>
      </dataBar>
      <extLst>
        <ext xmlns:x14="http://schemas.microsoft.com/office/spreadsheetml/2009/9/main" uri="{B025F937-C7B1-47D3-B67F-A62EFF666E3E}">
          <x14:id>{FF98493D-082E-4D41-B7B2-353E42B9961F}</x14:id>
        </ext>
      </extLst>
    </cfRule>
  </conditionalFormatting>
  <conditionalFormatting sqref="A29:AC29">
    <cfRule type="dataBar" priority="37">
      <dataBar>
        <cfvo type="num" val="0"/>
        <cfvo type="max"/>
        <color rgb="FF00539F"/>
      </dataBar>
      <extLst>
        <ext xmlns:x14="http://schemas.microsoft.com/office/spreadsheetml/2009/9/main" uri="{B025F937-C7B1-47D3-B67F-A62EFF666E3E}">
          <x14:id>{8E844D96-F8BA-4D0F-95DE-14CEA81C1552}</x14:id>
        </ext>
      </extLst>
    </cfRule>
  </conditionalFormatting>
  <conditionalFormatting sqref="A30:AC30">
    <cfRule type="dataBar" priority="35">
      <dataBar>
        <cfvo type="num" val="0"/>
        <cfvo type="max"/>
        <color rgb="FFD50000"/>
      </dataBar>
      <extLst>
        <ext xmlns:x14="http://schemas.microsoft.com/office/spreadsheetml/2009/9/main" uri="{B025F937-C7B1-47D3-B67F-A62EFF666E3E}">
          <x14:id>{A3A21C33-E954-4608-9810-2980DC96B063}</x14:id>
        </ext>
      </extLst>
    </cfRule>
  </conditionalFormatting>
  <conditionalFormatting sqref="A31:AC31">
    <cfRule type="dataBar" priority="34">
      <dataBar>
        <cfvo type="num" val="0"/>
        <cfvo type="max"/>
        <color rgb="FFFAA01A"/>
      </dataBar>
      <extLst>
        <ext xmlns:x14="http://schemas.microsoft.com/office/spreadsheetml/2009/9/main" uri="{B025F937-C7B1-47D3-B67F-A62EFF666E3E}">
          <x14:id>{3F8F6258-B6E7-4A90-9F30-58B65360CFA8}</x14:id>
        </ext>
      </extLst>
    </cfRule>
  </conditionalFormatting>
  <conditionalFormatting sqref="A32:AC32">
    <cfRule type="dataBar" priority="33">
      <dataBar>
        <cfvo type="num" val="0"/>
        <cfvo type="max"/>
        <color rgb="FF722889"/>
      </dataBar>
      <extLst>
        <ext xmlns:x14="http://schemas.microsoft.com/office/spreadsheetml/2009/9/main" uri="{B025F937-C7B1-47D3-B67F-A62EFF666E3E}">
          <x14:id>{8F4F9E45-3968-49FA-850C-A3F34A291381}</x14:id>
        </ext>
      </extLst>
    </cfRule>
  </conditionalFormatting>
  <conditionalFormatting sqref="A33:AC33">
    <cfRule type="dataBar" priority="32">
      <dataBar>
        <cfvo type="num" val="0"/>
        <cfvo type="max"/>
        <color rgb="FFFFF685"/>
      </dataBar>
      <extLst>
        <ext xmlns:x14="http://schemas.microsoft.com/office/spreadsheetml/2009/9/main" uri="{B025F937-C7B1-47D3-B67F-A62EFF666E3E}">
          <x14:id>{9F0A292A-DC4C-4693-892E-D8482AAE0A34}</x14:id>
        </ext>
      </extLst>
    </cfRule>
  </conditionalFormatting>
  <conditionalFormatting sqref="A34:AC34">
    <cfRule type="dataBar" priority="31">
      <dataBar>
        <cfvo type="num" val="0"/>
        <cfvo type="max"/>
        <color rgb="FF348837"/>
      </dataBar>
      <extLst>
        <ext xmlns:x14="http://schemas.microsoft.com/office/spreadsheetml/2009/9/main" uri="{B025F937-C7B1-47D3-B67F-A62EFF666E3E}">
          <x14:id>{0F011A6F-585D-4F6A-9293-43427D26E48C}</x14:id>
        </ext>
      </extLst>
    </cfRule>
  </conditionalFormatting>
  <conditionalFormatting sqref="A35:AC35">
    <cfRule type="dataBar" priority="30">
      <dataBar>
        <cfvo type="num" val="0"/>
        <cfvo type="max"/>
        <color rgb="FF78B82A"/>
      </dataBar>
      <extLst>
        <ext xmlns:x14="http://schemas.microsoft.com/office/spreadsheetml/2009/9/main" uri="{B025F937-C7B1-47D3-B67F-A62EFF666E3E}">
          <x14:id>{38A48D40-6FB1-49BF-A429-C95B31E713B6}</x14:id>
        </ext>
      </extLst>
    </cfRule>
  </conditionalFormatting>
  <conditionalFormatting sqref="A36:AD36">
    <cfRule type="dataBar" priority="29">
      <dataBar>
        <cfvo type="num" val="0"/>
        <cfvo type="max"/>
        <color theme="2"/>
      </dataBar>
      <extLst>
        <ext xmlns:x14="http://schemas.microsoft.com/office/spreadsheetml/2009/9/main" uri="{B025F937-C7B1-47D3-B67F-A62EFF666E3E}">
          <x14:id>{969A3E83-CED5-4D36-A1B8-FC95371B6F04}</x14:id>
        </ext>
      </extLst>
    </cfRule>
  </conditionalFormatting>
  <conditionalFormatting sqref="A38:AC38">
    <cfRule type="dataBar" priority="28">
      <dataBar>
        <cfvo type="num" val="0"/>
        <cfvo type="max"/>
        <color rgb="FF909090"/>
      </dataBar>
      <extLst>
        <ext xmlns:x14="http://schemas.microsoft.com/office/spreadsheetml/2009/9/main" uri="{B025F937-C7B1-47D3-B67F-A62EFF666E3E}">
          <x14:id>{F29AFF15-4C5B-4D06-9B79-2BBCB3596EC1}</x14:id>
        </ext>
      </extLst>
    </cfRule>
  </conditionalFormatting>
  <conditionalFormatting sqref="D57">
    <cfRule type="dataBar" priority="16">
      <dataBar>
        <cfvo type="num" val="0"/>
        <cfvo type="num" val="1"/>
        <color rgb="FFCC3300"/>
      </dataBar>
      <extLst>
        <ext xmlns:x14="http://schemas.microsoft.com/office/spreadsheetml/2009/9/main" uri="{B025F937-C7B1-47D3-B67F-A62EFF666E3E}">
          <x14:id>{A79C6820-6EB5-48F9-A5A6-A5EBE90D47CF}</x14:id>
        </ext>
      </extLst>
    </cfRule>
  </conditionalFormatting>
  <conditionalFormatting sqref="E57">
    <cfRule type="dataBar" priority="15">
      <dataBar>
        <cfvo type="num" val="0"/>
        <cfvo type="num" val="1"/>
        <color rgb="FFCC3300"/>
      </dataBar>
      <extLst>
        <ext xmlns:x14="http://schemas.microsoft.com/office/spreadsheetml/2009/9/main" uri="{B025F937-C7B1-47D3-B67F-A62EFF666E3E}">
          <x14:id>{BB785B93-F9F2-4489-9115-E586A86D9D01}</x14:id>
        </ext>
      </extLst>
    </cfRule>
  </conditionalFormatting>
  <conditionalFormatting sqref="F57">
    <cfRule type="dataBar" priority="14">
      <dataBar>
        <cfvo type="num" val="0"/>
        <cfvo type="num" val="1"/>
        <color rgb="FFCC3300"/>
      </dataBar>
      <extLst>
        <ext xmlns:x14="http://schemas.microsoft.com/office/spreadsheetml/2009/9/main" uri="{B025F937-C7B1-47D3-B67F-A62EFF666E3E}">
          <x14:id>{3CED94D0-F615-4E58-80C9-C43505509CDA}</x14:id>
        </ext>
      </extLst>
    </cfRule>
  </conditionalFormatting>
  <conditionalFormatting sqref="G57">
    <cfRule type="dataBar" priority="13">
      <dataBar>
        <cfvo type="num" val="0"/>
        <cfvo type="num" val="1"/>
        <color rgb="FFCC3300"/>
      </dataBar>
      <extLst>
        <ext xmlns:x14="http://schemas.microsoft.com/office/spreadsheetml/2009/9/main" uri="{B025F937-C7B1-47D3-B67F-A62EFF666E3E}">
          <x14:id>{71DA5977-67AE-4AE6-A286-9FA0B2484247}</x14:id>
        </ext>
      </extLst>
    </cfRule>
  </conditionalFormatting>
  <conditionalFormatting sqref="H57">
    <cfRule type="dataBar" priority="12">
      <dataBar>
        <cfvo type="num" val="0"/>
        <cfvo type="num" val="1"/>
        <color rgb="FFCC3300"/>
      </dataBar>
      <extLst>
        <ext xmlns:x14="http://schemas.microsoft.com/office/spreadsheetml/2009/9/main" uri="{B025F937-C7B1-47D3-B67F-A62EFF666E3E}">
          <x14:id>{FE45C1B8-674E-461F-9AAD-C13E9AC1363B}</x14:id>
        </ext>
      </extLst>
    </cfRule>
  </conditionalFormatting>
  <conditionalFormatting sqref="I57">
    <cfRule type="dataBar" priority="11">
      <dataBar>
        <cfvo type="num" val="0"/>
        <cfvo type="num" val="1"/>
        <color rgb="FFCC3300"/>
      </dataBar>
      <extLst>
        <ext xmlns:x14="http://schemas.microsoft.com/office/spreadsheetml/2009/9/main" uri="{B025F937-C7B1-47D3-B67F-A62EFF666E3E}">
          <x14:id>{3BCCCE24-E1DC-4CFC-BADA-2999620A1264}</x14:id>
        </ext>
      </extLst>
    </cfRule>
  </conditionalFormatting>
  <conditionalFormatting sqref="J57">
    <cfRule type="dataBar" priority="10">
      <dataBar>
        <cfvo type="num" val="0"/>
        <cfvo type="num" val="1"/>
        <color rgb="FFCC3300"/>
      </dataBar>
      <extLst>
        <ext xmlns:x14="http://schemas.microsoft.com/office/spreadsheetml/2009/9/main" uri="{B025F937-C7B1-47D3-B67F-A62EFF666E3E}">
          <x14:id>{FD1EBC0A-F1BC-4DF9-8C71-9942B357E80E}</x14:id>
        </ext>
      </extLst>
    </cfRule>
  </conditionalFormatting>
  <conditionalFormatting sqref="L57">
    <cfRule type="dataBar" priority="9">
      <dataBar>
        <cfvo type="num" val="0"/>
        <cfvo type="num" val="1"/>
        <color rgb="FFCC3300"/>
      </dataBar>
      <extLst>
        <ext xmlns:x14="http://schemas.microsoft.com/office/spreadsheetml/2009/9/main" uri="{B025F937-C7B1-47D3-B67F-A62EFF666E3E}">
          <x14:id>{63715021-A734-4C76-AABF-37E47369523C}</x14:id>
        </ext>
      </extLst>
    </cfRule>
  </conditionalFormatting>
  <conditionalFormatting sqref="J61">
    <cfRule type="dataBar" priority="8">
      <dataBar>
        <cfvo type="num" val="0"/>
        <cfvo type="num" val="1"/>
        <color rgb="FFCDAF2D"/>
      </dataBar>
      <extLst>
        <ext xmlns:x14="http://schemas.microsoft.com/office/spreadsheetml/2009/9/main" uri="{B025F937-C7B1-47D3-B67F-A62EFF666E3E}">
          <x14:id>{F59721F7-3A85-4CA5-ABB4-BD7B83FDC483}</x14:id>
        </ext>
      </extLst>
    </cfRule>
  </conditionalFormatting>
  <conditionalFormatting sqref="I61">
    <cfRule type="dataBar" priority="7">
      <dataBar>
        <cfvo type="num" val="0"/>
        <cfvo type="num" val="1"/>
        <color rgb="FFCDAF2D"/>
      </dataBar>
      <extLst>
        <ext xmlns:x14="http://schemas.microsoft.com/office/spreadsheetml/2009/9/main" uri="{B025F937-C7B1-47D3-B67F-A62EFF666E3E}">
          <x14:id>{1EC9B635-2D1E-4430-9257-62EE8D48B8C7}</x14:id>
        </ext>
      </extLst>
    </cfRule>
  </conditionalFormatting>
  <conditionalFormatting sqref="H61">
    <cfRule type="dataBar" priority="6">
      <dataBar>
        <cfvo type="num" val="0"/>
        <cfvo type="num" val="1"/>
        <color rgb="FFCDAF2D"/>
      </dataBar>
      <extLst>
        <ext xmlns:x14="http://schemas.microsoft.com/office/spreadsheetml/2009/9/main" uri="{B025F937-C7B1-47D3-B67F-A62EFF666E3E}">
          <x14:id>{4D1870FB-3BD0-4DCD-88E0-F69DA28147D2}</x14:id>
        </ext>
      </extLst>
    </cfRule>
  </conditionalFormatting>
  <conditionalFormatting sqref="G61">
    <cfRule type="dataBar" priority="5">
      <dataBar>
        <cfvo type="num" val="0"/>
        <cfvo type="num" val="1"/>
        <color rgb="FFCDAF2D"/>
      </dataBar>
      <extLst>
        <ext xmlns:x14="http://schemas.microsoft.com/office/spreadsheetml/2009/9/main" uri="{B025F937-C7B1-47D3-B67F-A62EFF666E3E}">
          <x14:id>{7479BD38-67DC-41BC-A152-C0853AD204AE}</x14:id>
        </ext>
      </extLst>
    </cfRule>
  </conditionalFormatting>
  <conditionalFormatting sqref="F61">
    <cfRule type="dataBar" priority="4">
      <dataBar>
        <cfvo type="num" val="0"/>
        <cfvo type="num" val="1"/>
        <color rgb="FFCDAF2D"/>
      </dataBar>
      <extLst>
        <ext xmlns:x14="http://schemas.microsoft.com/office/spreadsheetml/2009/9/main" uri="{B025F937-C7B1-47D3-B67F-A62EFF666E3E}">
          <x14:id>{96C9ACD3-C3B8-4E45-8B64-F8BAD0872219}</x14:id>
        </ext>
      </extLst>
    </cfRule>
  </conditionalFormatting>
  <conditionalFormatting sqref="D61">
    <cfRule type="dataBar" priority="3">
      <dataBar>
        <cfvo type="num" val="0"/>
        <cfvo type="num" val="1"/>
        <color rgb="FFCDAF2D"/>
      </dataBar>
      <extLst>
        <ext xmlns:x14="http://schemas.microsoft.com/office/spreadsheetml/2009/9/main" uri="{B025F937-C7B1-47D3-B67F-A62EFF666E3E}">
          <x14:id>{B005DA92-04AE-4CB4-B9CC-AD98A3E12CC1}</x14:id>
        </ext>
      </extLst>
    </cfRule>
  </conditionalFormatting>
  <conditionalFormatting sqref="C61">
    <cfRule type="dataBar" priority="2">
      <dataBar>
        <cfvo type="num" val="0"/>
        <cfvo type="num" val="1"/>
        <color rgb="FFCDAF2D"/>
      </dataBar>
      <extLst>
        <ext xmlns:x14="http://schemas.microsoft.com/office/spreadsheetml/2009/9/main" uri="{B025F937-C7B1-47D3-B67F-A62EFF666E3E}">
          <x14:id>{7FF3D505-C869-47D4-84FD-0B0CDC866E4D}</x14:id>
        </ext>
      </extLst>
    </cfRule>
  </conditionalFormatting>
  <conditionalFormatting sqref="E61">
    <cfRule type="dataBar" priority="1">
      <dataBar>
        <cfvo type="num" val="0"/>
        <cfvo type="num" val="1"/>
        <color rgb="FFCDAF2D"/>
      </dataBar>
      <extLst>
        <ext xmlns:x14="http://schemas.microsoft.com/office/spreadsheetml/2009/9/main" uri="{B025F937-C7B1-47D3-B67F-A62EFF666E3E}">
          <x14:id>{95791AD5-746C-4D36-80A1-37C1B5AF9328}</x14:id>
        </ext>
      </extLst>
    </cfRule>
  </conditionalFormatting>
  <pageMargins left="0.7" right="0.7" top="0.75" bottom="0.75" header="0.3" footer="0.3"/>
  <pageSetup paperSize="9" orientation="portrait" verticalDpi="1200" r:id="rId1"/>
  <extLst>
    <ext xmlns:x14="http://schemas.microsoft.com/office/spreadsheetml/2009/9/main" uri="{78C0D931-6437-407d-A8EE-F0AAD7539E65}">
      <x14:conditionalFormattings>
        <x14:conditionalFormatting xmlns:xm="http://schemas.microsoft.com/office/excel/2006/main">
          <x14:cfRule type="dataBar" id="{208B498B-EF85-4F5E-9D16-45E188BA9CD4}">
            <x14:dataBar minLength="0" maxLength="100" negativeBarColorSameAsPositive="1" axisPosition="none">
              <x14:cfvo type="num">
                <xm:f>0</xm:f>
              </x14:cfvo>
              <x14:cfvo type="max"/>
            </x14:dataBar>
          </x14:cfRule>
          <xm:sqref>C29:AC29</xm:sqref>
        </x14:conditionalFormatting>
        <x14:conditionalFormatting xmlns:xm="http://schemas.microsoft.com/office/excel/2006/main">
          <x14:cfRule type="dataBar" id="{862D6A53-C8E9-4716-A3DD-9DB1D8F752C9}">
            <x14:dataBar minLength="0" maxLength="100" negativeBarColorSameAsPositive="1" axisPosition="none">
              <x14:cfvo type="percent">
                <xm:f>0</xm:f>
              </x14:cfvo>
              <x14:cfvo type="max"/>
            </x14:dataBar>
          </x14:cfRule>
          <xm:sqref>C31:AC31</xm:sqref>
        </x14:conditionalFormatting>
        <x14:conditionalFormatting xmlns:xm="http://schemas.microsoft.com/office/excel/2006/main">
          <x14:cfRule type="dataBar" id="{A7E6E0A4-DA8B-4A54-BA74-7DF61CC93C16}">
            <x14:dataBar minLength="0" maxLength="100" negativeBarColorSameAsPositive="1" axisPosition="none">
              <x14:cfvo type="num">
                <xm:f>0</xm:f>
              </x14:cfvo>
              <x14:cfvo type="max"/>
            </x14:dataBar>
          </x14:cfRule>
          <xm:sqref>C32:AC32</xm:sqref>
        </x14:conditionalFormatting>
        <x14:conditionalFormatting xmlns:xm="http://schemas.microsoft.com/office/excel/2006/main">
          <x14:cfRule type="dataBar" id="{AEECF220-71D5-4179-BCA2-5024A87A72F8}">
            <x14:dataBar minLength="0" maxLength="100" negativeBarColorSameAsPositive="1" axisPosition="none">
              <x14:cfvo type="num">
                <xm:f>0</xm:f>
              </x14:cfvo>
              <x14:cfvo type="max"/>
            </x14:dataBar>
          </x14:cfRule>
          <xm:sqref>C33:AC33</xm:sqref>
        </x14:conditionalFormatting>
        <x14:conditionalFormatting xmlns:xm="http://schemas.microsoft.com/office/excel/2006/main">
          <x14:cfRule type="dataBar" id="{0673619F-A1A9-49ED-9A61-DA2CF6E3DFD9}">
            <x14:dataBar minLength="0" maxLength="100" negativeBarColorSameAsPositive="1" axisPosition="none">
              <x14:cfvo type="num">
                <xm:f>0</xm:f>
              </x14:cfvo>
              <x14:cfvo type="max"/>
            </x14:dataBar>
          </x14:cfRule>
          <xm:sqref>C34:AC34</xm:sqref>
        </x14:conditionalFormatting>
        <x14:conditionalFormatting xmlns:xm="http://schemas.microsoft.com/office/excel/2006/main">
          <x14:cfRule type="dataBar" id="{9C87C98E-7708-443F-AE32-D33B0A3AE795}">
            <x14:dataBar minLength="0" maxLength="100" negativeBarColorSameAsPositive="1" axisPosition="none">
              <x14:cfvo type="num">
                <xm:f>0</xm:f>
              </x14:cfvo>
              <x14:cfvo type="max"/>
            </x14:dataBar>
          </x14:cfRule>
          <xm:sqref>C35:AC35</xm:sqref>
        </x14:conditionalFormatting>
        <x14:conditionalFormatting xmlns:xm="http://schemas.microsoft.com/office/excel/2006/main">
          <x14:cfRule type="dataBar" id="{E8D4FBFF-E69B-4694-96FA-5F9C35C178A7}">
            <x14:dataBar minLength="0" maxLength="100" negativeBarColorSameAsPositive="1" axisPosition="none">
              <x14:cfvo type="num">
                <xm:f>0</xm:f>
              </x14:cfvo>
              <x14:cfvo type="max"/>
            </x14:dataBar>
          </x14:cfRule>
          <xm:sqref>C36:AC37</xm:sqref>
        </x14:conditionalFormatting>
        <x14:conditionalFormatting xmlns:xm="http://schemas.microsoft.com/office/excel/2006/main">
          <x14:cfRule type="dataBar" id="{0739E4E4-1D98-49F7-AF5C-2D912FE58D68}">
            <x14:dataBar minLength="0" maxLength="100" negativeBarColorSameAsPositive="1" axisPosition="none">
              <x14:cfvo type="num">
                <xm:f>0</xm:f>
              </x14:cfvo>
              <x14:cfvo type="max"/>
            </x14:dataBar>
          </x14:cfRule>
          <xm:sqref>C38:AC38</xm:sqref>
        </x14:conditionalFormatting>
        <x14:conditionalFormatting xmlns:xm="http://schemas.microsoft.com/office/excel/2006/main">
          <x14:cfRule type="dataBar" id="{1E94BC32-624D-41BE-A623-AA277C0AAF36}">
            <x14:dataBar minLength="0" maxLength="100" gradient="0" negativeBarColorSameAsPositive="1" axisPosition="none">
              <x14:cfvo type="num">
                <xm:f>0</xm:f>
              </x14:cfvo>
              <x14:cfvo type="num">
                <xm:f>1</xm:f>
              </x14:cfvo>
            </x14:dataBar>
          </x14:cfRule>
          <xm:sqref>C57</xm:sqref>
        </x14:conditionalFormatting>
        <x14:conditionalFormatting xmlns:xm="http://schemas.microsoft.com/office/excel/2006/main">
          <x14:cfRule type="dataBar" id="{5D33EAA1-AC20-4DE6-9DF8-49546155BAC4}">
            <x14:dataBar minLength="0" maxLength="100" gradient="0" negativeBarColorSameAsPositive="1" axisPosition="none">
              <x14:cfvo type="num">
                <xm:f>0</xm:f>
              </x14:cfvo>
              <x14:cfvo type="num">
                <xm:f>1</xm:f>
              </x14:cfvo>
            </x14:dataBar>
          </x14:cfRule>
          <xm:sqref>C58:AC58</xm:sqref>
        </x14:conditionalFormatting>
        <x14:conditionalFormatting xmlns:xm="http://schemas.microsoft.com/office/excel/2006/main">
          <x14:cfRule type="dataBar" id="{88E1F2F9-8C97-4F2D-A745-EB970E913136}">
            <x14:dataBar minLength="0" maxLength="100" gradient="0" negativeBarColorSameAsPositive="1" axisPosition="none">
              <x14:cfvo type="num">
                <xm:f>0</xm:f>
              </x14:cfvo>
              <x14:cfvo type="num">
                <xm:f>1</xm:f>
              </x14:cfvo>
            </x14:dataBar>
          </x14:cfRule>
          <xm:sqref>C59:AC59</xm:sqref>
        </x14:conditionalFormatting>
        <x14:conditionalFormatting xmlns:xm="http://schemas.microsoft.com/office/excel/2006/main">
          <x14:cfRule type="dataBar" id="{DB6CEE5D-0137-4612-A34A-B8054762F7A8}">
            <x14:dataBar minLength="0" maxLength="100" gradient="0" negativeBarColorSameAsPositive="1" axisPosition="none">
              <x14:cfvo type="num">
                <xm:f>0</xm:f>
              </x14:cfvo>
              <x14:cfvo type="num">
                <xm:f>1</xm:f>
              </x14:cfvo>
            </x14:dataBar>
          </x14:cfRule>
          <xm:sqref>C60:AC60</xm:sqref>
        </x14:conditionalFormatting>
        <x14:conditionalFormatting xmlns:xm="http://schemas.microsoft.com/office/excel/2006/main">
          <x14:cfRule type="dataBar" id="{643B5BDB-7A76-4B5A-AC60-D44DA5A1BEAE}">
            <x14:dataBar minLength="0" maxLength="100" gradient="0" negativeBarColorSameAsPositive="1" axisPosition="none">
              <x14:cfvo type="num">
                <xm:f>0</xm:f>
              </x14:cfvo>
              <x14:cfvo type="num">
                <xm:f>1</xm:f>
              </x14:cfvo>
            </x14:dataBar>
          </x14:cfRule>
          <xm:sqref>L61</xm:sqref>
        </x14:conditionalFormatting>
        <x14:conditionalFormatting xmlns:xm="http://schemas.microsoft.com/office/excel/2006/main">
          <x14:cfRule type="dataBar" id="{9261E278-8725-447B-963A-E01492967ED4}">
            <x14:dataBar minLength="0" maxLength="100" gradient="0" negativeBarColorSameAsPositive="1" axisPosition="none">
              <x14:cfvo type="num">
                <xm:f>0</xm:f>
              </x14:cfvo>
              <x14:cfvo type="num">
                <xm:f>1</xm:f>
              </x14:cfvo>
            </x14:dataBar>
          </x14:cfRule>
          <xm:sqref>C62:AC62</xm:sqref>
        </x14:conditionalFormatting>
        <x14:conditionalFormatting xmlns:xm="http://schemas.microsoft.com/office/excel/2006/main">
          <x14:cfRule type="dataBar" id="{03500D7D-9BA5-45DE-8310-0BAF3F00807D}">
            <x14:dataBar minLength="0" maxLength="100" negativeBarColorSameAsPositive="1" axisPosition="none">
              <x14:cfvo type="min"/>
              <x14:cfvo type="max"/>
            </x14:dataBar>
          </x14:cfRule>
          <xm:sqref>A29</xm:sqref>
        </x14:conditionalFormatting>
        <x14:conditionalFormatting xmlns:xm="http://schemas.microsoft.com/office/excel/2006/main">
          <x14:cfRule type="dataBar" id="{11F9BCFF-D421-45F8-8870-366C909296FB}">
            <x14:dataBar minLength="0" maxLength="100" negativeBarColorSameAsPositive="1" axisPosition="none">
              <x14:cfvo type="min"/>
              <x14:cfvo type="max"/>
            </x14:dataBar>
          </x14:cfRule>
          <xm:sqref>A30</xm:sqref>
        </x14:conditionalFormatting>
        <x14:conditionalFormatting xmlns:xm="http://schemas.microsoft.com/office/excel/2006/main">
          <x14:cfRule type="dataBar" id="{4CE44419-D0C9-4AFD-8829-21CCD3EB1099}">
            <x14:dataBar minLength="0" maxLength="100" negativeBarColorSameAsPositive="1" axisPosition="none">
              <x14:cfvo type="min"/>
              <x14:cfvo type="max"/>
            </x14:dataBar>
          </x14:cfRule>
          <xm:sqref>A31</xm:sqref>
        </x14:conditionalFormatting>
        <x14:conditionalFormatting xmlns:xm="http://schemas.microsoft.com/office/excel/2006/main">
          <x14:cfRule type="dataBar" id="{05118E86-E05F-448E-B642-E52F4EB9FFC8}">
            <x14:dataBar minLength="0" maxLength="100" negativeBarColorSameAsPositive="1" axisPosition="none">
              <x14:cfvo type="min"/>
              <x14:cfvo type="max"/>
            </x14:dataBar>
          </x14:cfRule>
          <xm:sqref>A32</xm:sqref>
        </x14:conditionalFormatting>
        <x14:conditionalFormatting xmlns:xm="http://schemas.microsoft.com/office/excel/2006/main">
          <x14:cfRule type="dataBar" id="{ECF52A1A-0F78-407B-A47E-431997485B99}">
            <x14:dataBar minLength="0" maxLength="100" negativeBarColorSameAsPositive="1" axisPosition="none">
              <x14:cfvo type="min"/>
              <x14:cfvo type="max"/>
            </x14:dataBar>
          </x14:cfRule>
          <xm:sqref>A33</xm:sqref>
        </x14:conditionalFormatting>
        <x14:conditionalFormatting xmlns:xm="http://schemas.microsoft.com/office/excel/2006/main">
          <x14:cfRule type="dataBar" id="{948DCE92-3FE5-44BF-BE6F-09BCCB077CF0}">
            <x14:dataBar minLength="0" maxLength="100" negativeBarColorSameAsPositive="1" axisPosition="none">
              <x14:cfvo type="min"/>
              <x14:cfvo type="max"/>
            </x14:dataBar>
          </x14:cfRule>
          <xm:sqref>A34</xm:sqref>
        </x14:conditionalFormatting>
        <x14:conditionalFormatting xmlns:xm="http://schemas.microsoft.com/office/excel/2006/main">
          <x14:cfRule type="dataBar" id="{A1712610-C5A6-40AC-9BF1-EE581F3FAB9E}">
            <x14:dataBar minLength="0" maxLength="100" negativeBarColorSameAsPositive="1" axisPosition="none">
              <x14:cfvo type="min"/>
              <x14:cfvo type="max"/>
            </x14:dataBar>
          </x14:cfRule>
          <xm:sqref>A35</xm:sqref>
        </x14:conditionalFormatting>
        <x14:conditionalFormatting xmlns:xm="http://schemas.microsoft.com/office/excel/2006/main">
          <x14:cfRule type="dataBar" id="{2D8C832F-AC40-4292-ADA5-1AA73732FCFD}">
            <x14:dataBar minLength="0" maxLength="100" gradient="0" negativeBarColorSameAsPositive="1" axisPosition="none">
              <x14:cfvo type="min"/>
              <x14:cfvo type="max"/>
            </x14:dataBar>
          </x14:cfRule>
          <xm:sqref>A37:AD37</xm:sqref>
        </x14:conditionalFormatting>
        <x14:conditionalFormatting xmlns:xm="http://schemas.microsoft.com/office/excel/2006/main">
          <x14:cfRule type="dataBar" id="{44215956-AC2F-4D5B-AACB-4DADBD891203}">
            <x14:dataBar minLength="0" maxLength="100" negativeBarColorSameAsPositive="1" axisPosition="none">
              <x14:cfvo type="min"/>
              <x14:cfvo type="max"/>
            </x14:dataBar>
          </x14:cfRule>
          <xm:sqref>A38</xm:sqref>
        </x14:conditionalFormatting>
        <x14:conditionalFormatting xmlns:xm="http://schemas.microsoft.com/office/excel/2006/main">
          <x14:cfRule type="dataBar" id="{1B37E933-21AD-4EA4-8233-28587E6A7333}">
            <x14:dataBar minLength="0" maxLength="100" negativeBarColorSameAsPositive="1" axisPosition="none">
              <x14:cfvo type="min"/>
              <x14:cfvo type="max"/>
            </x14:dataBar>
          </x14:cfRule>
          <xm:sqref>A57</xm:sqref>
        </x14:conditionalFormatting>
        <x14:conditionalFormatting xmlns:xm="http://schemas.microsoft.com/office/excel/2006/main">
          <x14:cfRule type="dataBar" id="{BE0E4306-412D-4E37-9F53-CDD3DEC9B62C}">
            <x14:dataBar minLength="0" maxLength="100" negativeBarColorSameAsPositive="1" axisPosition="none">
              <x14:cfvo type="min"/>
              <x14:cfvo type="max"/>
            </x14:dataBar>
          </x14:cfRule>
          <xm:sqref>A58</xm:sqref>
        </x14:conditionalFormatting>
        <x14:conditionalFormatting xmlns:xm="http://schemas.microsoft.com/office/excel/2006/main">
          <x14:cfRule type="dataBar" id="{D2764C97-F56D-4C6D-96E5-5B297DF09128}">
            <x14:dataBar minLength="0" maxLength="100" negativeBarColorSameAsPositive="1" axisPosition="none">
              <x14:cfvo type="min"/>
              <x14:cfvo type="max"/>
            </x14:dataBar>
          </x14:cfRule>
          <xm:sqref>A59</xm:sqref>
        </x14:conditionalFormatting>
        <x14:conditionalFormatting xmlns:xm="http://schemas.microsoft.com/office/excel/2006/main">
          <x14:cfRule type="dataBar" id="{56784ACB-DD97-4416-A9B5-2373E7109233}">
            <x14:dataBar minLength="0" maxLength="100" negativeBarColorSameAsPositive="1" axisPosition="none">
              <x14:cfvo type="min"/>
              <x14:cfvo type="max"/>
            </x14:dataBar>
          </x14:cfRule>
          <xm:sqref>A60</xm:sqref>
        </x14:conditionalFormatting>
        <x14:conditionalFormatting xmlns:xm="http://schemas.microsoft.com/office/excel/2006/main">
          <x14:cfRule type="dataBar" id="{E2DA623F-4DB8-48A3-9C7C-BC47D0CA3877}">
            <x14:dataBar minLength="0" maxLength="100" negativeBarColorSameAsPositive="1" axisPosition="none">
              <x14:cfvo type="min"/>
              <x14:cfvo type="max"/>
            </x14:dataBar>
          </x14:cfRule>
          <xm:sqref>A61</xm:sqref>
        </x14:conditionalFormatting>
        <x14:conditionalFormatting xmlns:xm="http://schemas.microsoft.com/office/excel/2006/main">
          <x14:cfRule type="dataBar" id="{FF98493D-082E-4D41-B7B2-353E42B9961F}">
            <x14:dataBar minLength="0" maxLength="100" negativeBarColorSameAsPositive="1" axisPosition="none">
              <x14:cfvo type="num">
                <xm:f>0</xm:f>
              </x14:cfvo>
              <x14:cfvo type="max"/>
            </x14:dataBar>
          </x14:cfRule>
          <xm:sqref>A62</xm:sqref>
        </x14:conditionalFormatting>
        <x14:conditionalFormatting xmlns:xm="http://schemas.microsoft.com/office/excel/2006/main">
          <x14:cfRule type="dataBar" id="{8E844D96-F8BA-4D0F-95DE-14CEA81C1552}">
            <x14:dataBar minLength="0" maxLength="100" gradient="0" negativeBarColorSameAsPositive="1" axisPosition="none">
              <x14:cfvo type="num">
                <xm:f>0</xm:f>
              </x14:cfvo>
              <x14:cfvo type="max"/>
            </x14:dataBar>
          </x14:cfRule>
          <xm:sqref>A29:AC29</xm:sqref>
        </x14:conditionalFormatting>
        <x14:conditionalFormatting xmlns:xm="http://schemas.microsoft.com/office/excel/2006/main">
          <x14:cfRule type="dataBar" id="{A3A21C33-E954-4608-9810-2980DC96B063}">
            <x14:dataBar minLength="0" maxLength="100" gradient="0" negativeBarColorSameAsPositive="1" axisPosition="none">
              <x14:cfvo type="num">
                <xm:f>0</xm:f>
              </x14:cfvo>
              <x14:cfvo type="max"/>
            </x14:dataBar>
          </x14:cfRule>
          <xm:sqref>A30:AC30</xm:sqref>
        </x14:conditionalFormatting>
        <x14:conditionalFormatting xmlns:xm="http://schemas.microsoft.com/office/excel/2006/main">
          <x14:cfRule type="dataBar" id="{3F8F6258-B6E7-4A90-9F30-58B65360CFA8}">
            <x14:dataBar minLength="0" maxLength="100" gradient="0" negativeBarColorSameAsPositive="1" axisPosition="none">
              <x14:cfvo type="num">
                <xm:f>0</xm:f>
              </x14:cfvo>
              <x14:cfvo type="max"/>
            </x14:dataBar>
          </x14:cfRule>
          <xm:sqref>A31:AC31</xm:sqref>
        </x14:conditionalFormatting>
        <x14:conditionalFormatting xmlns:xm="http://schemas.microsoft.com/office/excel/2006/main">
          <x14:cfRule type="dataBar" id="{8F4F9E45-3968-49FA-850C-A3F34A291381}">
            <x14:dataBar minLength="0" maxLength="100" gradient="0" negativeBarColorSameAsPositive="1" axisPosition="none">
              <x14:cfvo type="num">
                <xm:f>0</xm:f>
              </x14:cfvo>
              <x14:cfvo type="max"/>
            </x14:dataBar>
          </x14:cfRule>
          <xm:sqref>A32:AC32</xm:sqref>
        </x14:conditionalFormatting>
        <x14:conditionalFormatting xmlns:xm="http://schemas.microsoft.com/office/excel/2006/main">
          <x14:cfRule type="dataBar" id="{9F0A292A-DC4C-4693-892E-D8482AAE0A34}">
            <x14:dataBar minLength="0" maxLength="100" gradient="0" negativeBarColorSameAsPositive="1" axisPosition="none">
              <x14:cfvo type="num">
                <xm:f>0</xm:f>
              </x14:cfvo>
              <x14:cfvo type="max"/>
            </x14:dataBar>
          </x14:cfRule>
          <xm:sqref>A33:AC33</xm:sqref>
        </x14:conditionalFormatting>
        <x14:conditionalFormatting xmlns:xm="http://schemas.microsoft.com/office/excel/2006/main">
          <x14:cfRule type="dataBar" id="{0F011A6F-585D-4F6A-9293-43427D26E48C}">
            <x14:dataBar minLength="0" maxLength="100" gradient="0" negativeBarColorSameAsPositive="1" axisPosition="none">
              <x14:cfvo type="num">
                <xm:f>0</xm:f>
              </x14:cfvo>
              <x14:cfvo type="max"/>
            </x14:dataBar>
          </x14:cfRule>
          <xm:sqref>A34:AC34</xm:sqref>
        </x14:conditionalFormatting>
        <x14:conditionalFormatting xmlns:xm="http://schemas.microsoft.com/office/excel/2006/main">
          <x14:cfRule type="dataBar" id="{38A48D40-6FB1-49BF-A429-C95B31E713B6}">
            <x14:dataBar minLength="0" maxLength="100" gradient="0" negativeBarColorSameAsPositive="1" axisPosition="none">
              <x14:cfvo type="num">
                <xm:f>0</xm:f>
              </x14:cfvo>
              <x14:cfvo type="max"/>
            </x14:dataBar>
          </x14:cfRule>
          <xm:sqref>A35:AC35</xm:sqref>
        </x14:conditionalFormatting>
        <x14:conditionalFormatting xmlns:xm="http://schemas.microsoft.com/office/excel/2006/main">
          <x14:cfRule type="dataBar" id="{969A3E83-CED5-4D36-A1B8-FC95371B6F04}">
            <x14:dataBar minLength="0" maxLength="100" gradient="0" negativeBarColorSameAsPositive="1" axisPosition="none">
              <x14:cfvo type="num">
                <xm:f>0</xm:f>
              </x14:cfvo>
              <x14:cfvo type="max"/>
            </x14:dataBar>
          </x14:cfRule>
          <xm:sqref>A36:AD36</xm:sqref>
        </x14:conditionalFormatting>
        <x14:conditionalFormatting xmlns:xm="http://schemas.microsoft.com/office/excel/2006/main">
          <x14:cfRule type="dataBar" id="{F29AFF15-4C5B-4D06-9B79-2BBCB3596EC1}">
            <x14:dataBar minLength="0" maxLength="100" gradient="0" negativeBarColorSameAsPositive="1" axisPosition="none">
              <x14:cfvo type="num">
                <xm:f>0</xm:f>
              </x14:cfvo>
              <x14:cfvo type="max"/>
            </x14:dataBar>
          </x14:cfRule>
          <xm:sqref>A38:AC38</xm:sqref>
        </x14:conditionalFormatting>
        <x14:conditionalFormatting xmlns:xm="http://schemas.microsoft.com/office/excel/2006/main">
          <x14:cfRule type="dataBar" id="{A79C6820-6EB5-48F9-A5A6-A5EBE90D47CF}">
            <x14:dataBar minLength="0" maxLength="100" gradient="0" negativeBarColorSameAsPositive="1" axisPosition="none">
              <x14:cfvo type="num">
                <xm:f>0</xm:f>
              </x14:cfvo>
              <x14:cfvo type="num">
                <xm:f>1</xm:f>
              </x14:cfvo>
            </x14:dataBar>
          </x14:cfRule>
          <xm:sqref>D57</xm:sqref>
        </x14:conditionalFormatting>
        <x14:conditionalFormatting xmlns:xm="http://schemas.microsoft.com/office/excel/2006/main">
          <x14:cfRule type="dataBar" id="{BB785B93-F9F2-4489-9115-E586A86D9D01}">
            <x14:dataBar minLength="0" maxLength="100" gradient="0" negativeBarColorSameAsPositive="1" axisPosition="none">
              <x14:cfvo type="num">
                <xm:f>0</xm:f>
              </x14:cfvo>
              <x14:cfvo type="num">
                <xm:f>1</xm:f>
              </x14:cfvo>
            </x14:dataBar>
          </x14:cfRule>
          <xm:sqref>E57</xm:sqref>
        </x14:conditionalFormatting>
        <x14:conditionalFormatting xmlns:xm="http://schemas.microsoft.com/office/excel/2006/main">
          <x14:cfRule type="dataBar" id="{3CED94D0-F615-4E58-80C9-C43505509CDA}">
            <x14:dataBar minLength="0" maxLength="100" gradient="0" negativeBarColorSameAsPositive="1" axisPosition="none">
              <x14:cfvo type="num">
                <xm:f>0</xm:f>
              </x14:cfvo>
              <x14:cfvo type="num">
                <xm:f>1</xm:f>
              </x14:cfvo>
            </x14:dataBar>
          </x14:cfRule>
          <xm:sqref>F57</xm:sqref>
        </x14:conditionalFormatting>
        <x14:conditionalFormatting xmlns:xm="http://schemas.microsoft.com/office/excel/2006/main">
          <x14:cfRule type="dataBar" id="{71DA5977-67AE-4AE6-A286-9FA0B2484247}">
            <x14:dataBar minLength="0" maxLength="100" gradient="0" negativeBarColorSameAsPositive="1" axisPosition="none">
              <x14:cfvo type="num">
                <xm:f>0</xm:f>
              </x14:cfvo>
              <x14:cfvo type="num">
                <xm:f>1</xm:f>
              </x14:cfvo>
            </x14:dataBar>
          </x14:cfRule>
          <xm:sqref>G57</xm:sqref>
        </x14:conditionalFormatting>
        <x14:conditionalFormatting xmlns:xm="http://schemas.microsoft.com/office/excel/2006/main">
          <x14:cfRule type="dataBar" id="{FE45C1B8-674E-461F-9AAD-C13E9AC1363B}">
            <x14:dataBar minLength="0" maxLength="100" gradient="0" negativeBarColorSameAsPositive="1" axisPosition="none">
              <x14:cfvo type="num">
                <xm:f>0</xm:f>
              </x14:cfvo>
              <x14:cfvo type="num">
                <xm:f>1</xm:f>
              </x14:cfvo>
            </x14:dataBar>
          </x14:cfRule>
          <xm:sqref>H57</xm:sqref>
        </x14:conditionalFormatting>
        <x14:conditionalFormatting xmlns:xm="http://schemas.microsoft.com/office/excel/2006/main">
          <x14:cfRule type="dataBar" id="{3BCCCE24-E1DC-4CFC-BADA-2999620A1264}">
            <x14:dataBar minLength="0" maxLength="100" gradient="0" negativeBarColorSameAsPositive="1" axisPosition="none">
              <x14:cfvo type="num">
                <xm:f>0</xm:f>
              </x14:cfvo>
              <x14:cfvo type="num">
                <xm:f>1</xm:f>
              </x14:cfvo>
            </x14:dataBar>
          </x14:cfRule>
          <xm:sqref>I57</xm:sqref>
        </x14:conditionalFormatting>
        <x14:conditionalFormatting xmlns:xm="http://schemas.microsoft.com/office/excel/2006/main">
          <x14:cfRule type="dataBar" id="{FD1EBC0A-F1BC-4DF9-8C71-9942B357E80E}">
            <x14:dataBar minLength="0" maxLength="100" gradient="0" negativeBarColorSameAsPositive="1" axisPosition="none">
              <x14:cfvo type="num">
                <xm:f>0</xm:f>
              </x14:cfvo>
              <x14:cfvo type="num">
                <xm:f>1</xm:f>
              </x14:cfvo>
            </x14:dataBar>
          </x14:cfRule>
          <xm:sqref>J57</xm:sqref>
        </x14:conditionalFormatting>
        <x14:conditionalFormatting xmlns:xm="http://schemas.microsoft.com/office/excel/2006/main">
          <x14:cfRule type="dataBar" id="{63715021-A734-4C76-AABF-37E47369523C}">
            <x14:dataBar minLength="0" maxLength="100" gradient="0" negativeBarColorSameAsPositive="1" axisPosition="none">
              <x14:cfvo type="num">
                <xm:f>0</xm:f>
              </x14:cfvo>
              <x14:cfvo type="num">
                <xm:f>1</xm:f>
              </x14:cfvo>
            </x14:dataBar>
          </x14:cfRule>
          <xm:sqref>L57</xm:sqref>
        </x14:conditionalFormatting>
        <x14:conditionalFormatting xmlns:xm="http://schemas.microsoft.com/office/excel/2006/main">
          <x14:cfRule type="dataBar" id="{F59721F7-3A85-4CA5-ABB4-BD7B83FDC483}">
            <x14:dataBar minLength="0" maxLength="100" gradient="0" negativeBarColorSameAsPositive="1" axisPosition="none">
              <x14:cfvo type="num">
                <xm:f>0</xm:f>
              </x14:cfvo>
              <x14:cfvo type="num">
                <xm:f>1</xm:f>
              </x14:cfvo>
            </x14:dataBar>
          </x14:cfRule>
          <xm:sqref>J61</xm:sqref>
        </x14:conditionalFormatting>
        <x14:conditionalFormatting xmlns:xm="http://schemas.microsoft.com/office/excel/2006/main">
          <x14:cfRule type="dataBar" id="{1EC9B635-2D1E-4430-9257-62EE8D48B8C7}">
            <x14:dataBar minLength="0" maxLength="100" gradient="0" negativeBarColorSameAsPositive="1" axisPosition="none">
              <x14:cfvo type="num">
                <xm:f>0</xm:f>
              </x14:cfvo>
              <x14:cfvo type="num">
                <xm:f>1</xm:f>
              </x14:cfvo>
            </x14:dataBar>
          </x14:cfRule>
          <xm:sqref>I61</xm:sqref>
        </x14:conditionalFormatting>
        <x14:conditionalFormatting xmlns:xm="http://schemas.microsoft.com/office/excel/2006/main">
          <x14:cfRule type="dataBar" id="{4D1870FB-3BD0-4DCD-88E0-F69DA28147D2}">
            <x14:dataBar minLength="0" maxLength="100" gradient="0" negativeBarColorSameAsPositive="1" axisPosition="none">
              <x14:cfvo type="num">
                <xm:f>0</xm:f>
              </x14:cfvo>
              <x14:cfvo type="num">
                <xm:f>1</xm:f>
              </x14:cfvo>
            </x14:dataBar>
          </x14:cfRule>
          <xm:sqref>H61</xm:sqref>
        </x14:conditionalFormatting>
        <x14:conditionalFormatting xmlns:xm="http://schemas.microsoft.com/office/excel/2006/main">
          <x14:cfRule type="dataBar" id="{7479BD38-67DC-41BC-A152-C0853AD204AE}">
            <x14:dataBar minLength="0" maxLength="100" gradient="0" negativeBarColorSameAsPositive="1" axisPosition="none">
              <x14:cfvo type="num">
                <xm:f>0</xm:f>
              </x14:cfvo>
              <x14:cfvo type="num">
                <xm:f>1</xm:f>
              </x14:cfvo>
            </x14:dataBar>
          </x14:cfRule>
          <xm:sqref>G61</xm:sqref>
        </x14:conditionalFormatting>
        <x14:conditionalFormatting xmlns:xm="http://schemas.microsoft.com/office/excel/2006/main">
          <x14:cfRule type="dataBar" id="{96C9ACD3-C3B8-4E45-8B64-F8BAD0872219}">
            <x14:dataBar minLength="0" maxLength="100" gradient="0" negativeBarColorSameAsPositive="1" axisPosition="none">
              <x14:cfvo type="num">
                <xm:f>0</xm:f>
              </x14:cfvo>
              <x14:cfvo type="num">
                <xm:f>1</xm:f>
              </x14:cfvo>
            </x14:dataBar>
          </x14:cfRule>
          <xm:sqref>F61</xm:sqref>
        </x14:conditionalFormatting>
        <x14:conditionalFormatting xmlns:xm="http://schemas.microsoft.com/office/excel/2006/main">
          <x14:cfRule type="dataBar" id="{B005DA92-04AE-4CB4-B9CC-AD98A3E12CC1}">
            <x14:dataBar minLength="0" maxLength="100" gradient="0" negativeBarColorSameAsPositive="1" axisPosition="none">
              <x14:cfvo type="num">
                <xm:f>0</xm:f>
              </x14:cfvo>
              <x14:cfvo type="num">
                <xm:f>1</xm:f>
              </x14:cfvo>
            </x14:dataBar>
          </x14:cfRule>
          <xm:sqref>D61</xm:sqref>
        </x14:conditionalFormatting>
        <x14:conditionalFormatting xmlns:xm="http://schemas.microsoft.com/office/excel/2006/main">
          <x14:cfRule type="dataBar" id="{7FF3D505-C869-47D4-84FD-0B0CDC866E4D}">
            <x14:dataBar minLength="0" maxLength="100" gradient="0" negativeBarColorSameAsPositive="1" axisPosition="none">
              <x14:cfvo type="num">
                <xm:f>0</xm:f>
              </x14:cfvo>
              <x14:cfvo type="num">
                <xm:f>1</xm:f>
              </x14:cfvo>
            </x14:dataBar>
          </x14:cfRule>
          <xm:sqref>C61</xm:sqref>
        </x14:conditionalFormatting>
        <x14:conditionalFormatting xmlns:xm="http://schemas.microsoft.com/office/excel/2006/main">
          <x14:cfRule type="dataBar" id="{95791AD5-746C-4D36-80A1-37C1B5AF9328}">
            <x14:dataBar minLength="0" maxLength="100" gradient="0" negativeBarColorSameAsPositive="1" axisPosition="none">
              <x14:cfvo type="num">
                <xm:f>0</xm:f>
              </x14:cfvo>
              <x14:cfvo type="num">
                <xm:f>1</xm:f>
              </x14:cfvo>
            </x14:dataBar>
          </x14:cfRule>
          <xm:sqref>E61</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0">
    <tabColor theme="4"/>
  </sheetPr>
  <dimension ref="A1:AG127"/>
  <sheetViews>
    <sheetView showGridLines="0" topLeftCell="A11" zoomScale="70" zoomScaleNormal="70" workbookViewId="0">
      <selection activeCell="A4" sqref="A4:N78"/>
    </sheetView>
  </sheetViews>
  <sheetFormatPr baseColWidth="10" defaultColWidth="9.3984375" defaultRowHeight="13"/>
  <cols>
    <col min="1" max="1" width="8.796875" style="944" customWidth="1"/>
    <col min="2" max="6" width="10" style="944" customWidth="1"/>
    <col min="7" max="7" width="10" style="1043" customWidth="1"/>
    <col min="8" max="8" width="3.796875" style="944" customWidth="1"/>
    <col min="9" max="14" width="7.19921875" style="944" customWidth="1"/>
    <col min="15" max="15" width="1.796875" style="944" customWidth="1"/>
    <col min="16" max="20" width="7.796875" style="944" customWidth="1"/>
    <col min="21" max="22" width="9.3984375" style="944"/>
    <col min="23" max="23" width="7.3984375" style="944" customWidth="1"/>
    <col min="24" max="115" width="9.3984375" style="944"/>
    <col min="116" max="116" width="10.3984375" style="944" bestFit="1" customWidth="1"/>
    <col min="117" max="16384" width="9.3984375" style="944"/>
  </cols>
  <sheetData>
    <row r="1" spans="1:33">
      <c r="A1" s="944" t="s">
        <v>442</v>
      </c>
    </row>
    <row r="3" spans="1:33">
      <c r="A3" s="1040"/>
      <c r="B3" s="948"/>
      <c r="C3" s="948"/>
      <c r="D3" s="948"/>
      <c r="E3" s="948"/>
      <c r="F3" s="948"/>
      <c r="G3" s="1041"/>
      <c r="H3" s="948"/>
      <c r="I3" s="948"/>
      <c r="J3" s="948"/>
      <c r="K3" s="948"/>
      <c r="L3" s="948"/>
      <c r="M3" s="948"/>
      <c r="N3" s="948"/>
      <c r="O3" s="948"/>
      <c r="P3" s="948"/>
      <c r="Q3" s="948"/>
      <c r="R3" s="948"/>
      <c r="S3" s="948"/>
      <c r="T3" s="948"/>
    </row>
    <row r="4" spans="1:33" ht="16">
      <c r="A4" s="1122" t="s">
        <v>2909</v>
      </c>
      <c r="B4" s="1119"/>
      <c r="C4" s="1119"/>
      <c r="D4" s="1119"/>
      <c r="E4" s="1119"/>
      <c r="F4" s="1119"/>
      <c r="G4" s="3075"/>
      <c r="H4" s="1119"/>
      <c r="I4" s="1119"/>
      <c r="J4" s="1119"/>
      <c r="K4" s="1119"/>
      <c r="L4" s="1119"/>
      <c r="M4" s="1119"/>
      <c r="N4" s="1119"/>
      <c r="O4" s="948"/>
      <c r="P4" s="948"/>
      <c r="Q4" s="948"/>
      <c r="R4" s="948"/>
      <c r="S4" s="948"/>
      <c r="T4" s="948"/>
    </row>
    <row r="5" spans="1:33" ht="12.75" customHeight="1" thickBot="1">
      <c r="A5" s="1023"/>
      <c r="B5" s="3431" t="s">
        <v>1872</v>
      </c>
      <c r="C5" s="3431"/>
      <c r="D5" s="3431"/>
      <c r="E5" s="3431"/>
      <c r="F5" s="3431"/>
      <c r="G5" s="3431"/>
      <c r="H5" s="1270"/>
      <c r="I5" s="3431" t="s">
        <v>1870</v>
      </c>
      <c r="J5" s="3431"/>
      <c r="K5" s="3431"/>
      <c r="L5" s="3431"/>
      <c r="M5" s="3431"/>
      <c r="N5" s="3431"/>
      <c r="O5" s="1416"/>
      <c r="P5" s="3450"/>
      <c r="Q5" s="3450"/>
      <c r="R5" s="3450"/>
      <c r="S5" s="3450"/>
      <c r="T5" s="3450"/>
      <c r="W5" s="2584" t="s">
        <v>2756</v>
      </c>
      <c r="AE5" s="2584" t="s">
        <v>2757</v>
      </c>
    </row>
    <row r="6" spans="1:33">
      <c r="A6" s="1023"/>
      <c r="B6" s="1025">
        <v>1999</v>
      </c>
      <c r="C6" s="1449">
        <v>2003</v>
      </c>
      <c r="D6" s="1449">
        <v>2007</v>
      </c>
      <c r="E6" s="1449">
        <v>2011</v>
      </c>
      <c r="F6" s="1449">
        <v>2016</v>
      </c>
      <c r="G6" s="1449">
        <v>2021</v>
      </c>
      <c r="H6" s="1025"/>
      <c r="I6" s="1025">
        <v>1999</v>
      </c>
      <c r="J6" s="1449">
        <v>2003</v>
      </c>
      <c r="K6" s="1449">
        <v>2007</v>
      </c>
      <c r="L6" s="1449">
        <v>2011</v>
      </c>
      <c r="M6" s="1449">
        <v>2016</v>
      </c>
      <c r="N6" s="1449">
        <v>2021</v>
      </c>
      <c r="O6" s="1418"/>
      <c r="P6" s="1418"/>
      <c r="Q6" s="1418"/>
      <c r="R6" s="1418"/>
      <c r="S6" s="1418"/>
      <c r="T6" s="1418"/>
      <c r="U6" s="1025">
        <v>1999</v>
      </c>
      <c r="V6" s="1449">
        <v>2003</v>
      </c>
      <c r="W6" s="1449">
        <v>2007</v>
      </c>
      <c r="X6" s="1449">
        <v>2011</v>
      </c>
      <c r="Y6" s="1449">
        <v>2016</v>
      </c>
      <c r="Z6" s="1449">
        <v>2021</v>
      </c>
      <c r="AA6" s="1449"/>
      <c r="AB6" s="1025">
        <v>1999</v>
      </c>
      <c r="AC6" s="1449">
        <v>2003</v>
      </c>
      <c r="AD6" s="1449">
        <v>2007</v>
      </c>
      <c r="AE6" s="1449">
        <v>2011</v>
      </c>
      <c r="AF6" s="1449">
        <v>2016</v>
      </c>
      <c r="AG6" s="1449">
        <v>2021</v>
      </c>
    </row>
    <row r="7" spans="1:33" ht="6" customHeight="1">
      <c r="A7" s="948"/>
      <c r="B7" s="948"/>
      <c r="C7" s="1041"/>
      <c r="D7" s="1041"/>
      <c r="E7" s="1041"/>
      <c r="F7" s="1041"/>
      <c r="G7" s="1041"/>
      <c r="H7" s="1041"/>
      <c r="I7" s="1041"/>
      <c r="J7" s="1041"/>
      <c r="K7" s="1041"/>
      <c r="L7" s="1041"/>
      <c r="M7" s="1041"/>
      <c r="N7" s="1041"/>
      <c r="O7" s="1041"/>
      <c r="P7" s="1041"/>
      <c r="Q7" s="948"/>
      <c r="R7" s="948"/>
      <c r="S7" s="948"/>
      <c r="T7" s="1418"/>
    </row>
    <row r="8" spans="1:33">
      <c r="A8" s="1040" t="s">
        <v>1877</v>
      </c>
      <c r="B8" s="948"/>
      <c r="C8" s="948"/>
      <c r="D8" s="948"/>
      <c r="E8" s="948"/>
      <c r="F8" s="948"/>
      <c r="G8" s="1041"/>
      <c r="H8" s="948"/>
      <c r="I8" s="948"/>
      <c r="J8" s="948"/>
      <c r="K8" s="948"/>
      <c r="L8" s="948"/>
      <c r="M8" s="948"/>
      <c r="N8" s="948"/>
      <c r="O8" s="948"/>
      <c r="P8" s="948"/>
      <c r="Q8" s="948"/>
      <c r="R8" s="948"/>
      <c r="S8" s="948"/>
      <c r="T8" s="1418"/>
    </row>
    <row r="9" spans="1:33" ht="2.25" customHeight="1" thickBot="1">
      <c r="A9" s="948"/>
      <c r="B9" s="948"/>
      <c r="C9" s="948"/>
      <c r="D9" s="948"/>
      <c r="E9" s="948"/>
      <c r="F9" s="948"/>
      <c r="G9" s="1041"/>
      <c r="H9" s="948"/>
      <c r="I9" s="948"/>
      <c r="J9" s="948"/>
      <c r="K9" s="948"/>
      <c r="L9" s="948"/>
      <c r="M9" s="948"/>
      <c r="N9" s="948"/>
      <c r="O9" s="948"/>
      <c r="P9" s="948"/>
      <c r="Q9" s="948"/>
      <c r="R9" s="948"/>
      <c r="S9" s="948"/>
      <c r="T9" s="1418"/>
    </row>
    <row r="10" spans="1:33" ht="14" thickBot="1">
      <c r="A10" s="1451" t="s">
        <v>699</v>
      </c>
      <c r="B10" s="1041">
        <v>384671</v>
      </c>
      <c r="C10" s="1041">
        <v>340515</v>
      </c>
      <c r="D10" s="1041">
        <v>314925</v>
      </c>
      <c r="E10" s="1041">
        <v>401677</v>
      </c>
      <c r="F10" s="3076">
        <v>353865</v>
      </c>
      <c r="G10" s="1043">
        <v>443047</v>
      </c>
      <c r="H10" s="1378"/>
      <c r="I10" s="1047">
        <f>B10/$B$17</f>
        <v>0.37601586677849264</v>
      </c>
      <c r="J10" s="1047">
        <f t="shared" ref="J10:J15" si="0">C10/$C$17</f>
        <v>0.40020896922228893</v>
      </c>
      <c r="K10" s="1047">
        <f t="shared" ref="K10:K15" si="1">D10/$D$17</f>
        <v>0.32197891404898515</v>
      </c>
      <c r="L10" s="1047">
        <f>E10/E$17</f>
        <v>0.42315062475441217</v>
      </c>
      <c r="M10" s="1047">
        <f>F10/F$17</f>
        <v>0.34713747572053599</v>
      </c>
      <c r="N10" s="1153">
        <f>G10/G$17</f>
        <v>0.39852032417943206</v>
      </c>
      <c r="O10" s="1423"/>
      <c r="T10" s="1451" t="s">
        <v>699</v>
      </c>
      <c r="U10" s="3291">
        <v>0.36493793402726665</v>
      </c>
      <c r="V10" s="3291">
        <v>0.38283688485315259</v>
      </c>
      <c r="W10" s="3291">
        <v>0.3092256659146142</v>
      </c>
      <c r="X10" s="3291">
        <v>0.39597269117520772</v>
      </c>
      <c r="Y10" s="3292">
        <v>0.33088510380149089</v>
      </c>
      <c r="Z10" s="3293">
        <v>0.38009875710027557</v>
      </c>
      <c r="AB10" s="1153">
        <v>0.46666666666666667</v>
      </c>
      <c r="AC10" s="1153">
        <v>0.5</v>
      </c>
      <c r="AD10" s="1153">
        <v>0.43333333333333335</v>
      </c>
      <c r="AE10" s="1153">
        <v>0.5</v>
      </c>
      <c r="AF10" s="1153">
        <v>0.48333333333333334</v>
      </c>
      <c r="AG10" s="1153">
        <v>0.5</v>
      </c>
    </row>
    <row r="11" spans="1:33" ht="14" thickBot="1">
      <c r="A11" s="1452" t="s">
        <v>99</v>
      </c>
      <c r="B11" s="1041">
        <v>290565</v>
      </c>
      <c r="C11" s="1041">
        <v>180185</v>
      </c>
      <c r="D11" s="1041">
        <v>219121</v>
      </c>
      <c r="E11" s="1041">
        <v>182907</v>
      </c>
      <c r="F11" s="3076">
        <v>209374</v>
      </c>
      <c r="G11" s="1043">
        <v>225376</v>
      </c>
      <c r="H11" s="1378"/>
      <c r="I11" s="1047">
        <f>B11/$B$17</f>
        <v>0.28402726051741023</v>
      </c>
      <c r="J11" s="1047">
        <f t="shared" si="0"/>
        <v>0.21177232462393181</v>
      </c>
      <c r="K11" s="1047">
        <f t="shared" si="1"/>
        <v>0.22402902794420157</v>
      </c>
      <c r="L11" s="1047">
        <f t="shared" ref="L11:L17" si="2">E11/E$17</f>
        <v>0.1926851956222419</v>
      </c>
      <c r="M11" s="1047">
        <f t="shared" ref="M11:M17" si="3">F11/F$17</f>
        <v>0.2053934744648708</v>
      </c>
      <c r="N11" s="1153">
        <f>G11/G$17</f>
        <v>0.20272548190657805</v>
      </c>
      <c r="O11" s="1423"/>
      <c r="T11" s="1452" t="s">
        <v>99</v>
      </c>
      <c r="U11" s="3291">
        <v>0.29466789107089753</v>
      </c>
      <c r="V11" s="3291">
        <v>0.20450051883838993</v>
      </c>
      <c r="W11" s="3291">
        <v>0.21705298538874421</v>
      </c>
      <c r="X11" s="3291">
        <v>0.18581654366034978</v>
      </c>
      <c r="Y11" s="3292">
        <v>0.20693045602453736</v>
      </c>
      <c r="Z11" s="3293">
        <v>0.20495450199651313</v>
      </c>
      <c r="AB11" s="1153">
        <v>0.28333333333333333</v>
      </c>
      <c r="AC11" s="1153">
        <v>0.2</v>
      </c>
      <c r="AD11" s="1153">
        <v>0.25</v>
      </c>
      <c r="AE11" s="1153">
        <v>0.18333333333333332</v>
      </c>
      <c r="AF11" s="1153">
        <v>0.2</v>
      </c>
      <c r="AG11" s="1153">
        <v>0.21666666666666667</v>
      </c>
    </row>
    <row r="12" spans="1:33" ht="14" thickBot="1">
      <c r="A12" s="1453" t="s">
        <v>698</v>
      </c>
      <c r="B12" s="1041">
        <v>162133</v>
      </c>
      <c r="C12" s="1041">
        <v>169832</v>
      </c>
      <c r="D12" s="1041">
        <v>218730</v>
      </c>
      <c r="E12" s="1041">
        <v>237389</v>
      </c>
      <c r="F12" s="1041">
        <v>215597</v>
      </c>
      <c r="G12" s="1043">
        <v>289802</v>
      </c>
      <c r="H12" s="1378"/>
      <c r="I12" s="1047">
        <f>B12/$B$17</f>
        <v>0.15848499244392572</v>
      </c>
      <c r="J12" s="1047">
        <f t="shared" si="0"/>
        <v>0.19960439234970495</v>
      </c>
      <c r="K12" s="1047">
        <f t="shared" si="1"/>
        <v>0.22362927004821631</v>
      </c>
      <c r="L12" s="1047">
        <f t="shared" si="2"/>
        <v>0.25007979958978271</v>
      </c>
      <c r="M12" s="1047">
        <f t="shared" si="3"/>
        <v>0.2114981655516098</v>
      </c>
      <c r="N12" s="1153">
        <f>G12/G$17</f>
        <v>0.26067660313205543</v>
      </c>
      <c r="O12" s="1423"/>
      <c r="T12" s="1453" t="s">
        <v>698</v>
      </c>
      <c r="U12" s="3291">
        <v>0.16152848638753101</v>
      </c>
      <c r="V12" s="3291">
        <v>0.19551653080841783</v>
      </c>
      <c r="W12" s="3291">
        <v>0.21910431680832085</v>
      </c>
      <c r="X12" s="3291">
        <v>0.2376862414330653</v>
      </c>
      <c r="Y12" s="3292">
        <v>0.1998124007250299</v>
      </c>
      <c r="Z12" s="3293">
        <v>0.25600000000000001</v>
      </c>
      <c r="AB12" s="1153">
        <v>0.15</v>
      </c>
      <c r="AC12" s="1153">
        <v>0.18333333333333332</v>
      </c>
      <c r="AD12" s="1153">
        <v>0.2</v>
      </c>
      <c r="AE12" s="1153">
        <v>0.23333333333333334</v>
      </c>
      <c r="AF12" s="1153">
        <v>0.18333333333333332</v>
      </c>
      <c r="AG12" s="1153">
        <v>0.26666666666666666</v>
      </c>
    </row>
    <row r="13" spans="1:33" ht="14" thickBot="1">
      <c r="A13" s="1454" t="s">
        <v>251</v>
      </c>
      <c r="B13" s="1041"/>
      <c r="C13" s="1424">
        <v>19795</v>
      </c>
      <c r="D13" s="1041">
        <v>18047</v>
      </c>
      <c r="E13" s="1041"/>
      <c r="F13" s="3076">
        <v>127038</v>
      </c>
      <c r="G13" s="1043">
        <v>8586</v>
      </c>
      <c r="H13" s="1378"/>
      <c r="I13" s="1047"/>
      <c r="J13" s="1047">
        <f t="shared" si="0"/>
        <v>2.326516172783933E-2</v>
      </c>
      <c r="K13" s="1047">
        <f t="shared" si="1"/>
        <v>1.84512295366898E-2</v>
      </c>
      <c r="L13" s="1047"/>
      <c r="M13" s="1047">
        <f t="shared" si="3"/>
        <v>0.12462280994329887</v>
      </c>
      <c r="N13" s="1153">
        <f>G13/G$17</f>
        <v>7.7230982342835043E-3</v>
      </c>
      <c r="O13" s="1423"/>
      <c r="T13" s="1454" t="s">
        <v>251</v>
      </c>
      <c r="U13" s="2584"/>
      <c r="V13" s="3294">
        <v>2.9000000000000001E-2</v>
      </c>
      <c r="W13" s="3295">
        <v>2.8950605209337194E-2</v>
      </c>
      <c r="X13" s="3295">
        <v>4.5600000000000002E-2</v>
      </c>
      <c r="Y13" s="3296">
        <v>0.12741412392465942</v>
      </c>
      <c r="Z13" s="3293">
        <v>1.1665035712277149E-2</v>
      </c>
      <c r="AB13" s="1153">
        <v>0</v>
      </c>
      <c r="AC13" s="1153">
        <v>0</v>
      </c>
      <c r="AD13" s="1153">
        <v>0</v>
      </c>
      <c r="AE13" s="1153">
        <v>0</v>
      </c>
      <c r="AF13" s="1153">
        <v>0.11666666666666667</v>
      </c>
      <c r="AG13" s="1153">
        <v>0</v>
      </c>
    </row>
    <row r="14" spans="1:33" ht="14" thickBot="1">
      <c r="A14" s="1455" t="s">
        <v>827</v>
      </c>
      <c r="B14" s="1041">
        <v>137657</v>
      </c>
      <c r="C14" s="1041">
        <v>120250</v>
      </c>
      <c r="D14" s="1041">
        <v>144410</v>
      </c>
      <c r="E14" s="1041">
        <v>100259</v>
      </c>
      <c r="F14" s="3076">
        <v>78165</v>
      </c>
      <c r="G14" s="1043">
        <v>54202</v>
      </c>
      <c r="H14" s="1378"/>
      <c r="I14" s="1047">
        <f>B14/$B$17</f>
        <v>0.13455970471682804</v>
      </c>
      <c r="J14" s="1047">
        <f t="shared" si="0"/>
        <v>0.14133042171117352</v>
      </c>
      <c r="K14" s="1047">
        <f t="shared" si="1"/>
        <v>0.14764459784969103</v>
      </c>
      <c r="L14" s="1047">
        <f t="shared" si="2"/>
        <v>0.10561883923464029</v>
      </c>
      <c r="M14" s="1047">
        <f t="shared" si="3"/>
        <v>7.6678961721830918E-2</v>
      </c>
      <c r="N14" s="1153">
        <f>G14/G$17</f>
        <v>4.8754643663479445E-2</v>
      </c>
      <c r="O14" s="1423"/>
      <c r="T14" s="1455" t="s">
        <v>827</v>
      </c>
      <c r="U14" s="3291">
        <v>0.13000212216365895</v>
      </c>
      <c r="V14" s="3291">
        <v>0.13420364921233571</v>
      </c>
      <c r="W14" s="3291">
        <v>0.13257868643100082</v>
      </c>
      <c r="X14" s="3291">
        <v>9.3042613799501725E-2</v>
      </c>
      <c r="Y14" s="3292">
        <v>7.0629455544232084E-2</v>
      </c>
      <c r="Z14" s="3293">
        <v>4.6080197964119003E-2</v>
      </c>
      <c r="AB14" s="1153">
        <v>0.1</v>
      </c>
      <c r="AC14" s="1153">
        <v>0.1</v>
      </c>
      <c r="AD14" s="1153">
        <v>0.1</v>
      </c>
      <c r="AE14" s="1153">
        <v>8.3333333333333329E-2</v>
      </c>
      <c r="AF14" s="1153">
        <v>1.6666666666666666E-2</v>
      </c>
      <c r="AG14" s="1153">
        <v>1.6666666666666666E-2</v>
      </c>
    </row>
    <row r="15" spans="1:33" ht="14" thickBot="1">
      <c r="A15" s="1456" t="s">
        <v>28</v>
      </c>
      <c r="B15" s="1041">
        <f>47992-B13</f>
        <v>47992</v>
      </c>
      <c r="C15" s="1041">
        <f>40061-C13</f>
        <v>20266</v>
      </c>
      <c r="D15" s="1041">
        <f>80906-D13</f>
        <v>62859</v>
      </c>
      <c r="E15" s="1041">
        <f>27021-E13</f>
        <v>27021</v>
      </c>
      <c r="F15" s="3076">
        <f>35341</f>
        <v>35341</v>
      </c>
      <c r="G15" s="1043">
        <v>54751</v>
      </c>
      <c r="H15" s="1425"/>
      <c r="I15" s="1047">
        <f>B15/$B$17</f>
        <v>4.6912175543343322E-2</v>
      </c>
      <c r="J15" s="1047">
        <f t="shared" si="0"/>
        <v>2.3818730365061474E-2</v>
      </c>
      <c r="K15" s="1047">
        <f t="shared" si="1"/>
        <v>6.4266960572216106E-2</v>
      </c>
      <c r="L15" s="1047">
        <f t="shared" si="2"/>
        <v>2.8465540798922943E-2</v>
      </c>
      <c r="M15" s="1047">
        <f t="shared" si="3"/>
        <v>3.4669112597853595E-2</v>
      </c>
      <c r="N15" s="1153">
        <f>G15/G$17</f>
        <v>4.9248468602988135E-2</v>
      </c>
      <c r="O15" s="1423"/>
      <c r="T15" s="1418"/>
      <c r="AB15" s="1153"/>
      <c r="AC15" s="1153"/>
      <c r="AD15" s="1153"/>
      <c r="AE15" s="1153"/>
      <c r="AF15" s="1153"/>
      <c r="AG15" s="1153"/>
    </row>
    <row r="16" spans="1:33" ht="2.25" customHeight="1">
      <c r="A16" s="948"/>
      <c r="B16" s="1041"/>
      <c r="C16" s="1041"/>
      <c r="D16" s="1041"/>
      <c r="E16" s="1041"/>
      <c r="F16" s="1041"/>
      <c r="H16" s="1425"/>
      <c r="I16" s="1425"/>
      <c r="J16" s="1047"/>
      <c r="K16" s="1047"/>
      <c r="L16" s="1047">
        <f t="shared" si="2"/>
        <v>0</v>
      </c>
      <c r="M16" s="1047">
        <f t="shared" si="3"/>
        <v>0</v>
      </c>
      <c r="O16" s="1047"/>
      <c r="T16" s="1418"/>
    </row>
    <row r="17" spans="1:22">
      <c r="A17" s="948" t="s">
        <v>16</v>
      </c>
      <c r="B17" s="1041">
        <f>SUM(B10:B15)</f>
        <v>1023018</v>
      </c>
      <c r="C17" s="1041">
        <f>SUM(C10:C15)</f>
        <v>850843</v>
      </c>
      <c r="D17" s="1041">
        <f>SUM(D10:D15)</f>
        <v>978092</v>
      </c>
      <c r="E17" s="1041">
        <f>SUM(E10:E15)</f>
        <v>949253</v>
      </c>
      <c r="F17" s="1041">
        <f>SUM(F10:F16)</f>
        <v>1019380</v>
      </c>
      <c r="G17" s="1043">
        <v>1111730</v>
      </c>
      <c r="H17" s="1425"/>
      <c r="I17" s="1426">
        <f>SUM(I10:I16)</f>
        <v>1</v>
      </c>
      <c r="J17" s="1426">
        <f>SUM(J10:J16)</f>
        <v>1</v>
      </c>
      <c r="K17" s="1426">
        <f>SUM(K10:K16)</f>
        <v>1</v>
      </c>
      <c r="L17" s="1426">
        <f t="shared" si="2"/>
        <v>1</v>
      </c>
      <c r="M17" s="1426">
        <f t="shared" si="3"/>
        <v>1</v>
      </c>
      <c r="N17" s="1426">
        <f>G17/G$17</f>
        <v>1</v>
      </c>
      <c r="O17" s="1047"/>
      <c r="T17" s="1418"/>
    </row>
    <row r="18" spans="1:22" ht="6" customHeight="1">
      <c r="A18" s="948"/>
      <c r="B18" s="1041"/>
      <c r="C18" s="1041"/>
      <c r="D18" s="1041"/>
      <c r="E18" s="1041"/>
      <c r="F18" s="1041"/>
      <c r="G18" s="1041"/>
      <c r="H18" s="1425"/>
      <c r="I18" s="1047"/>
      <c r="J18" s="1047"/>
      <c r="K18" s="1047"/>
      <c r="L18" s="1047"/>
      <c r="M18" s="1047"/>
      <c r="N18" s="1047"/>
      <c r="O18" s="1047"/>
      <c r="P18" s="1418"/>
      <c r="Q18" s="1418"/>
      <c r="R18" s="1418"/>
      <c r="S18" s="1418"/>
      <c r="T18" s="1418"/>
    </row>
    <row r="19" spans="1:22" ht="11.25" customHeight="1" thickBot="1">
      <c r="A19" s="1040" t="s">
        <v>1871</v>
      </c>
      <c r="B19" s="1041"/>
      <c r="C19" s="1041"/>
      <c r="D19" s="1041"/>
      <c r="E19" s="1041"/>
      <c r="F19" s="1041"/>
      <c r="G19" s="1041"/>
      <c r="H19" s="1425"/>
      <c r="I19" s="1047"/>
      <c r="J19" s="1047"/>
      <c r="K19" s="1047"/>
      <c r="L19" s="1047"/>
      <c r="M19" s="1047"/>
      <c r="N19" s="1047"/>
      <c r="O19" s="1047"/>
      <c r="P19" s="1418"/>
      <c r="Q19" s="1418"/>
      <c r="R19" s="1418"/>
      <c r="S19" s="1418"/>
      <c r="T19" s="1418"/>
    </row>
    <row r="20" spans="1:22" ht="14" thickBot="1">
      <c r="A20" s="1451" t="s">
        <v>699</v>
      </c>
      <c r="B20" s="1418">
        <v>27</v>
      </c>
      <c r="C20" s="1418">
        <v>30</v>
      </c>
      <c r="D20" s="1418">
        <v>24</v>
      </c>
      <c r="E20" s="1418">
        <v>28</v>
      </c>
      <c r="F20" s="1418">
        <v>27</v>
      </c>
      <c r="G20" s="1043">
        <v>27</v>
      </c>
      <c r="I20" s="1063">
        <f t="shared" ref="I20:N20" si="4">B20/$B$27</f>
        <v>0.67500000000000004</v>
      </c>
      <c r="J20" s="1063">
        <f t="shared" si="4"/>
        <v>0.75</v>
      </c>
      <c r="K20" s="1063">
        <f t="shared" si="4"/>
        <v>0.6</v>
      </c>
      <c r="L20" s="1063">
        <f t="shared" si="4"/>
        <v>0.7</v>
      </c>
      <c r="M20" s="1063">
        <f t="shared" si="4"/>
        <v>0.67500000000000004</v>
      </c>
      <c r="N20" s="1063">
        <f t="shared" si="4"/>
        <v>0.67500000000000004</v>
      </c>
    </row>
    <row r="21" spans="1:22" ht="14" thickBot="1">
      <c r="A21" s="1452" t="s">
        <v>99</v>
      </c>
      <c r="B21" s="1418">
        <v>9</v>
      </c>
      <c r="C21" s="1418">
        <v>5</v>
      </c>
      <c r="D21" s="1418">
        <v>7</v>
      </c>
      <c r="E21" s="1418">
        <v>5</v>
      </c>
      <c r="F21" s="1418">
        <v>6</v>
      </c>
      <c r="G21" s="1043">
        <v>5</v>
      </c>
      <c r="I21" s="1063">
        <f t="shared" ref="I21:I27" si="5">B21/$B$27</f>
        <v>0.22500000000000001</v>
      </c>
      <c r="J21" s="1063">
        <f t="shared" ref="J21:J27" si="6">C21/$B$27</f>
        <v>0.125</v>
      </c>
      <c r="K21" s="1063">
        <f t="shared" ref="K21:K27" si="7">D21/$B$27</f>
        <v>0.17499999999999999</v>
      </c>
      <c r="L21" s="1063">
        <f t="shared" ref="L21:L27" si="8">E21/$B$27</f>
        <v>0.125</v>
      </c>
      <c r="M21" s="1063">
        <f t="shared" ref="M21:N25" si="9">F21/$B$27</f>
        <v>0.15</v>
      </c>
      <c r="N21" s="1063">
        <f t="shared" si="9"/>
        <v>0.125</v>
      </c>
    </row>
    <row r="22" spans="1:22" ht="14" thickBot="1">
      <c r="A22" s="1453" t="s">
        <v>698</v>
      </c>
      <c r="B22" s="1418">
        <v>1</v>
      </c>
      <c r="C22" s="1418">
        <v>1</v>
      </c>
      <c r="D22" s="1418">
        <v>5</v>
      </c>
      <c r="E22" s="1418">
        <v>6</v>
      </c>
      <c r="F22" s="1418">
        <v>6</v>
      </c>
      <c r="G22" s="1043">
        <v>8</v>
      </c>
      <c r="I22" s="1063">
        <f t="shared" si="5"/>
        <v>2.5000000000000001E-2</v>
      </c>
      <c r="J22" s="1063">
        <f t="shared" si="6"/>
        <v>2.5000000000000001E-2</v>
      </c>
      <c r="K22" s="1063">
        <f t="shared" si="7"/>
        <v>0.125</v>
      </c>
      <c r="L22" s="1063">
        <f t="shared" si="8"/>
        <v>0.15</v>
      </c>
      <c r="M22" s="1063">
        <f t="shared" si="9"/>
        <v>0.15</v>
      </c>
      <c r="N22" s="1063">
        <f t="shared" si="9"/>
        <v>0.2</v>
      </c>
      <c r="V22" s="1140"/>
    </row>
    <row r="23" spans="1:22" ht="14" thickBot="1">
      <c r="A23" s="1454" t="s">
        <v>251</v>
      </c>
      <c r="B23" s="1418">
        <v>0</v>
      </c>
      <c r="C23" s="1418">
        <v>0</v>
      </c>
      <c r="D23" s="1418">
        <v>0</v>
      </c>
      <c r="E23" s="1418">
        <v>0</v>
      </c>
      <c r="F23" s="1418">
        <v>0</v>
      </c>
      <c r="G23" s="1043">
        <v>0</v>
      </c>
      <c r="I23" s="1063">
        <f t="shared" si="5"/>
        <v>0</v>
      </c>
      <c r="J23" s="1063">
        <f t="shared" si="6"/>
        <v>0</v>
      </c>
      <c r="K23" s="1063">
        <f t="shared" si="7"/>
        <v>0</v>
      </c>
      <c r="L23" s="1063">
        <f t="shared" si="8"/>
        <v>0</v>
      </c>
      <c r="M23" s="1063">
        <f t="shared" si="9"/>
        <v>0</v>
      </c>
      <c r="N23" s="1063">
        <f t="shared" si="9"/>
        <v>0</v>
      </c>
    </row>
    <row r="24" spans="1:22" ht="14" thickBot="1">
      <c r="A24" s="1455" t="s">
        <v>827</v>
      </c>
      <c r="B24" s="1418">
        <v>3</v>
      </c>
      <c r="C24" s="1418">
        <v>3</v>
      </c>
      <c r="D24" s="1418">
        <v>3</v>
      </c>
      <c r="E24" s="1418">
        <v>1</v>
      </c>
      <c r="F24" s="1418">
        <v>1</v>
      </c>
      <c r="G24" s="1043">
        <v>0</v>
      </c>
      <c r="I24" s="1063">
        <f t="shared" si="5"/>
        <v>7.4999999999999997E-2</v>
      </c>
      <c r="J24" s="1063">
        <f t="shared" si="6"/>
        <v>7.4999999999999997E-2</v>
      </c>
      <c r="K24" s="1063">
        <f t="shared" si="7"/>
        <v>7.4999999999999997E-2</v>
      </c>
      <c r="L24" s="1063">
        <f t="shared" si="8"/>
        <v>2.5000000000000001E-2</v>
      </c>
      <c r="M24" s="1063">
        <f t="shared" si="9"/>
        <v>2.5000000000000001E-2</v>
      </c>
      <c r="N24" s="1063">
        <f t="shared" si="9"/>
        <v>0</v>
      </c>
    </row>
    <row r="25" spans="1:22" ht="14" thickBot="1">
      <c r="A25" s="1456" t="s">
        <v>28</v>
      </c>
      <c r="B25" s="1418">
        <v>0</v>
      </c>
      <c r="C25" s="1418">
        <v>1</v>
      </c>
      <c r="D25" s="1418">
        <v>1</v>
      </c>
      <c r="E25" s="1418">
        <v>0</v>
      </c>
      <c r="F25" s="1418">
        <v>0</v>
      </c>
      <c r="G25" s="1043">
        <v>0</v>
      </c>
      <c r="I25" s="1063">
        <f t="shared" si="5"/>
        <v>0</v>
      </c>
      <c r="J25" s="1063">
        <f t="shared" si="6"/>
        <v>2.5000000000000001E-2</v>
      </c>
      <c r="K25" s="1063">
        <f t="shared" si="7"/>
        <v>2.5000000000000001E-2</v>
      </c>
      <c r="L25" s="1063">
        <f t="shared" si="8"/>
        <v>0</v>
      </c>
      <c r="M25" s="1063">
        <f t="shared" si="9"/>
        <v>0</v>
      </c>
      <c r="N25" s="1063">
        <f t="shared" si="9"/>
        <v>0</v>
      </c>
    </row>
    <row r="26" spans="1:22" s="1077" customFormat="1" ht="6.75" customHeight="1">
      <c r="A26" s="1419"/>
      <c r="B26" s="1427"/>
      <c r="C26" s="1427"/>
      <c r="D26" s="1427"/>
      <c r="E26" s="1427"/>
      <c r="F26" s="1427"/>
      <c r="I26" s="1063"/>
      <c r="J26" s="1063"/>
      <c r="K26" s="1063"/>
      <c r="L26" s="1063"/>
      <c r="M26" s="1063"/>
    </row>
    <row r="27" spans="1:22" s="947" customFormat="1">
      <c r="A27" s="947" t="s">
        <v>1670</v>
      </c>
      <c r="B27" s="1428">
        <f>SUM(B20:B25)</f>
        <v>40</v>
      </c>
      <c r="C27" s="1428">
        <f>SUM(C20:C25)</f>
        <v>40</v>
      </c>
      <c r="D27" s="1428">
        <v>40</v>
      </c>
      <c r="E27" s="1428">
        <v>40</v>
      </c>
      <c r="F27" s="1428">
        <f>SUM(F20:F25)</f>
        <v>40</v>
      </c>
      <c r="G27" s="1428">
        <f>SUM(G20:G25)</f>
        <v>40</v>
      </c>
      <c r="I27" s="1429">
        <f t="shared" si="5"/>
        <v>1</v>
      </c>
      <c r="J27" s="1429">
        <f t="shared" si="6"/>
        <v>1</v>
      </c>
      <c r="K27" s="1429">
        <f t="shared" si="7"/>
        <v>1</v>
      </c>
      <c r="L27" s="1429">
        <f t="shared" si="8"/>
        <v>1</v>
      </c>
      <c r="M27" s="1429">
        <f>F27/$B$27</f>
        <v>1</v>
      </c>
      <c r="N27" s="1429">
        <f>G27/$B$27</f>
        <v>1</v>
      </c>
      <c r="O27" s="1430"/>
    </row>
    <row r="28" spans="1:22" ht="3.75" customHeight="1"/>
    <row r="29" spans="1:22" ht="6" customHeight="1">
      <c r="B29" s="1041"/>
      <c r="C29" s="1041"/>
      <c r="D29" s="1041"/>
      <c r="E29" s="1041"/>
      <c r="F29" s="1041"/>
      <c r="G29" s="1041"/>
      <c r="H29" s="1431"/>
      <c r="I29" s="1431"/>
      <c r="J29" s="1078"/>
      <c r="K29" s="1078"/>
      <c r="L29" s="1078"/>
      <c r="M29" s="1078"/>
      <c r="N29" s="1078"/>
      <c r="O29" s="1078"/>
      <c r="P29" s="1005"/>
      <c r="Q29" s="1005"/>
      <c r="R29" s="1005"/>
      <c r="S29" s="1005"/>
      <c r="T29" s="1005"/>
    </row>
    <row r="30" spans="1:22">
      <c r="A30" s="1040" t="s">
        <v>1874</v>
      </c>
      <c r="B30" s="1041"/>
      <c r="C30" s="1041"/>
      <c r="D30" s="1041"/>
      <c r="E30" s="1041"/>
      <c r="F30" s="1041"/>
      <c r="G30" s="1041"/>
      <c r="H30" s="1432"/>
      <c r="I30" s="1432"/>
      <c r="J30" s="1433"/>
      <c r="K30" s="1433"/>
      <c r="L30" s="1433"/>
      <c r="M30" s="1433"/>
      <c r="N30" s="1433"/>
      <c r="O30" s="1433"/>
      <c r="P30" s="1418"/>
      <c r="Q30" s="1418"/>
      <c r="R30" s="1418"/>
      <c r="S30" s="1418"/>
      <c r="T30" s="1418"/>
    </row>
    <row r="31" spans="1:22" ht="2.25" customHeight="1" thickBot="1">
      <c r="A31" s="1434"/>
      <c r="B31" s="1041"/>
      <c r="C31" s="1041"/>
      <c r="D31" s="1041"/>
      <c r="E31" s="1041"/>
      <c r="F31" s="1041"/>
      <c r="G31" s="1041"/>
      <c r="H31" s="1421"/>
      <c r="I31" s="1421"/>
      <c r="J31" s="1433"/>
      <c r="K31" s="1433"/>
      <c r="L31" s="1433"/>
      <c r="M31" s="1433"/>
      <c r="N31" s="1433"/>
      <c r="O31" s="1433"/>
      <c r="P31" s="1418"/>
      <c r="Q31" s="1418"/>
      <c r="R31" s="1418"/>
      <c r="S31" s="1418"/>
      <c r="T31" s="1418"/>
    </row>
    <row r="32" spans="1:22" ht="14" thickBot="1">
      <c r="A32" s="1451" t="s">
        <v>699</v>
      </c>
      <c r="B32" s="1041">
        <v>361657</v>
      </c>
      <c r="C32" s="1041">
        <v>310658</v>
      </c>
      <c r="D32" s="1041">
        <v>288955</v>
      </c>
      <c r="E32" s="1041">
        <v>349935</v>
      </c>
      <c r="F32" s="1041">
        <v>319196</v>
      </c>
      <c r="G32" s="1043">
        <v>401770</v>
      </c>
      <c r="H32" s="1378"/>
      <c r="I32" s="1047">
        <f>B32/$B$39</f>
        <v>0.35392134124442071</v>
      </c>
      <c r="J32" s="1047">
        <f t="shared" ref="J32:J37" si="10">C32/$C$39</f>
        <v>0.36567273103941844</v>
      </c>
      <c r="K32" s="1047">
        <f t="shared" ref="K32:K37" si="11">D32/$D$39</f>
        <v>0.29642916496543859</v>
      </c>
      <c r="L32" s="1047">
        <f t="shared" ref="L32:L39" si="12">E32/E$39</f>
        <v>0.36878430331082279</v>
      </c>
      <c r="M32" s="1047">
        <f t="shared" ref="M32:N37" si="13">F32/F$39</f>
        <v>0.31455846455703562</v>
      </c>
      <c r="N32" s="1047">
        <f t="shared" si="13"/>
        <v>0.36169525124752766</v>
      </c>
      <c r="O32" s="1047"/>
    </row>
    <row r="33" spans="1:20" ht="14" thickBot="1">
      <c r="A33" s="1452" t="s">
        <v>99</v>
      </c>
      <c r="B33" s="1041">
        <v>312048</v>
      </c>
      <c r="C33" s="1041">
        <v>167653</v>
      </c>
      <c r="D33" s="1041">
        <v>204757</v>
      </c>
      <c r="E33" s="1041">
        <v>169799</v>
      </c>
      <c r="F33" s="1041">
        <v>211548</v>
      </c>
      <c r="G33" s="1043">
        <v>230161</v>
      </c>
      <c r="H33" s="1378"/>
      <c r="I33" s="1047">
        <f>B33/$B$39</f>
        <v>0.30537345244980463</v>
      </c>
      <c r="J33" s="1047">
        <f t="shared" si="10"/>
        <v>0.1973428348117596</v>
      </c>
      <c r="K33" s="1047">
        <f t="shared" si="11"/>
        <v>0.2100532834899147</v>
      </c>
      <c r="L33" s="1047">
        <f t="shared" si="12"/>
        <v>0.1789452495974235</v>
      </c>
      <c r="M33" s="1047">
        <f t="shared" si="13"/>
        <v>0.20847446102116496</v>
      </c>
      <c r="N33" s="1047">
        <f t="shared" si="13"/>
        <v>0.20720347642278472</v>
      </c>
      <c r="O33" s="1423"/>
    </row>
    <row r="34" spans="1:20" ht="14" thickBot="1">
      <c r="A34" s="1453" t="s">
        <v>698</v>
      </c>
      <c r="B34" s="1041">
        <v>168206</v>
      </c>
      <c r="C34" s="1041">
        <v>162725</v>
      </c>
      <c r="D34" s="1041">
        <v>209154</v>
      </c>
      <c r="E34" s="1041">
        <v>213773</v>
      </c>
      <c r="F34" s="1041">
        <v>190846</v>
      </c>
      <c r="G34" s="1043">
        <v>278560</v>
      </c>
      <c r="H34" s="1378"/>
      <c r="I34" s="1047">
        <f>B34/$B$39</f>
        <v>0.16460815945871096</v>
      </c>
      <c r="J34" s="1047">
        <f t="shared" si="10"/>
        <v>0.19154213044051452</v>
      </c>
      <c r="K34" s="1047">
        <f t="shared" si="11"/>
        <v>0.21456401712786191</v>
      </c>
      <c r="L34" s="1047">
        <f t="shared" si="12"/>
        <v>0.22528791596057701</v>
      </c>
      <c r="M34" s="1047">
        <f t="shared" si="13"/>
        <v>0.18807323627755992</v>
      </c>
      <c r="N34" s="1047">
        <f t="shared" si="13"/>
        <v>0.25077489406255149</v>
      </c>
      <c r="O34" s="1423"/>
    </row>
    <row r="35" spans="1:20" ht="14" thickBot="1">
      <c r="A35" s="1454" t="s">
        <v>251</v>
      </c>
      <c r="B35" s="1041"/>
      <c r="C35" s="1041">
        <v>29427</v>
      </c>
      <c r="D35" s="1041">
        <v>38349</v>
      </c>
      <c r="E35" s="1431">
        <v>43256</v>
      </c>
      <c r="F35" s="3076">
        <v>132138</v>
      </c>
      <c r="G35" s="1043">
        <v>17341</v>
      </c>
      <c r="H35" s="1378"/>
      <c r="I35" s="1047"/>
      <c r="J35" s="1047">
        <f t="shared" si="10"/>
        <v>3.4638256398666592E-2</v>
      </c>
      <c r="K35" s="1047">
        <f t="shared" si="11"/>
        <v>3.9340942524820829E-2</v>
      </c>
      <c r="L35" s="1047">
        <f t="shared" si="12"/>
        <v>4.5585991181256377E-2</v>
      </c>
      <c r="M35" s="1047">
        <f t="shared" si="13"/>
        <v>0.13021819317797709</v>
      </c>
      <c r="N35" s="1047">
        <f t="shared" si="13"/>
        <v>1.5611313318275076E-2</v>
      </c>
      <c r="O35" s="1423"/>
    </row>
    <row r="36" spans="1:20" ht="14" thickBot="1">
      <c r="A36" s="1455" t="s">
        <v>827</v>
      </c>
      <c r="B36" s="1041">
        <v>128008</v>
      </c>
      <c r="C36" s="1041">
        <v>108013</v>
      </c>
      <c r="D36" s="1041">
        <v>114500</v>
      </c>
      <c r="E36" s="1041">
        <v>76349</v>
      </c>
      <c r="F36" s="1041">
        <v>65504</v>
      </c>
      <c r="G36" s="1043">
        <v>48217</v>
      </c>
      <c r="H36" s="1378"/>
      <c r="I36" s="1047">
        <f>B36/$B$39</f>
        <v>0.12526997417446864</v>
      </c>
      <c r="J36" s="1047">
        <f t="shared" si="10"/>
        <v>0.12714112850066858</v>
      </c>
      <c r="K36" s="1047">
        <f t="shared" si="11"/>
        <v>0.11746167876846815</v>
      </c>
      <c r="L36" s="1047">
        <f t="shared" si="12"/>
        <v>8.0461550783654134E-2</v>
      </c>
      <c r="M36" s="1047">
        <f t="shared" si="13"/>
        <v>6.4552305362047341E-2</v>
      </c>
      <c r="N36" s="1047">
        <f t="shared" si="13"/>
        <v>4.3407571320412279E-2</v>
      </c>
      <c r="O36" s="1423"/>
    </row>
    <row r="37" spans="1:20" ht="14" thickBot="1">
      <c r="A37" s="1456" t="s">
        <v>28</v>
      </c>
      <c r="B37" s="1041">
        <v>51938</v>
      </c>
      <c r="C37" s="1041">
        <f>100503-C35</f>
        <v>71076</v>
      </c>
      <c r="D37" s="1041">
        <f>157420-D35</f>
        <v>119071</v>
      </c>
      <c r="E37" s="1041">
        <f>139032-E35</f>
        <v>95776</v>
      </c>
      <c r="F37" s="1041">
        <v>95511</v>
      </c>
      <c r="G37" s="1043">
        <v>44635</v>
      </c>
      <c r="H37" s="1378"/>
      <c r="I37" s="1047">
        <f>B37/$B$39</f>
        <v>5.0827072672595092E-2</v>
      </c>
      <c r="J37" s="1047">
        <f t="shared" si="10"/>
        <v>8.3662918808972253E-2</v>
      </c>
      <c r="K37" s="1047">
        <f t="shared" si="11"/>
        <v>0.12215091312349582</v>
      </c>
      <c r="L37" s="1047">
        <f t="shared" si="12"/>
        <v>0.1009349891662662</v>
      </c>
      <c r="M37" s="1047">
        <f t="shared" si="13"/>
        <v>9.4123339604215053E-2</v>
      </c>
      <c r="N37" s="1047">
        <f t="shared" si="13"/>
        <v>4.0182859694435615E-2</v>
      </c>
      <c r="O37" s="1423"/>
    </row>
    <row r="38" spans="1:20" ht="2.25" customHeight="1">
      <c r="A38" s="948"/>
      <c r="B38" s="1041"/>
      <c r="C38" s="1041"/>
      <c r="D38" s="1041"/>
      <c r="E38" s="1041"/>
      <c r="F38" s="1041"/>
      <c r="H38" s="1378"/>
      <c r="I38" s="1378"/>
      <c r="J38" s="1047"/>
      <c r="K38" s="1047"/>
      <c r="L38" s="1047">
        <f t="shared" si="12"/>
        <v>0</v>
      </c>
      <c r="M38" s="1047">
        <f>F38/F$39</f>
        <v>0</v>
      </c>
      <c r="O38" s="1047"/>
    </row>
    <row r="39" spans="1:20">
      <c r="A39" s="948" t="s">
        <v>16</v>
      </c>
      <c r="B39" s="1041">
        <f>SUM(B32:B37)</f>
        <v>1021857</v>
      </c>
      <c r="C39" s="1041">
        <f>SUM(C32:C37)</f>
        <v>849552</v>
      </c>
      <c r="D39" s="1041">
        <f>SUM(D32:D37)</f>
        <v>974786</v>
      </c>
      <c r="E39" s="1041">
        <f>SUM(E32:E37)</f>
        <v>948888</v>
      </c>
      <c r="F39" s="1041">
        <f>SUM(F32:F37)</f>
        <v>1014743</v>
      </c>
      <c r="G39" s="1041">
        <v>1110797</v>
      </c>
      <c r="H39" s="1425"/>
      <c r="I39" s="1426">
        <f>SUM(I32:I38)</f>
        <v>1</v>
      </c>
      <c r="J39" s="1426">
        <f>SUM(J32:J38)</f>
        <v>1</v>
      </c>
      <c r="K39" s="1426">
        <f>SUM(K32:K38)</f>
        <v>0.99999999999999989</v>
      </c>
      <c r="L39" s="1426">
        <f t="shared" si="12"/>
        <v>1</v>
      </c>
      <c r="M39" s="1426">
        <f>F39/F$39</f>
        <v>1</v>
      </c>
      <c r="N39" s="1426">
        <f>G39/G$39</f>
        <v>1</v>
      </c>
      <c r="O39" s="1047"/>
    </row>
    <row r="40" spans="1:20" ht="12" customHeight="1">
      <c r="A40" s="948"/>
      <c r="B40" s="948"/>
      <c r="C40" s="948"/>
      <c r="D40" s="948"/>
      <c r="E40" s="948"/>
      <c r="F40" s="948"/>
      <c r="G40" s="1041"/>
      <c r="H40" s="1435"/>
      <c r="I40" s="1088"/>
      <c r="J40" s="1088"/>
      <c r="K40" s="1088"/>
      <c r="L40" s="1088"/>
      <c r="M40" s="1088"/>
      <c r="N40" s="1088"/>
      <c r="O40" s="1047"/>
      <c r="P40" s="1436"/>
      <c r="Q40" s="1436"/>
      <c r="R40" s="1436"/>
      <c r="S40" s="1436"/>
      <c r="T40" s="1436"/>
    </row>
    <row r="41" spans="1:20" ht="11.25" customHeight="1" thickBot="1">
      <c r="A41" s="1040" t="s">
        <v>1873</v>
      </c>
      <c r="B41" s="1041"/>
      <c r="C41" s="1041"/>
      <c r="D41" s="1041"/>
      <c r="E41" s="1041"/>
      <c r="F41" s="1041"/>
      <c r="G41" s="1041"/>
      <c r="H41" s="1425"/>
      <c r="I41" s="1047"/>
      <c r="J41" s="1047"/>
      <c r="K41" s="1047"/>
      <c r="L41" s="1047"/>
      <c r="M41" s="1047"/>
      <c r="N41" s="1047"/>
      <c r="O41" s="1047"/>
      <c r="P41" s="1418"/>
      <c r="Q41" s="1418"/>
      <c r="R41" s="1418"/>
      <c r="S41" s="1418"/>
      <c r="T41" s="1418"/>
    </row>
    <row r="42" spans="1:20" ht="14" thickBot="1">
      <c r="A42" s="1451" t="s">
        <v>699</v>
      </c>
      <c r="B42" s="1418">
        <v>1</v>
      </c>
      <c r="C42" s="1418">
        <v>0</v>
      </c>
      <c r="D42" s="1418">
        <v>2</v>
      </c>
      <c r="E42" s="1418">
        <v>2</v>
      </c>
      <c r="F42" s="1418">
        <v>2</v>
      </c>
      <c r="G42" s="1043">
        <v>3</v>
      </c>
      <c r="I42" s="1063">
        <f t="shared" ref="I42:N42" si="14">B42/B$49</f>
        <v>0.05</v>
      </c>
      <c r="J42" s="1063">
        <f t="shared" si="14"/>
        <v>0</v>
      </c>
      <c r="K42" s="1063">
        <f t="shared" si="14"/>
        <v>0.1</v>
      </c>
      <c r="L42" s="1063">
        <f t="shared" si="14"/>
        <v>0.1</v>
      </c>
      <c r="M42" s="1063">
        <f t="shared" si="14"/>
        <v>0.1</v>
      </c>
      <c r="N42" s="1063">
        <f t="shared" si="14"/>
        <v>0.15</v>
      </c>
    </row>
    <row r="43" spans="1:20" ht="14" thickBot="1">
      <c r="A43" s="1452" t="s">
        <v>99</v>
      </c>
      <c r="B43" s="1418">
        <v>8</v>
      </c>
      <c r="C43" s="1418">
        <v>7</v>
      </c>
      <c r="D43" s="1418">
        <v>8</v>
      </c>
      <c r="E43" s="1418">
        <v>6</v>
      </c>
      <c r="F43" s="1418">
        <v>6</v>
      </c>
      <c r="G43" s="1043">
        <v>8</v>
      </c>
      <c r="I43" s="1063">
        <f t="shared" ref="I43:I49" si="15">B43/B$49</f>
        <v>0.4</v>
      </c>
      <c r="J43" s="1063">
        <f t="shared" ref="J43:J49" si="16">C43/C$49</f>
        <v>0.35</v>
      </c>
      <c r="K43" s="1063">
        <f t="shared" ref="K43:K49" si="17">D43/D$49</f>
        <v>0.4</v>
      </c>
      <c r="L43" s="1063">
        <f t="shared" ref="L43:L49" si="18">E43/E$49</f>
        <v>0.3</v>
      </c>
      <c r="M43" s="1063">
        <f t="shared" ref="M43:N47" si="19">F43/F$49</f>
        <v>0.3</v>
      </c>
      <c r="N43" s="1063">
        <f t="shared" si="19"/>
        <v>0.4</v>
      </c>
    </row>
    <row r="44" spans="1:20" ht="14" thickBot="1">
      <c r="A44" s="1453" t="s">
        <v>698</v>
      </c>
      <c r="B44" s="1418">
        <v>8</v>
      </c>
      <c r="C44" s="1418">
        <v>10</v>
      </c>
      <c r="D44" s="1418">
        <v>7</v>
      </c>
      <c r="E44" s="1418">
        <v>8</v>
      </c>
      <c r="F44" s="1418">
        <v>5</v>
      </c>
      <c r="G44" s="1043">
        <v>8</v>
      </c>
      <c r="I44" s="1063">
        <f t="shared" si="15"/>
        <v>0.4</v>
      </c>
      <c r="J44" s="1063">
        <f t="shared" si="16"/>
        <v>0.5</v>
      </c>
      <c r="K44" s="1063">
        <f t="shared" si="17"/>
        <v>0.35</v>
      </c>
      <c r="L44" s="1063">
        <f t="shared" si="18"/>
        <v>0.4</v>
      </c>
      <c r="M44" s="1063">
        <f t="shared" si="19"/>
        <v>0.25</v>
      </c>
      <c r="N44" s="1063">
        <f t="shared" si="19"/>
        <v>0.4</v>
      </c>
    </row>
    <row r="45" spans="1:20" ht="14" thickBot="1">
      <c r="A45" s="1454" t="s">
        <v>251</v>
      </c>
      <c r="B45" s="1418">
        <v>0</v>
      </c>
      <c r="C45" s="1418">
        <v>0</v>
      </c>
      <c r="D45" s="1418">
        <v>0</v>
      </c>
      <c r="E45" s="1418">
        <v>0</v>
      </c>
      <c r="F45" s="1418">
        <v>7</v>
      </c>
      <c r="G45" s="1043">
        <v>0</v>
      </c>
      <c r="I45" s="1063">
        <f t="shared" si="15"/>
        <v>0</v>
      </c>
      <c r="J45" s="1063">
        <f t="shared" si="16"/>
        <v>0</v>
      </c>
      <c r="K45" s="1063">
        <f t="shared" si="17"/>
        <v>0</v>
      </c>
      <c r="L45" s="1063">
        <f t="shared" si="18"/>
        <v>0</v>
      </c>
      <c r="M45" s="1063">
        <f t="shared" si="19"/>
        <v>0.35</v>
      </c>
      <c r="N45" s="1063">
        <f t="shared" si="19"/>
        <v>0</v>
      </c>
    </row>
    <row r="46" spans="1:20" ht="14" thickBot="1">
      <c r="A46" s="1455" t="s">
        <v>827</v>
      </c>
      <c r="B46" s="1418">
        <v>3</v>
      </c>
      <c r="C46" s="1418">
        <v>3</v>
      </c>
      <c r="D46" s="1418">
        <v>3</v>
      </c>
      <c r="E46" s="1418">
        <v>4</v>
      </c>
      <c r="F46" s="1418">
        <v>0</v>
      </c>
      <c r="G46" s="1043">
        <v>1</v>
      </c>
      <c r="I46" s="1063">
        <f t="shared" si="15"/>
        <v>0.15</v>
      </c>
      <c r="J46" s="1063">
        <f t="shared" si="16"/>
        <v>0.15</v>
      </c>
      <c r="K46" s="1063">
        <f t="shared" si="17"/>
        <v>0.15</v>
      </c>
      <c r="L46" s="1063">
        <f t="shared" si="18"/>
        <v>0.2</v>
      </c>
      <c r="M46" s="1063">
        <f t="shared" si="19"/>
        <v>0</v>
      </c>
      <c r="N46" s="1063">
        <f t="shared" si="19"/>
        <v>0.05</v>
      </c>
    </row>
    <row r="47" spans="1:20" ht="14" thickBot="1">
      <c r="A47" s="1456" t="s">
        <v>28</v>
      </c>
      <c r="B47" s="1418">
        <v>0</v>
      </c>
      <c r="C47" s="1418">
        <v>0</v>
      </c>
      <c r="D47" s="1418">
        <v>0</v>
      </c>
      <c r="E47" s="1418">
        <v>0</v>
      </c>
      <c r="F47" s="1418">
        <v>0</v>
      </c>
      <c r="G47" s="1043">
        <v>0</v>
      </c>
      <c r="I47" s="1063">
        <f t="shared" si="15"/>
        <v>0</v>
      </c>
      <c r="J47" s="1063">
        <f t="shared" si="16"/>
        <v>0</v>
      </c>
      <c r="K47" s="1063">
        <f t="shared" si="17"/>
        <v>0</v>
      </c>
      <c r="L47" s="1063">
        <f t="shared" si="18"/>
        <v>0</v>
      </c>
      <c r="M47" s="1063">
        <f t="shared" si="19"/>
        <v>0</v>
      </c>
      <c r="N47" s="1063">
        <f t="shared" si="19"/>
        <v>0</v>
      </c>
    </row>
    <row r="48" spans="1:20" s="1077" customFormat="1" ht="6.75" customHeight="1">
      <c r="A48" s="1419"/>
      <c r="B48" s="1418"/>
      <c r="C48" s="1418"/>
      <c r="D48" s="1418"/>
      <c r="E48" s="1418"/>
      <c r="F48" s="1418"/>
      <c r="I48" s="1063"/>
      <c r="J48" s="1063"/>
      <c r="K48" s="1063"/>
      <c r="L48" s="1063"/>
      <c r="M48" s="1063"/>
    </row>
    <row r="49" spans="1:20" s="947" customFormat="1">
      <c r="A49" s="947" t="s">
        <v>1670</v>
      </c>
      <c r="B49" s="1418">
        <f t="shared" ref="B49:G49" si="20">SUM(B42:B47)</f>
        <v>20</v>
      </c>
      <c r="C49" s="1418">
        <f t="shared" si="20"/>
        <v>20</v>
      </c>
      <c r="D49" s="1418">
        <f t="shared" si="20"/>
        <v>20</v>
      </c>
      <c r="E49" s="1418">
        <f t="shared" si="20"/>
        <v>20</v>
      </c>
      <c r="F49" s="1418">
        <f t="shared" si="20"/>
        <v>20</v>
      </c>
      <c r="G49" s="1418">
        <f t="shared" si="20"/>
        <v>20</v>
      </c>
      <c r="I49" s="1064">
        <f t="shared" si="15"/>
        <v>1</v>
      </c>
      <c r="J49" s="1064">
        <f t="shared" si="16"/>
        <v>1</v>
      </c>
      <c r="K49" s="1064">
        <f t="shared" si="17"/>
        <v>1</v>
      </c>
      <c r="L49" s="1064">
        <f t="shared" si="18"/>
        <v>1</v>
      </c>
      <c r="M49" s="1064">
        <f>F49/F$49</f>
        <v>1</v>
      </c>
      <c r="N49" s="1064">
        <f>G49/G$49</f>
        <v>1</v>
      </c>
      <c r="O49" s="1430"/>
    </row>
    <row r="50" spans="1:20" s="947" customFormat="1">
      <c r="B50" s="1418"/>
      <c r="C50" s="1418"/>
      <c r="D50" s="1418"/>
      <c r="E50" s="1418"/>
      <c r="F50" s="1418"/>
      <c r="G50" s="1418"/>
      <c r="I50" s="1064"/>
      <c r="J50" s="1064"/>
      <c r="K50" s="1064"/>
      <c r="L50" s="1064"/>
      <c r="M50" s="1064"/>
      <c r="N50" s="1064"/>
      <c r="O50" s="1430"/>
    </row>
    <row r="51" spans="1:20" s="947" customFormat="1" ht="14" thickBot="1">
      <c r="A51" s="947" t="s">
        <v>1970</v>
      </c>
      <c r="B51" s="1418"/>
      <c r="C51" s="1418"/>
      <c r="D51" s="1418"/>
      <c r="E51" s="1418"/>
      <c r="F51" s="1418"/>
      <c r="G51" s="1418"/>
      <c r="I51" s="1064"/>
      <c r="J51" s="1064"/>
      <c r="K51" s="1064"/>
      <c r="L51" s="1064"/>
      <c r="M51" s="1064"/>
      <c r="N51" s="1064"/>
      <c r="O51" s="1430"/>
    </row>
    <row r="52" spans="1:20" ht="14" thickBot="1">
      <c r="A52" s="1451" t="s">
        <v>699</v>
      </c>
      <c r="B52" s="1418">
        <f t="shared" ref="B52:E57" si="21">B20+B42</f>
        <v>28</v>
      </c>
      <c r="C52" s="1418">
        <f t="shared" si="21"/>
        <v>30</v>
      </c>
      <c r="D52" s="1418">
        <f t="shared" si="21"/>
        <v>26</v>
      </c>
      <c r="E52" s="1418">
        <f t="shared" si="21"/>
        <v>30</v>
      </c>
      <c r="F52" s="1418">
        <f t="shared" ref="F52:G57" si="22">F20+F42</f>
        <v>29</v>
      </c>
      <c r="G52" s="1418">
        <f t="shared" si="22"/>
        <v>30</v>
      </c>
      <c r="I52" s="1063">
        <f t="shared" ref="I52:N52" si="23">B52/B$59</f>
        <v>0.46666666666666667</v>
      </c>
      <c r="J52" s="1063">
        <f t="shared" si="23"/>
        <v>0.5</v>
      </c>
      <c r="K52" s="1063">
        <f t="shared" si="23"/>
        <v>0.43333333333333335</v>
      </c>
      <c r="L52" s="1063">
        <f t="shared" si="23"/>
        <v>0.5</v>
      </c>
      <c r="M52" s="1063">
        <f t="shared" si="23"/>
        <v>0.48333333333333334</v>
      </c>
      <c r="N52" s="1063">
        <f t="shared" si="23"/>
        <v>0.5</v>
      </c>
    </row>
    <row r="53" spans="1:20" ht="14" thickBot="1">
      <c r="A53" s="1452" t="s">
        <v>99</v>
      </c>
      <c r="B53" s="1418">
        <f t="shared" si="21"/>
        <v>17</v>
      </c>
      <c r="C53" s="1418">
        <f t="shared" si="21"/>
        <v>12</v>
      </c>
      <c r="D53" s="1418">
        <f t="shared" si="21"/>
        <v>15</v>
      </c>
      <c r="E53" s="1418">
        <f t="shared" si="21"/>
        <v>11</v>
      </c>
      <c r="F53" s="1418">
        <f t="shared" si="22"/>
        <v>12</v>
      </c>
      <c r="G53" s="1418">
        <f t="shared" si="22"/>
        <v>13</v>
      </c>
      <c r="I53" s="1063">
        <f t="shared" ref="I53:L57" si="24">B53/B$59</f>
        <v>0.28333333333333333</v>
      </c>
      <c r="J53" s="1063">
        <f t="shared" si="24"/>
        <v>0.2</v>
      </c>
      <c r="K53" s="1063">
        <f t="shared" si="24"/>
        <v>0.25</v>
      </c>
      <c r="L53" s="1063">
        <f t="shared" si="24"/>
        <v>0.18333333333333332</v>
      </c>
      <c r="M53" s="1063">
        <f t="shared" ref="M53:N57" si="25">F53/F$59</f>
        <v>0.2</v>
      </c>
      <c r="N53" s="1063">
        <f t="shared" si="25"/>
        <v>0.21666666666666667</v>
      </c>
    </row>
    <row r="54" spans="1:20" ht="14" thickBot="1">
      <c r="A54" s="1453" t="s">
        <v>698</v>
      </c>
      <c r="B54" s="1418">
        <f t="shared" si="21"/>
        <v>9</v>
      </c>
      <c r="C54" s="1418">
        <f t="shared" si="21"/>
        <v>11</v>
      </c>
      <c r="D54" s="1418">
        <f t="shared" si="21"/>
        <v>12</v>
      </c>
      <c r="E54" s="1418">
        <f t="shared" si="21"/>
        <v>14</v>
      </c>
      <c r="F54" s="1418">
        <f t="shared" si="22"/>
        <v>11</v>
      </c>
      <c r="G54" s="1418">
        <f t="shared" si="22"/>
        <v>16</v>
      </c>
      <c r="I54" s="1063">
        <f t="shared" si="24"/>
        <v>0.15</v>
      </c>
      <c r="J54" s="1063">
        <f t="shared" si="24"/>
        <v>0.18333333333333332</v>
      </c>
      <c r="K54" s="1063">
        <f t="shared" si="24"/>
        <v>0.2</v>
      </c>
      <c r="L54" s="1063">
        <f t="shared" si="24"/>
        <v>0.23333333333333334</v>
      </c>
      <c r="M54" s="1063">
        <f t="shared" si="25"/>
        <v>0.18333333333333332</v>
      </c>
      <c r="N54" s="1063">
        <f t="shared" si="25"/>
        <v>0.26666666666666666</v>
      </c>
    </row>
    <row r="55" spans="1:20" ht="14" thickBot="1">
      <c r="A55" s="1454" t="s">
        <v>251</v>
      </c>
      <c r="B55" s="1418">
        <f t="shared" si="21"/>
        <v>0</v>
      </c>
      <c r="C55" s="1418">
        <f t="shared" si="21"/>
        <v>0</v>
      </c>
      <c r="D55" s="1418">
        <f t="shared" si="21"/>
        <v>0</v>
      </c>
      <c r="E55" s="1418">
        <f t="shared" si="21"/>
        <v>0</v>
      </c>
      <c r="F55" s="1418">
        <f t="shared" si="22"/>
        <v>7</v>
      </c>
      <c r="G55" s="1418">
        <f t="shared" si="22"/>
        <v>0</v>
      </c>
      <c r="I55" s="1063">
        <f t="shared" si="24"/>
        <v>0</v>
      </c>
      <c r="J55" s="1063">
        <f t="shared" si="24"/>
        <v>0</v>
      </c>
      <c r="K55" s="1063">
        <f t="shared" si="24"/>
        <v>0</v>
      </c>
      <c r="L55" s="1063">
        <f t="shared" si="24"/>
        <v>0</v>
      </c>
      <c r="M55" s="1063">
        <f t="shared" si="25"/>
        <v>0.11666666666666667</v>
      </c>
      <c r="N55" s="1063">
        <f t="shared" si="25"/>
        <v>0</v>
      </c>
    </row>
    <row r="56" spans="1:20" ht="14" thickBot="1">
      <c r="A56" s="1455" t="s">
        <v>827</v>
      </c>
      <c r="B56" s="1418">
        <f t="shared" si="21"/>
        <v>6</v>
      </c>
      <c r="C56" s="1418">
        <f t="shared" si="21"/>
        <v>6</v>
      </c>
      <c r="D56" s="1418">
        <f t="shared" si="21"/>
        <v>6</v>
      </c>
      <c r="E56" s="1418">
        <f t="shared" si="21"/>
        <v>5</v>
      </c>
      <c r="F56" s="1418">
        <f t="shared" si="22"/>
        <v>1</v>
      </c>
      <c r="G56" s="1418">
        <f t="shared" si="22"/>
        <v>1</v>
      </c>
      <c r="I56" s="1063">
        <f t="shared" si="24"/>
        <v>0.1</v>
      </c>
      <c r="J56" s="1063">
        <f t="shared" si="24"/>
        <v>0.1</v>
      </c>
      <c r="K56" s="1063">
        <f t="shared" si="24"/>
        <v>0.1</v>
      </c>
      <c r="L56" s="1063">
        <f t="shared" si="24"/>
        <v>8.3333333333333329E-2</v>
      </c>
      <c r="M56" s="1063">
        <f t="shared" si="25"/>
        <v>1.6666666666666666E-2</v>
      </c>
      <c r="N56" s="1063">
        <f t="shared" si="25"/>
        <v>1.6666666666666666E-2</v>
      </c>
    </row>
    <row r="57" spans="1:20" ht="14" thickBot="1">
      <c r="A57" s="1456" t="s">
        <v>28</v>
      </c>
      <c r="B57" s="1418">
        <f t="shared" si="21"/>
        <v>0</v>
      </c>
      <c r="C57" s="1418">
        <f t="shared" si="21"/>
        <v>1</v>
      </c>
      <c r="D57" s="1418">
        <f t="shared" si="21"/>
        <v>1</v>
      </c>
      <c r="E57" s="1418">
        <f t="shared" si="21"/>
        <v>0</v>
      </c>
      <c r="F57" s="1418">
        <f t="shared" si="22"/>
        <v>0</v>
      </c>
      <c r="G57" s="1418">
        <f t="shared" si="22"/>
        <v>0</v>
      </c>
      <c r="I57" s="1063">
        <f t="shared" si="24"/>
        <v>0</v>
      </c>
      <c r="J57" s="1063">
        <f t="shared" si="24"/>
        <v>1.6666666666666666E-2</v>
      </c>
      <c r="K57" s="1063">
        <f t="shared" si="24"/>
        <v>1.6666666666666666E-2</v>
      </c>
      <c r="L57" s="1063">
        <f t="shared" si="24"/>
        <v>0</v>
      </c>
      <c r="M57" s="1063">
        <f t="shared" si="25"/>
        <v>0</v>
      </c>
      <c r="N57" s="1063">
        <f t="shared" si="25"/>
        <v>0</v>
      </c>
    </row>
    <row r="58" spans="1:20" s="1077" customFormat="1" ht="6.75" customHeight="1">
      <c r="A58" s="1419"/>
      <c r="B58" s="1418"/>
      <c r="C58" s="1418"/>
      <c r="D58" s="1418"/>
      <c r="E58" s="1418"/>
      <c r="F58" s="1418"/>
      <c r="I58" s="1063"/>
      <c r="J58" s="1063"/>
      <c r="K58" s="1063"/>
      <c r="L58" s="1063"/>
      <c r="M58" s="1063"/>
    </row>
    <row r="59" spans="1:20" s="947" customFormat="1">
      <c r="A59" s="947" t="s">
        <v>1670</v>
      </c>
      <c r="B59" s="1418">
        <f t="shared" ref="B59:G59" si="26">SUM(B52:B57)</f>
        <v>60</v>
      </c>
      <c r="C59" s="1418">
        <f t="shared" si="26"/>
        <v>60</v>
      </c>
      <c r="D59" s="1418">
        <f t="shared" si="26"/>
        <v>60</v>
      </c>
      <c r="E59" s="1418">
        <f t="shared" si="26"/>
        <v>60</v>
      </c>
      <c r="F59" s="1418">
        <f t="shared" si="26"/>
        <v>60</v>
      </c>
      <c r="G59" s="1418">
        <f t="shared" si="26"/>
        <v>60</v>
      </c>
      <c r="I59" s="1066">
        <f t="shared" ref="I59:N59" si="27">SUM(I52:I57)</f>
        <v>1</v>
      </c>
      <c r="J59" s="1066">
        <f t="shared" si="27"/>
        <v>1</v>
      </c>
      <c r="K59" s="1066">
        <f t="shared" si="27"/>
        <v>1</v>
      </c>
      <c r="L59" s="1066">
        <f t="shared" si="27"/>
        <v>1</v>
      </c>
      <c r="M59" s="1066">
        <f t="shared" si="27"/>
        <v>1</v>
      </c>
      <c r="N59" s="1066">
        <f t="shared" si="27"/>
        <v>1</v>
      </c>
      <c r="O59" s="1066"/>
      <c r="P59" s="1066"/>
    </row>
    <row r="60" spans="1:20" s="947" customFormat="1" ht="5.25" customHeight="1">
      <c r="A60" s="1038"/>
      <c r="B60" s="1449"/>
      <c r="C60" s="1449"/>
      <c r="D60" s="1449"/>
      <c r="E60" s="1449"/>
      <c r="F60" s="1449"/>
      <c r="G60" s="1449"/>
      <c r="H60" s="1038"/>
      <c r="I60" s="1450"/>
      <c r="J60" s="1450"/>
      <c r="K60" s="1450"/>
      <c r="L60" s="1450"/>
      <c r="M60" s="1450"/>
      <c r="N60" s="1450"/>
      <c r="O60" s="1430"/>
    </row>
    <row r="61" spans="1:20">
      <c r="A61" s="1040" t="s">
        <v>1876</v>
      </c>
    </row>
    <row r="62" spans="1:20">
      <c r="B62" s="1437">
        <f>B17/B$126</f>
        <v>0.46392912484915766</v>
      </c>
      <c r="C62" s="1437">
        <f>C17/C$126</f>
        <v>0.3816218107281979</v>
      </c>
      <c r="D62" s="1437">
        <f>D17/D$126</f>
        <v>0.43507069456194991</v>
      </c>
      <c r="E62" s="1437">
        <f>E17/E$126</f>
        <v>0.41456893483307022</v>
      </c>
      <c r="F62" s="1437">
        <v>0.45500000000000002</v>
      </c>
      <c r="G62" s="1108">
        <v>0.46530364879123509</v>
      </c>
      <c r="H62" s="1425"/>
      <c r="I62" s="1047"/>
      <c r="J62" s="1047"/>
      <c r="K62" s="1047"/>
      <c r="L62" s="1047"/>
      <c r="M62" s="1047"/>
      <c r="N62" s="1047"/>
      <c r="O62" s="1047"/>
      <c r="P62" s="1418"/>
      <c r="Q62" s="1418"/>
      <c r="R62" s="1418"/>
      <c r="S62" s="1418"/>
      <c r="T62" s="1418"/>
    </row>
    <row r="63" spans="1:20">
      <c r="B63" s="1437"/>
      <c r="C63" s="1437"/>
      <c r="D63" s="1437"/>
      <c r="E63" s="1437"/>
      <c r="F63" s="1437"/>
      <c r="G63" s="1437"/>
      <c r="H63" s="1425"/>
      <c r="I63" s="1047"/>
      <c r="J63" s="1047"/>
      <c r="K63" s="1047"/>
      <c r="L63" s="1047"/>
      <c r="M63" s="1047"/>
      <c r="N63" s="1047"/>
      <c r="O63" s="1047"/>
      <c r="P63" s="1418"/>
      <c r="Q63" s="1418"/>
      <c r="R63" s="1418"/>
      <c r="S63" s="1418"/>
      <c r="T63" s="1418"/>
    </row>
    <row r="64" spans="1:20" s="947" customFormat="1">
      <c r="A64" s="1040" t="s">
        <v>1875</v>
      </c>
      <c r="B64" s="1438"/>
      <c r="C64" s="1438"/>
      <c r="D64" s="1438"/>
      <c r="E64" s="1438"/>
      <c r="F64" s="1438"/>
      <c r="G64" s="1438"/>
      <c r="H64" s="1440"/>
      <c r="I64" s="1441"/>
      <c r="J64" s="1441"/>
      <c r="K64" s="1441"/>
      <c r="L64" s="1441"/>
      <c r="M64" s="1441"/>
      <c r="N64" s="1441"/>
      <c r="O64" s="1441"/>
      <c r="P64" s="1428"/>
      <c r="Q64" s="1428"/>
      <c r="R64" s="1428"/>
      <c r="S64" s="1428"/>
      <c r="T64" s="1428"/>
    </row>
    <row r="65" spans="1:20">
      <c r="B65" s="1100">
        <f>B39/B$126</f>
        <v>0.46340262217378941</v>
      </c>
      <c r="C65" s="1100">
        <f>C39/C$126</f>
        <v>0.38104276881605886</v>
      </c>
      <c r="D65" s="1100">
        <f>D39/D$126</f>
        <v>0.43360013380056778</v>
      </c>
      <c r="E65" s="1100">
        <f>E39/E$126</f>
        <v>0.41440952774010964</v>
      </c>
      <c r="F65" s="1437">
        <v>0.45300000000000001</v>
      </c>
      <c r="G65" s="3289">
        <v>0.46479215056494494</v>
      </c>
      <c r="H65" s="1435"/>
      <c r="I65" s="1088"/>
      <c r="J65" s="1088"/>
      <c r="K65" s="1088"/>
      <c r="L65" s="1088"/>
      <c r="M65" s="1088"/>
      <c r="N65" s="1088"/>
      <c r="O65" s="1047"/>
      <c r="P65" s="1436"/>
      <c r="Q65" s="1436"/>
      <c r="R65" s="1436"/>
      <c r="S65" s="1436"/>
      <c r="T65" s="1436"/>
    </row>
    <row r="66" spans="1:20" ht="6" hidden="1" customHeight="1">
      <c r="B66" s="948"/>
      <c r="C66" s="948"/>
      <c r="D66" s="948"/>
      <c r="E66" s="948"/>
      <c r="F66" s="948"/>
      <c r="G66" s="1041"/>
      <c r="L66" s="1088">
        <f t="shared" ref="L66:L77" si="28">E66/E$39</f>
        <v>0</v>
      </c>
      <c r="P66" s="1061"/>
      <c r="Q66" s="1061"/>
      <c r="R66" s="1061"/>
      <c r="S66" s="1061"/>
      <c r="T66" s="1061"/>
    </row>
    <row r="67" spans="1:20" hidden="1">
      <c r="A67" s="947" t="s">
        <v>267</v>
      </c>
      <c r="B67" s="948"/>
      <c r="C67" s="948"/>
      <c r="D67" s="948"/>
      <c r="E67" s="948"/>
      <c r="F67" s="948"/>
      <c r="G67" s="1041"/>
      <c r="L67" s="1088">
        <f t="shared" si="28"/>
        <v>0</v>
      </c>
      <c r="P67" s="1061"/>
      <c r="Q67" s="1061"/>
      <c r="R67" s="1061"/>
      <c r="S67" s="1061"/>
      <c r="T67" s="1061"/>
    </row>
    <row r="68" spans="1:20" ht="2.25" hidden="1" customHeight="1">
      <c r="B68" s="948"/>
      <c r="C68" s="948"/>
      <c r="D68" s="948"/>
      <c r="E68" s="948"/>
      <c r="F68" s="948"/>
      <c r="G68" s="1041"/>
      <c r="L68" s="1088">
        <f t="shared" si="28"/>
        <v>0</v>
      </c>
      <c r="P68" s="1061"/>
      <c r="Q68" s="1061"/>
      <c r="R68" s="1061"/>
      <c r="S68" s="1061"/>
      <c r="T68" s="1061"/>
    </row>
    <row r="69" spans="1:20" hidden="1">
      <c r="A69" s="944" t="s">
        <v>699</v>
      </c>
      <c r="B69" s="948">
        <v>746328</v>
      </c>
      <c r="C69" s="948">
        <f>C32+C10</f>
        <v>651173</v>
      </c>
      <c r="D69" s="948">
        <f t="shared" ref="D69:E71" si="29">D10+D32</f>
        <v>603880</v>
      </c>
      <c r="E69" s="948">
        <f t="shared" si="29"/>
        <v>751612</v>
      </c>
      <c r="F69" s="948"/>
      <c r="G69" s="1041"/>
      <c r="I69" s="1063">
        <f>B69/$B$75</f>
        <v>0.36497487621492758</v>
      </c>
      <c r="J69" s="1153">
        <f>C69/$C$75</f>
        <v>0.38295396069736737</v>
      </c>
      <c r="K69" s="1153">
        <f>D69/$D$75</f>
        <v>0.3092256659146142</v>
      </c>
      <c r="L69" s="1088">
        <f t="shared" si="28"/>
        <v>0.79209769751540748</v>
      </c>
      <c r="M69" s="1153"/>
      <c r="N69" s="1153"/>
      <c r="O69" s="1442"/>
      <c r="P69" s="1061">
        <v>28</v>
      </c>
      <c r="Q69" s="1061">
        <f>C42+C20</f>
        <v>30</v>
      </c>
      <c r="R69" s="1061">
        <v>26</v>
      </c>
      <c r="S69" s="1061">
        <f>E20+E42</f>
        <v>30</v>
      </c>
      <c r="T69" s="1061"/>
    </row>
    <row r="70" spans="1:20" hidden="1">
      <c r="A70" s="944" t="s">
        <v>99</v>
      </c>
      <c r="B70" s="948">
        <v>602620</v>
      </c>
      <c r="C70" s="948">
        <f>C33+C11</f>
        <v>347838</v>
      </c>
      <c r="D70" s="948">
        <f t="shared" si="29"/>
        <v>423878</v>
      </c>
      <c r="E70" s="948">
        <f t="shared" si="29"/>
        <v>352706</v>
      </c>
      <c r="F70" s="948"/>
      <c r="G70" s="1041"/>
      <c r="I70" s="1063">
        <f>B70/$B$75</f>
        <v>0.29469771990952992</v>
      </c>
      <c r="J70" s="1153">
        <f>C70/$C$75</f>
        <v>0.2045630574072495</v>
      </c>
      <c r="K70" s="1153">
        <f>D70/$D$75</f>
        <v>0.21705298538874421</v>
      </c>
      <c r="L70" s="1088">
        <f t="shared" si="28"/>
        <v>0.37170456365767085</v>
      </c>
      <c r="M70" s="1153"/>
      <c r="N70" s="1153"/>
      <c r="O70" s="1442"/>
      <c r="P70" s="1061">
        <v>17</v>
      </c>
      <c r="Q70" s="1061">
        <f>C43+C21</f>
        <v>12</v>
      </c>
      <c r="R70" s="1061">
        <v>15</v>
      </c>
      <c r="S70" s="1061">
        <f>E21+E43</f>
        <v>11</v>
      </c>
      <c r="T70" s="1061"/>
    </row>
    <row r="71" spans="1:20" hidden="1">
      <c r="A71" s="944" t="s">
        <v>698</v>
      </c>
      <c r="B71" s="948">
        <v>330339</v>
      </c>
      <c r="C71" s="948">
        <f>C34+C12</f>
        <v>332557</v>
      </c>
      <c r="D71" s="948">
        <f t="shared" si="29"/>
        <v>427884</v>
      </c>
      <c r="E71" s="948">
        <f t="shared" si="29"/>
        <v>451162</v>
      </c>
      <c r="F71" s="948"/>
      <c r="G71" s="1041"/>
      <c r="I71" s="1063">
        <f>B71/$B$75</f>
        <v>0.16154483770401615</v>
      </c>
      <c r="J71" s="1153">
        <f>C71/$C$75</f>
        <v>0.19557632197224761</v>
      </c>
      <c r="K71" s="1153">
        <f>D71/$D$75</f>
        <v>0.21910431680832085</v>
      </c>
      <c r="L71" s="1088">
        <f t="shared" si="28"/>
        <v>0.47546391144160322</v>
      </c>
      <c r="M71" s="1153"/>
      <c r="N71" s="1153"/>
      <c r="O71" s="1442"/>
      <c r="P71" s="1061">
        <v>9</v>
      </c>
      <c r="Q71" s="1061">
        <f>C44+C22</f>
        <v>11</v>
      </c>
      <c r="R71" s="1061">
        <v>12</v>
      </c>
      <c r="S71" s="1061">
        <f>E22+E44</f>
        <v>14</v>
      </c>
      <c r="T71" s="1061"/>
    </row>
    <row r="72" spans="1:20" hidden="1">
      <c r="A72" s="944" t="s">
        <v>827</v>
      </c>
      <c r="B72" s="948">
        <v>265865</v>
      </c>
      <c r="C72" s="948">
        <f>C36+C14</f>
        <v>228263</v>
      </c>
      <c r="D72" s="948">
        <f>D14+D36</f>
        <v>258910</v>
      </c>
      <c r="E72" s="948">
        <f>E14+E36</f>
        <v>176608</v>
      </c>
      <c r="F72" s="948"/>
      <c r="G72" s="1041"/>
      <c r="I72" s="1063">
        <f>B72/$B$75</f>
        <v>0.1300152821077083</v>
      </c>
      <c r="J72" s="1153">
        <f>C72/$C$75</f>
        <v>0.13424116161244887</v>
      </c>
      <c r="K72" s="1153">
        <f>D72/$D$75</f>
        <v>0.13257868643100082</v>
      </c>
      <c r="L72" s="1088">
        <f t="shared" si="28"/>
        <v>0.18612101744357606</v>
      </c>
      <c r="M72" s="1153"/>
      <c r="N72" s="1153"/>
      <c r="O72" s="1442"/>
      <c r="P72" s="1061">
        <v>6</v>
      </c>
      <c r="Q72" s="1061">
        <f>C46+C24</f>
        <v>6</v>
      </c>
      <c r="R72" s="1061">
        <v>6</v>
      </c>
      <c r="S72" s="1061">
        <f>E24+E46</f>
        <v>5</v>
      </c>
      <c r="T72" s="1061"/>
    </row>
    <row r="73" spans="1:20" hidden="1">
      <c r="A73" s="944" t="s">
        <v>12</v>
      </c>
      <c r="B73" s="948">
        <v>99930</v>
      </c>
      <c r="C73" s="948">
        <f>C37+C15</f>
        <v>91342</v>
      </c>
      <c r="D73" s="948">
        <f>D15+D37</f>
        <v>181930</v>
      </c>
      <c r="E73" s="948">
        <f>E15+E37</f>
        <v>122797</v>
      </c>
      <c r="F73" s="948"/>
      <c r="G73" s="1041"/>
      <c r="I73" s="1063">
        <f>B73/$B$75</f>
        <v>4.8868512745277828E-2</v>
      </c>
      <c r="J73" s="1153">
        <f>C73/$C$75</f>
        <v>5.3718106675213699E-2</v>
      </c>
      <c r="K73" s="1153">
        <f>D73/$D$75</f>
        <v>9.3159941378826536E-2</v>
      </c>
      <c r="L73" s="1088">
        <f t="shared" si="28"/>
        <v>0.12941147954236959</v>
      </c>
      <c r="M73" s="1153"/>
      <c r="N73" s="1153"/>
      <c r="O73" s="1442"/>
      <c r="P73" s="1061">
        <v>0</v>
      </c>
      <c r="Q73" s="1061">
        <v>1</v>
      </c>
      <c r="R73" s="1061">
        <v>1</v>
      </c>
      <c r="S73" s="1061">
        <v>0</v>
      </c>
      <c r="T73" s="1061"/>
    </row>
    <row r="74" spans="1:20" ht="2.25" hidden="1" customHeight="1">
      <c r="B74" s="948"/>
      <c r="C74" s="948"/>
      <c r="D74" s="948"/>
      <c r="E74" s="948"/>
      <c r="F74" s="948"/>
      <c r="G74" s="1041"/>
      <c r="L74" s="1088">
        <f t="shared" si="28"/>
        <v>0</v>
      </c>
      <c r="P74" s="1065"/>
    </row>
    <row r="75" spans="1:20" hidden="1">
      <c r="A75" s="944" t="s">
        <v>16</v>
      </c>
      <c r="B75" s="948">
        <f>B17+B39</f>
        <v>2044875</v>
      </c>
      <c r="C75" s="948">
        <f>C17+C39</f>
        <v>1700395</v>
      </c>
      <c r="D75" s="948">
        <f>D17+D39</f>
        <v>1952878</v>
      </c>
      <c r="E75" s="948">
        <f>E17+E39</f>
        <v>1898141</v>
      </c>
      <c r="F75" s="948"/>
      <c r="G75" s="1041"/>
      <c r="I75" s="1063">
        <f>SUM(I69:I74)</f>
        <v>1.0001012286814599</v>
      </c>
      <c r="J75" s="1153">
        <f>SUM(J69:J73)</f>
        <v>0.971052608364527</v>
      </c>
      <c r="K75" s="1153">
        <f>SUM(K69:K73)</f>
        <v>0.9711215959215066</v>
      </c>
      <c r="L75" s="1088">
        <f t="shared" si="28"/>
        <v>2.0003846607818838</v>
      </c>
      <c r="M75" s="1153"/>
      <c r="N75" s="1153"/>
      <c r="O75" s="1078"/>
      <c r="P75" s="944">
        <f>SUM(P69:P74)</f>
        <v>60</v>
      </c>
      <c r="Q75" s="944">
        <f>SUM(Q69:Q74)</f>
        <v>60</v>
      </c>
      <c r="R75" s="944">
        <f>SUM(R69:R74)</f>
        <v>60</v>
      </c>
      <c r="S75" s="944">
        <f>SUM(S69:S73)</f>
        <v>60</v>
      </c>
    </row>
    <row r="76" spans="1:20" ht="6" hidden="1" customHeight="1">
      <c r="B76" s="948"/>
      <c r="C76" s="948"/>
      <c r="D76" s="948"/>
      <c r="E76" s="948"/>
      <c r="F76" s="948"/>
      <c r="G76" s="1041"/>
      <c r="I76" s="1063"/>
      <c r="J76" s="1153"/>
      <c r="K76" s="1153"/>
      <c r="L76" s="1088">
        <f t="shared" si="28"/>
        <v>0</v>
      </c>
      <c r="M76" s="1153"/>
      <c r="N76" s="1153"/>
      <c r="O76" s="1078"/>
    </row>
    <row r="77" spans="1:20" hidden="1">
      <c r="A77" s="944" t="s">
        <v>219</v>
      </c>
      <c r="B77" s="1100">
        <v>0.46400000000000002</v>
      </c>
      <c r="C77" s="1153">
        <v>0.38200000000000001</v>
      </c>
      <c r="D77" s="1100">
        <v>0.434</v>
      </c>
      <c r="E77" s="1100">
        <v>0.41399999999999998</v>
      </c>
      <c r="F77" s="1100"/>
      <c r="G77" s="1437"/>
      <c r="I77" s="1063"/>
      <c r="J77" s="1153"/>
      <c r="K77" s="1153"/>
      <c r="L77" s="1088">
        <f t="shared" si="28"/>
        <v>4.3630017452006976E-7</v>
      </c>
      <c r="M77" s="1153"/>
      <c r="N77" s="1153"/>
      <c r="O77" s="1078"/>
    </row>
    <row r="78" spans="1:20" ht="5.25" customHeight="1">
      <c r="A78" s="1038"/>
      <c r="B78" s="1449"/>
      <c r="C78" s="1449"/>
      <c r="D78" s="1449"/>
      <c r="E78" s="1449"/>
      <c r="F78" s="1449"/>
      <c r="G78" s="1449"/>
      <c r="H78" s="1038"/>
      <c r="I78" s="1450"/>
      <c r="J78" s="1450"/>
      <c r="K78" s="1450"/>
      <c r="L78" s="1450"/>
      <c r="M78" s="1450"/>
      <c r="N78" s="1450"/>
    </row>
    <row r="79" spans="1:20">
      <c r="A79" s="1009" t="s">
        <v>1114</v>
      </c>
      <c r="B79" s="1009"/>
    </row>
    <row r="80" spans="1:20">
      <c r="A80" s="1069" t="s">
        <v>2331</v>
      </c>
      <c r="B80" s="1069"/>
    </row>
    <row r="81" spans="1:2">
      <c r="A81" s="1069" t="s">
        <v>2333</v>
      </c>
      <c r="B81" s="1069"/>
    </row>
    <row r="82" spans="1:2">
      <c r="A82" s="1009" t="s">
        <v>2334</v>
      </c>
      <c r="B82" s="1009"/>
    </row>
    <row r="83" spans="1:2">
      <c r="A83" s="1009" t="s">
        <v>2754</v>
      </c>
    </row>
    <row r="103" spans="1:7" ht="6" customHeight="1"/>
    <row r="104" spans="1:7" ht="3" customHeight="1"/>
    <row r="105" spans="1:7" ht="11.25" customHeight="1">
      <c r="A105" s="944" t="s">
        <v>1114</v>
      </c>
    </row>
    <row r="106" spans="1:7" ht="11.25" customHeight="1">
      <c r="A106" s="1117" t="s">
        <v>2335</v>
      </c>
    </row>
    <row r="107" spans="1:7" ht="11.25" customHeight="1">
      <c r="A107" s="1117" t="s">
        <v>2336</v>
      </c>
    </row>
    <row r="108" spans="1:7" ht="11.25" customHeight="1">
      <c r="A108" s="944" t="s">
        <v>2337</v>
      </c>
    </row>
    <row r="110" spans="1:7">
      <c r="A110" s="947" t="s">
        <v>1407</v>
      </c>
    </row>
    <row r="111" spans="1:7" ht="6" customHeight="1"/>
    <row r="112" spans="1:7">
      <c r="B112" s="3451" t="s">
        <v>147</v>
      </c>
      <c r="C112" s="3451"/>
      <c r="D112" s="3451"/>
      <c r="E112" s="3451"/>
      <c r="F112" s="3451"/>
      <c r="G112" s="3451"/>
    </row>
    <row r="113" spans="1:7">
      <c r="B113" s="1418">
        <v>1999</v>
      </c>
      <c r="C113" s="1418">
        <v>2003</v>
      </c>
      <c r="D113" s="1418">
        <v>2007</v>
      </c>
      <c r="E113" s="1418">
        <v>2011</v>
      </c>
      <c r="F113" s="1418"/>
      <c r="G113" s="1418">
        <v>2016</v>
      </c>
    </row>
    <row r="114" spans="1:7" ht="4.5" customHeight="1"/>
    <row r="115" spans="1:7">
      <c r="A115" s="1443" t="s">
        <v>699</v>
      </c>
      <c r="B115" s="944">
        <v>28</v>
      </c>
      <c r="C115" s="944">
        <v>30</v>
      </c>
      <c r="D115" s="944">
        <v>26</v>
      </c>
      <c r="E115" s="944">
        <v>30</v>
      </c>
      <c r="G115" s="1043">
        <v>29</v>
      </c>
    </row>
    <row r="116" spans="1:7">
      <c r="A116" s="1444" t="s">
        <v>99</v>
      </c>
      <c r="B116" s="944">
        <v>17</v>
      </c>
      <c r="C116" s="944">
        <v>12</v>
      </c>
      <c r="D116" s="944">
        <v>15</v>
      </c>
      <c r="E116" s="944">
        <v>11</v>
      </c>
      <c r="G116" s="1043">
        <v>12</v>
      </c>
    </row>
    <row r="117" spans="1:7">
      <c r="A117" s="1445" t="s">
        <v>698</v>
      </c>
      <c r="B117" s="944">
        <v>9</v>
      </c>
      <c r="C117" s="944">
        <v>11</v>
      </c>
      <c r="D117" s="944">
        <v>12</v>
      </c>
      <c r="E117" s="944">
        <v>14</v>
      </c>
      <c r="G117" s="1043">
        <v>11</v>
      </c>
    </row>
    <row r="118" spans="1:7">
      <c r="A118" s="1446" t="s">
        <v>251</v>
      </c>
      <c r="B118" s="944">
        <v>0</v>
      </c>
      <c r="C118" s="944">
        <v>0</v>
      </c>
      <c r="D118" s="944">
        <v>0</v>
      </c>
      <c r="E118" s="944">
        <v>0</v>
      </c>
      <c r="G118" s="1043">
        <v>7</v>
      </c>
    </row>
    <row r="119" spans="1:7">
      <c r="A119" s="1447" t="s">
        <v>827</v>
      </c>
      <c r="B119" s="944">
        <v>6</v>
      </c>
      <c r="C119" s="944">
        <v>6</v>
      </c>
      <c r="D119" s="944">
        <v>6</v>
      </c>
      <c r="E119" s="944">
        <v>5</v>
      </c>
      <c r="G119" s="1043">
        <v>1</v>
      </c>
    </row>
    <row r="120" spans="1:7">
      <c r="A120" s="1448" t="s">
        <v>28</v>
      </c>
      <c r="B120" s="944">
        <v>0</v>
      </c>
      <c r="C120" s="944">
        <v>1</v>
      </c>
      <c r="D120" s="944">
        <v>1</v>
      </c>
      <c r="E120" s="944">
        <v>0</v>
      </c>
      <c r="G120" s="1043">
        <v>0</v>
      </c>
    </row>
    <row r="121" spans="1:7" ht="4.5" customHeight="1"/>
    <row r="122" spans="1:7">
      <c r="A122" s="944" t="s">
        <v>16</v>
      </c>
      <c r="B122" s="944">
        <v>60</v>
      </c>
      <c r="C122" s="944">
        <v>60</v>
      </c>
      <c r="D122" s="944">
        <v>60</v>
      </c>
      <c r="E122" s="944">
        <v>60</v>
      </c>
      <c r="G122" s="1043">
        <f>SUM(G115:G120)</f>
        <v>60</v>
      </c>
    </row>
    <row r="123" spans="1:7" ht="4.5" customHeight="1"/>
    <row r="124" spans="1:7" ht="3" customHeight="1"/>
    <row r="125" spans="1:7">
      <c r="A125" s="944" t="s">
        <v>177</v>
      </c>
    </row>
    <row r="126" spans="1:7">
      <c r="B126" s="944">
        <v>2205117</v>
      </c>
      <c r="C126" s="944">
        <v>2229545</v>
      </c>
      <c r="D126" s="944">
        <v>2248122</v>
      </c>
      <c r="E126" s="944">
        <v>2289735</v>
      </c>
    </row>
    <row r="127" spans="1:7">
      <c r="A127" s="944" t="s">
        <v>1155</v>
      </c>
    </row>
  </sheetData>
  <mergeCells count="4">
    <mergeCell ref="P5:T5"/>
    <mergeCell ref="B5:G5"/>
    <mergeCell ref="I5:N5"/>
    <mergeCell ref="B112:G112"/>
  </mergeCells>
  <pageMargins left="0.7" right="0.7" top="0.75" bottom="0.75" header="0.3" footer="0.3"/>
  <pageSetup paperSize="9" orientation="portrait" verticalDpi="0"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1"/>
  <dimension ref="A1:K26"/>
  <sheetViews>
    <sheetView showGridLines="0" zoomScale="55" zoomScaleNormal="55" workbookViewId="0">
      <selection activeCell="X67" sqref="X67"/>
    </sheetView>
  </sheetViews>
  <sheetFormatPr baseColWidth="10" defaultColWidth="9.3984375" defaultRowHeight="12"/>
  <cols>
    <col min="1" max="7" width="6.796875" style="101" customWidth="1"/>
    <col min="8" max="8" width="1.19921875" style="101" customWidth="1"/>
    <col min="9" max="12" width="7.796875" style="101" customWidth="1"/>
    <col min="13" max="13" width="1.19921875" style="101" customWidth="1"/>
    <col min="14" max="17" width="7.796875" style="101" customWidth="1"/>
    <col min="18" max="16384" width="9.3984375" style="101"/>
  </cols>
  <sheetData>
    <row r="1" spans="1:11" ht="3" customHeight="1"/>
    <row r="2" spans="1:11" ht="11.25" customHeight="1">
      <c r="A2" s="127" t="s">
        <v>1114</v>
      </c>
      <c r="B2" s="127"/>
      <c r="C2" s="127"/>
    </row>
    <row r="3" spans="1:11" ht="11.25" customHeight="1">
      <c r="A3" s="140" t="s">
        <v>1584</v>
      </c>
      <c r="B3" s="140"/>
      <c r="C3" s="140"/>
    </row>
    <row r="4" spans="1:11" ht="11.25" customHeight="1">
      <c r="A4" s="140" t="s">
        <v>1585</v>
      </c>
      <c r="B4" s="140"/>
      <c r="C4" s="140"/>
    </row>
    <row r="5" spans="1:11" ht="11.25" customHeight="1">
      <c r="A5" s="127" t="s">
        <v>1586</v>
      </c>
      <c r="B5" s="127"/>
      <c r="C5" s="127"/>
    </row>
    <row r="7" spans="1:11" ht="14">
      <c r="A7" s="129" t="s">
        <v>2755</v>
      </c>
      <c r="B7" s="129"/>
      <c r="C7" s="129"/>
    </row>
    <row r="8" spans="1:11" ht="6" customHeight="1"/>
    <row r="9" spans="1:11" ht="12.75" customHeight="1">
      <c r="D9" s="3452" t="s">
        <v>147</v>
      </c>
      <c r="E9" s="3452"/>
      <c r="F9" s="3452"/>
      <c r="G9" s="3452"/>
      <c r="J9" s="101" t="s">
        <v>1587</v>
      </c>
      <c r="K9" s="101" t="s">
        <v>1588</v>
      </c>
    </row>
    <row r="10" spans="1:11">
      <c r="B10" s="3290">
        <v>2021</v>
      </c>
      <c r="C10" s="382">
        <v>2016</v>
      </c>
      <c r="D10" s="382">
        <v>2011</v>
      </c>
      <c r="E10" s="382">
        <v>2007</v>
      </c>
      <c r="F10" s="382">
        <v>2003</v>
      </c>
      <c r="G10" s="382">
        <v>1999</v>
      </c>
      <c r="J10" s="101" t="s">
        <v>1583</v>
      </c>
    </row>
    <row r="11" spans="1:11">
      <c r="A11" s="101" t="s">
        <v>699</v>
      </c>
      <c r="B11" s="141">
        <v>30</v>
      </c>
      <c r="C11" s="101">
        <v>29</v>
      </c>
      <c r="D11" s="101">
        <v>30</v>
      </c>
      <c r="E11" s="101">
        <v>26</v>
      </c>
      <c r="F11" s="101">
        <v>30</v>
      </c>
      <c r="G11" s="101">
        <v>28</v>
      </c>
      <c r="J11" s="101">
        <f t="shared" ref="J11:K16" si="0">D11-E11</f>
        <v>4</v>
      </c>
      <c r="K11" s="101">
        <f t="shared" si="0"/>
        <v>-4</v>
      </c>
    </row>
    <row r="12" spans="1:11">
      <c r="A12" s="101" t="s">
        <v>99</v>
      </c>
      <c r="B12" s="141">
        <v>13</v>
      </c>
      <c r="C12" s="101">
        <v>12</v>
      </c>
      <c r="D12" s="101">
        <v>11</v>
      </c>
      <c r="E12" s="101">
        <v>15</v>
      </c>
      <c r="F12" s="101">
        <v>12</v>
      </c>
      <c r="G12" s="101">
        <v>17</v>
      </c>
      <c r="J12" s="101">
        <f t="shared" si="0"/>
        <v>-4</v>
      </c>
      <c r="K12" s="101">
        <f t="shared" si="0"/>
        <v>3</v>
      </c>
    </row>
    <row r="13" spans="1:11">
      <c r="A13" s="101" t="s">
        <v>698</v>
      </c>
      <c r="B13" s="141">
        <v>16</v>
      </c>
      <c r="C13" s="101">
        <v>11</v>
      </c>
      <c r="D13" s="101">
        <v>14</v>
      </c>
      <c r="E13" s="101">
        <v>12</v>
      </c>
      <c r="F13" s="101">
        <v>11</v>
      </c>
      <c r="G13" s="101">
        <v>9</v>
      </c>
      <c r="J13" s="101">
        <f t="shared" si="0"/>
        <v>2</v>
      </c>
      <c r="K13" s="101">
        <f t="shared" si="0"/>
        <v>1</v>
      </c>
    </row>
    <row r="14" spans="1:11">
      <c r="A14" s="101" t="s">
        <v>251</v>
      </c>
      <c r="B14" s="141">
        <v>0</v>
      </c>
      <c r="C14" s="101">
        <v>7</v>
      </c>
      <c r="D14" s="101">
        <v>0</v>
      </c>
      <c r="E14" s="101">
        <v>0</v>
      </c>
      <c r="F14" s="101">
        <v>0</v>
      </c>
      <c r="G14" s="101">
        <v>0</v>
      </c>
    </row>
    <row r="15" spans="1:11">
      <c r="A15" s="101" t="s">
        <v>827</v>
      </c>
      <c r="B15" s="141">
        <v>1</v>
      </c>
      <c r="C15" s="101">
        <v>1</v>
      </c>
      <c r="D15" s="101">
        <v>5</v>
      </c>
      <c r="E15" s="101">
        <v>6</v>
      </c>
      <c r="F15" s="101">
        <v>6</v>
      </c>
      <c r="G15" s="101">
        <v>6</v>
      </c>
      <c r="J15" s="101">
        <f t="shared" si="0"/>
        <v>-1</v>
      </c>
      <c r="K15" s="101">
        <f t="shared" si="0"/>
        <v>0</v>
      </c>
    </row>
    <row r="16" spans="1:11">
      <c r="A16" s="101" t="s">
        <v>12</v>
      </c>
      <c r="B16" s="141">
        <v>0</v>
      </c>
      <c r="C16" s="101">
        <v>0</v>
      </c>
      <c r="D16" s="101">
        <v>0</v>
      </c>
      <c r="E16" s="101">
        <v>1</v>
      </c>
      <c r="F16" s="101">
        <v>1</v>
      </c>
      <c r="G16" s="101">
        <v>0</v>
      </c>
      <c r="J16" s="101">
        <f t="shared" si="0"/>
        <v>-1</v>
      </c>
      <c r="K16" s="101">
        <f t="shared" si="0"/>
        <v>0</v>
      </c>
    </row>
    <row r="17" spans="1:7" ht="4.5" customHeight="1"/>
    <row r="18" spans="1:7">
      <c r="A18" s="101" t="s">
        <v>16</v>
      </c>
      <c r="B18" s="164">
        <v>60</v>
      </c>
      <c r="C18" s="101">
        <v>60</v>
      </c>
      <c r="D18" s="101">
        <v>60</v>
      </c>
      <c r="E18" s="101">
        <v>60</v>
      </c>
      <c r="F18" s="101">
        <v>60</v>
      </c>
      <c r="G18" s="101">
        <v>60</v>
      </c>
    </row>
    <row r="19" spans="1:7" ht="4.5" customHeight="1">
      <c r="A19" s="136"/>
      <c r="B19" s="136"/>
      <c r="C19" s="136"/>
      <c r="D19" s="136"/>
      <c r="E19" s="136"/>
      <c r="F19" s="136"/>
      <c r="G19" s="136"/>
    </row>
    <row r="20" spans="1:7" ht="3" customHeight="1"/>
    <row r="21" spans="1:7">
      <c r="A21" s="101" t="s">
        <v>177</v>
      </c>
    </row>
    <row r="22" spans="1:7">
      <c r="D22" s="101">
        <v>2289735</v>
      </c>
      <c r="E22" s="101">
        <v>2248122</v>
      </c>
      <c r="F22" s="101">
        <v>2229545</v>
      </c>
      <c r="G22" s="101">
        <v>2205117</v>
      </c>
    </row>
    <row r="23" spans="1:7">
      <c r="A23" s="101" t="s">
        <v>1155</v>
      </c>
    </row>
    <row r="26" spans="1:7">
      <c r="A26" s="101" t="s">
        <v>1582</v>
      </c>
    </row>
  </sheetData>
  <mergeCells count="1">
    <mergeCell ref="D9:G9"/>
  </mergeCells>
  <pageMargins left="0.7" right="0.7" top="0.75" bottom="0.75" header="0.3" footer="0.3"/>
  <pageSetup paperSize="9" orientation="portrait" verticalDpi="0"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2"/>
  <dimension ref="A1:O37"/>
  <sheetViews>
    <sheetView showGridLines="0" zoomScale="70" zoomScaleNormal="70" workbookViewId="0">
      <selection activeCell="O68" sqref="O68"/>
    </sheetView>
  </sheetViews>
  <sheetFormatPr baseColWidth="10" defaultColWidth="9.3984375" defaultRowHeight="12"/>
  <cols>
    <col min="1" max="1" width="17.59765625" style="101" customWidth="1"/>
    <col min="2" max="5" width="10.796875" style="101" customWidth="1"/>
    <col min="6" max="6" width="1.19921875" style="101" customWidth="1"/>
    <col min="7" max="7" width="8.19921875" style="101" customWidth="1"/>
    <col min="8" max="8" width="8.19921875" style="101" bestFit="1" customWidth="1"/>
    <col min="9" max="10" width="8.19921875" style="101" customWidth="1"/>
    <col min="11" max="11" width="1.19921875" style="101" customWidth="1"/>
    <col min="12" max="15" width="8.19921875" style="101" customWidth="1"/>
    <col min="16" max="16384" width="9.3984375" style="101"/>
  </cols>
  <sheetData>
    <row r="1" spans="1:15">
      <c r="A1" s="101" t="s">
        <v>442</v>
      </c>
    </row>
    <row r="3" spans="1:15" ht="13">
      <c r="A3" s="417" t="s">
        <v>1406</v>
      </c>
      <c r="B3" s="379"/>
      <c r="C3" s="379"/>
      <c r="D3" s="379"/>
      <c r="E3" s="379"/>
      <c r="F3" s="379"/>
      <c r="G3" s="379"/>
      <c r="H3" s="379"/>
      <c r="I3" s="379"/>
      <c r="J3" s="379"/>
      <c r="K3" s="379"/>
      <c r="L3" s="379"/>
      <c r="M3" s="379"/>
      <c r="N3" s="379"/>
      <c r="O3" s="379"/>
    </row>
    <row r="4" spans="1:15">
      <c r="A4" s="379"/>
      <c r="B4" s="379"/>
      <c r="C4" s="379"/>
      <c r="D4" s="379"/>
      <c r="E4" s="379"/>
      <c r="F4" s="379"/>
      <c r="G4" s="379"/>
      <c r="H4" s="379"/>
      <c r="I4" s="379"/>
      <c r="J4" s="379"/>
      <c r="K4" s="379"/>
      <c r="L4" s="379"/>
      <c r="M4" s="379"/>
      <c r="N4" s="379"/>
      <c r="O4" s="379"/>
    </row>
    <row r="5" spans="1:15" ht="12.75" customHeight="1">
      <c r="A5" s="379"/>
      <c r="B5" s="3452" t="s">
        <v>731</v>
      </c>
      <c r="C5" s="3452"/>
      <c r="D5" s="3452"/>
      <c r="E5" s="3452"/>
      <c r="F5" s="380"/>
      <c r="G5" s="3452" t="s">
        <v>804</v>
      </c>
      <c r="H5" s="3452"/>
      <c r="I5" s="3452"/>
      <c r="J5" s="3452"/>
      <c r="K5" s="380"/>
      <c r="L5" s="3452" t="s">
        <v>56</v>
      </c>
      <c r="M5" s="3452"/>
      <c r="N5" s="3452"/>
      <c r="O5" s="3452"/>
    </row>
    <row r="6" spans="1:15">
      <c r="A6" s="379"/>
      <c r="B6" s="381">
        <v>1999</v>
      </c>
      <c r="C6" s="382">
        <v>2003</v>
      </c>
      <c r="D6" s="382">
        <v>2007</v>
      </c>
      <c r="E6" s="382">
        <v>2011</v>
      </c>
      <c r="F6" s="383"/>
      <c r="G6" s="381">
        <v>1999</v>
      </c>
      <c r="H6" s="382">
        <v>2003</v>
      </c>
      <c r="I6" s="382">
        <v>2007</v>
      </c>
      <c r="J6" s="382">
        <v>2011</v>
      </c>
      <c r="K6" s="384"/>
      <c r="L6" s="382">
        <v>1999</v>
      </c>
      <c r="M6" s="382">
        <v>2003</v>
      </c>
      <c r="N6" s="382">
        <v>2007</v>
      </c>
      <c r="O6" s="382">
        <v>2011</v>
      </c>
    </row>
    <row r="7" spans="1:15" ht="6" customHeight="1">
      <c r="A7" s="379"/>
      <c r="B7" s="379"/>
      <c r="C7" s="157"/>
      <c r="D7" s="157"/>
      <c r="E7" s="157"/>
      <c r="F7" s="157"/>
      <c r="G7" s="157"/>
      <c r="H7" s="157"/>
      <c r="I7" s="157"/>
      <c r="J7" s="157"/>
      <c r="K7" s="157"/>
      <c r="L7" s="157"/>
      <c r="M7" s="379"/>
      <c r="N7" s="379"/>
      <c r="O7" s="379"/>
    </row>
    <row r="8" spans="1:15">
      <c r="A8" s="385" t="s">
        <v>145</v>
      </c>
      <c r="B8" s="379"/>
      <c r="C8" s="379"/>
      <c r="D8" s="379"/>
      <c r="E8" s="379"/>
      <c r="F8" s="379"/>
      <c r="G8" s="379"/>
      <c r="H8" s="379"/>
      <c r="I8" s="379"/>
      <c r="J8" s="379"/>
      <c r="K8" s="379"/>
      <c r="L8" s="379"/>
      <c r="M8" s="379"/>
      <c r="N8" s="379"/>
      <c r="O8" s="379"/>
    </row>
    <row r="9" spans="1:15" ht="2.25" customHeight="1">
      <c r="A9" s="379"/>
      <c r="B9" s="379"/>
      <c r="C9" s="379"/>
      <c r="D9" s="379"/>
      <c r="E9" s="379"/>
      <c r="F9" s="379"/>
      <c r="G9" s="379"/>
      <c r="H9" s="379"/>
      <c r="I9" s="379"/>
      <c r="J9" s="379"/>
      <c r="K9" s="379"/>
      <c r="L9" s="379"/>
      <c r="M9" s="379"/>
      <c r="N9" s="379"/>
      <c r="O9" s="379"/>
    </row>
    <row r="10" spans="1:15">
      <c r="A10" s="379" t="s">
        <v>14</v>
      </c>
      <c r="B10" s="379">
        <v>384671</v>
      </c>
      <c r="C10" s="379">
        <v>340515</v>
      </c>
      <c r="D10" s="379">
        <v>314925</v>
      </c>
      <c r="E10" s="379">
        <v>401677</v>
      </c>
      <c r="F10" s="386"/>
      <c r="G10" s="180">
        <f>B10/$B$16</f>
        <v>0.37593979818710449</v>
      </c>
      <c r="H10" s="180">
        <f>C10/$C$16</f>
        <v>0.40041603804313952</v>
      </c>
      <c r="I10" s="180">
        <f>D10/$D$16</f>
        <v>0.32196574695439878</v>
      </c>
      <c r="J10" s="180">
        <f>E10/$E$16</f>
        <v>0.42315062475441217</v>
      </c>
      <c r="K10" s="387"/>
      <c r="L10" s="388">
        <v>27</v>
      </c>
      <c r="M10" s="388">
        <v>30</v>
      </c>
      <c r="N10" s="388">
        <v>24</v>
      </c>
      <c r="O10" s="418">
        <v>28</v>
      </c>
    </row>
    <row r="11" spans="1:15">
      <c r="A11" s="379" t="s">
        <v>23</v>
      </c>
      <c r="B11" s="379">
        <v>290572</v>
      </c>
      <c r="C11" s="379">
        <v>180183</v>
      </c>
      <c r="D11" s="379">
        <v>219121</v>
      </c>
      <c r="E11" s="379">
        <v>182907</v>
      </c>
      <c r="F11" s="386"/>
      <c r="G11" s="180">
        <f>B11/$B$16</f>
        <v>0.28397664247843829</v>
      </c>
      <c r="H11" s="180">
        <f>C11/$C$16</f>
        <v>0.21187954416905866</v>
      </c>
      <c r="I11" s="180">
        <f>D11/$D$16</f>
        <v>0.2240198664392945</v>
      </c>
      <c r="J11" s="180">
        <f>E11/$E$16</f>
        <v>0.1926851956222419</v>
      </c>
      <c r="K11" s="387"/>
      <c r="L11" s="388">
        <v>9</v>
      </c>
      <c r="M11" s="388">
        <v>5</v>
      </c>
      <c r="N11" s="388">
        <v>7</v>
      </c>
      <c r="O11" s="418">
        <v>5</v>
      </c>
    </row>
    <row r="12" spans="1:15">
      <c r="A12" s="379" t="s">
        <v>13</v>
      </c>
      <c r="B12" s="379">
        <v>162133</v>
      </c>
      <c r="C12" s="379">
        <v>169432</v>
      </c>
      <c r="D12" s="379">
        <v>218730</v>
      </c>
      <c r="E12" s="379">
        <v>237389</v>
      </c>
      <c r="F12" s="386"/>
      <c r="G12" s="180">
        <f>B12/$B$16</f>
        <v>0.15845293068484448</v>
      </c>
      <c r="H12" s="180">
        <f>C12/$C$16</f>
        <v>0.19923730278467974</v>
      </c>
      <c r="I12" s="180">
        <f>D12/$D$16</f>
        <v>0.22362012489111899</v>
      </c>
      <c r="J12" s="180">
        <f>E12/$E$16</f>
        <v>0.25007979958978271</v>
      </c>
      <c r="K12" s="387"/>
      <c r="L12" s="388">
        <v>1</v>
      </c>
      <c r="M12" s="388">
        <v>1</v>
      </c>
      <c r="N12" s="388">
        <v>5</v>
      </c>
      <c r="O12" s="418">
        <v>6</v>
      </c>
    </row>
    <row r="13" spans="1:15">
      <c r="A13" s="379" t="s">
        <v>22</v>
      </c>
      <c r="B13" s="379">
        <v>137857</v>
      </c>
      <c r="C13" s="379">
        <v>120220</v>
      </c>
      <c r="D13" s="379">
        <v>144450</v>
      </c>
      <c r="E13" s="379">
        <v>100259</v>
      </c>
      <c r="F13" s="386"/>
      <c r="G13" s="180">
        <f>B13/$B$16</f>
        <v>0.13472794351193532</v>
      </c>
      <c r="H13" s="180">
        <f>C13/$C$16</f>
        <v>0.1413682689266148</v>
      </c>
      <c r="I13" s="180">
        <f>D13/$D$16</f>
        <v>0.14767945430678067</v>
      </c>
      <c r="J13" s="180">
        <f>E13/$E$16</f>
        <v>0.10561883923464029</v>
      </c>
      <c r="K13" s="387"/>
      <c r="L13" s="388">
        <v>3</v>
      </c>
      <c r="M13" s="388">
        <v>3</v>
      </c>
      <c r="N13" s="388">
        <v>3</v>
      </c>
      <c r="O13" s="418">
        <v>1</v>
      </c>
    </row>
    <row r="14" spans="1:15">
      <c r="A14" s="379" t="s">
        <v>28</v>
      </c>
      <c r="B14" s="379">
        <v>47992</v>
      </c>
      <c r="C14" s="379">
        <v>40053</v>
      </c>
      <c r="D14" s="379">
        <v>80906</v>
      </c>
      <c r="E14" s="379">
        <v>27021</v>
      </c>
      <c r="F14" s="388"/>
      <c r="G14" s="180">
        <f>B14/$B$16</f>
        <v>4.6902685137677438E-2</v>
      </c>
      <c r="H14" s="180">
        <f>C14/$C$16</f>
        <v>4.7098846076507259E-2</v>
      </c>
      <c r="I14" s="180">
        <f>D14/$D$16</f>
        <v>8.2714807408407046E-2</v>
      </c>
      <c r="J14" s="180">
        <f>E14/$E$16</f>
        <v>2.8465540798922943E-2</v>
      </c>
      <c r="K14" s="387"/>
      <c r="L14" s="402" t="s">
        <v>246</v>
      </c>
      <c r="M14" s="388">
        <v>1</v>
      </c>
      <c r="N14" s="388">
        <v>1</v>
      </c>
      <c r="O14" s="418">
        <v>0</v>
      </c>
    </row>
    <row r="15" spans="1:15" ht="2.25" customHeight="1">
      <c r="A15" s="379"/>
      <c r="B15" s="379"/>
      <c r="C15" s="379"/>
      <c r="D15" s="379"/>
      <c r="E15" s="379"/>
      <c r="F15" s="388"/>
      <c r="G15" s="388"/>
      <c r="H15" s="180"/>
      <c r="I15" s="180"/>
      <c r="J15" s="180"/>
      <c r="K15" s="180"/>
      <c r="L15" s="388"/>
      <c r="M15" s="379"/>
      <c r="N15" s="379"/>
      <c r="O15" s="379"/>
    </row>
    <row r="16" spans="1:15">
      <c r="A16" s="379" t="s">
        <v>16</v>
      </c>
      <c r="B16" s="379">
        <f>SUM(B10:B14)</f>
        <v>1023225</v>
      </c>
      <c r="C16" s="379">
        <f>SUM(C10:C14)</f>
        <v>850403</v>
      </c>
      <c r="D16" s="379">
        <f>SUM(D10:D14)</f>
        <v>978132</v>
      </c>
      <c r="E16" s="379">
        <f>SUM(E10:E14)</f>
        <v>949253</v>
      </c>
      <c r="F16" s="388"/>
      <c r="G16" s="180">
        <f>SUM(G10:G15)</f>
        <v>1</v>
      </c>
      <c r="H16" s="180">
        <f>SUM(H10:H15)</f>
        <v>1</v>
      </c>
      <c r="I16" s="180">
        <f>SUM(I10:I15)</f>
        <v>1</v>
      </c>
      <c r="J16" s="180">
        <f>SUM(J10:J15)</f>
        <v>1.0000000000000002</v>
      </c>
      <c r="K16" s="389"/>
      <c r="L16" s="379">
        <f>SUM(L10:L15)</f>
        <v>40</v>
      </c>
      <c r="M16" s="379">
        <f>SUM(M10:M15)</f>
        <v>40</v>
      </c>
      <c r="N16" s="379">
        <f>SUM(N10:N15)</f>
        <v>40</v>
      </c>
      <c r="O16" s="418">
        <v>40</v>
      </c>
    </row>
    <row r="17" spans="1:15" ht="6" customHeight="1">
      <c r="B17" s="379"/>
      <c r="C17" s="379"/>
      <c r="D17" s="379"/>
      <c r="E17" s="379"/>
      <c r="F17" s="181"/>
      <c r="G17" s="181"/>
      <c r="H17" s="105"/>
      <c r="I17" s="105"/>
      <c r="J17" s="105"/>
      <c r="K17" s="105"/>
      <c r="L17" s="147"/>
    </row>
    <row r="18" spans="1:15">
      <c r="A18" s="390" t="s">
        <v>146</v>
      </c>
      <c r="B18" s="379"/>
      <c r="C18" s="379"/>
      <c r="D18" s="379"/>
      <c r="E18" s="379"/>
      <c r="F18" s="391"/>
      <c r="G18" s="391"/>
      <c r="H18" s="392"/>
      <c r="I18" s="392"/>
      <c r="J18" s="392"/>
      <c r="K18" s="392"/>
      <c r="L18" s="388"/>
      <c r="M18" s="379"/>
      <c r="N18" s="379"/>
      <c r="O18" s="379"/>
    </row>
    <row r="19" spans="1:15" ht="2.25" customHeight="1">
      <c r="A19" s="392"/>
      <c r="B19" s="379"/>
      <c r="C19" s="379"/>
      <c r="D19" s="379"/>
      <c r="E19" s="379"/>
      <c r="F19" s="393"/>
      <c r="G19" s="393"/>
      <c r="H19" s="392"/>
      <c r="I19" s="392"/>
      <c r="J19" s="392"/>
      <c r="K19" s="392"/>
      <c r="L19" s="388"/>
      <c r="M19" s="379"/>
      <c r="N19" s="379"/>
      <c r="O19" s="379"/>
    </row>
    <row r="20" spans="1:15">
      <c r="A20" s="379" t="s">
        <v>14</v>
      </c>
      <c r="B20" s="379">
        <v>361657</v>
      </c>
      <c r="C20" s="379">
        <v>310658</v>
      </c>
      <c r="D20" s="379">
        <v>288954</v>
      </c>
      <c r="E20" s="379">
        <v>349935</v>
      </c>
      <c r="F20" s="386"/>
      <c r="G20" s="180">
        <f>B20/$B$26</f>
        <v>0.35392134124442071</v>
      </c>
      <c r="H20" s="180">
        <f>C20/$C$26</f>
        <v>0.36567273103941844</v>
      </c>
      <c r="I20" s="180">
        <f>D20/$D$26</f>
        <v>0.29639834072566584</v>
      </c>
      <c r="J20" s="180">
        <f>E20/$E$26</f>
        <v>0.36878430331082279</v>
      </c>
      <c r="K20" s="387"/>
      <c r="L20" s="388">
        <v>1</v>
      </c>
      <c r="M20" s="394">
        <v>0</v>
      </c>
      <c r="N20" s="394">
        <v>2</v>
      </c>
      <c r="O20" s="394">
        <v>2</v>
      </c>
    </row>
    <row r="21" spans="1:15">
      <c r="A21" s="379" t="s">
        <v>23</v>
      </c>
      <c r="B21" s="379">
        <v>312048</v>
      </c>
      <c r="C21" s="379">
        <v>167653</v>
      </c>
      <c r="D21" s="379">
        <v>204757</v>
      </c>
      <c r="E21" s="379">
        <v>169799</v>
      </c>
      <c r="F21" s="386"/>
      <c r="G21" s="180">
        <f>B21/$B$26</f>
        <v>0.30537345244980463</v>
      </c>
      <c r="H21" s="180">
        <f>C21/$C$26</f>
        <v>0.1973428348117596</v>
      </c>
      <c r="I21" s="180">
        <f>D21/$D$26</f>
        <v>0.21003216792972293</v>
      </c>
      <c r="J21" s="180">
        <f>E21/$E$26</f>
        <v>0.1789452495974235</v>
      </c>
      <c r="K21" s="387"/>
      <c r="L21" s="388">
        <v>8</v>
      </c>
      <c r="M21" s="419">
        <v>7</v>
      </c>
      <c r="N21" s="419">
        <v>8</v>
      </c>
      <c r="O21" s="419">
        <v>6</v>
      </c>
    </row>
    <row r="22" spans="1:15">
      <c r="A22" s="379" t="s">
        <v>13</v>
      </c>
      <c r="B22" s="379">
        <v>168206</v>
      </c>
      <c r="C22" s="379">
        <v>162725</v>
      </c>
      <c r="D22" s="379">
        <v>209153</v>
      </c>
      <c r="E22" s="379">
        <v>213773</v>
      </c>
      <c r="F22" s="386"/>
      <c r="G22" s="180">
        <f>B22/$B$26</f>
        <v>0.16460815945871096</v>
      </c>
      <c r="H22" s="180">
        <f>C22/$C$26</f>
        <v>0.19154213044051452</v>
      </c>
      <c r="I22" s="180">
        <f>D22/$D$26</f>
        <v>0.21454142236409665</v>
      </c>
      <c r="J22" s="180">
        <f>E22/$E$26</f>
        <v>0.22528791596057701</v>
      </c>
      <c r="K22" s="387"/>
      <c r="L22" s="388">
        <v>8</v>
      </c>
      <c r="M22" s="419">
        <v>10</v>
      </c>
      <c r="N22" s="419">
        <v>7</v>
      </c>
      <c r="O22" s="419">
        <v>8</v>
      </c>
    </row>
    <row r="23" spans="1:15">
      <c r="A23" s="379" t="s">
        <v>22</v>
      </c>
      <c r="B23" s="379">
        <v>128008</v>
      </c>
      <c r="C23" s="379">
        <v>108013</v>
      </c>
      <c r="D23" s="379">
        <v>114500</v>
      </c>
      <c r="E23" s="379">
        <v>76349</v>
      </c>
      <c r="F23" s="386"/>
      <c r="G23" s="180">
        <f>B23/$B$26</f>
        <v>0.12526997417446864</v>
      </c>
      <c r="H23" s="180">
        <f>C23/$C$26</f>
        <v>0.12714112850066858</v>
      </c>
      <c r="I23" s="180">
        <f>D23/$D$26</f>
        <v>0.1174498709590064</v>
      </c>
      <c r="J23" s="180">
        <f>E23/$E$26</f>
        <v>8.0461550783654134E-2</v>
      </c>
      <c r="K23" s="387"/>
      <c r="L23" s="388">
        <v>3</v>
      </c>
      <c r="M23" s="419">
        <v>3</v>
      </c>
      <c r="N23" s="419">
        <v>3</v>
      </c>
      <c r="O23" s="419">
        <v>4</v>
      </c>
    </row>
    <row r="24" spans="1:15">
      <c r="A24" s="379" t="s">
        <v>28</v>
      </c>
      <c r="B24" s="379">
        <v>51938</v>
      </c>
      <c r="C24" s="379">
        <v>100503</v>
      </c>
      <c r="D24" s="379">
        <v>157520</v>
      </c>
      <c r="E24" s="379">
        <v>139032</v>
      </c>
      <c r="F24" s="182"/>
      <c r="G24" s="180">
        <f>B24/$B$26</f>
        <v>5.0827072672595092E-2</v>
      </c>
      <c r="H24" s="180">
        <f>C24/$C$26</f>
        <v>0.11830117520763885</v>
      </c>
      <c r="I24" s="180">
        <f>D24/$D$26</f>
        <v>0.16157819802150819</v>
      </c>
      <c r="J24" s="180">
        <f>E24/$E$26</f>
        <v>0.14652098034752256</v>
      </c>
      <c r="K24" s="387"/>
      <c r="L24" s="402" t="s">
        <v>246</v>
      </c>
      <c r="M24" s="420" t="s">
        <v>246</v>
      </c>
      <c r="N24" s="420" t="s">
        <v>246</v>
      </c>
      <c r="O24" s="420" t="s">
        <v>246</v>
      </c>
    </row>
    <row r="25" spans="1:15" ht="2.25" customHeight="1">
      <c r="A25" s="379"/>
      <c r="B25" s="379"/>
      <c r="C25" s="379"/>
      <c r="D25" s="379"/>
      <c r="E25" s="379"/>
      <c r="F25" s="395"/>
      <c r="G25" s="395"/>
      <c r="H25" s="180"/>
      <c r="I25" s="180"/>
      <c r="J25" s="180"/>
      <c r="K25" s="180"/>
      <c r="L25" s="388"/>
      <c r="M25" s="379"/>
      <c r="N25" s="379"/>
      <c r="O25" s="379"/>
    </row>
    <row r="26" spans="1:15">
      <c r="A26" s="379" t="s">
        <v>16</v>
      </c>
      <c r="B26" s="379">
        <f>SUM(B20:B24)</f>
        <v>1021857</v>
      </c>
      <c r="C26" s="379">
        <f>SUM(C20:C24)</f>
        <v>849552</v>
      </c>
      <c r="D26" s="379">
        <f>SUM(D20:D24)</f>
        <v>974884</v>
      </c>
      <c r="E26" s="379">
        <f>SUM(E20:E24)</f>
        <v>948888</v>
      </c>
      <c r="F26" s="388"/>
      <c r="G26" s="180">
        <f>SUM(G20:G25)</f>
        <v>1</v>
      </c>
      <c r="H26" s="180">
        <f>SUM(H20:H25)</f>
        <v>1</v>
      </c>
      <c r="I26" s="180">
        <f>SUM(I20:I25)</f>
        <v>1</v>
      </c>
      <c r="J26" s="180">
        <f>SUM(J20:J25)</f>
        <v>1</v>
      </c>
      <c r="K26" s="389"/>
      <c r="L26" s="379">
        <f>SUM(L20:L24)</f>
        <v>20</v>
      </c>
      <c r="M26" s="379">
        <f>SUM(M20:M24)</f>
        <v>20</v>
      </c>
      <c r="N26" s="379">
        <f>SUM(N20:N24)</f>
        <v>20</v>
      </c>
      <c r="O26" s="379">
        <f>SUM(O20:O24)</f>
        <v>20</v>
      </c>
    </row>
    <row r="27" spans="1:15" ht="6" customHeight="1">
      <c r="B27" s="379"/>
      <c r="C27" s="379"/>
      <c r="D27" s="379"/>
      <c r="E27" s="379"/>
      <c r="L27" s="147"/>
    </row>
    <row r="28" spans="1:15">
      <c r="A28" s="164" t="s">
        <v>267</v>
      </c>
      <c r="B28" s="379"/>
      <c r="C28" s="379"/>
      <c r="D28" s="379"/>
      <c r="E28" s="379"/>
      <c r="L28" s="147"/>
    </row>
    <row r="29" spans="1:15" ht="2.25" customHeight="1">
      <c r="B29" s="379"/>
      <c r="C29" s="379"/>
      <c r="D29" s="379"/>
      <c r="E29" s="379"/>
      <c r="L29" s="147"/>
    </row>
    <row r="30" spans="1:15">
      <c r="A30" s="101" t="s">
        <v>14</v>
      </c>
      <c r="B30" s="379">
        <v>746328</v>
      </c>
      <c r="C30" s="379">
        <f>C20+C10</f>
        <v>651173</v>
      </c>
      <c r="D30" s="379">
        <f t="shared" ref="D30:E34" si="0">D10+D20</f>
        <v>603879</v>
      </c>
      <c r="E30" s="379">
        <f t="shared" si="0"/>
        <v>751612</v>
      </c>
      <c r="G30" s="105">
        <f>B30/$B$36</f>
        <v>0.36493793402905117</v>
      </c>
      <c r="H30" s="109">
        <f>C30/$C$36</f>
        <v>0.38305308081684514</v>
      </c>
      <c r="I30" s="109">
        <f>D30/$D$36</f>
        <v>0.30920330401799062</v>
      </c>
      <c r="J30" s="109">
        <f>E30/$E$36</f>
        <v>0.39597269117520772</v>
      </c>
      <c r="K30" s="396"/>
      <c r="L30" s="147">
        <v>28</v>
      </c>
      <c r="M30" s="147">
        <f>M20+M10</f>
        <v>30</v>
      </c>
      <c r="N30" s="147">
        <v>26</v>
      </c>
      <c r="O30" s="147">
        <f>O10+O20</f>
        <v>30</v>
      </c>
    </row>
    <row r="31" spans="1:15">
      <c r="A31" s="101" t="s">
        <v>23</v>
      </c>
      <c r="B31" s="379">
        <v>602620</v>
      </c>
      <c r="C31" s="379">
        <f>C21+C11</f>
        <v>347836</v>
      </c>
      <c r="D31" s="379">
        <f t="shared" si="0"/>
        <v>423878</v>
      </c>
      <c r="E31" s="379">
        <f t="shared" si="0"/>
        <v>352706</v>
      </c>
      <c r="G31" s="105">
        <f>B31/$B$36</f>
        <v>0.29466789106744862</v>
      </c>
      <c r="H31" s="109">
        <f>C31/$C$36</f>
        <v>0.20461482803956577</v>
      </c>
      <c r="I31" s="109">
        <f>D31/$D$36</f>
        <v>0.21703764843708398</v>
      </c>
      <c r="J31" s="109">
        <f>E31/$E$36</f>
        <v>0.18581654366034978</v>
      </c>
      <c r="K31" s="396"/>
      <c r="L31" s="147">
        <v>17</v>
      </c>
      <c r="M31" s="147">
        <f>M21+M11</f>
        <v>12</v>
      </c>
      <c r="N31" s="147">
        <v>15</v>
      </c>
      <c r="O31" s="147">
        <f>O11+O21</f>
        <v>11</v>
      </c>
    </row>
    <row r="32" spans="1:15">
      <c r="A32" s="101" t="s">
        <v>13</v>
      </c>
      <c r="B32" s="379">
        <v>330339</v>
      </c>
      <c r="C32" s="379">
        <f>C22+C12</f>
        <v>332157</v>
      </c>
      <c r="D32" s="379">
        <f t="shared" si="0"/>
        <v>427883</v>
      </c>
      <c r="E32" s="379">
        <f t="shared" si="0"/>
        <v>451162</v>
      </c>
      <c r="G32" s="105">
        <f>B32/$B$36</f>
        <v>0.16152848638832085</v>
      </c>
      <c r="H32" s="109">
        <f>C32/$C$36</f>
        <v>0.19539164271995435</v>
      </c>
      <c r="I32" s="109">
        <f>D32/$D$36</f>
        <v>0.21908832288112334</v>
      </c>
      <c r="J32" s="109">
        <f>E32/$E$36</f>
        <v>0.2376862414330653</v>
      </c>
      <c r="K32" s="396"/>
      <c r="L32" s="147">
        <v>9</v>
      </c>
      <c r="M32" s="147">
        <f>M22+M12</f>
        <v>11</v>
      </c>
      <c r="N32" s="147">
        <v>12</v>
      </c>
      <c r="O32" s="147">
        <f>O12+O22</f>
        <v>14</v>
      </c>
    </row>
    <row r="33" spans="1:15">
      <c r="A33" s="101" t="s">
        <v>22</v>
      </c>
      <c r="B33" s="379">
        <v>265865</v>
      </c>
      <c r="C33" s="379">
        <f>C23+C13</f>
        <v>228233</v>
      </c>
      <c r="D33" s="379">
        <f t="shared" si="0"/>
        <v>258950</v>
      </c>
      <c r="E33" s="379">
        <f t="shared" si="0"/>
        <v>176608</v>
      </c>
      <c r="G33" s="105">
        <f>B33/$B$36</f>
        <v>0.13000212216429463</v>
      </c>
      <c r="H33" s="109">
        <f>C33/$C$36</f>
        <v>0.13425825977746469</v>
      </c>
      <c r="I33" s="109">
        <f>D33/$D$36</f>
        <v>0.13258979957153449</v>
      </c>
      <c r="J33" s="109">
        <f>E33/$E$36</f>
        <v>9.3042613799501725E-2</v>
      </c>
      <c r="K33" s="396"/>
      <c r="L33" s="147">
        <v>6</v>
      </c>
      <c r="M33" s="147">
        <f>M23+M13</f>
        <v>6</v>
      </c>
      <c r="N33" s="147">
        <v>6</v>
      </c>
      <c r="O33" s="147">
        <f>O13+O23</f>
        <v>5</v>
      </c>
    </row>
    <row r="34" spans="1:15">
      <c r="A34" s="101" t="s">
        <v>12</v>
      </c>
      <c r="B34" s="379">
        <v>99930</v>
      </c>
      <c r="C34" s="379">
        <f>C24+C14</f>
        <v>140556</v>
      </c>
      <c r="D34" s="379">
        <f t="shared" si="0"/>
        <v>238426</v>
      </c>
      <c r="E34" s="379">
        <f t="shared" si="0"/>
        <v>166053</v>
      </c>
      <c r="G34" s="105">
        <f>B34/$B$36</f>
        <v>4.8863566350884707E-2</v>
      </c>
      <c r="H34" s="109">
        <f>C34/$C$36</f>
        <v>8.2682188646170052E-2</v>
      </c>
      <c r="I34" s="109">
        <f>D34/$D$36</f>
        <v>0.12208092509226755</v>
      </c>
      <c r="J34" s="109">
        <f>E34/$E$36</f>
        <v>8.7481909931875448E-2</v>
      </c>
      <c r="K34" s="396"/>
      <c r="L34" s="147">
        <v>0</v>
      </c>
      <c r="M34" s="147">
        <v>1</v>
      </c>
      <c r="N34" s="147">
        <v>1</v>
      </c>
      <c r="O34" s="147">
        <v>0</v>
      </c>
    </row>
    <row r="35" spans="1:15" ht="2.25" customHeight="1">
      <c r="B35" s="379"/>
      <c r="C35" s="379"/>
      <c r="D35" s="379"/>
      <c r="E35" s="379"/>
      <c r="L35" s="147"/>
    </row>
    <row r="36" spans="1:15">
      <c r="A36" s="101" t="s">
        <v>16</v>
      </c>
      <c r="B36" s="379">
        <f>B16+B26</f>
        <v>2045082</v>
      </c>
      <c r="C36" s="379">
        <f>SUM(C30:C35)</f>
        <v>1699955</v>
      </c>
      <c r="D36" s="379">
        <f>D16+D26</f>
        <v>1953016</v>
      </c>
      <c r="E36" s="379">
        <f>E16+E26</f>
        <v>1898141</v>
      </c>
      <c r="G36" s="105">
        <f>SUM(G30:G35)</f>
        <v>1</v>
      </c>
      <c r="H36" s="109">
        <f>SUM(H30:H34)</f>
        <v>1</v>
      </c>
      <c r="I36" s="109">
        <f>SUM(I30:I34)</f>
        <v>1</v>
      </c>
      <c r="J36" s="109">
        <f>SUM(J30:J34)</f>
        <v>1</v>
      </c>
      <c r="K36" s="142"/>
      <c r="L36" s="101">
        <f>SUM(L30:L35)</f>
        <v>60</v>
      </c>
      <c r="M36" s="101">
        <f>SUM(M30:M35)</f>
        <v>60</v>
      </c>
      <c r="N36" s="101">
        <f>SUM(N30:N35)</f>
        <v>60</v>
      </c>
      <c r="O36" s="101">
        <f>SUM(O30:O34)</f>
        <v>60</v>
      </c>
    </row>
    <row r="37" spans="1:15" ht="6" customHeight="1">
      <c r="A37" s="136"/>
      <c r="B37" s="136"/>
      <c r="C37" s="136"/>
      <c r="D37" s="136"/>
      <c r="E37" s="136"/>
      <c r="F37" s="136"/>
      <c r="G37" s="136"/>
      <c r="H37" s="136"/>
      <c r="I37" s="136"/>
      <c r="J37" s="136"/>
      <c r="K37" s="136"/>
      <c r="L37" s="136"/>
      <c r="M37" s="136"/>
      <c r="N37" s="136"/>
      <c r="O37" s="136"/>
    </row>
  </sheetData>
  <mergeCells count="3">
    <mergeCell ref="L5:O5"/>
    <mergeCell ref="B5:E5"/>
    <mergeCell ref="G5:J5"/>
  </mergeCells>
  <phoneticPr fontId="10" type="noConversion"/>
  <pageMargins left="0.75" right="0.75" top="1" bottom="1" header="0.5" footer="0.5"/>
  <pageSetup paperSize="9" orientation="portrait" horizontalDpi="300" verticalDpi="300" r:id="rId1"/>
  <headerFooter alignWithMargins="0"/>
  <webPublishItems count="2">
    <webPublishItem id="25075" divId="RP11-XXX_Election Statistics UK 1918-2011_25075" sourceType="range" sourceRef="A1:J36" destinationFile="U:\election stats rp\Table 16a.mht"/>
    <webPublishItem id="26211" divId="RP11-XXX_Election Statistics UK 1918-2011_26211" sourceType="range" sourceRef="L5:O36" destinationFile="U:\election stats rp\Table 16b.mht"/>
  </webPublishItem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3">
    <tabColor theme="4"/>
  </sheetPr>
  <dimension ref="A1:AE101"/>
  <sheetViews>
    <sheetView showGridLines="0" topLeftCell="A26" zoomScale="70" zoomScaleNormal="70" workbookViewId="0">
      <selection activeCell="A8" sqref="A8:O66"/>
    </sheetView>
  </sheetViews>
  <sheetFormatPr baseColWidth="10" defaultColWidth="9.3984375" defaultRowHeight="13"/>
  <cols>
    <col min="1" max="1" width="10.3984375" style="1050" customWidth="1"/>
    <col min="2" max="2" width="11.796875" style="1050" hidden="1" customWidth="1"/>
    <col min="3" max="8" width="10" style="1050" customWidth="1"/>
    <col min="9" max="9" width="2.59765625" style="1050" customWidth="1"/>
    <col min="10" max="13" width="8.3984375" style="1050" bestFit="1" customWidth="1"/>
    <col min="14" max="15" width="8.3984375" style="1050" customWidth="1"/>
    <col min="16" max="16" width="8.19921875" style="1050" customWidth="1"/>
    <col min="17" max="18" width="10.796875" style="1050" customWidth="1"/>
    <col min="19" max="16384" width="9.3984375" style="1050"/>
  </cols>
  <sheetData>
    <row r="1" spans="1:31">
      <c r="Q1" s="1223"/>
    </row>
    <row r="7" spans="1:31" ht="16">
      <c r="A7" s="1463"/>
    </row>
    <row r="8" spans="1:31" ht="20">
      <c r="A8" s="3077" t="s">
        <v>2874</v>
      </c>
      <c r="B8" s="3077"/>
      <c r="C8" s="3077"/>
      <c r="D8" s="3077"/>
      <c r="E8" s="3077"/>
      <c r="F8" s="3077"/>
      <c r="G8" s="3077"/>
      <c r="H8" s="3077"/>
      <c r="I8" s="3077"/>
      <c r="J8" s="3077"/>
      <c r="K8" s="3077"/>
      <c r="L8" s="3077"/>
      <c r="M8" s="3077"/>
      <c r="N8" s="3077"/>
      <c r="O8" s="3077"/>
    </row>
    <row r="9" spans="1:31" ht="12.75" customHeight="1" thickBot="1">
      <c r="A9" s="1084"/>
      <c r="B9" s="1084"/>
      <c r="C9" s="3453" t="s">
        <v>1882</v>
      </c>
      <c r="D9" s="3453"/>
      <c r="E9" s="3453"/>
      <c r="F9" s="3453"/>
      <c r="G9" s="3453"/>
      <c r="H9" s="3453"/>
      <c r="I9" s="1475"/>
      <c r="J9" s="3453" t="s">
        <v>235</v>
      </c>
      <c r="K9" s="3453"/>
      <c r="L9" s="3453"/>
      <c r="M9" s="3453"/>
      <c r="N9" s="3453"/>
      <c r="O9" s="3453"/>
    </row>
    <row r="10" spans="1:31">
      <c r="A10" s="1084"/>
      <c r="B10" s="1084"/>
      <c r="C10" s="1449">
        <v>1999</v>
      </c>
      <c r="D10" s="1449">
        <v>2003</v>
      </c>
      <c r="E10" s="1449">
        <v>2007</v>
      </c>
      <c r="F10" s="1449">
        <v>2011</v>
      </c>
      <c r="G10" s="1449">
        <v>2016</v>
      </c>
      <c r="H10" s="1449">
        <v>2021</v>
      </c>
      <c r="I10" s="1476"/>
      <c r="J10" s="1449">
        <v>1999</v>
      </c>
      <c r="K10" s="1449">
        <v>2003</v>
      </c>
      <c r="L10" s="1449">
        <v>2007</v>
      </c>
      <c r="M10" s="1449">
        <v>2011</v>
      </c>
      <c r="N10" s="1449">
        <v>2016</v>
      </c>
      <c r="O10" s="1449">
        <v>2021</v>
      </c>
      <c r="P10" s="1457"/>
    </row>
    <row r="11" spans="1:31" ht="6" customHeight="1">
      <c r="C11" s="1142"/>
      <c r="D11" s="1142"/>
      <c r="E11" s="1142"/>
      <c r="F11" s="1142"/>
      <c r="G11" s="1142"/>
      <c r="H11" s="1142"/>
      <c r="I11" s="1142"/>
      <c r="J11" s="1142"/>
      <c r="K11" s="1142"/>
      <c r="L11" s="1142"/>
      <c r="M11" s="1142"/>
      <c r="N11" s="1142"/>
      <c r="O11" s="1142"/>
    </row>
    <row r="12" spans="1:31" ht="14" thickBot="1">
      <c r="A12" s="1479" t="s">
        <v>1880</v>
      </c>
      <c r="B12" s="1478"/>
      <c r="C12" s="1480"/>
      <c r="D12" s="1480"/>
      <c r="E12" s="1480"/>
      <c r="F12" s="1480"/>
      <c r="G12" s="1480"/>
      <c r="H12" s="1480"/>
      <c r="I12" s="1480"/>
      <c r="J12" s="1480"/>
      <c r="K12" s="1480"/>
      <c r="L12" s="1480"/>
      <c r="M12" s="1480"/>
      <c r="N12" s="1480"/>
      <c r="O12" s="1480"/>
      <c r="S12" s="3454" t="s">
        <v>1046</v>
      </c>
      <c r="T12" s="3453"/>
      <c r="U12" s="3453"/>
      <c r="V12" s="3453"/>
      <c r="W12" s="3453"/>
      <c r="X12" s="3453"/>
      <c r="Z12" s="3454" t="s">
        <v>2757</v>
      </c>
      <c r="AA12" s="3453"/>
      <c r="AB12" s="3453"/>
      <c r="AC12" s="3453"/>
      <c r="AD12" s="3453"/>
      <c r="AE12" s="3453"/>
    </row>
    <row r="13" spans="1:31" ht="2.25" customHeight="1" thickBot="1">
      <c r="C13" s="1142"/>
      <c r="D13" s="1142"/>
      <c r="E13" s="1142"/>
      <c r="F13" s="1142"/>
      <c r="G13" s="1142"/>
      <c r="H13" s="1142"/>
      <c r="I13" s="1142"/>
      <c r="J13" s="1142"/>
      <c r="K13" s="1142"/>
      <c r="L13" s="1142"/>
      <c r="M13" s="1142"/>
      <c r="N13" s="1142"/>
    </row>
    <row r="14" spans="1:31" ht="14" thickBot="1">
      <c r="A14" s="1474" t="s">
        <v>101</v>
      </c>
      <c r="C14" s="1142">
        <v>672768</v>
      </c>
      <c r="D14" s="1462">
        <v>455742</v>
      </c>
      <c r="E14" s="1462">
        <v>664227</v>
      </c>
      <c r="F14" s="1462">
        <v>902915</v>
      </c>
      <c r="G14" s="1431">
        <v>1059898</v>
      </c>
      <c r="H14" s="1050">
        <v>1291384</v>
      </c>
      <c r="I14" s="1462"/>
      <c r="J14" s="1108">
        <f>C14/$C$20</f>
        <v>0.28720232504926385</v>
      </c>
      <c r="K14" s="1108">
        <f>D14/D20</f>
        <v>0.23778745002854021</v>
      </c>
      <c r="L14" s="1108">
        <f t="shared" ref="L14:L19" si="0">E14/$E$20</f>
        <v>0.32931808344864616</v>
      </c>
      <c r="M14" s="1108">
        <f>F14/F$20</f>
        <v>0.45389126496273013</v>
      </c>
      <c r="N14" s="1108">
        <f>G14/G$20</f>
        <v>0.46504009821188036</v>
      </c>
      <c r="O14" s="1108">
        <f>H14/H$20</f>
        <v>0.48003217601050924</v>
      </c>
      <c r="S14" s="1449">
        <v>1999</v>
      </c>
      <c r="T14" s="1449">
        <v>2003</v>
      </c>
      <c r="U14" s="1449">
        <v>2007</v>
      </c>
      <c r="V14" s="1449">
        <v>2011</v>
      </c>
      <c r="W14" s="1449">
        <v>2016</v>
      </c>
      <c r="X14" s="1449">
        <v>2021</v>
      </c>
      <c r="Y14" s="1476"/>
      <c r="Z14" s="1449">
        <v>1999</v>
      </c>
      <c r="AA14" s="1449">
        <v>2003</v>
      </c>
      <c r="AB14" s="1449">
        <v>2007</v>
      </c>
      <c r="AC14" s="1449">
        <v>2011</v>
      </c>
      <c r="AD14" s="1449">
        <v>2016</v>
      </c>
      <c r="AE14" s="1449">
        <v>2021</v>
      </c>
    </row>
    <row r="15" spans="1:31" ht="14" thickBot="1">
      <c r="A15" s="1453" t="s">
        <v>698</v>
      </c>
      <c r="C15" s="1142">
        <v>364425</v>
      </c>
      <c r="D15" s="1462">
        <v>318279</v>
      </c>
      <c r="E15" s="1462">
        <v>334742</v>
      </c>
      <c r="F15" s="1462">
        <v>276652</v>
      </c>
      <c r="G15" s="1431">
        <v>501844</v>
      </c>
      <c r="H15" s="1050">
        <v>592526</v>
      </c>
      <c r="I15" s="1462"/>
      <c r="J15" s="1108">
        <f>C15/$C$20</f>
        <v>0.155571768137126</v>
      </c>
      <c r="K15" s="1108">
        <f>D15/D20</f>
        <v>0.16606490472160509</v>
      </c>
      <c r="L15" s="1108">
        <f t="shared" si="0"/>
        <v>0.16596222961392221</v>
      </c>
      <c r="M15" s="1108">
        <f>F15/$F$20</f>
        <v>0.13907170246863684</v>
      </c>
      <c r="N15" s="1108">
        <f t="shared" ref="N15:N20" si="1">G15/$G$20</f>
        <v>0.22018871914754334</v>
      </c>
      <c r="O15" s="1108">
        <f t="shared" ref="O15:O20" si="2">H15/H$20</f>
        <v>0.22025326713262902</v>
      </c>
      <c r="R15" s="1474" t="s">
        <v>101</v>
      </c>
      <c r="S15" s="3297">
        <f>('[5]1999 Constituency Votes'!$L$99+'[5]1999 Regional Votes'!$L$99)/('[5]1999 Constituency Votes'!$G$99+'[5]1999 Regional Votes'!$G$99)</f>
        <v>0.28013231933510518</v>
      </c>
      <c r="T15" s="3298">
        <f>('[5]2003 Constituency Votes'!$L$99+'[5]2003 Regional Votes'!$L$99)/('[5]2003 Constituency Votes'!$G$99+'[5]2003 Regional Votes'!$G$99)</f>
        <v>0.22322322583540946</v>
      </c>
      <c r="U15" s="3299">
        <f>('[5]2007 Constituency Votes'!$L$99+'[5]2007 Regional Votes'!$L$99)/('[5]2007 Constituency Votes'!$G$99+'[5]2007 Regional Votes'!$G$99)</f>
        <v>0.31320945129126354</v>
      </c>
      <c r="V15" s="3299">
        <f>('[5]2011 Constituency Votes'!$L$99+'[5]2011 Regional Votes'!$L$99)/('[5]2011 Constituency Votes'!$G$99+'[5]2011 Regional Votes'!$G$99)</f>
        <v>0.447056766241754</v>
      </c>
      <c r="W15" s="3299">
        <f>('[5]2016 Constituency Votes'!$L$99+'[5]2016 Regional Votes'!$L$99)/('[5]2016 Constituency Votes'!$G$99+'[5]2016 Regional Votes'!$G$99)</f>
        <v>0.44107927766295246</v>
      </c>
      <c r="X15" s="3299">
        <f>('[5]2021 Constituency Votes'!$L$99+'[5]2021 Regional Votes'!$L$99)/('[5]2021 Constituency Votes'!$G$99+'[5]2021 Regional Votes'!$G$99)</f>
        <v>0.44037932100616972</v>
      </c>
      <c r="Z15" s="1153">
        <v>0.27131782945736432</v>
      </c>
      <c r="AA15" s="1153">
        <v>0.20930232558139536</v>
      </c>
      <c r="AB15" s="1153">
        <v>0.36434108527131781</v>
      </c>
      <c r="AC15" s="1153">
        <v>0.53488372093023251</v>
      </c>
      <c r="AD15" s="1153">
        <v>0.48837209302325579</v>
      </c>
      <c r="AE15" s="1153">
        <v>0.49612403100775193</v>
      </c>
    </row>
    <row r="16" spans="1:31" ht="14" thickBot="1">
      <c r="A16" s="1451" t="s">
        <v>699</v>
      </c>
      <c r="C16" s="1142">
        <v>908346</v>
      </c>
      <c r="D16" s="1462">
        <v>663585</v>
      </c>
      <c r="E16" s="1462">
        <v>648374</v>
      </c>
      <c r="F16" s="1425">
        <v>630461</v>
      </c>
      <c r="G16" s="1431">
        <v>514261</v>
      </c>
      <c r="H16" s="1050">
        <v>584392</v>
      </c>
      <c r="I16" s="1462"/>
      <c r="J16" s="1108">
        <f>C16/$C$20</f>
        <v>0.38776975591763968</v>
      </c>
      <c r="K16" s="1108">
        <f>D16/D20</f>
        <v>0.34623138755521515</v>
      </c>
      <c r="L16" s="1108">
        <f t="shared" si="0"/>
        <v>0.32145830121017743</v>
      </c>
      <c r="M16" s="1108">
        <f>F16/$F$20</f>
        <v>0.31692987800586747</v>
      </c>
      <c r="N16" s="1108">
        <f t="shared" si="1"/>
        <v>0.22563679330137409</v>
      </c>
      <c r="O16" s="1108">
        <f t="shared" si="2"/>
        <v>0.21722970348334308</v>
      </c>
      <c r="R16" s="1453" t="s">
        <v>698</v>
      </c>
      <c r="S16" s="3297">
        <f>('[5]1999 Constituency Votes'!$I$99+'[5]1999 Regional Votes'!$I$99)/('[5]1999 Constituency Votes'!$G$99+'[5]1999 Regional Votes'!$G$99)</f>
        <v>0.1545549816059377</v>
      </c>
      <c r="T16" s="3298">
        <f>('[5]2003 Constituency Votes'!$I$99+'[5]2003 Regional Votes'!$I$99)/('[5]2003 Constituency Votes'!$G$99+'[5]2003 Regional Votes'!$G$99)</f>
        <v>0.16054308367625311</v>
      </c>
      <c r="U16" s="3299">
        <f>('[5]2007 Constituency Votes'!$I$99+'[5]2007 Regional Votes'!$I$99)/('[5]2007 Constituency Votes'!$G$99+'[5]2007 Regional Votes'!$G$99)</f>
        <v>0.15345368479742194</v>
      </c>
      <c r="V16" s="3299">
        <f>('[5]2011 Constituency Votes'!$I$99+'[5]2011 Regional Votes'!$I$99)/('[5]2011 Constituency Votes'!$G$99+'[5]2011 Regional Votes'!$G$99)</f>
        <v>0.13130761144410005</v>
      </c>
      <c r="W16" s="3299">
        <f>('[5]2016 Constituency Votes'!$I$99+'[5]2016 Regional Votes'!$I$99)/('[5]2016 Constituency Votes'!$G$99+'[5]2016 Regional Votes'!$G$99)</f>
        <v>0.22477225703492187</v>
      </c>
      <c r="X16" s="3299">
        <f>('[5]2021 Constituency Votes'!$I$99+'[5]2021 Regional Votes'!$I$99)/('[5]2021 Constituency Votes'!$G$99+'[5]2021 Regional Votes'!$G$99)</f>
        <v>0.22697553794825176</v>
      </c>
      <c r="Z16" s="1153">
        <v>0.13953488372093023</v>
      </c>
      <c r="AA16" s="1153">
        <v>0.13953488372093023</v>
      </c>
      <c r="AB16" s="1153">
        <v>0.13178294573643412</v>
      </c>
      <c r="AC16" s="1153">
        <v>0.11627906976744186</v>
      </c>
      <c r="AD16" s="1153">
        <v>0.24031007751937986</v>
      </c>
      <c r="AE16" s="1153">
        <v>0.24031007751937986</v>
      </c>
    </row>
    <row r="17" spans="1:31" ht="14" thickBot="1">
      <c r="A17" s="1455" t="s">
        <v>827</v>
      </c>
      <c r="C17" s="1142">
        <v>333179</v>
      </c>
      <c r="D17" s="1462">
        <v>294347</v>
      </c>
      <c r="E17" s="1462">
        <v>326232</v>
      </c>
      <c r="F17" s="1462">
        <v>157714</v>
      </c>
      <c r="G17" s="1431">
        <v>178238</v>
      </c>
      <c r="H17" s="1050">
        <v>187806</v>
      </c>
      <c r="I17" s="1462"/>
      <c r="J17" s="1108">
        <f>C17/$C$20</f>
        <v>0.14223295914429443</v>
      </c>
      <c r="K17" s="1108">
        <f>D17/D20</f>
        <v>0.15357817044194022</v>
      </c>
      <c r="L17" s="1108">
        <f t="shared" si="0"/>
        <v>0.16174304416956664</v>
      </c>
      <c r="M17" s="1108">
        <f>F17/$F$20</f>
        <v>7.92821106774525E-2</v>
      </c>
      <c r="N17" s="1108">
        <f t="shared" si="1"/>
        <v>7.8203579047313176E-2</v>
      </c>
      <c r="O17" s="1108">
        <f t="shared" si="2"/>
        <v>6.9811088605581065E-2</v>
      </c>
      <c r="R17" s="1451" t="s">
        <v>699</v>
      </c>
      <c r="S17" s="3297">
        <f>('[5]1999 Constituency Votes'!$J$99+'[5]1999 Regional Votes'!$J$99)/('[5]1999 Constituency Votes'!$G$99+'[5]1999 Regional Votes'!$G$99)</f>
        <v>0.36210605284485287</v>
      </c>
      <c r="T17" s="3298">
        <f>('[5]2003 Constituency Votes'!$J$99+'[5]2003 Regional Votes'!$J$99)/('[5]2003 Constituency Votes'!$G$99+'[5]2003 Regional Votes'!$G$99)</f>
        <v>0.31966238374673772</v>
      </c>
      <c r="U17" s="3299">
        <f>('[5]2007 Constituency Votes'!$J$99+'[5]2007 Regional Votes'!$J$99)/('[5]2007 Constituency Votes'!$G$99+'[5]2007 Regional Votes'!$G$99)</f>
        <v>0.3080979497818177</v>
      </c>
      <c r="V17" s="3299">
        <f>('[5]2011 Constituency Votes'!$J$99+'[5]2011 Regional Votes'!$J$99)/('[5]2011 Constituency Votes'!$G$99+'[5]2011 Regional Votes'!$G$99)</f>
        <v>0.28992400213863329</v>
      </c>
      <c r="W17" s="3299">
        <f>('[5]2016 Constituency Votes'!$J$99+'[5]2016 Regional Votes'!$J$99)/('[5]2016 Constituency Votes'!$G$99+'[5]2016 Regional Votes'!$G$99)</f>
        <v>0.20814890999922234</v>
      </c>
      <c r="X17" s="3299">
        <f>('[5]2021 Constituency Votes'!$J$99+'[5]2021 Regional Votes'!$J$99)/('[5]2021 Constituency Votes'!$G$99+'[5]2021 Regional Votes'!$G$99)</f>
        <v>0.19754428872696733</v>
      </c>
      <c r="Z17" s="1153">
        <v>0.43410852713178294</v>
      </c>
      <c r="AA17" s="1153">
        <v>0.38759689922480622</v>
      </c>
      <c r="AB17" s="1153">
        <v>0.35658914728682173</v>
      </c>
      <c r="AC17" s="1153">
        <v>0.2868217054263566</v>
      </c>
      <c r="AD17" s="1153">
        <v>0.18604651162790697</v>
      </c>
      <c r="AE17" s="1153">
        <v>0.17054263565891473</v>
      </c>
    </row>
    <row r="18" spans="1:31" ht="14" thickBot="1">
      <c r="A18" s="1473" t="s">
        <v>1341</v>
      </c>
      <c r="C18" s="1142"/>
      <c r="D18" s="1462">
        <v>0</v>
      </c>
      <c r="E18" s="1462">
        <v>2971</v>
      </c>
      <c r="F18" s="1462">
        <v>0</v>
      </c>
      <c r="G18" s="1431">
        <v>13172</v>
      </c>
      <c r="H18" s="1050">
        <v>32903</v>
      </c>
      <c r="I18" s="1462"/>
      <c r="J18" s="1108"/>
      <c r="K18" s="1108"/>
      <c r="L18" s="1108">
        <f t="shared" si="0"/>
        <v>1.472996469468913E-3</v>
      </c>
      <c r="M18" s="1108"/>
      <c r="N18" s="1108">
        <f t="shared" si="1"/>
        <v>5.7793374208149166E-3</v>
      </c>
      <c r="O18" s="1108">
        <f t="shared" si="2"/>
        <v>1.2230675528947072E-2</v>
      </c>
      <c r="R18" s="1455" t="s">
        <v>827</v>
      </c>
      <c r="S18" s="3297">
        <f>('[5]1999 Constituency Votes'!$K$99+'[5]1999 Regional Votes'!$K$99)/('[5]1999 Constituency Votes'!$G$99+'[5]1999 Regional Votes'!$G$99)</f>
        <v>0.13328037199112575</v>
      </c>
      <c r="T18" s="3298">
        <f>('[5]2003 Constituency Votes'!$K$99+'[5]2003 Regional Votes'!$K$99)/('[5]2003 Constituency Votes'!$G$99+'[5]2003 Regional Votes'!$G$99)</f>
        <v>0.13572942683576358</v>
      </c>
      <c r="U18" s="3299">
        <f>('[5]2007 Constituency Votes'!$K$99+'[5]2007 Regional Votes'!$K$99)/('[5]2007 Constituency Votes'!$G$99+'[5]2007 Regional Votes'!$G$99)</f>
        <v>0.13839189267108928</v>
      </c>
      <c r="V18" s="3299">
        <f>('[5]2011 Constituency Votes'!$K$99+'[5]2011 Regional Votes'!$K$99)/('[5]2011 Constituency Votes'!$G$99+'[5]2011 Regional Votes'!$G$99)</f>
        <v>6.5622776444481959E-2</v>
      </c>
      <c r="W18" s="3299">
        <f>('[5]2016 Constituency Votes'!$K$99+'[5]2016 Regional Votes'!$K$99)/('[5]2016 Constituency Votes'!$G$99+'[5]2016 Regional Votes'!$G$99)</f>
        <v>6.5175945611135391E-2</v>
      </c>
      <c r="X18" s="3299">
        <f>('[5]2021 Constituency Votes'!$K$99+'[5]2021 Regional Votes'!$K$99)/('[5]2021 Constituency Votes'!$G$99+'[5]2021 Regional Votes'!$G$99)</f>
        <v>5.9982003017955449E-2</v>
      </c>
      <c r="Z18" s="1153">
        <v>0.13178294573643412</v>
      </c>
      <c r="AA18" s="1153">
        <v>0.13178294573643412</v>
      </c>
      <c r="AB18" s="1153">
        <v>0.12403100775193798</v>
      </c>
      <c r="AC18" s="1153">
        <v>3.875968992248062E-2</v>
      </c>
      <c r="AD18" s="1153">
        <v>3.875968992248062E-2</v>
      </c>
      <c r="AE18" s="1153">
        <v>3.1007751937984496E-2</v>
      </c>
    </row>
    <row r="19" spans="1:31" ht="14" thickBot="1">
      <c r="A19" s="1456" t="s">
        <v>28</v>
      </c>
      <c r="C19" s="1142">
        <v>63770</v>
      </c>
      <c r="D19" s="1462">
        <v>184641</v>
      </c>
      <c r="E19" s="1462">
        <v>43402</v>
      </c>
      <c r="F19" s="1462">
        <f>19026+2508</f>
        <v>21534</v>
      </c>
      <c r="G19" s="1431">
        <v>11741</v>
      </c>
      <c r="H19" s="1050">
        <v>1192</v>
      </c>
      <c r="I19" s="1462"/>
      <c r="J19" s="1108">
        <f>C19/$C$20</f>
        <v>2.7223191751675997E-2</v>
      </c>
      <c r="K19" s="1108">
        <f>D19/D20</f>
        <v>9.6338087252699323E-2</v>
      </c>
      <c r="L19" s="1108">
        <f t="shared" si="0"/>
        <v>2.151834155768757E-2</v>
      </c>
      <c r="M19" s="1108">
        <f>F19/$F$20</f>
        <v>1.0825043885313048E-2</v>
      </c>
      <c r="N19" s="1108">
        <f t="shared" si="1"/>
        <v>5.1514728710740912E-3</v>
      </c>
      <c r="O19" s="1108">
        <f t="shared" si="2"/>
        <v>4.4308923899051485E-4</v>
      </c>
      <c r="R19" s="1473" t="s">
        <v>1341</v>
      </c>
      <c r="S19" s="3297">
        <f>('[5]1999 Constituency Votes'!$M$99+'[5]1999 Regional Votes'!$M$99)/('[5]1999 Constituency Votes'!$G$99+'[5]1999 Regional Votes'!$G$99)</f>
        <v>1.7948255672125574E-2</v>
      </c>
      <c r="T19" s="3298">
        <f>('[5]2003 Constituency Votes'!$M$99+'[5]2003 Regional Votes'!$M$99)/('[5]2003 Constituency Votes'!$G$99+'[5]2003 Regional Votes'!$G$99)</f>
        <v>3.4482389680909116E-2</v>
      </c>
      <c r="U19" s="3299">
        <f>('[5]2007 Constituency Votes'!$M$99+'[5]2007 Regional Votes'!$M$99)/('[5]2007 Constituency Votes'!$G$99+'[5]2007 Regional Votes'!$G$99)</f>
        <v>2.1170599425324191E-2</v>
      </c>
      <c r="V19" s="3299">
        <f>('[5]2011 Constituency Votes'!$M$99+'[5]2011 Regional Votes'!$M$99)/('[5]2011 Constituency Votes'!$G$99+'[5]2011 Regional Votes'!$G$99)</f>
        <v>2.1843355161864791E-2</v>
      </c>
      <c r="W19" s="3299">
        <f>('[5]2016 Constituency Votes'!$M$99+'[5]2016 Regional Votes'!$M$99)/('[5]2016 Constituency Votes'!$G$99+'[5]2016 Regional Votes'!$G$99)</f>
        <v>3.5838204738105173E-2</v>
      </c>
      <c r="X19" s="3299">
        <f>('[5]2021 Constituency Votes'!$M$99+'[5]2021 Regional Votes'!$M$99)/('[5]2021 Constituency Votes'!$G$99+'[5]2021 Regional Votes'!$G$99)</f>
        <v>4.674176176610384E-2</v>
      </c>
      <c r="Z19" s="1153">
        <v>7.7519379844961239E-3</v>
      </c>
      <c r="AA19" s="1153">
        <v>5.4263565891472867E-2</v>
      </c>
      <c r="AB19" s="1153">
        <v>1.5503875968992248E-2</v>
      </c>
      <c r="AC19" s="1153">
        <v>1.5503875968992248E-2</v>
      </c>
      <c r="AD19" s="1153">
        <v>4.6511627906976744E-2</v>
      </c>
      <c r="AE19" s="1153">
        <v>6.2015503875968991E-2</v>
      </c>
    </row>
    <row r="20" spans="1:31" s="1223" customFormat="1">
      <c r="A20" s="1223" t="s">
        <v>16</v>
      </c>
      <c r="C20" s="1466">
        <v>2342488</v>
      </c>
      <c r="D20" s="1466">
        <v>1916594</v>
      </c>
      <c r="E20" s="1466">
        <v>2016977</v>
      </c>
      <c r="F20" s="1466">
        <f>SUM(F14:F19)</f>
        <v>1989276</v>
      </c>
      <c r="G20" s="1466">
        <f>SUM(G14:G19)</f>
        <v>2279154</v>
      </c>
      <c r="H20" s="1223">
        <v>2690203</v>
      </c>
      <c r="I20" s="1466"/>
      <c r="J20" s="1467">
        <v>1</v>
      </c>
      <c r="K20" s="1467">
        <v>1</v>
      </c>
      <c r="L20" s="1467">
        <v>1</v>
      </c>
      <c r="M20" s="1467">
        <v>1</v>
      </c>
      <c r="N20" s="1109">
        <f t="shared" si="1"/>
        <v>1</v>
      </c>
      <c r="O20" s="1109">
        <f t="shared" si="2"/>
        <v>1</v>
      </c>
    </row>
    <row r="21" spans="1:31" s="1223" customFormat="1" ht="6" customHeight="1">
      <c r="C21" s="1466"/>
      <c r="D21" s="1466"/>
      <c r="E21" s="1466"/>
      <c r="F21" s="1466"/>
      <c r="G21" s="1466"/>
      <c r="H21" s="1466"/>
      <c r="I21" s="1466"/>
      <c r="J21" s="1468"/>
      <c r="K21" s="1468"/>
      <c r="L21" s="1468"/>
      <c r="M21" s="1468"/>
      <c r="N21" s="1468"/>
    </row>
    <row r="22" spans="1:31" s="1223" customFormat="1" ht="13.5" customHeight="1" thickBot="1">
      <c r="A22" s="1479" t="s">
        <v>1871</v>
      </c>
      <c r="B22" s="1479"/>
      <c r="C22" s="1481"/>
      <c r="D22" s="1481"/>
      <c r="E22" s="1481"/>
      <c r="F22" s="1481"/>
      <c r="G22" s="1481"/>
      <c r="H22" s="1481"/>
      <c r="I22" s="1481"/>
      <c r="J22" s="1482"/>
      <c r="K22" s="1482"/>
      <c r="L22" s="1482"/>
      <c r="M22" s="1482"/>
      <c r="N22" s="1482"/>
      <c r="O22" s="1482"/>
    </row>
    <row r="23" spans="1:31" ht="14" thickBot="1">
      <c r="A23" s="1474" t="s">
        <v>101</v>
      </c>
      <c r="C23" s="1462">
        <v>7</v>
      </c>
      <c r="D23" s="1462">
        <v>9</v>
      </c>
      <c r="E23" s="1462">
        <v>21</v>
      </c>
      <c r="F23" s="1462">
        <v>53</v>
      </c>
      <c r="G23" s="1462">
        <v>59</v>
      </c>
      <c r="H23" s="1050">
        <v>62</v>
      </c>
      <c r="J23" s="1063">
        <f t="shared" ref="J23:O23" si="3">C23/C$29</f>
        <v>9.5890410958904104E-2</v>
      </c>
      <c r="K23" s="1063">
        <f t="shared" si="3"/>
        <v>0.12328767123287671</v>
      </c>
      <c r="L23" s="1063">
        <f t="shared" si="3"/>
        <v>0.28767123287671231</v>
      </c>
      <c r="M23" s="1063">
        <f t="shared" si="3"/>
        <v>0.72602739726027399</v>
      </c>
      <c r="N23" s="1063">
        <f t="shared" si="3"/>
        <v>0.80821917808219179</v>
      </c>
      <c r="O23" s="1063">
        <f t="shared" si="3"/>
        <v>0.84931506849315064</v>
      </c>
      <c r="R23" s="1055"/>
    </row>
    <row r="24" spans="1:31" ht="14" thickBot="1">
      <c r="A24" s="1453" t="s">
        <v>698</v>
      </c>
      <c r="C24" s="1418">
        <v>0</v>
      </c>
      <c r="D24" s="1462">
        <v>3</v>
      </c>
      <c r="E24" s="1462">
        <v>4</v>
      </c>
      <c r="F24" s="1462">
        <v>3</v>
      </c>
      <c r="G24" s="1462">
        <v>7</v>
      </c>
      <c r="H24" s="1050">
        <v>5</v>
      </c>
      <c r="J24" s="1063">
        <f t="shared" ref="J24:J29" si="4">C24/C$29</f>
        <v>0</v>
      </c>
      <c r="K24" s="1063">
        <f t="shared" ref="K24:K29" si="5">D24/D$29</f>
        <v>4.1095890410958902E-2</v>
      </c>
      <c r="L24" s="1063">
        <f t="shared" ref="L24:L29" si="6">E24/E$29</f>
        <v>5.4794520547945202E-2</v>
      </c>
      <c r="M24" s="1063">
        <f t="shared" ref="M24:M29" si="7">F24/F$29</f>
        <v>4.1095890410958902E-2</v>
      </c>
      <c r="N24" s="1063">
        <f>G24/G$29</f>
        <v>9.5890410958904104E-2</v>
      </c>
      <c r="O24" s="1063">
        <f t="shared" ref="O24:O29" si="8">H24/H$29</f>
        <v>6.8493150684931503E-2</v>
      </c>
      <c r="R24" s="1040"/>
    </row>
    <row r="25" spans="1:31" ht="14" thickBot="1">
      <c r="A25" s="1451" t="s">
        <v>699</v>
      </c>
      <c r="C25" s="1462">
        <v>53</v>
      </c>
      <c r="D25" s="1462">
        <v>46</v>
      </c>
      <c r="E25" s="1462">
        <v>37</v>
      </c>
      <c r="F25" s="1462">
        <v>15</v>
      </c>
      <c r="G25" s="1462">
        <v>3</v>
      </c>
      <c r="H25" s="1050">
        <v>2</v>
      </c>
      <c r="J25" s="1063">
        <f t="shared" si="4"/>
        <v>0.72602739726027399</v>
      </c>
      <c r="K25" s="1063">
        <f t="shared" si="5"/>
        <v>0.63013698630136983</v>
      </c>
      <c r="L25" s="1063">
        <f t="shared" si="6"/>
        <v>0.50684931506849318</v>
      </c>
      <c r="M25" s="1063">
        <f t="shared" si="7"/>
        <v>0.20547945205479451</v>
      </c>
      <c r="N25" s="1063">
        <f>G25/G$29</f>
        <v>4.1095890410958902E-2</v>
      </c>
      <c r="O25" s="1063">
        <f t="shared" si="8"/>
        <v>2.7397260273972601E-2</v>
      </c>
      <c r="R25" s="2369"/>
    </row>
    <row r="26" spans="1:31" ht="14" thickBot="1">
      <c r="A26" s="1455" t="s">
        <v>827</v>
      </c>
      <c r="C26" s="1462">
        <v>12</v>
      </c>
      <c r="D26" s="1462">
        <v>13</v>
      </c>
      <c r="E26" s="1462">
        <v>11</v>
      </c>
      <c r="F26" s="1462">
        <v>2</v>
      </c>
      <c r="G26" s="1462">
        <v>4</v>
      </c>
      <c r="H26" s="1050">
        <v>4</v>
      </c>
      <c r="J26" s="1063">
        <f t="shared" si="4"/>
        <v>0.16438356164383561</v>
      </c>
      <c r="K26" s="1063">
        <f t="shared" si="5"/>
        <v>0.17808219178082191</v>
      </c>
      <c r="L26" s="1063">
        <f t="shared" si="6"/>
        <v>0.15068493150684931</v>
      </c>
      <c r="M26" s="1063">
        <f t="shared" si="7"/>
        <v>2.7397260273972601E-2</v>
      </c>
      <c r="N26" s="1063">
        <f>G26/G$29</f>
        <v>5.4794520547945202E-2</v>
      </c>
      <c r="O26" s="1063">
        <f t="shared" si="8"/>
        <v>5.4794520547945202E-2</v>
      </c>
      <c r="R26" s="2369"/>
    </row>
    <row r="27" spans="1:31" ht="14" thickBot="1">
      <c r="A27" s="1473" t="s">
        <v>1341</v>
      </c>
      <c r="C27" s="1462"/>
      <c r="D27" s="1462"/>
      <c r="E27" s="1462"/>
      <c r="F27" s="1462"/>
      <c r="G27" s="1462">
        <v>0</v>
      </c>
      <c r="J27" s="1063"/>
      <c r="K27" s="1063"/>
      <c r="L27" s="1063"/>
      <c r="M27" s="1063"/>
      <c r="N27" s="1063"/>
      <c r="O27" s="1063"/>
      <c r="R27" s="1040"/>
    </row>
    <row r="28" spans="1:31" ht="14" thickBot="1">
      <c r="A28" s="1456" t="s">
        <v>28</v>
      </c>
      <c r="C28" s="1462">
        <v>1</v>
      </c>
      <c r="D28" s="1142">
        <v>2</v>
      </c>
      <c r="E28" s="1142">
        <v>0</v>
      </c>
      <c r="F28" s="1142">
        <v>0</v>
      </c>
      <c r="G28" s="1142">
        <v>0</v>
      </c>
      <c r="H28" s="1050">
        <v>0</v>
      </c>
      <c r="J28" s="1063">
        <f t="shared" si="4"/>
        <v>1.3698630136986301E-2</v>
      </c>
      <c r="K28" s="1063">
        <f t="shared" si="5"/>
        <v>2.7397260273972601E-2</v>
      </c>
      <c r="L28" s="1063">
        <f t="shared" si="6"/>
        <v>0</v>
      </c>
      <c r="M28" s="1063">
        <f t="shared" si="7"/>
        <v>0</v>
      </c>
      <c r="N28" s="1063">
        <f>G28/G$29</f>
        <v>0</v>
      </c>
      <c r="O28" s="1063">
        <f t="shared" si="8"/>
        <v>0</v>
      </c>
      <c r="R28" s="2369"/>
    </row>
    <row r="29" spans="1:31" s="1223" customFormat="1">
      <c r="A29" s="1223" t="s">
        <v>16</v>
      </c>
      <c r="C29" s="1221">
        <f>SUM(C23:C28)</f>
        <v>73</v>
      </c>
      <c r="D29" s="1221">
        <f>SUM(D23:D28)</f>
        <v>73</v>
      </c>
      <c r="E29" s="1221">
        <f>SUM(E23:E28)</f>
        <v>73</v>
      </c>
      <c r="F29" s="1221">
        <f>SUM(F23:F28)</f>
        <v>73</v>
      </c>
      <c r="G29" s="1221">
        <f>SUM(G23:G28)</f>
        <v>73</v>
      </c>
      <c r="H29" s="1223">
        <v>73</v>
      </c>
      <c r="J29" s="1469">
        <f t="shared" si="4"/>
        <v>1</v>
      </c>
      <c r="K29" s="1469">
        <f t="shared" si="5"/>
        <v>1</v>
      </c>
      <c r="L29" s="1469">
        <f t="shared" si="6"/>
        <v>1</v>
      </c>
      <c r="M29" s="1469">
        <f t="shared" si="7"/>
        <v>1</v>
      </c>
      <c r="N29" s="1469">
        <f>G29/G$29</f>
        <v>1</v>
      </c>
      <c r="O29" s="1873">
        <f t="shared" si="8"/>
        <v>1</v>
      </c>
      <c r="R29" s="2370"/>
    </row>
    <row r="30" spans="1:31" ht="6" customHeight="1">
      <c r="C30" s="1142"/>
      <c r="D30" s="1431"/>
      <c r="E30" s="1431"/>
      <c r="F30" s="1431"/>
      <c r="G30" s="1431"/>
      <c r="I30" s="1431"/>
      <c r="J30" s="1431"/>
      <c r="K30" s="1078"/>
      <c r="L30" s="1078"/>
      <c r="M30" s="1078"/>
      <c r="N30" s="1078"/>
      <c r="R30" s="1055"/>
    </row>
    <row r="31" spans="1:31">
      <c r="A31" s="1479" t="s">
        <v>1881</v>
      </c>
      <c r="B31" s="1483"/>
      <c r="C31" s="1484"/>
      <c r="D31" s="1485"/>
      <c r="E31" s="1485"/>
      <c r="F31" s="1485"/>
      <c r="G31" s="1485"/>
      <c r="H31" s="1485"/>
      <c r="I31" s="1485"/>
      <c r="J31" s="1485"/>
      <c r="K31" s="1484"/>
      <c r="L31" s="1484"/>
      <c r="M31" s="1484"/>
      <c r="N31" s="1484"/>
      <c r="O31" s="1484"/>
      <c r="R31" s="1055"/>
    </row>
    <row r="32" spans="1:31" ht="2.25" customHeight="1" thickBot="1">
      <c r="A32" s="1470"/>
      <c r="B32" s="1470"/>
      <c r="C32" s="1471"/>
      <c r="D32" s="1459"/>
      <c r="E32" s="1459"/>
      <c r="F32" s="1459"/>
      <c r="G32" s="1459"/>
      <c r="I32" s="1459"/>
      <c r="J32" s="1459"/>
      <c r="K32" s="1471"/>
      <c r="L32" s="1471"/>
      <c r="M32" s="1471"/>
      <c r="N32" s="1471"/>
      <c r="R32" s="1055"/>
    </row>
    <row r="33" spans="1:18" ht="14" thickBot="1">
      <c r="A33" s="1474" t="s">
        <v>101</v>
      </c>
      <c r="C33" s="1142">
        <v>638644</v>
      </c>
      <c r="D33" s="1431">
        <v>399659</v>
      </c>
      <c r="E33" s="1431">
        <v>633401</v>
      </c>
      <c r="F33" s="1378">
        <v>876421</v>
      </c>
      <c r="G33" s="1431">
        <v>953587</v>
      </c>
      <c r="H33" s="1050">
        <v>1094404</v>
      </c>
      <c r="I33" s="1431"/>
      <c r="J33" s="1108">
        <f t="shared" ref="J33:J38" si="9">C33/$C$39</f>
        <v>0.27305151023081653</v>
      </c>
      <c r="K33" s="1108">
        <f t="shared" ref="K33:K38" si="10">D33/$D$39</f>
        <v>0.20860651480725798</v>
      </c>
      <c r="L33" s="1108">
        <f t="shared" ref="L33:L38" si="11">E33/$E$39</f>
        <v>0.31017913869843478</v>
      </c>
      <c r="M33" s="1108">
        <f t="shared" ref="M33:M38" si="12">F33/$F$39</f>
        <v>0.44022762296844142</v>
      </c>
      <c r="N33" s="1108">
        <f t="shared" ref="N33:N38" si="13">G33/$G$39</f>
        <v>0.41718761142399152</v>
      </c>
      <c r="O33" s="1108">
        <f t="shared" ref="O33:O39" si="14">H33/$H$39</f>
        <v>0.42496505234382281</v>
      </c>
      <c r="R33" s="1055"/>
    </row>
    <row r="34" spans="1:18" ht="14" thickBot="1">
      <c r="A34" s="1453" t="s">
        <v>698</v>
      </c>
      <c r="C34" s="1142">
        <v>359109</v>
      </c>
      <c r="D34" s="1431">
        <v>296929</v>
      </c>
      <c r="E34" s="1431">
        <v>284005</v>
      </c>
      <c r="F34" s="1431">
        <v>245967</v>
      </c>
      <c r="G34" s="1431">
        <v>524220</v>
      </c>
      <c r="H34" s="1050">
        <v>637131</v>
      </c>
      <c r="I34" s="1431"/>
      <c r="J34" s="1108">
        <f t="shared" si="9"/>
        <v>0.15353664136432549</v>
      </c>
      <c r="K34" s="1108">
        <f t="shared" si="10"/>
        <v>0.15498543467106785</v>
      </c>
      <c r="L34" s="1108">
        <f t="shared" si="11"/>
        <v>0.13907844522829765</v>
      </c>
      <c r="M34" s="1108">
        <f t="shared" si="12"/>
        <v>0.12354960428684231</v>
      </c>
      <c r="N34" s="1108">
        <f t="shared" si="13"/>
        <v>0.22934256618503066</v>
      </c>
      <c r="O34" s="1108">
        <f t="shared" si="14"/>
        <v>0.2474026125314529</v>
      </c>
    </row>
    <row r="35" spans="1:18" ht="14" thickBot="1">
      <c r="A35" s="1451" t="s">
        <v>699</v>
      </c>
      <c r="C35" s="1142">
        <v>786818</v>
      </c>
      <c r="D35" s="1460">
        <v>561375</v>
      </c>
      <c r="E35" s="1460">
        <v>595415</v>
      </c>
      <c r="F35" s="1460">
        <v>523469</v>
      </c>
      <c r="G35" s="1431">
        <v>435919</v>
      </c>
      <c r="H35" s="1050">
        <v>485819</v>
      </c>
      <c r="I35" s="1460"/>
      <c r="J35" s="1108">
        <f t="shared" si="9"/>
        <v>0.33640313410411843</v>
      </c>
      <c r="K35" s="1108">
        <f t="shared" si="10"/>
        <v>0.29301600176631692</v>
      </c>
      <c r="L35" s="1108">
        <f t="shared" si="11"/>
        <v>0.29157723443462913</v>
      </c>
      <c r="M35" s="1108">
        <f t="shared" si="12"/>
        <v>0.26293928781677645</v>
      </c>
      <c r="N35" s="1108">
        <f t="shared" si="13"/>
        <v>0.19071149919654415</v>
      </c>
      <c r="O35" s="1108">
        <f t="shared" si="14"/>
        <v>0.18864705973719362</v>
      </c>
    </row>
    <row r="36" spans="1:18" ht="13.5" customHeight="1" thickBot="1">
      <c r="A36" s="1455" t="s">
        <v>827</v>
      </c>
      <c r="C36" s="1142">
        <v>290760</v>
      </c>
      <c r="D36" s="1431">
        <v>225774</v>
      </c>
      <c r="E36" s="1431">
        <v>230671</v>
      </c>
      <c r="F36" s="1431">
        <v>103472</v>
      </c>
      <c r="G36" s="1431">
        <v>119284</v>
      </c>
      <c r="H36" s="1050">
        <v>137151</v>
      </c>
      <c r="I36" s="1431"/>
      <c r="J36" s="1108">
        <f t="shared" si="9"/>
        <v>0.12431410475117939</v>
      </c>
      <c r="K36" s="1108">
        <f t="shared" si="10"/>
        <v>0.11784528128753227</v>
      </c>
      <c r="L36" s="1108">
        <f t="shared" si="11"/>
        <v>0.11296056069173659</v>
      </c>
      <c r="M36" s="1108">
        <f t="shared" si="12"/>
        <v>5.1974145534840636E-2</v>
      </c>
      <c r="N36" s="1108">
        <f t="shared" si="13"/>
        <v>5.2185911763792295E-2</v>
      </c>
      <c r="O36" s="1108">
        <f t="shared" si="14"/>
        <v>5.325673324842347E-2</v>
      </c>
    </row>
    <row r="37" spans="1:18" ht="13.5" customHeight="1" thickBot="1">
      <c r="A37" s="1473" t="s">
        <v>1341</v>
      </c>
      <c r="C37" s="1142">
        <v>84023</v>
      </c>
      <c r="D37" s="1431">
        <v>132138</v>
      </c>
      <c r="E37" s="1431">
        <v>82584</v>
      </c>
      <c r="F37" s="1431">
        <v>86939</v>
      </c>
      <c r="G37" s="1431">
        <v>150426</v>
      </c>
      <c r="H37" s="1050">
        <v>220324</v>
      </c>
      <c r="I37" s="1431"/>
      <c r="J37" s="1108">
        <f t="shared" si="9"/>
        <v>3.5923937348701147E-2</v>
      </c>
      <c r="K37" s="1108">
        <f t="shared" si="10"/>
        <v>6.8970916840610255E-2</v>
      </c>
      <c r="L37" s="1108">
        <f t="shared" si="11"/>
        <v>4.0441732788978127E-2</v>
      </c>
      <c r="M37" s="1108">
        <f t="shared" si="12"/>
        <v>4.3669594080074904E-2</v>
      </c>
      <c r="N37" s="1108">
        <f t="shared" si="13"/>
        <v>6.5810317921768377E-2</v>
      </c>
      <c r="O37" s="1108">
        <f t="shared" si="14"/>
        <v>8.5553415550930378E-2</v>
      </c>
    </row>
    <row r="38" spans="1:18" ht="13.5" customHeight="1" thickBot="1">
      <c r="A38" s="1456" t="s">
        <v>28</v>
      </c>
      <c r="C38" s="1142">
        <v>179560</v>
      </c>
      <c r="D38" s="1142">
        <v>299976</v>
      </c>
      <c r="E38" s="1142">
        <v>215973</v>
      </c>
      <c r="F38" s="1142">
        <v>154568</v>
      </c>
      <c r="G38" s="1179">
        <f>46426+55889</f>
        <v>102315</v>
      </c>
      <c r="H38" s="1050">
        <v>451</v>
      </c>
      <c r="I38" s="1431"/>
      <c r="J38" s="1108">
        <f t="shared" si="9"/>
        <v>7.6770672200859036E-2</v>
      </c>
      <c r="K38" s="1108">
        <f t="shared" si="10"/>
        <v>0.15657585062721474</v>
      </c>
      <c r="L38" s="1108">
        <f t="shared" si="11"/>
        <v>0.10576288815792373</v>
      </c>
      <c r="M38" s="1108">
        <f t="shared" si="12"/>
        <v>7.7639745313024283E-2</v>
      </c>
      <c r="N38" s="1108">
        <f t="shared" si="13"/>
        <v>4.4762093508873016E-2</v>
      </c>
      <c r="O38" s="1108">
        <f t="shared" si="14"/>
        <v>1.7512658817681962E-4</v>
      </c>
    </row>
    <row r="39" spans="1:18" s="1223" customFormat="1">
      <c r="A39" s="1223" t="s">
        <v>16</v>
      </c>
      <c r="C39" s="1461">
        <f>SUM(C33:C38)</f>
        <v>2338914</v>
      </c>
      <c r="D39" s="1461">
        <f>SUM(D33:D38)</f>
        <v>1915851</v>
      </c>
      <c r="E39" s="1461">
        <f>SUM(E33:E38)</f>
        <v>2042049</v>
      </c>
      <c r="F39" s="1461">
        <f>SUM(F33:F38)</f>
        <v>1990836</v>
      </c>
      <c r="G39" s="1221">
        <v>2285751</v>
      </c>
      <c r="H39" s="1223">
        <v>2575280</v>
      </c>
      <c r="I39" s="1461"/>
      <c r="J39" s="1467">
        <f>SUM(J33:J38)</f>
        <v>1</v>
      </c>
      <c r="K39" s="1467">
        <f>SUM(K33:K38)</f>
        <v>1</v>
      </c>
      <c r="L39" s="1467">
        <f>SUM(L33:L38)</f>
        <v>1</v>
      </c>
      <c r="M39" s="1467">
        <f>SUM(M33:M38)</f>
        <v>0.99999999999999989</v>
      </c>
      <c r="N39" s="1467">
        <f>SUM(N33:N38)</f>
        <v>1</v>
      </c>
      <c r="O39" s="1109">
        <f t="shared" si="14"/>
        <v>1</v>
      </c>
    </row>
    <row r="40" spans="1:18" hidden="1">
      <c r="A40" s="1050" t="s">
        <v>12</v>
      </c>
      <c r="C40" s="1050">
        <v>327353</v>
      </c>
      <c r="D40" s="1050">
        <v>613953</v>
      </c>
      <c r="E40" s="1050">
        <f>E19+SUM(E37:E37)</f>
        <v>125986</v>
      </c>
      <c r="F40" s="1050" t="e">
        <f>F19+#REF!+F37</f>
        <v>#REF!</v>
      </c>
      <c r="J40" s="1153" t="e">
        <f>C40/#REF!</f>
        <v>#REF!</v>
      </c>
      <c r="K40" s="1153" t="e">
        <f>D40/#REF!</f>
        <v>#REF!</v>
      </c>
      <c r="L40" s="1153" t="e">
        <f>E40/#REF!</f>
        <v>#REF!</v>
      </c>
      <c r="M40" s="1153" t="e">
        <f>F40/#REF!</f>
        <v>#REF!</v>
      </c>
      <c r="N40" s="1153" t="e">
        <f>G40/#REF!</f>
        <v>#REF!</v>
      </c>
    </row>
    <row r="41" spans="1:18" ht="4.25" customHeight="1">
      <c r="J41" s="1153"/>
      <c r="M41" s="1153"/>
      <c r="N41" s="1153"/>
      <c r="O41" s="1153"/>
    </row>
    <row r="42" spans="1:18" ht="14" thickBot="1">
      <c r="A42" s="1478" t="s">
        <v>2338</v>
      </c>
      <c r="B42" s="1478"/>
      <c r="C42" s="1478"/>
      <c r="D42" s="1478"/>
      <c r="E42" s="1478"/>
      <c r="F42" s="1478"/>
      <c r="G42" s="1478"/>
      <c r="H42" s="1478"/>
      <c r="I42" s="1478"/>
      <c r="J42" s="1478"/>
      <c r="K42" s="1478"/>
      <c r="L42" s="1478"/>
      <c r="M42" s="1478"/>
      <c r="N42" s="1478"/>
      <c r="O42" s="1478"/>
    </row>
    <row r="43" spans="1:18" ht="14" thickBot="1">
      <c r="A43" s="1474" t="s">
        <v>101</v>
      </c>
      <c r="C43" s="1462">
        <v>28</v>
      </c>
      <c r="D43" s="1462">
        <v>18</v>
      </c>
      <c r="E43" s="1462">
        <v>26</v>
      </c>
      <c r="F43" s="1462">
        <v>16</v>
      </c>
      <c r="G43" s="1462">
        <v>4</v>
      </c>
      <c r="H43" s="1050">
        <v>2</v>
      </c>
      <c r="J43" s="1063">
        <f t="shared" ref="J43:O43" si="15">C43/C$49</f>
        <v>0.5</v>
      </c>
      <c r="K43" s="1063">
        <f t="shared" si="15"/>
        <v>0.32142857142857145</v>
      </c>
      <c r="L43" s="1063">
        <f t="shared" si="15"/>
        <v>0.4642857142857143</v>
      </c>
      <c r="M43" s="1063">
        <f t="shared" si="15"/>
        <v>0.2857142857142857</v>
      </c>
      <c r="N43" s="1063">
        <f t="shared" si="15"/>
        <v>7.1428571428571425E-2</v>
      </c>
      <c r="O43" s="1063">
        <f t="shared" si="15"/>
        <v>3.5714285714285712E-2</v>
      </c>
    </row>
    <row r="44" spans="1:18" ht="14" thickBot="1">
      <c r="A44" s="1453" t="s">
        <v>698</v>
      </c>
      <c r="C44" s="1462">
        <v>18</v>
      </c>
      <c r="D44" s="1462">
        <v>15</v>
      </c>
      <c r="E44" s="1462">
        <v>13</v>
      </c>
      <c r="F44" s="1462">
        <v>12</v>
      </c>
      <c r="G44" s="1462">
        <v>24</v>
      </c>
      <c r="H44" s="1050">
        <v>26</v>
      </c>
      <c r="J44" s="1063">
        <f t="shared" ref="J44:J49" si="16">C44/C$49</f>
        <v>0.32142857142857145</v>
      </c>
      <c r="K44" s="1063">
        <f t="shared" ref="K44:K49" si="17">D44/D$49</f>
        <v>0.26785714285714285</v>
      </c>
      <c r="L44" s="1063">
        <f t="shared" ref="L44:L49" si="18">E44/E$49</f>
        <v>0.23214285714285715</v>
      </c>
      <c r="M44" s="1063">
        <f t="shared" ref="M44:M49" si="19">F44/F$49</f>
        <v>0.21428571428571427</v>
      </c>
      <c r="N44" s="1063">
        <f t="shared" ref="N44:N49" si="20">G44/G$49</f>
        <v>0.42857142857142855</v>
      </c>
      <c r="O44" s="1063">
        <f t="shared" ref="O44:O49" si="21">H44/H$49</f>
        <v>0.4642857142857143</v>
      </c>
    </row>
    <row r="45" spans="1:18" ht="14" thickBot="1">
      <c r="A45" s="1451" t="s">
        <v>699</v>
      </c>
      <c r="C45" s="1462">
        <v>3</v>
      </c>
      <c r="D45" s="1462">
        <v>4</v>
      </c>
      <c r="E45" s="1462">
        <v>9</v>
      </c>
      <c r="F45" s="1462">
        <v>22</v>
      </c>
      <c r="G45" s="1462">
        <v>21</v>
      </c>
      <c r="H45" s="1050">
        <v>20</v>
      </c>
      <c r="J45" s="1063">
        <f t="shared" si="16"/>
        <v>5.3571428571428568E-2</v>
      </c>
      <c r="K45" s="1063">
        <f t="shared" si="17"/>
        <v>7.1428571428571425E-2</v>
      </c>
      <c r="L45" s="1063">
        <f t="shared" si="18"/>
        <v>0.16071428571428573</v>
      </c>
      <c r="M45" s="1063">
        <f t="shared" si="19"/>
        <v>0.39285714285714285</v>
      </c>
      <c r="N45" s="1063">
        <f t="shared" si="20"/>
        <v>0.375</v>
      </c>
      <c r="O45" s="1063">
        <f t="shared" si="21"/>
        <v>0.35714285714285715</v>
      </c>
    </row>
    <row r="46" spans="1:18" ht="14" thickBot="1">
      <c r="A46" s="1455" t="s">
        <v>827</v>
      </c>
      <c r="C46" s="1462">
        <v>5</v>
      </c>
      <c r="D46" s="1462">
        <v>4</v>
      </c>
      <c r="E46" s="1462">
        <v>5</v>
      </c>
      <c r="F46" s="1462">
        <v>3</v>
      </c>
      <c r="G46" s="1462">
        <v>1</v>
      </c>
      <c r="H46" s="1050">
        <v>0</v>
      </c>
      <c r="J46" s="1063">
        <f t="shared" si="16"/>
        <v>8.9285714285714288E-2</v>
      </c>
      <c r="K46" s="1063">
        <f t="shared" si="17"/>
        <v>7.1428571428571425E-2</v>
      </c>
      <c r="L46" s="1063">
        <f t="shared" si="18"/>
        <v>8.9285714285714288E-2</v>
      </c>
      <c r="M46" s="1063">
        <f t="shared" si="19"/>
        <v>5.3571428571428568E-2</v>
      </c>
      <c r="N46" s="1063">
        <f t="shared" si="20"/>
        <v>1.7857142857142856E-2</v>
      </c>
      <c r="O46" s="1063">
        <f t="shared" si="21"/>
        <v>0</v>
      </c>
    </row>
    <row r="47" spans="1:18" ht="14" thickBot="1">
      <c r="A47" s="1473" t="s">
        <v>1341</v>
      </c>
      <c r="C47" s="1462">
        <v>1</v>
      </c>
      <c r="D47" s="1462">
        <v>7</v>
      </c>
      <c r="E47" s="1462">
        <v>2</v>
      </c>
      <c r="F47" s="1462">
        <v>2</v>
      </c>
      <c r="G47" s="1462">
        <v>6</v>
      </c>
      <c r="H47" s="1050">
        <v>8</v>
      </c>
      <c r="J47" s="1063">
        <f t="shared" si="16"/>
        <v>1.7857142857142856E-2</v>
      </c>
      <c r="K47" s="1063">
        <f t="shared" si="17"/>
        <v>0.125</v>
      </c>
      <c r="L47" s="1063">
        <f t="shared" si="18"/>
        <v>3.5714285714285712E-2</v>
      </c>
      <c r="M47" s="1063">
        <f t="shared" si="19"/>
        <v>3.5714285714285712E-2</v>
      </c>
      <c r="N47" s="1063">
        <f t="shared" si="20"/>
        <v>0.10714285714285714</v>
      </c>
      <c r="O47" s="1063">
        <f t="shared" si="21"/>
        <v>0.14285714285714285</v>
      </c>
    </row>
    <row r="48" spans="1:18" ht="14" thickBot="1">
      <c r="A48" s="1456" t="s">
        <v>28</v>
      </c>
      <c r="C48" s="1142">
        <f>SUM(C47:C47)</f>
        <v>1</v>
      </c>
      <c r="D48" s="1142">
        <v>8</v>
      </c>
      <c r="E48" s="1142">
        <v>1</v>
      </c>
      <c r="F48" s="1142">
        <v>1</v>
      </c>
      <c r="G48" s="1142">
        <v>0</v>
      </c>
      <c r="H48" s="1050">
        <v>0</v>
      </c>
      <c r="J48" s="1063">
        <f t="shared" si="16"/>
        <v>1.7857142857142856E-2</v>
      </c>
      <c r="K48" s="1063">
        <f t="shared" si="17"/>
        <v>0.14285714285714285</v>
      </c>
      <c r="L48" s="1063">
        <f t="shared" si="18"/>
        <v>1.7857142857142856E-2</v>
      </c>
      <c r="M48" s="1063">
        <f t="shared" si="19"/>
        <v>1.7857142857142856E-2</v>
      </c>
      <c r="N48" s="1063">
        <f t="shared" si="20"/>
        <v>0</v>
      </c>
      <c r="O48" s="1063">
        <f t="shared" si="21"/>
        <v>0</v>
      </c>
    </row>
    <row r="49" spans="1:15" s="1223" customFormat="1">
      <c r="A49" s="1223" t="s">
        <v>16</v>
      </c>
      <c r="C49" s="1221">
        <f>SUM(C43:C48)</f>
        <v>56</v>
      </c>
      <c r="D49" s="1221">
        <f>SUM(D43:D48)</f>
        <v>56</v>
      </c>
      <c r="E49" s="1221">
        <f>SUM(E43:E48)</f>
        <v>56</v>
      </c>
      <c r="F49" s="1221">
        <f>SUM(F43:F48)</f>
        <v>56</v>
      </c>
      <c r="G49" s="1221">
        <f>SUM(G43:G48)</f>
        <v>56</v>
      </c>
      <c r="H49" s="1223">
        <v>56</v>
      </c>
      <c r="J49" s="1429">
        <f t="shared" si="16"/>
        <v>1</v>
      </c>
      <c r="K49" s="1429">
        <f t="shared" si="17"/>
        <v>1</v>
      </c>
      <c r="L49" s="1429">
        <f t="shared" si="18"/>
        <v>1</v>
      </c>
      <c r="M49" s="1429">
        <f t="shared" si="19"/>
        <v>1</v>
      </c>
      <c r="N49" s="1429">
        <f t="shared" si="20"/>
        <v>1</v>
      </c>
      <c r="O49" s="1873">
        <f t="shared" si="21"/>
        <v>1</v>
      </c>
    </row>
    <row r="51" spans="1:15" ht="14" thickBot="1">
      <c r="A51" s="1479" t="s">
        <v>1970</v>
      </c>
      <c r="B51" s="1478"/>
      <c r="C51" s="1478"/>
      <c r="D51" s="1478"/>
      <c r="E51" s="1478"/>
      <c r="F51" s="1478"/>
      <c r="G51" s="1478"/>
      <c r="H51" s="1478"/>
      <c r="I51" s="1478"/>
      <c r="J51" s="1478"/>
      <c r="K51" s="1478"/>
      <c r="L51" s="1478"/>
      <c r="M51" s="1478"/>
      <c r="N51" s="1478"/>
      <c r="O51" s="1478"/>
    </row>
    <row r="52" spans="1:15" ht="14" thickBot="1">
      <c r="A52" s="1474" t="s">
        <v>101</v>
      </c>
      <c r="C52" s="1462">
        <f t="shared" ref="C52:F56" si="22">C43+C23</f>
        <v>35</v>
      </c>
      <c r="D52" s="1462">
        <f t="shared" si="22"/>
        <v>27</v>
      </c>
      <c r="E52" s="1462">
        <f t="shared" si="22"/>
        <v>47</v>
      </c>
      <c r="F52" s="1462">
        <f t="shared" si="22"/>
        <v>69</v>
      </c>
      <c r="G52" s="1462">
        <f>G43+G23</f>
        <v>63</v>
      </c>
      <c r="H52" s="1050">
        <v>64</v>
      </c>
      <c r="J52" s="1063">
        <f t="shared" ref="J52:O52" si="23">C52/C$58</f>
        <v>0.27131782945736432</v>
      </c>
      <c r="K52" s="1063">
        <f t="shared" si="23"/>
        <v>0.20930232558139536</v>
      </c>
      <c r="L52" s="1063">
        <f t="shared" si="23"/>
        <v>0.36434108527131781</v>
      </c>
      <c r="M52" s="1063">
        <f t="shared" si="23"/>
        <v>0.53488372093023251</v>
      </c>
      <c r="N52" s="1063">
        <f t="shared" si="23"/>
        <v>0.48837209302325579</v>
      </c>
      <c r="O52" s="1063">
        <f t="shared" si="23"/>
        <v>0.49612403100775193</v>
      </c>
    </row>
    <row r="53" spans="1:15" ht="14" thickBot="1">
      <c r="A53" s="1453" t="s">
        <v>698</v>
      </c>
      <c r="C53" s="1462">
        <f t="shared" si="22"/>
        <v>18</v>
      </c>
      <c r="D53" s="1462">
        <f t="shared" si="22"/>
        <v>18</v>
      </c>
      <c r="E53" s="1462">
        <f t="shared" si="22"/>
        <v>17</v>
      </c>
      <c r="F53" s="1462">
        <f t="shared" si="22"/>
        <v>15</v>
      </c>
      <c r="G53" s="1462">
        <f>G44+G24</f>
        <v>31</v>
      </c>
      <c r="H53" s="1050">
        <v>31</v>
      </c>
      <c r="J53" s="1063">
        <f t="shared" ref="J53:J59" si="24">C53/C$58</f>
        <v>0.13953488372093023</v>
      </c>
      <c r="K53" s="1063">
        <f t="shared" ref="K53:K59" si="25">D53/D$58</f>
        <v>0.13953488372093023</v>
      </c>
      <c r="L53" s="1063">
        <f t="shared" ref="L53:L59" si="26">E53/E$58</f>
        <v>0.13178294573643412</v>
      </c>
      <c r="M53" s="1063">
        <f t="shared" ref="M53:M59" si="27">F53/F$58</f>
        <v>0.11627906976744186</v>
      </c>
      <c r="N53" s="1063">
        <f t="shared" ref="N53:N59" si="28">G53/G$58</f>
        <v>0.24031007751937986</v>
      </c>
      <c r="O53" s="1063">
        <f t="shared" ref="O53:O59" si="29">H53/H$58</f>
        <v>0.24031007751937986</v>
      </c>
    </row>
    <row r="54" spans="1:15" ht="14" thickBot="1">
      <c r="A54" s="1451" t="s">
        <v>699</v>
      </c>
      <c r="C54" s="1462">
        <f t="shared" si="22"/>
        <v>56</v>
      </c>
      <c r="D54" s="1462">
        <f t="shared" si="22"/>
        <v>50</v>
      </c>
      <c r="E54" s="1462">
        <f t="shared" si="22"/>
        <v>46</v>
      </c>
      <c r="F54" s="1462">
        <f t="shared" si="22"/>
        <v>37</v>
      </c>
      <c r="G54" s="1462">
        <f>G45+G25</f>
        <v>24</v>
      </c>
      <c r="H54" s="1050">
        <v>22</v>
      </c>
      <c r="J54" s="1063">
        <f t="shared" si="24"/>
        <v>0.43410852713178294</v>
      </c>
      <c r="K54" s="1063">
        <f t="shared" si="25"/>
        <v>0.38759689922480622</v>
      </c>
      <c r="L54" s="1063">
        <f t="shared" si="26"/>
        <v>0.35658914728682173</v>
      </c>
      <c r="M54" s="1063">
        <f t="shared" si="27"/>
        <v>0.2868217054263566</v>
      </c>
      <c r="N54" s="1063">
        <f t="shared" si="28"/>
        <v>0.18604651162790697</v>
      </c>
      <c r="O54" s="1063">
        <f t="shared" si="29"/>
        <v>0.17054263565891473</v>
      </c>
    </row>
    <row r="55" spans="1:15" ht="14" thickBot="1">
      <c r="A55" s="1455" t="s">
        <v>827</v>
      </c>
      <c r="C55" s="1462">
        <f t="shared" si="22"/>
        <v>17</v>
      </c>
      <c r="D55" s="1462">
        <f t="shared" si="22"/>
        <v>17</v>
      </c>
      <c r="E55" s="1462">
        <f t="shared" si="22"/>
        <v>16</v>
      </c>
      <c r="F55" s="1462">
        <f t="shared" si="22"/>
        <v>5</v>
      </c>
      <c r="G55" s="1462">
        <f>G46+G26</f>
        <v>5</v>
      </c>
      <c r="H55" s="1050">
        <v>4</v>
      </c>
      <c r="J55" s="1063">
        <f t="shared" si="24"/>
        <v>0.13178294573643412</v>
      </c>
      <c r="K55" s="1063">
        <f t="shared" si="25"/>
        <v>0.13178294573643412</v>
      </c>
      <c r="L55" s="1063">
        <f t="shared" si="26"/>
        <v>0.12403100775193798</v>
      </c>
      <c r="M55" s="1063">
        <f t="shared" si="27"/>
        <v>3.875968992248062E-2</v>
      </c>
      <c r="N55" s="1063">
        <f t="shared" si="28"/>
        <v>3.875968992248062E-2</v>
      </c>
      <c r="O55" s="1063">
        <f t="shared" si="29"/>
        <v>3.1007751937984496E-2</v>
      </c>
    </row>
    <row r="56" spans="1:15" ht="14" thickBot="1">
      <c r="A56" s="1473" t="s">
        <v>1341</v>
      </c>
      <c r="C56" s="1462">
        <f t="shared" si="22"/>
        <v>1</v>
      </c>
      <c r="D56" s="1462">
        <f t="shared" si="22"/>
        <v>7</v>
      </c>
      <c r="E56" s="1462">
        <f t="shared" si="22"/>
        <v>2</v>
      </c>
      <c r="F56" s="1462">
        <f t="shared" si="22"/>
        <v>2</v>
      </c>
      <c r="G56" s="1462">
        <f>G47+G27</f>
        <v>6</v>
      </c>
      <c r="H56" s="1050">
        <v>8</v>
      </c>
      <c r="J56" s="1063">
        <f t="shared" si="24"/>
        <v>7.7519379844961239E-3</v>
      </c>
      <c r="K56" s="1063">
        <f t="shared" si="25"/>
        <v>5.4263565891472867E-2</v>
      </c>
      <c r="L56" s="1063">
        <f t="shared" si="26"/>
        <v>1.5503875968992248E-2</v>
      </c>
      <c r="M56" s="1063">
        <f t="shared" si="27"/>
        <v>1.5503875968992248E-2</v>
      </c>
      <c r="N56" s="1063">
        <f t="shared" si="28"/>
        <v>4.6511627906976744E-2</v>
      </c>
      <c r="O56" s="1063">
        <f t="shared" si="29"/>
        <v>6.2015503875968991E-2</v>
      </c>
    </row>
    <row r="57" spans="1:15" ht="14" thickBot="1">
      <c r="A57" s="1456" t="s">
        <v>28</v>
      </c>
      <c r="C57" s="1462">
        <f>C48+C28</f>
        <v>2</v>
      </c>
      <c r="D57" s="1462">
        <f>D48+D28</f>
        <v>10</v>
      </c>
      <c r="E57" s="1462">
        <f>E48+E28</f>
        <v>1</v>
      </c>
      <c r="F57" s="1462">
        <f>F48+F28</f>
        <v>1</v>
      </c>
      <c r="G57" s="1462">
        <v>0</v>
      </c>
      <c r="H57" s="1050">
        <v>0</v>
      </c>
      <c r="J57" s="1063">
        <f t="shared" si="24"/>
        <v>1.5503875968992248E-2</v>
      </c>
      <c r="K57" s="1063">
        <f t="shared" si="25"/>
        <v>7.7519379844961239E-2</v>
      </c>
      <c r="L57" s="1063">
        <f t="shared" si="26"/>
        <v>7.7519379844961239E-3</v>
      </c>
      <c r="M57" s="1063">
        <f t="shared" si="27"/>
        <v>7.7519379844961239E-3</v>
      </c>
      <c r="N57" s="1063">
        <f t="shared" si="28"/>
        <v>0</v>
      </c>
      <c r="O57" s="1063">
        <f t="shared" si="29"/>
        <v>0</v>
      </c>
    </row>
    <row r="58" spans="1:15" s="1223" customFormat="1">
      <c r="A58" s="1223" t="s">
        <v>16</v>
      </c>
      <c r="C58" s="1221">
        <f>SUM(C52:C57)</f>
        <v>129</v>
      </c>
      <c r="D58" s="1221">
        <f>SUM(D52:D57)</f>
        <v>129</v>
      </c>
      <c r="E58" s="1221">
        <f>SUM(E52:E57)</f>
        <v>129</v>
      </c>
      <c r="F58" s="1221">
        <f>SUM(F52:F57)</f>
        <v>129</v>
      </c>
      <c r="G58" s="1221">
        <f>SUM(G52:G57)</f>
        <v>129</v>
      </c>
      <c r="H58" s="1223">
        <v>129</v>
      </c>
      <c r="J58" s="1873">
        <f t="shared" si="24"/>
        <v>1</v>
      </c>
      <c r="K58" s="1873">
        <f t="shared" si="25"/>
        <v>1</v>
      </c>
      <c r="L58" s="1873">
        <f t="shared" si="26"/>
        <v>1</v>
      </c>
      <c r="M58" s="1873">
        <f t="shared" si="27"/>
        <v>1</v>
      </c>
      <c r="N58" s="1873">
        <f t="shared" si="28"/>
        <v>1</v>
      </c>
      <c r="O58" s="1873">
        <f t="shared" si="29"/>
        <v>1</v>
      </c>
    </row>
    <row r="59" spans="1:15" ht="0.75" customHeight="1">
      <c r="J59" s="1063">
        <f t="shared" si="24"/>
        <v>0</v>
      </c>
      <c r="K59" s="1063">
        <f t="shared" si="25"/>
        <v>0</v>
      </c>
      <c r="L59" s="1063">
        <f t="shared" si="26"/>
        <v>0</v>
      </c>
      <c r="M59" s="1063">
        <f t="shared" si="27"/>
        <v>0</v>
      </c>
      <c r="N59" s="1063">
        <f t="shared" si="28"/>
        <v>0</v>
      </c>
      <c r="O59" s="1063">
        <f t="shared" si="29"/>
        <v>0</v>
      </c>
    </row>
    <row r="60" spans="1:15" ht="3" customHeight="1">
      <c r="A60" s="1084"/>
      <c r="B60" s="1084"/>
      <c r="C60" s="1084"/>
      <c r="D60" s="1084"/>
      <c r="E60" s="1084"/>
      <c r="F60" s="1084"/>
      <c r="G60" s="1084"/>
      <c r="H60" s="1084"/>
      <c r="I60" s="1084"/>
      <c r="J60" s="1084"/>
      <c r="K60" s="1084"/>
      <c r="L60" s="1084"/>
      <c r="M60" s="1084"/>
      <c r="N60" s="1084"/>
      <c r="O60" s="1084"/>
    </row>
    <row r="61" spans="1:15">
      <c r="A61" s="1223" t="s">
        <v>1878</v>
      </c>
    </row>
    <row r="62" spans="1:15">
      <c r="C62" s="1108">
        <f>C20/C75</f>
        <v>0.5875711202988112</v>
      </c>
      <c r="D62" s="1108">
        <f>D20/D75</f>
        <v>0.49429110809653742</v>
      </c>
      <c r="E62" s="1108">
        <f>E20/E75</f>
        <v>0.51737125209374868</v>
      </c>
      <c r="F62" s="1108">
        <f>F20/F75</f>
        <v>0.50351844497413278</v>
      </c>
      <c r="G62" s="1108">
        <v>0.55600000000000005</v>
      </c>
      <c r="H62" s="1153">
        <v>0.63300000000000001</v>
      </c>
      <c r="I62" s="1462"/>
      <c r="J62" s="1078"/>
      <c r="K62" s="1078"/>
      <c r="L62" s="1078"/>
      <c r="M62" s="1078"/>
      <c r="N62" s="1078"/>
    </row>
    <row r="63" spans="1:15" ht="4.5" customHeight="1">
      <c r="C63" s="1108"/>
      <c r="D63" s="1108"/>
      <c r="E63" s="1108"/>
      <c r="F63" s="1108"/>
      <c r="G63" s="1108"/>
      <c r="I63" s="1462"/>
      <c r="J63" s="1078"/>
      <c r="K63" s="1078"/>
      <c r="L63" s="1078"/>
      <c r="M63" s="1078"/>
      <c r="N63" s="1078"/>
    </row>
    <row r="64" spans="1:15">
      <c r="A64" s="1223" t="s">
        <v>1879</v>
      </c>
    </row>
    <row r="65" spans="1:15">
      <c r="C65" s="1108">
        <f>C39/C75</f>
        <v>0.58667464647100598</v>
      </c>
      <c r="D65" s="1108">
        <f>D39/D75</f>
        <v>0.49409948780902962</v>
      </c>
      <c r="E65" s="1108">
        <f>E39/E75</f>
        <v>0.52380242708111557</v>
      </c>
      <c r="F65" s="1108">
        <f>F39/F75</f>
        <v>0.50391330660930034</v>
      </c>
      <c r="G65" s="1108">
        <v>0.55700000000000005</v>
      </c>
      <c r="H65" s="1153">
        <v>0.63500000000000001</v>
      </c>
      <c r="I65" s="1431"/>
      <c r="J65" s="1078"/>
      <c r="K65" s="1078"/>
      <c r="L65" s="1078"/>
      <c r="M65" s="1078"/>
      <c r="N65" s="1078"/>
    </row>
    <row r="66" spans="1:15" ht="3" customHeight="1">
      <c r="A66" s="1084"/>
      <c r="B66" s="1084"/>
      <c r="C66" s="1084"/>
      <c r="D66" s="1084"/>
      <c r="E66" s="1084"/>
      <c r="F66" s="1084"/>
      <c r="G66" s="1084"/>
      <c r="H66" s="1084"/>
      <c r="I66" s="1084"/>
      <c r="J66" s="1084"/>
      <c r="K66" s="1084"/>
      <c r="L66" s="1084"/>
      <c r="M66" s="1084"/>
      <c r="N66" s="1084"/>
      <c r="O66" s="1084"/>
    </row>
    <row r="67" spans="1:15" ht="4.5" customHeight="1"/>
    <row r="68" spans="1:15" s="1324" customFormat="1" ht="11">
      <c r="A68" s="1324" t="s">
        <v>1114</v>
      </c>
    </row>
    <row r="69" spans="1:15" s="1324" customFormat="1" ht="11">
      <c r="A69" s="1069" t="s">
        <v>2331</v>
      </c>
    </row>
    <row r="70" spans="1:15" s="1324" customFormat="1" ht="11">
      <c r="A70" s="1069" t="s">
        <v>2339</v>
      </c>
    </row>
    <row r="71" spans="1:15" s="1324" customFormat="1" ht="11">
      <c r="A71" s="1009" t="s">
        <v>2340</v>
      </c>
    </row>
    <row r="72" spans="1:15">
      <c r="A72" s="1009" t="s">
        <v>2341</v>
      </c>
    </row>
    <row r="73" spans="1:15">
      <c r="A73" s="1009" t="s">
        <v>2758</v>
      </c>
    </row>
    <row r="74" spans="1:15">
      <c r="A74" s="1050" t="s">
        <v>1118</v>
      </c>
    </row>
    <row r="75" spans="1:15">
      <c r="C75" s="1050">
        <v>3986731</v>
      </c>
      <c r="D75" s="1050">
        <v>3877460</v>
      </c>
      <c r="E75" s="1050">
        <v>3898510</v>
      </c>
      <c r="F75" s="1050">
        <v>3950751</v>
      </c>
    </row>
    <row r="76" spans="1:15">
      <c r="A76" s="1050" t="s">
        <v>1117</v>
      </c>
    </row>
    <row r="78" spans="1:15" ht="16">
      <c r="A78" s="1463" t="s">
        <v>1409</v>
      </c>
    </row>
    <row r="79" spans="1:15" ht="6" customHeight="1"/>
    <row r="80" spans="1:15">
      <c r="C80" s="3456" t="s">
        <v>56</v>
      </c>
      <c r="D80" s="3456"/>
      <c r="E80" s="3456"/>
      <c r="F80" s="3456"/>
      <c r="G80" s="3281"/>
      <c r="H80" s="1464"/>
    </row>
    <row r="81" spans="1:8">
      <c r="C81" s="1005">
        <v>1999</v>
      </c>
      <c r="D81" s="1005">
        <v>2003</v>
      </c>
      <c r="E81" s="1005">
        <v>2007</v>
      </c>
      <c r="F81" s="1005">
        <v>2011</v>
      </c>
      <c r="G81" s="1005"/>
      <c r="H81" s="1005"/>
    </row>
    <row r="82" spans="1:8" ht="4.5" customHeight="1"/>
    <row r="83" spans="1:8">
      <c r="A83" s="1050" t="s">
        <v>101</v>
      </c>
      <c r="C83" s="1050">
        <v>35</v>
      </c>
      <c r="D83" s="1050">
        <v>27</v>
      </c>
      <c r="E83" s="1050">
        <v>47</v>
      </c>
      <c r="F83" s="1050">
        <v>69</v>
      </c>
    </row>
    <row r="84" spans="1:8">
      <c r="A84" s="1050" t="s">
        <v>699</v>
      </c>
      <c r="C84" s="1050">
        <v>56</v>
      </c>
      <c r="D84" s="1050">
        <v>50</v>
      </c>
      <c r="E84" s="1050">
        <v>46</v>
      </c>
      <c r="F84" s="1050">
        <v>37</v>
      </c>
    </row>
    <row r="85" spans="1:8">
      <c r="A85" s="1050" t="s">
        <v>698</v>
      </c>
      <c r="C85" s="1050">
        <v>18</v>
      </c>
      <c r="D85" s="1050">
        <v>18</v>
      </c>
      <c r="E85" s="1050">
        <v>17</v>
      </c>
      <c r="F85" s="1050">
        <v>15</v>
      </c>
    </row>
    <row r="86" spans="1:8">
      <c r="A86" s="1050" t="s">
        <v>827</v>
      </c>
      <c r="C86" s="1050">
        <v>17</v>
      </c>
      <c r="D86" s="1050">
        <v>17</v>
      </c>
      <c r="E86" s="1050">
        <v>16</v>
      </c>
      <c r="F86" s="1050">
        <v>5</v>
      </c>
    </row>
    <row r="87" spans="1:8">
      <c r="A87" s="1050" t="s">
        <v>115</v>
      </c>
      <c r="C87" s="1050">
        <v>1</v>
      </c>
      <c r="D87" s="1050">
        <v>7</v>
      </c>
      <c r="E87" s="1050">
        <v>2</v>
      </c>
      <c r="F87" s="1050">
        <v>2</v>
      </c>
    </row>
    <row r="88" spans="1:8" ht="12.75" customHeight="1">
      <c r="A88" s="1050" t="s">
        <v>2342</v>
      </c>
      <c r="C88" s="1050">
        <v>1</v>
      </c>
      <c r="D88" s="1050">
        <v>6</v>
      </c>
      <c r="E88" s="1050">
        <v>0</v>
      </c>
      <c r="F88" s="1050">
        <v>0</v>
      </c>
    </row>
    <row r="89" spans="1:8">
      <c r="A89" s="1050" t="s">
        <v>12</v>
      </c>
      <c r="C89" s="1050">
        <v>1</v>
      </c>
      <c r="D89" s="1050">
        <v>4</v>
      </c>
      <c r="E89" s="1050">
        <v>1</v>
      </c>
      <c r="F89" s="1050">
        <v>1</v>
      </c>
    </row>
    <row r="90" spans="1:8" ht="2.25" customHeight="1"/>
    <row r="91" spans="1:8">
      <c r="A91" s="1050" t="s">
        <v>16</v>
      </c>
      <c r="C91" s="1050">
        <f>SUM(C83:C89)</f>
        <v>129</v>
      </c>
      <c r="D91" s="1050">
        <f>SUM(D83:D89)</f>
        <v>129</v>
      </c>
      <c r="E91" s="1050">
        <f>SUM(E83:E89)</f>
        <v>129</v>
      </c>
      <c r="F91" s="1050">
        <f>SUM(F83:F89)</f>
        <v>129</v>
      </c>
    </row>
    <row r="92" spans="1:8" ht="2.25" customHeight="1"/>
    <row r="93" spans="1:8" ht="3" customHeight="1"/>
    <row r="94" spans="1:8" s="1324" customFormat="1" ht="11">
      <c r="A94" s="1324" t="s">
        <v>1154</v>
      </c>
    </row>
    <row r="99" spans="1:2" ht="22.5" customHeight="1">
      <c r="A99" s="3455"/>
      <c r="B99" s="3455"/>
    </row>
    <row r="101" spans="1:2" ht="25.5" customHeight="1">
      <c r="A101" s="3455"/>
      <c r="B101" s="3455"/>
    </row>
  </sheetData>
  <mergeCells count="7">
    <mergeCell ref="C9:H9"/>
    <mergeCell ref="J9:O9"/>
    <mergeCell ref="Z12:AE12"/>
    <mergeCell ref="S12:X12"/>
    <mergeCell ref="A101:B101"/>
    <mergeCell ref="A99:B99"/>
    <mergeCell ref="C80:F8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4"/>
  <dimension ref="A1:Q92"/>
  <sheetViews>
    <sheetView showGridLines="0" topLeftCell="A20" zoomScale="70" zoomScaleNormal="70" workbookViewId="0">
      <selection activeCell="V92" sqref="V92"/>
    </sheetView>
  </sheetViews>
  <sheetFormatPr baseColWidth="10" defaultColWidth="9.3984375" defaultRowHeight="12"/>
  <cols>
    <col min="1" max="1" width="10.3984375" style="28" customWidth="1"/>
    <col min="2" max="2" width="11.796875" style="28" customWidth="1"/>
    <col min="3" max="6" width="10" style="28" customWidth="1"/>
    <col min="7" max="10" width="8.3984375" style="28" bestFit="1" customWidth="1"/>
    <col min="11" max="11" width="1.19921875" style="28" customWidth="1"/>
    <col min="12" max="15" width="7.796875" style="28" customWidth="1"/>
    <col min="16" max="16" width="8.19921875" style="28" customWidth="1"/>
    <col min="17" max="18" width="10.796875" style="28" customWidth="1"/>
    <col min="19" max="16384" width="9.3984375" style="28"/>
  </cols>
  <sheetData>
    <row r="1" spans="1:17">
      <c r="Q1" s="44"/>
    </row>
    <row r="7" spans="1:17" ht="14">
      <c r="A7" s="397" t="s">
        <v>1408</v>
      </c>
      <c r="B7" s="112"/>
      <c r="C7" s="112"/>
      <c r="D7" s="112"/>
      <c r="E7" s="112"/>
      <c r="F7" s="112"/>
      <c r="G7" s="112"/>
      <c r="H7" s="112"/>
      <c r="I7" s="112"/>
      <c r="J7" s="112"/>
      <c r="K7" s="112"/>
      <c r="L7" s="112"/>
      <c r="M7" s="112"/>
      <c r="N7" s="112"/>
      <c r="O7" s="112"/>
    </row>
    <row r="8" spans="1:17" ht="6" customHeight="1">
      <c r="A8" s="112"/>
      <c r="B8" s="112"/>
      <c r="C8" s="112"/>
      <c r="D8" s="112"/>
      <c r="E8" s="112"/>
      <c r="F8" s="112"/>
      <c r="G8" s="112"/>
      <c r="H8" s="112"/>
      <c r="I8" s="112"/>
      <c r="J8" s="112"/>
      <c r="K8" s="112"/>
      <c r="L8" s="112"/>
      <c r="M8" s="112"/>
      <c r="N8" s="112"/>
      <c r="O8" s="112"/>
    </row>
    <row r="9" spans="1:17" ht="12.75" customHeight="1">
      <c r="A9" s="112"/>
      <c r="B9" s="112"/>
      <c r="C9" s="398"/>
      <c r="D9" s="398"/>
      <c r="E9" s="398"/>
      <c r="F9" s="398" t="s">
        <v>731</v>
      </c>
      <c r="G9" s="3457" t="s">
        <v>150</v>
      </c>
      <c r="H9" s="3457"/>
      <c r="I9" s="3457"/>
      <c r="J9" s="3457"/>
      <c r="K9" s="398"/>
      <c r="L9" s="3457" t="s">
        <v>56</v>
      </c>
      <c r="M9" s="3457"/>
      <c r="N9" s="3457"/>
      <c r="O9" s="3457"/>
    </row>
    <row r="10" spans="1:17">
      <c r="A10" s="112"/>
      <c r="B10" s="112"/>
      <c r="C10" s="126">
        <v>2011</v>
      </c>
      <c r="D10" s="126">
        <v>2007</v>
      </c>
      <c r="E10" s="126">
        <v>2003</v>
      </c>
      <c r="F10" s="126">
        <v>1999</v>
      </c>
      <c r="G10" s="126">
        <v>1999</v>
      </c>
      <c r="H10" s="126">
        <v>2003</v>
      </c>
      <c r="I10" s="126">
        <v>2007</v>
      </c>
      <c r="J10" s="126">
        <v>2011</v>
      </c>
      <c r="K10" s="399"/>
      <c r="L10" s="126">
        <v>1999</v>
      </c>
      <c r="M10" s="126">
        <v>2003</v>
      </c>
      <c r="N10" s="126">
        <v>2007</v>
      </c>
      <c r="O10" s="126">
        <v>2011</v>
      </c>
      <c r="P10" s="46"/>
    </row>
    <row r="11" spans="1:17" ht="6" customHeight="1">
      <c r="A11" s="112"/>
      <c r="B11" s="112"/>
      <c r="C11" s="156"/>
      <c r="D11" s="156"/>
      <c r="E11" s="156"/>
      <c r="F11" s="156"/>
      <c r="G11" s="156"/>
      <c r="H11" s="156"/>
      <c r="I11" s="156"/>
      <c r="J11" s="156"/>
      <c r="K11" s="156"/>
      <c r="L11" s="156"/>
      <c r="M11" s="156"/>
      <c r="N11" s="156"/>
      <c r="O11" s="156"/>
    </row>
    <row r="12" spans="1:17">
      <c r="A12" s="400" t="s">
        <v>145</v>
      </c>
      <c r="B12" s="112"/>
      <c r="C12" s="156"/>
      <c r="D12" s="156"/>
      <c r="E12" s="156"/>
      <c r="F12" s="156"/>
      <c r="G12" s="156"/>
      <c r="H12" s="156"/>
      <c r="I12" s="156"/>
      <c r="J12" s="156"/>
      <c r="K12" s="156"/>
      <c r="L12" s="156"/>
      <c r="M12" s="156"/>
      <c r="N12" s="156"/>
      <c r="O12" s="156"/>
    </row>
    <row r="13" spans="1:17" ht="2.25" customHeight="1">
      <c r="A13" s="112"/>
      <c r="B13" s="112"/>
      <c r="C13" s="156"/>
      <c r="D13" s="156"/>
      <c r="E13" s="156"/>
      <c r="F13" s="156"/>
      <c r="G13" s="156"/>
      <c r="H13" s="156"/>
      <c r="I13" s="156"/>
      <c r="J13" s="156"/>
      <c r="K13" s="156"/>
      <c r="L13" s="156"/>
      <c r="M13" s="156"/>
      <c r="N13" s="156"/>
      <c r="O13" s="156"/>
    </row>
    <row r="14" spans="1:17">
      <c r="A14" s="112" t="s">
        <v>101</v>
      </c>
      <c r="B14" s="112"/>
      <c r="C14" s="162">
        <v>902915</v>
      </c>
      <c r="D14" s="162">
        <v>664227</v>
      </c>
      <c r="E14" s="162">
        <v>455742</v>
      </c>
      <c r="F14" s="156">
        <v>672768</v>
      </c>
      <c r="G14" s="179">
        <f>F14/$F$20</f>
        <v>0.28720232504926385</v>
      </c>
      <c r="H14" s="179">
        <f>E14/E20</f>
        <v>0.23778745002854021</v>
      </c>
      <c r="I14" s="179">
        <f>D14/$D$20</f>
        <v>0.32931808344864616</v>
      </c>
      <c r="J14" s="179">
        <f>C14/$C$20</f>
        <v>0.45390130462409611</v>
      </c>
      <c r="K14" s="401"/>
      <c r="L14" s="162">
        <v>7</v>
      </c>
      <c r="M14" s="162">
        <v>9</v>
      </c>
      <c r="N14" s="162">
        <v>21</v>
      </c>
      <c r="O14" s="162">
        <v>53</v>
      </c>
    </row>
    <row r="15" spans="1:17">
      <c r="A15" s="112" t="s">
        <v>699</v>
      </c>
      <c r="B15" s="112"/>
      <c r="C15" s="402">
        <v>630437</v>
      </c>
      <c r="D15" s="162">
        <v>648374</v>
      </c>
      <c r="E15" s="162">
        <v>663585</v>
      </c>
      <c r="F15" s="156">
        <v>908346</v>
      </c>
      <c r="G15" s="179">
        <f>F15/$F$20</f>
        <v>0.38776975591763968</v>
      </c>
      <c r="H15" s="179">
        <f>E15/E20</f>
        <v>0.34623138755521515</v>
      </c>
      <c r="I15" s="179">
        <f>D15/$D$20</f>
        <v>0.32145830121017743</v>
      </c>
      <c r="J15" s="179">
        <f>C15/$C$20</f>
        <v>0.31692482324836924</v>
      </c>
      <c r="K15" s="401"/>
      <c r="L15" s="162">
        <v>53</v>
      </c>
      <c r="M15" s="162">
        <v>46</v>
      </c>
      <c r="N15" s="162">
        <v>37</v>
      </c>
      <c r="O15" s="162">
        <v>15</v>
      </c>
    </row>
    <row r="16" spans="1:17">
      <c r="A16" s="112" t="s">
        <v>698</v>
      </c>
      <c r="B16" s="112"/>
      <c r="C16" s="162">
        <v>276652</v>
      </c>
      <c r="D16" s="162">
        <v>334742</v>
      </c>
      <c r="E16" s="162">
        <v>318279</v>
      </c>
      <c r="F16" s="156">
        <v>364425</v>
      </c>
      <c r="G16" s="179">
        <f>F16/$F$20</f>
        <v>0.155571768137126</v>
      </c>
      <c r="H16" s="179">
        <f>E16/E20</f>
        <v>0.16606490472160509</v>
      </c>
      <c r="I16" s="179">
        <f>D16/$D$20</f>
        <v>0.16596222961392221</v>
      </c>
      <c r="J16" s="179">
        <f>C16/$C$20</f>
        <v>0.13907477860802561</v>
      </c>
      <c r="K16" s="401"/>
      <c r="L16" s="384">
        <v>0</v>
      </c>
      <c r="M16" s="162">
        <v>3</v>
      </c>
      <c r="N16" s="162">
        <v>4</v>
      </c>
      <c r="O16" s="162">
        <v>3</v>
      </c>
    </row>
    <row r="17" spans="1:15">
      <c r="A17" s="112" t="s">
        <v>827</v>
      </c>
      <c r="B17" s="112"/>
      <c r="C17" s="162">
        <v>157694</v>
      </c>
      <c r="D17" s="162">
        <v>326232</v>
      </c>
      <c r="E17" s="162">
        <v>294347</v>
      </c>
      <c r="F17" s="156">
        <v>333179</v>
      </c>
      <c r="G17" s="179">
        <f>F17/$F$20</f>
        <v>0.14223295914429443</v>
      </c>
      <c r="H17" s="179">
        <f>E17/E20</f>
        <v>0.15357817044194022</v>
      </c>
      <c r="I17" s="179">
        <f>D17/$D$20</f>
        <v>0.16174304416956664</v>
      </c>
      <c r="J17" s="179">
        <f>C17/$C$20</f>
        <v>7.9273810194084957E-2</v>
      </c>
      <c r="K17" s="401"/>
      <c r="L17" s="162">
        <v>12</v>
      </c>
      <c r="M17" s="162">
        <v>13</v>
      </c>
      <c r="N17" s="162">
        <v>11</v>
      </c>
      <c r="O17" s="162">
        <v>2</v>
      </c>
    </row>
    <row r="18" spans="1:15">
      <c r="A18" s="112" t="s">
        <v>12</v>
      </c>
      <c r="B18" s="112"/>
      <c r="C18" s="162">
        <v>21534</v>
      </c>
      <c r="D18" s="162">
        <v>43402</v>
      </c>
      <c r="E18" s="162">
        <v>184641</v>
      </c>
      <c r="F18" s="156">
        <v>63770</v>
      </c>
      <c r="G18" s="179">
        <f>F18/$F$20</f>
        <v>2.7223191751675997E-2</v>
      </c>
      <c r="H18" s="179">
        <f>E18/E20</f>
        <v>9.6338087252699323E-2</v>
      </c>
      <c r="I18" s="179">
        <f>D18/$D$20</f>
        <v>2.151834155768757E-2</v>
      </c>
      <c r="J18" s="179">
        <f>C18/$C$20</f>
        <v>1.0825283325424083E-2</v>
      </c>
      <c r="K18" s="401"/>
      <c r="L18" s="162">
        <v>1</v>
      </c>
      <c r="M18" s="156">
        <v>2</v>
      </c>
      <c r="N18" s="156">
        <v>0</v>
      </c>
      <c r="O18" s="156">
        <v>0</v>
      </c>
    </row>
    <row r="19" spans="1:15" ht="2.25" customHeight="1">
      <c r="A19" s="112"/>
      <c r="B19" s="112"/>
      <c r="C19" s="162"/>
      <c r="D19" s="162"/>
      <c r="E19" s="162"/>
      <c r="F19" s="156"/>
      <c r="G19" s="162"/>
      <c r="H19" s="142"/>
      <c r="I19" s="142"/>
      <c r="J19" s="142"/>
      <c r="K19" s="142"/>
      <c r="L19" s="162"/>
      <c r="M19" s="156"/>
      <c r="N19" s="156"/>
      <c r="O19" s="156"/>
    </row>
    <row r="20" spans="1:15">
      <c r="A20" s="112" t="s">
        <v>16</v>
      </c>
      <c r="B20" s="112"/>
      <c r="C20" s="162">
        <v>1989232</v>
      </c>
      <c r="D20" s="162">
        <v>2016977</v>
      </c>
      <c r="E20" s="162">
        <v>1916594</v>
      </c>
      <c r="F20" s="162">
        <v>2342488</v>
      </c>
      <c r="G20" s="142">
        <v>1</v>
      </c>
      <c r="H20" s="142">
        <v>1</v>
      </c>
      <c r="I20" s="142">
        <v>1</v>
      </c>
      <c r="J20" s="142">
        <v>1</v>
      </c>
      <c r="K20" s="142"/>
      <c r="L20" s="156">
        <v>73</v>
      </c>
      <c r="M20" s="156">
        <v>73</v>
      </c>
      <c r="N20" s="156">
        <v>73</v>
      </c>
      <c r="O20" s="156">
        <v>73</v>
      </c>
    </row>
    <row r="21" spans="1:15" ht="6" customHeight="1">
      <c r="A21" s="112"/>
      <c r="B21" s="112"/>
      <c r="C21" s="162"/>
      <c r="D21" s="162"/>
      <c r="E21" s="162"/>
      <c r="F21" s="162"/>
      <c r="G21" s="142"/>
      <c r="H21" s="142"/>
      <c r="I21" s="142"/>
      <c r="J21" s="142"/>
      <c r="K21" s="142"/>
      <c r="L21" s="156"/>
      <c r="M21" s="156"/>
      <c r="N21" s="156"/>
      <c r="O21" s="156"/>
    </row>
    <row r="22" spans="1:15">
      <c r="A22" s="112" t="s">
        <v>219</v>
      </c>
      <c r="B22" s="112"/>
      <c r="C22" s="179">
        <f>C20/C62</f>
        <v>0.50350730785108955</v>
      </c>
      <c r="D22" s="179">
        <f>D20/D62</f>
        <v>0.51737125209374868</v>
      </c>
      <c r="E22" s="179">
        <f>E20/E62</f>
        <v>0.49429110809653742</v>
      </c>
      <c r="F22" s="179">
        <f>F20/F62</f>
        <v>0.5875711202988112</v>
      </c>
      <c r="G22" s="142"/>
      <c r="H22" s="142"/>
      <c r="I22" s="142"/>
      <c r="J22" s="142"/>
      <c r="K22" s="142"/>
      <c r="L22" s="156"/>
      <c r="M22" s="156"/>
      <c r="N22" s="156"/>
      <c r="O22" s="156"/>
    </row>
    <row r="23" spans="1:15" ht="6" customHeight="1">
      <c r="A23" s="112"/>
      <c r="B23" s="112"/>
      <c r="C23" s="403"/>
      <c r="D23" s="403"/>
      <c r="E23" s="403"/>
      <c r="F23" s="156"/>
      <c r="G23" s="403"/>
      <c r="H23" s="142"/>
      <c r="I23" s="142"/>
      <c r="J23" s="142"/>
      <c r="K23" s="142"/>
      <c r="L23" s="162"/>
      <c r="M23" s="156"/>
      <c r="N23" s="156"/>
      <c r="O23" s="156"/>
    </row>
    <row r="24" spans="1:15">
      <c r="A24" s="404" t="s">
        <v>1116</v>
      </c>
      <c r="B24" s="405"/>
      <c r="C24" s="407"/>
      <c r="D24" s="407"/>
      <c r="E24" s="407"/>
      <c r="F24" s="406"/>
      <c r="G24" s="407"/>
      <c r="H24" s="406"/>
      <c r="I24" s="406"/>
      <c r="J24" s="406"/>
      <c r="K24" s="406"/>
      <c r="L24" s="162"/>
      <c r="M24" s="156"/>
      <c r="N24" s="156"/>
      <c r="O24" s="156"/>
    </row>
    <row r="25" spans="1:15" ht="2.25" customHeight="1">
      <c r="A25" s="405"/>
      <c r="B25" s="405"/>
      <c r="C25" s="408"/>
      <c r="D25" s="408"/>
      <c r="E25" s="408"/>
      <c r="F25" s="406"/>
      <c r="G25" s="408"/>
      <c r="H25" s="406"/>
      <c r="I25" s="406"/>
      <c r="J25" s="406"/>
      <c r="K25" s="406"/>
      <c r="L25" s="162"/>
      <c r="M25" s="156"/>
      <c r="N25" s="156"/>
      <c r="O25" s="156"/>
    </row>
    <row r="26" spans="1:15">
      <c r="A26" s="112" t="s">
        <v>101</v>
      </c>
      <c r="B26" s="112"/>
      <c r="C26" s="410">
        <v>876421</v>
      </c>
      <c r="D26" s="409">
        <v>633401</v>
      </c>
      <c r="E26" s="409">
        <v>399659</v>
      </c>
      <c r="F26" s="156">
        <v>638644</v>
      </c>
      <c r="G26" s="179">
        <f>F26/$F$40</f>
        <v>0.27305151023081653</v>
      </c>
      <c r="H26" s="179">
        <f>E26/$E$40</f>
        <v>0.20860651480725798</v>
      </c>
      <c r="I26" s="179">
        <f>D26/$D$40</f>
        <v>0.31017913869843478</v>
      </c>
      <c r="J26" s="179">
        <f>C26/$C$40</f>
        <v>0.44020772243669526</v>
      </c>
      <c r="K26" s="401"/>
      <c r="L26" s="162">
        <v>28</v>
      </c>
      <c r="M26" s="411">
        <v>18</v>
      </c>
      <c r="N26" s="411">
        <v>26</v>
      </c>
      <c r="O26" s="411">
        <v>16</v>
      </c>
    </row>
    <row r="27" spans="1:15">
      <c r="A27" s="112" t="s">
        <v>699</v>
      </c>
      <c r="B27" s="112"/>
      <c r="C27" s="412">
        <v>523559</v>
      </c>
      <c r="D27" s="412">
        <v>595415</v>
      </c>
      <c r="E27" s="412">
        <v>561375</v>
      </c>
      <c r="F27" s="156">
        <v>786818</v>
      </c>
      <c r="G27" s="179">
        <f>F27/$F$40</f>
        <v>0.33640313410411843</v>
      </c>
      <c r="H27" s="179">
        <f>E27/$E$40</f>
        <v>0.29301600176631692</v>
      </c>
      <c r="I27" s="179">
        <f>D27/$D$40</f>
        <v>0.29157723443462913</v>
      </c>
      <c r="J27" s="179">
        <f>C27/$C$40</f>
        <v>0.26297260671667355</v>
      </c>
      <c r="K27" s="401"/>
      <c r="L27" s="162">
        <v>3</v>
      </c>
      <c r="M27" s="411">
        <v>4</v>
      </c>
      <c r="N27" s="411">
        <v>9</v>
      </c>
      <c r="O27" s="411">
        <v>22</v>
      </c>
    </row>
    <row r="28" spans="1:15">
      <c r="A28" s="112" t="s">
        <v>698</v>
      </c>
      <c r="B28" s="112"/>
      <c r="C28" s="409">
        <v>245967</v>
      </c>
      <c r="D28" s="409">
        <v>284005</v>
      </c>
      <c r="E28" s="409">
        <v>296929</v>
      </c>
      <c r="F28" s="156">
        <v>359109</v>
      </c>
      <c r="G28" s="179">
        <f>F28/$F$40</f>
        <v>0.15353664136432549</v>
      </c>
      <c r="H28" s="179">
        <f>E28/$E$40</f>
        <v>0.15498543467106785</v>
      </c>
      <c r="I28" s="179">
        <f>D28/$D$40</f>
        <v>0.13907844522829765</v>
      </c>
      <c r="J28" s="179">
        <f>C28/$C$40</f>
        <v>0.12354401921517927</v>
      </c>
      <c r="K28" s="401"/>
      <c r="L28" s="162">
        <v>18</v>
      </c>
      <c r="M28" s="411">
        <v>15</v>
      </c>
      <c r="N28" s="411">
        <v>13</v>
      </c>
      <c r="O28" s="411">
        <v>12</v>
      </c>
    </row>
    <row r="29" spans="1:15">
      <c r="A29" s="112" t="s">
        <v>827</v>
      </c>
      <c r="B29" s="112"/>
      <c r="C29" s="409">
        <v>103472</v>
      </c>
      <c r="D29" s="409">
        <v>230671</v>
      </c>
      <c r="E29" s="409">
        <v>225774</v>
      </c>
      <c r="F29" s="156">
        <v>290760</v>
      </c>
      <c r="G29" s="179">
        <f>F29/$F$40</f>
        <v>0.12431410475117939</v>
      </c>
      <c r="H29" s="179">
        <f>E29/$E$40</f>
        <v>0.11784528128753227</v>
      </c>
      <c r="I29" s="179">
        <f>D29/$D$40</f>
        <v>0.11296056069173659</v>
      </c>
      <c r="J29" s="179">
        <f>C29/$C$40</f>
        <v>5.1971796038627255E-2</v>
      </c>
      <c r="K29" s="401"/>
      <c r="L29" s="162">
        <v>5</v>
      </c>
      <c r="M29" s="411">
        <v>4</v>
      </c>
      <c r="N29" s="411">
        <v>5</v>
      </c>
      <c r="O29" s="411">
        <v>3</v>
      </c>
    </row>
    <row r="30" spans="1:15" ht="2.25" hidden="1" customHeight="1">
      <c r="A30" s="112"/>
      <c r="B30" s="112"/>
      <c r="C30" s="409"/>
      <c r="D30" s="409"/>
      <c r="E30" s="409"/>
      <c r="F30" s="156"/>
      <c r="G30" s="179"/>
      <c r="H30" s="179"/>
      <c r="I30" s="179"/>
      <c r="J30" s="179"/>
      <c r="K30" s="401"/>
      <c r="L30" s="162"/>
      <c r="M30" s="411"/>
      <c r="N30" s="411"/>
      <c r="O30" s="411"/>
    </row>
    <row r="31" spans="1:15" ht="12" hidden="1" customHeight="1">
      <c r="A31" s="112" t="s">
        <v>148</v>
      </c>
      <c r="B31" s="112"/>
      <c r="C31" s="409">
        <v>86939</v>
      </c>
      <c r="D31" s="409">
        <v>82584</v>
      </c>
      <c r="E31" s="409">
        <v>132138</v>
      </c>
      <c r="F31" s="156">
        <v>84023</v>
      </c>
      <c r="G31" s="179">
        <f>F31/$F$40</f>
        <v>3.5923937348701147E-2</v>
      </c>
      <c r="H31" s="179">
        <f t="shared" ref="H31:H36" si="0">E31/$E$40</f>
        <v>6.8970916840610255E-2</v>
      </c>
      <c r="I31" s="179">
        <f t="shared" ref="I31:I36" si="1">D31/$D$40</f>
        <v>4.0441732788978127E-2</v>
      </c>
      <c r="J31" s="179">
        <f>C31/$C$40</f>
        <v>4.3667619991903266E-2</v>
      </c>
      <c r="K31" s="401"/>
      <c r="L31" s="162">
        <v>1</v>
      </c>
      <c r="M31" s="411">
        <v>7</v>
      </c>
      <c r="N31" s="411">
        <v>2</v>
      </c>
      <c r="O31" s="411">
        <v>2</v>
      </c>
    </row>
    <row r="32" spans="1:15" ht="12" hidden="1" customHeight="1">
      <c r="A32" s="112" t="s">
        <v>143</v>
      </c>
      <c r="B32" s="112"/>
      <c r="C32" s="156" t="s">
        <v>246</v>
      </c>
      <c r="D32" s="409">
        <v>12731</v>
      </c>
      <c r="E32" s="409">
        <v>128026</v>
      </c>
      <c r="F32" s="156">
        <v>46714</v>
      </c>
      <c r="G32" s="179">
        <f>F32/$F$40</f>
        <v>1.9972517159673249E-2</v>
      </c>
      <c r="H32" s="179">
        <f t="shared" si="0"/>
        <v>6.6824612143637468E-2</v>
      </c>
      <c r="I32" s="179">
        <f t="shared" si="1"/>
        <v>6.234424345351164E-3</v>
      </c>
      <c r="J32" s="179" t="s">
        <v>246</v>
      </c>
      <c r="K32" s="401"/>
      <c r="L32" s="162">
        <v>1</v>
      </c>
      <c r="M32" s="411">
        <v>6</v>
      </c>
      <c r="N32" s="384">
        <v>0</v>
      </c>
      <c r="O32" s="384" t="s">
        <v>246</v>
      </c>
    </row>
    <row r="33" spans="1:15" ht="24" hidden="1" customHeight="1">
      <c r="A33" s="666" t="s">
        <v>1088</v>
      </c>
      <c r="B33" s="666"/>
      <c r="C33" s="156" t="s">
        <v>246</v>
      </c>
      <c r="D33" s="409">
        <v>38743</v>
      </c>
      <c r="E33" s="413">
        <v>28966</v>
      </c>
      <c r="F33" s="156" t="s">
        <v>246</v>
      </c>
      <c r="G33" s="179" t="s">
        <v>246</v>
      </c>
      <c r="H33" s="179">
        <f t="shared" si="0"/>
        <v>1.511912982794591E-2</v>
      </c>
      <c r="I33" s="179">
        <f t="shared" si="1"/>
        <v>1.8972610353620311E-2</v>
      </c>
      <c r="J33" s="179" t="s">
        <v>246</v>
      </c>
      <c r="K33" s="401"/>
      <c r="L33" s="384" t="s">
        <v>246</v>
      </c>
      <c r="M33" s="411">
        <v>1</v>
      </c>
      <c r="N33" s="384">
        <v>0</v>
      </c>
      <c r="O33" s="384" t="s">
        <v>246</v>
      </c>
    </row>
    <row r="34" spans="1:15" ht="12" hidden="1" customHeight="1">
      <c r="A34" s="112" t="s">
        <v>118</v>
      </c>
      <c r="B34" s="112"/>
      <c r="C34" s="156" t="s">
        <v>246</v>
      </c>
      <c r="D34" s="409">
        <v>14244</v>
      </c>
      <c r="E34" s="413">
        <v>21657</v>
      </c>
      <c r="F34" s="156">
        <v>55153</v>
      </c>
      <c r="G34" s="179">
        <f>F34/$F$40</f>
        <v>2.3580601937480385E-2</v>
      </c>
      <c r="H34" s="179">
        <f t="shared" si="0"/>
        <v>1.130411498597751E-2</v>
      </c>
      <c r="I34" s="179">
        <f t="shared" si="1"/>
        <v>6.9753468207667891E-3</v>
      </c>
      <c r="J34" s="179" t="s">
        <v>246</v>
      </c>
      <c r="K34" s="401"/>
      <c r="L34" s="384">
        <v>0</v>
      </c>
      <c r="M34" s="384">
        <v>0</v>
      </c>
      <c r="N34" s="384">
        <v>0</v>
      </c>
      <c r="O34" s="384" t="s">
        <v>246</v>
      </c>
    </row>
    <row r="35" spans="1:15" ht="24.75" hidden="1" customHeight="1">
      <c r="A35" s="666" t="s">
        <v>1089</v>
      </c>
      <c r="B35" s="666"/>
      <c r="C35" s="156" t="s">
        <v>246</v>
      </c>
      <c r="D35" s="409">
        <v>8197</v>
      </c>
      <c r="E35" s="413">
        <v>11969</v>
      </c>
      <c r="F35" s="156" t="s">
        <v>246</v>
      </c>
      <c r="G35" s="179" t="s">
        <v>246</v>
      </c>
      <c r="H35" s="179">
        <f t="shared" si="0"/>
        <v>6.2473543088684873E-3</v>
      </c>
      <c r="I35" s="179">
        <f t="shared" si="1"/>
        <v>4.0141054401730807E-3</v>
      </c>
      <c r="J35" s="179" t="s">
        <v>246</v>
      </c>
      <c r="K35" s="401"/>
      <c r="L35" s="162" t="s">
        <v>246</v>
      </c>
      <c r="M35" s="384">
        <v>0</v>
      </c>
      <c r="N35" s="384">
        <v>0</v>
      </c>
      <c r="O35" s="384" t="s">
        <v>246</v>
      </c>
    </row>
    <row r="36" spans="1:15" ht="12" hidden="1" customHeight="1">
      <c r="A36" s="112" t="s">
        <v>28</v>
      </c>
      <c r="B36" s="112"/>
      <c r="C36" s="403">
        <v>154568</v>
      </c>
      <c r="D36" s="403">
        <v>142058</v>
      </c>
      <c r="E36" s="414">
        <v>101461</v>
      </c>
      <c r="F36" s="156">
        <v>77693</v>
      </c>
      <c r="G36" s="179">
        <f>F36/$F$40</f>
        <v>3.3217553103705395E-2</v>
      </c>
      <c r="H36" s="179">
        <f t="shared" si="0"/>
        <v>5.2958711298529998E-2</v>
      </c>
      <c r="I36" s="179">
        <f t="shared" si="1"/>
        <v>6.9566401198012384E-2</v>
      </c>
      <c r="J36" s="179">
        <f>C36/$C$40</f>
        <v>7.763623560092138E-2</v>
      </c>
      <c r="K36" s="401"/>
      <c r="L36" s="384">
        <v>0</v>
      </c>
      <c r="M36" s="111">
        <v>1</v>
      </c>
      <c r="N36" s="111">
        <v>1</v>
      </c>
      <c r="O36" s="111">
        <v>1</v>
      </c>
    </row>
    <row r="37" spans="1:15" ht="2.25" hidden="1" customHeight="1">
      <c r="A37" s="112"/>
      <c r="B37" s="112"/>
      <c r="C37" s="403"/>
      <c r="D37" s="403"/>
      <c r="E37" s="156"/>
      <c r="F37" s="156"/>
      <c r="G37" s="179"/>
      <c r="H37" s="179"/>
      <c r="I37" s="179"/>
      <c r="J37" s="179"/>
      <c r="K37" s="401"/>
      <c r="L37" s="384"/>
      <c r="M37" s="111"/>
      <c r="N37" s="111"/>
      <c r="O37" s="111"/>
    </row>
    <row r="38" spans="1:15">
      <c r="A38" s="112" t="s">
        <v>12</v>
      </c>
      <c r="B38" s="112"/>
      <c r="C38" s="156">
        <v>241507</v>
      </c>
      <c r="D38" s="156">
        <v>298557</v>
      </c>
      <c r="E38" s="156">
        <v>432114</v>
      </c>
      <c r="F38" s="156">
        <v>263583</v>
      </c>
      <c r="G38" s="179">
        <f>F38/$F$40</f>
        <v>0.11269460954956018</v>
      </c>
      <c r="H38" s="179">
        <f>E38/$E$40</f>
        <v>0.22554676746782501</v>
      </c>
      <c r="I38" s="179">
        <f>D38/$D$40</f>
        <v>0.14620462094690187</v>
      </c>
      <c r="J38" s="179">
        <f>C38/$C$40</f>
        <v>0.12130385559282464</v>
      </c>
      <c r="K38" s="401"/>
      <c r="L38" s="156">
        <f>SUM(L31:L36)</f>
        <v>2</v>
      </c>
      <c r="M38" s="156">
        <f>SUM(M31:M36)</f>
        <v>15</v>
      </c>
      <c r="N38" s="156">
        <f>SUM(N31:N36)</f>
        <v>3</v>
      </c>
      <c r="O38" s="156">
        <f>SUM(O31:O36)</f>
        <v>3</v>
      </c>
    </row>
    <row r="39" spans="1:15" ht="2.25" customHeight="1">
      <c r="A39" s="112"/>
      <c r="B39" s="112"/>
      <c r="C39" s="403"/>
      <c r="D39" s="403"/>
      <c r="E39" s="156"/>
      <c r="F39" s="156"/>
      <c r="G39" s="403"/>
      <c r="H39" s="179"/>
      <c r="I39" s="142"/>
      <c r="J39" s="142"/>
      <c r="K39" s="142"/>
      <c r="L39" s="162"/>
      <c r="M39" s="111"/>
      <c r="N39" s="111"/>
      <c r="O39" s="111"/>
    </row>
    <row r="40" spans="1:15">
      <c r="A40" s="112" t="s">
        <v>16</v>
      </c>
      <c r="B40" s="112"/>
      <c r="C40" s="409">
        <v>1990926</v>
      </c>
      <c r="D40" s="409">
        <v>2042049</v>
      </c>
      <c r="E40" s="409">
        <v>1915851</v>
      </c>
      <c r="F40" s="409">
        <v>2338914</v>
      </c>
      <c r="G40" s="142">
        <v>1</v>
      </c>
      <c r="H40" s="142">
        <v>1</v>
      </c>
      <c r="I40" s="142">
        <v>1</v>
      </c>
      <c r="J40" s="142">
        <v>1</v>
      </c>
      <c r="K40" s="124"/>
      <c r="L40" s="156">
        <v>56</v>
      </c>
      <c r="M40" s="156">
        <v>56</v>
      </c>
      <c r="N40" s="156">
        <v>56</v>
      </c>
      <c r="O40" s="156">
        <v>56</v>
      </c>
    </row>
    <row r="41" spans="1:15" ht="6" customHeight="1">
      <c r="A41" s="112"/>
      <c r="B41" s="112"/>
      <c r="C41" s="409"/>
      <c r="D41" s="409"/>
      <c r="E41" s="409"/>
      <c r="F41" s="409"/>
      <c r="G41" s="142"/>
      <c r="H41" s="142"/>
      <c r="I41" s="142"/>
      <c r="J41" s="142"/>
      <c r="K41" s="124"/>
      <c r="L41" s="156"/>
      <c r="M41" s="156"/>
      <c r="N41" s="156"/>
      <c r="O41" s="156"/>
    </row>
    <row r="42" spans="1:15">
      <c r="A42" s="112" t="s">
        <v>219</v>
      </c>
      <c r="B42" s="112"/>
      <c r="C42" s="415">
        <f>C40/C62</f>
        <v>0.50393608708825233</v>
      </c>
      <c r="D42" s="415">
        <f>D40/D62</f>
        <v>0.52380242708111557</v>
      </c>
      <c r="E42" s="415">
        <f>E40/E62</f>
        <v>0.49409948780902962</v>
      </c>
      <c r="F42" s="415">
        <f>F40/F62</f>
        <v>0.58667464647100598</v>
      </c>
      <c r="G42" s="142"/>
      <c r="H42" s="142"/>
      <c r="I42" s="142"/>
      <c r="J42" s="142"/>
      <c r="K42" s="124"/>
      <c r="L42" s="156"/>
      <c r="M42" s="156"/>
      <c r="N42" s="156"/>
      <c r="O42" s="156"/>
    </row>
    <row r="43" spans="1:15" ht="6" hidden="1" customHeight="1">
      <c r="A43" s="112"/>
      <c r="B43" s="112"/>
      <c r="C43" s="112"/>
      <c r="D43" s="112"/>
      <c r="E43" s="112"/>
      <c r="F43" s="112"/>
      <c r="G43" s="112"/>
      <c r="H43" s="112"/>
      <c r="I43" s="112"/>
      <c r="J43" s="112"/>
      <c r="K43" s="112"/>
      <c r="L43" s="162"/>
      <c r="M43" s="112"/>
      <c r="N43" s="112"/>
      <c r="O43" s="112"/>
    </row>
    <row r="44" spans="1:15" ht="12" hidden="1" customHeight="1">
      <c r="A44" s="404" t="s">
        <v>16</v>
      </c>
      <c r="B44" s="112"/>
      <c r="C44" s="112"/>
      <c r="D44" s="112"/>
      <c r="E44" s="112"/>
      <c r="F44" s="112"/>
      <c r="G44" s="112"/>
      <c r="H44" s="112"/>
      <c r="I44" s="112"/>
      <c r="J44" s="112"/>
      <c r="K44" s="112"/>
      <c r="L44" s="162"/>
      <c r="M44" s="112"/>
      <c r="N44" s="112"/>
      <c r="O44" s="112"/>
    </row>
    <row r="45" spans="1:15" ht="2.25" hidden="1" customHeight="1">
      <c r="A45" s="112"/>
      <c r="B45" s="112"/>
      <c r="C45" s="112"/>
      <c r="D45" s="112"/>
      <c r="E45" s="112"/>
      <c r="F45" s="112"/>
      <c r="G45" s="112"/>
      <c r="H45" s="112"/>
      <c r="I45" s="112"/>
      <c r="J45" s="112"/>
      <c r="K45" s="112"/>
      <c r="L45" s="162"/>
      <c r="M45" s="112"/>
      <c r="N45" s="112"/>
      <c r="O45" s="112"/>
    </row>
    <row r="46" spans="1:15" ht="12" hidden="1" customHeight="1">
      <c r="A46" s="112" t="s">
        <v>699</v>
      </c>
      <c r="B46" s="112"/>
      <c r="C46" s="112">
        <f>C15+C27</f>
        <v>1153996</v>
      </c>
      <c r="D46" s="112">
        <f>D15+D27</f>
        <v>1243789</v>
      </c>
      <c r="E46" s="112">
        <f>E27+E15</f>
        <v>1224960</v>
      </c>
      <c r="F46" s="112">
        <v>1695164</v>
      </c>
      <c r="G46" s="109">
        <f>F46/$F$52</f>
        <v>0.36210605284485287</v>
      </c>
      <c r="H46" s="109">
        <f>E46/$E$52</f>
        <v>0.31986271305184322</v>
      </c>
      <c r="I46" s="109">
        <f>D46/$D$52</f>
        <v>0.30642548236941569</v>
      </c>
      <c r="J46" s="109">
        <f>C46/$C$52</f>
        <v>0.28993723364750845</v>
      </c>
      <c r="K46" s="416"/>
      <c r="L46" s="162">
        <v>56</v>
      </c>
      <c r="M46" s="147">
        <f>M27+M15</f>
        <v>50</v>
      </c>
      <c r="N46" s="147">
        <f>N27+N15</f>
        <v>46</v>
      </c>
      <c r="O46" s="147">
        <f>O15+O27</f>
        <v>37</v>
      </c>
    </row>
    <row r="47" spans="1:15" ht="12" hidden="1" customHeight="1">
      <c r="A47" s="112" t="s">
        <v>101</v>
      </c>
      <c r="B47" s="112"/>
      <c r="C47" s="112">
        <f>C14+C26</f>
        <v>1779336</v>
      </c>
      <c r="D47" s="112">
        <f>D14+D26</f>
        <v>1297628</v>
      </c>
      <c r="E47" s="112">
        <f>E26+E14</f>
        <v>855401</v>
      </c>
      <c r="F47" s="112">
        <v>1311412</v>
      </c>
      <c r="G47" s="109">
        <f>F47/$F$52</f>
        <v>0.28013231933510518</v>
      </c>
      <c r="H47" s="109">
        <f>E47/$E$52</f>
        <v>0.22336311765874783</v>
      </c>
      <c r="I47" s="109">
        <f>D47/$D$52</f>
        <v>0.31968950186571854</v>
      </c>
      <c r="J47" s="109">
        <f>C47/$C$52</f>
        <v>0.44705159945911693</v>
      </c>
      <c r="K47" s="416"/>
      <c r="L47" s="162">
        <v>35</v>
      </c>
      <c r="M47" s="147">
        <f>M26+M14</f>
        <v>27</v>
      </c>
      <c r="N47" s="147">
        <f>N26+N14</f>
        <v>47</v>
      </c>
      <c r="O47" s="147">
        <f>O14+O26</f>
        <v>69</v>
      </c>
    </row>
    <row r="48" spans="1:15" ht="12" hidden="1" customHeight="1">
      <c r="A48" s="112" t="s">
        <v>698</v>
      </c>
      <c r="B48" s="112"/>
      <c r="C48" s="112">
        <f>C16+C28</f>
        <v>522619</v>
      </c>
      <c r="D48" s="112">
        <f>D16+D28</f>
        <v>618747</v>
      </c>
      <c r="E48" s="112">
        <f>E28+E16</f>
        <v>615208</v>
      </c>
      <c r="F48" s="112">
        <v>723534</v>
      </c>
      <c r="G48" s="109">
        <f>F48/$F$52</f>
        <v>0.1545549816059377</v>
      </c>
      <c r="H48" s="109">
        <f>E48/$E$52</f>
        <v>0.16064369446447097</v>
      </c>
      <c r="I48" s="109">
        <f>D48/$D$52</f>
        <v>0.15243730885192655</v>
      </c>
      <c r="J48" s="109">
        <f>C48/$C$52</f>
        <v>0.13130609387868522</v>
      </c>
      <c r="K48" s="416"/>
      <c r="L48" s="162">
        <v>18</v>
      </c>
      <c r="M48" s="147">
        <f>M28+M16</f>
        <v>18</v>
      </c>
      <c r="N48" s="147">
        <f>N28+N16</f>
        <v>17</v>
      </c>
      <c r="O48" s="147">
        <f>O16+O28</f>
        <v>15</v>
      </c>
    </row>
    <row r="49" spans="1:15" ht="12" hidden="1" customHeight="1">
      <c r="A49" s="112" t="s">
        <v>827</v>
      </c>
      <c r="B49" s="112"/>
      <c r="C49" s="112">
        <f>C17+C29</f>
        <v>261166</v>
      </c>
      <c r="D49" s="112">
        <f>D17+D29</f>
        <v>556903</v>
      </c>
      <c r="E49" s="112">
        <f>E29+E17</f>
        <v>520121</v>
      </c>
      <c r="F49" s="112">
        <v>623939</v>
      </c>
      <c r="G49" s="109">
        <f>F49/$F$52</f>
        <v>0.13328037199112575</v>
      </c>
      <c r="H49" s="109">
        <f>E49/$E$52</f>
        <v>0.13581448714671315</v>
      </c>
      <c r="I49" s="109">
        <f>D49/$D$52</f>
        <v>0.1372011413575572</v>
      </c>
      <c r="J49" s="109">
        <f>C49/$C$52</f>
        <v>6.5616993094244E-2</v>
      </c>
      <c r="K49" s="416"/>
      <c r="L49" s="162">
        <v>17</v>
      </c>
      <c r="M49" s="147">
        <f>M29+M17</f>
        <v>17</v>
      </c>
      <c r="N49" s="147">
        <f>N29+N17</f>
        <v>16</v>
      </c>
      <c r="O49" s="147">
        <f>O17+O29</f>
        <v>5</v>
      </c>
    </row>
    <row r="50" spans="1:15" ht="12" hidden="1" customHeight="1">
      <c r="A50" s="112" t="s">
        <v>12</v>
      </c>
      <c r="B50" s="112"/>
      <c r="C50" s="112">
        <f>C18+C36+C31</f>
        <v>263041</v>
      </c>
      <c r="D50" s="112">
        <f>D18+SUM(D31:D36)</f>
        <v>341959</v>
      </c>
      <c r="E50" s="112">
        <v>613953</v>
      </c>
      <c r="F50" s="112">
        <v>327353</v>
      </c>
      <c r="G50" s="109">
        <f>F50/$F$52</f>
        <v>6.9926274222978507E-2</v>
      </c>
      <c r="H50" s="109">
        <f>E50/$E$52</f>
        <v>0.16031598767822483</v>
      </c>
      <c r="I50" s="109">
        <f>D50/$D$52</f>
        <v>8.4246565555382E-2</v>
      </c>
      <c r="J50" s="109">
        <f>C50/$C$52</f>
        <v>6.6088079920445367E-2</v>
      </c>
      <c r="K50" s="416"/>
      <c r="L50" s="162">
        <v>3</v>
      </c>
      <c r="M50" s="147">
        <v>17</v>
      </c>
      <c r="N50" s="147">
        <v>3</v>
      </c>
      <c r="O50" s="147">
        <f>O18+O31+O36</f>
        <v>3</v>
      </c>
    </row>
    <row r="51" spans="1:15" ht="2.25" hidden="1" customHeight="1">
      <c r="A51" s="112"/>
      <c r="B51" s="112"/>
      <c r="C51" s="112"/>
      <c r="D51" s="112"/>
      <c r="E51" s="112"/>
      <c r="F51" s="112"/>
      <c r="G51" s="109"/>
      <c r="H51" s="112"/>
      <c r="I51" s="112"/>
      <c r="J51" s="109"/>
      <c r="K51" s="112"/>
      <c r="L51" s="162"/>
      <c r="M51" s="112"/>
      <c r="N51" s="112"/>
      <c r="O51" s="112"/>
    </row>
    <row r="52" spans="1:15" ht="12" hidden="1" customHeight="1">
      <c r="A52" s="112" t="s">
        <v>16</v>
      </c>
      <c r="B52" s="112"/>
      <c r="C52" s="112">
        <f>SUM(C46:C50)</f>
        <v>3980158</v>
      </c>
      <c r="D52" s="112">
        <f>SUM(D46:D51)</f>
        <v>4059026</v>
      </c>
      <c r="E52" s="112">
        <f>SUM(E46:E51)</f>
        <v>3829643</v>
      </c>
      <c r="F52" s="112">
        <f>SUM(F46:F51)</f>
        <v>4681402</v>
      </c>
      <c r="G52" s="109">
        <f>SUM(G46:G50)</f>
        <v>1</v>
      </c>
      <c r="H52" s="109">
        <f>SUM(H46:H50)</f>
        <v>1</v>
      </c>
      <c r="I52" s="109">
        <f>SUM(I46:I50)</f>
        <v>1</v>
      </c>
      <c r="J52" s="109">
        <f>C52/$C$52</f>
        <v>1</v>
      </c>
      <c r="K52" s="156"/>
      <c r="L52" s="112">
        <f>SUM(L46:L51)</f>
        <v>129</v>
      </c>
      <c r="M52" s="112">
        <f>SUM(M46:M51)</f>
        <v>129</v>
      </c>
      <c r="N52" s="112">
        <f>SUM(N46:N51)</f>
        <v>129</v>
      </c>
      <c r="O52" s="112">
        <f>SUM(O46:O50)</f>
        <v>129</v>
      </c>
    </row>
    <row r="53" spans="1:15" ht="6" customHeight="1">
      <c r="A53" s="137"/>
      <c r="B53" s="137"/>
      <c r="C53" s="137"/>
      <c r="D53" s="137"/>
      <c r="E53" s="137"/>
      <c r="F53" s="137"/>
      <c r="G53" s="137"/>
      <c r="H53" s="137"/>
      <c r="I53" s="137"/>
      <c r="J53" s="137"/>
      <c r="K53" s="137"/>
      <c r="L53" s="137"/>
      <c r="M53" s="137"/>
      <c r="N53" s="137"/>
      <c r="O53" s="137"/>
    </row>
    <row r="54" spans="1:15" ht="4.5" customHeight="1">
      <c r="A54" s="112"/>
      <c r="B54" s="112"/>
      <c r="C54" s="112"/>
      <c r="D54" s="112"/>
      <c r="E54" s="112"/>
      <c r="F54" s="112"/>
      <c r="G54" s="112"/>
      <c r="H54" s="112"/>
      <c r="I54" s="112"/>
      <c r="J54" s="112"/>
      <c r="K54" s="112"/>
      <c r="L54" s="112"/>
      <c r="M54" s="112"/>
      <c r="N54" s="112"/>
      <c r="O54" s="112"/>
    </row>
    <row r="55" spans="1:15" s="42" customFormat="1" ht="11">
      <c r="A55" s="331" t="s">
        <v>1114</v>
      </c>
      <c r="B55" s="331"/>
      <c r="C55" s="331"/>
      <c r="D55" s="331"/>
      <c r="E55" s="331"/>
      <c r="F55" s="331"/>
      <c r="G55" s="331"/>
      <c r="H55" s="331"/>
      <c r="I55" s="331"/>
      <c r="J55" s="331"/>
      <c r="K55" s="331"/>
      <c r="L55" s="331"/>
      <c r="M55" s="331"/>
      <c r="N55" s="331"/>
      <c r="O55" s="331"/>
    </row>
    <row r="56" spans="1:15" s="42" customFormat="1" ht="11">
      <c r="A56" s="140" t="s">
        <v>1584</v>
      </c>
      <c r="B56" s="331"/>
      <c r="C56" s="331"/>
      <c r="D56" s="331"/>
      <c r="E56" s="331"/>
      <c r="F56" s="331"/>
      <c r="G56" s="331"/>
      <c r="H56" s="331"/>
      <c r="I56" s="331"/>
      <c r="J56" s="331"/>
      <c r="K56" s="331"/>
      <c r="L56" s="331"/>
      <c r="M56" s="331"/>
      <c r="N56" s="331"/>
      <c r="O56" s="331"/>
    </row>
    <row r="57" spans="1:15" s="42" customFormat="1" ht="11">
      <c r="A57" s="140" t="s">
        <v>1589</v>
      </c>
      <c r="B57" s="331"/>
      <c r="C57" s="331"/>
      <c r="D57" s="331"/>
      <c r="E57" s="331"/>
      <c r="F57" s="331"/>
      <c r="G57" s="331"/>
      <c r="H57" s="331"/>
      <c r="I57" s="331"/>
      <c r="J57" s="331"/>
      <c r="K57" s="331"/>
      <c r="L57" s="331"/>
      <c r="M57" s="331"/>
      <c r="N57" s="331"/>
      <c r="O57" s="331"/>
    </row>
    <row r="58" spans="1:15" s="42" customFormat="1" ht="11">
      <c r="A58" s="127" t="s">
        <v>1590</v>
      </c>
      <c r="B58" s="331"/>
      <c r="C58" s="331"/>
      <c r="D58" s="331"/>
      <c r="E58" s="331"/>
      <c r="F58" s="331"/>
      <c r="G58" s="331"/>
      <c r="H58" s="331"/>
      <c r="I58" s="331"/>
      <c r="J58" s="331"/>
      <c r="K58" s="331"/>
      <c r="L58" s="331"/>
      <c r="M58" s="331"/>
      <c r="N58" s="331"/>
      <c r="O58" s="331"/>
    </row>
    <row r="59" spans="1:15">
      <c r="A59" s="127" t="s">
        <v>1591</v>
      </c>
      <c r="B59" s="112"/>
      <c r="C59" s="112"/>
      <c r="D59" s="112"/>
      <c r="E59" s="112"/>
      <c r="F59" s="112"/>
      <c r="G59" s="112"/>
      <c r="H59" s="112"/>
      <c r="I59" s="112"/>
      <c r="J59" s="112"/>
      <c r="K59" s="112"/>
      <c r="L59" s="112"/>
      <c r="M59" s="112"/>
      <c r="N59" s="112"/>
      <c r="O59" s="112"/>
    </row>
    <row r="61" spans="1:15">
      <c r="A61" s="28" t="s">
        <v>1118</v>
      </c>
    </row>
    <row r="62" spans="1:15">
      <c r="C62" s="28">
        <v>3950751</v>
      </c>
      <c r="D62" s="28">
        <v>3898510</v>
      </c>
      <c r="E62" s="28">
        <v>3877460</v>
      </c>
      <c r="F62" s="28">
        <v>3986731</v>
      </c>
    </row>
    <row r="63" spans="1:15">
      <c r="A63" s="28" t="s">
        <v>1117</v>
      </c>
    </row>
    <row r="65" spans="1:7" ht="14">
      <c r="A65" s="100" t="s">
        <v>1409</v>
      </c>
    </row>
    <row r="66" spans="1:7" ht="6" customHeight="1"/>
    <row r="67" spans="1:7">
      <c r="B67" s="45"/>
      <c r="C67" s="45"/>
      <c r="D67" s="45"/>
      <c r="E67" s="45"/>
      <c r="F67" s="45"/>
      <c r="G67" s="45" t="s">
        <v>56</v>
      </c>
    </row>
    <row r="68" spans="1:7">
      <c r="B68" s="31">
        <v>2021</v>
      </c>
      <c r="C68" s="31">
        <v>2016</v>
      </c>
      <c r="D68" s="31">
        <v>2011</v>
      </c>
      <c r="E68" s="31">
        <v>2007</v>
      </c>
      <c r="F68" s="31">
        <v>2003</v>
      </c>
      <c r="G68" s="31">
        <v>1999</v>
      </c>
    </row>
    <row r="69" spans="1:7">
      <c r="A69" s="28" t="s">
        <v>101</v>
      </c>
      <c r="B69" s="28">
        <v>64</v>
      </c>
      <c r="C69" s="28">
        <v>63</v>
      </c>
      <c r="D69" s="28">
        <v>69</v>
      </c>
      <c r="E69" s="28">
        <v>47</v>
      </c>
      <c r="F69" s="28">
        <v>27</v>
      </c>
      <c r="G69" s="28">
        <v>35</v>
      </c>
    </row>
    <row r="70" spans="1:7">
      <c r="A70" s="28" t="s">
        <v>699</v>
      </c>
      <c r="B70" s="28">
        <v>22</v>
      </c>
      <c r="C70" s="28">
        <v>24</v>
      </c>
      <c r="D70" s="28">
        <v>37</v>
      </c>
      <c r="E70" s="28">
        <v>46</v>
      </c>
      <c r="F70" s="28">
        <v>50</v>
      </c>
      <c r="G70" s="28">
        <v>56</v>
      </c>
    </row>
    <row r="71" spans="1:7">
      <c r="A71" s="28" t="s">
        <v>698</v>
      </c>
      <c r="B71" s="28">
        <v>31</v>
      </c>
      <c r="C71" s="28">
        <v>31</v>
      </c>
      <c r="D71" s="28">
        <v>15</v>
      </c>
      <c r="E71" s="28">
        <v>17</v>
      </c>
      <c r="F71" s="28">
        <v>18</v>
      </c>
      <c r="G71" s="28">
        <v>18</v>
      </c>
    </row>
    <row r="72" spans="1:7">
      <c r="A72" s="28" t="s">
        <v>827</v>
      </c>
      <c r="B72" s="28">
        <v>4</v>
      </c>
      <c r="C72" s="28">
        <v>5</v>
      </c>
      <c r="D72" s="28">
        <v>5</v>
      </c>
      <c r="E72" s="28">
        <v>16</v>
      </c>
      <c r="F72" s="28">
        <v>17</v>
      </c>
      <c r="G72" s="28">
        <v>17</v>
      </c>
    </row>
    <row r="73" spans="1:7">
      <c r="A73" s="28" t="s">
        <v>1341</v>
      </c>
      <c r="B73" s="28">
        <v>8</v>
      </c>
      <c r="C73" s="28">
        <v>6</v>
      </c>
      <c r="D73" s="28">
        <v>2</v>
      </c>
      <c r="E73" s="28">
        <v>2</v>
      </c>
      <c r="F73" s="28">
        <v>7</v>
      </c>
      <c r="G73" s="28">
        <v>1</v>
      </c>
    </row>
    <row r="74" spans="1:7" ht="12.75" customHeight="1">
      <c r="A74" s="28" t="s">
        <v>1966</v>
      </c>
      <c r="B74" s="28">
        <v>0</v>
      </c>
      <c r="C74" s="28">
        <v>0</v>
      </c>
      <c r="D74" s="28">
        <v>0</v>
      </c>
      <c r="E74" s="28">
        <v>0</v>
      </c>
      <c r="F74" s="28">
        <v>6</v>
      </c>
      <c r="G74" s="28">
        <v>1</v>
      </c>
    </row>
    <row r="75" spans="1:7">
      <c r="A75" s="28" t="s">
        <v>12</v>
      </c>
      <c r="B75" s="28">
        <v>0</v>
      </c>
      <c r="C75" s="28">
        <v>0</v>
      </c>
      <c r="D75" s="28">
        <v>1</v>
      </c>
      <c r="E75" s="28">
        <v>1</v>
      </c>
      <c r="F75" s="28">
        <v>4</v>
      </c>
      <c r="G75" s="28">
        <v>1</v>
      </c>
    </row>
    <row r="76" spans="1:7" ht="2.25" customHeight="1"/>
    <row r="77" spans="1:7">
      <c r="A77" s="47" t="s">
        <v>16</v>
      </c>
      <c r="B77" s="47">
        <f t="shared" ref="B77:G77" si="2">SUM(B69:B75)</f>
        <v>129</v>
      </c>
      <c r="C77" s="47">
        <f t="shared" si="2"/>
        <v>129</v>
      </c>
      <c r="D77" s="47">
        <f t="shared" si="2"/>
        <v>129</v>
      </c>
      <c r="E77" s="47">
        <f t="shared" si="2"/>
        <v>129</v>
      </c>
      <c r="F77" s="47">
        <f t="shared" si="2"/>
        <v>129</v>
      </c>
      <c r="G77" s="47">
        <f t="shared" si="2"/>
        <v>129</v>
      </c>
    </row>
    <row r="78" spans="1:7" ht="2.25" customHeight="1">
      <c r="A78" s="48"/>
      <c r="B78" s="48"/>
      <c r="C78" s="48"/>
      <c r="D78" s="48"/>
      <c r="E78" s="48"/>
      <c r="F78" s="48"/>
    </row>
    <row r="79" spans="1:7" ht="3" customHeight="1"/>
    <row r="80" spans="1:7" s="42" customFormat="1" ht="11">
      <c r="A80" s="42" t="s">
        <v>1154</v>
      </c>
    </row>
    <row r="85" spans="1:2" ht="22.5" customHeight="1">
      <c r="A85" s="667"/>
      <c r="B85" s="667"/>
    </row>
    <row r="87" spans="1:2" ht="25.5" customHeight="1">
      <c r="A87" s="667"/>
      <c r="B87" s="667"/>
    </row>
    <row r="92" spans="1:2">
      <c r="A92" s="44"/>
    </row>
  </sheetData>
  <mergeCells count="2">
    <mergeCell ref="G9:J9"/>
    <mergeCell ref="L9:O9"/>
  </mergeCell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A1:AE72"/>
  <sheetViews>
    <sheetView showGridLines="0" topLeftCell="A19" zoomScale="55" zoomScaleNormal="55" workbookViewId="0">
      <selection activeCell="N10" sqref="N10"/>
    </sheetView>
  </sheetViews>
  <sheetFormatPr baseColWidth="10" defaultColWidth="9" defaultRowHeight="13"/>
  <cols>
    <col min="1" max="1" width="10.3984375" style="671" customWidth="1"/>
    <col min="2" max="2" width="2.3984375" style="671" customWidth="1"/>
    <col min="3" max="3" width="13.796875" style="671" bestFit="1" customWidth="1"/>
    <col min="4" max="4" width="9.3984375" style="672" customWidth="1"/>
    <col min="5" max="8" width="9.3984375" style="671" customWidth="1"/>
  </cols>
  <sheetData>
    <row r="1" spans="1:31" ht="14">
      <c r="A1" s="670" t="s">
        <v>1883</v>
      </c>
    </row>
    <row r="2" spans="1:31" ht="14" thickBot="1">
      <c r="A2" s="673"/>
      <c r="B2" s="674"/>
      <c r="C2" s="674"/>
      <c r="D2" s="675"/>
      <c r="E2" s="674"/>
      <c r="F2" s="674"/>
      <c r="G2" s="674"/>
      <c r="H2" s="674"/>
    </row>
    <row r="3" spans="1:31">
      <c r="A3" s="676"/>
      <c r="B3" s="677"/>
      <c r="C3" s="677"/>
      <c r="D3" s="678"/>
      <c r="E3" s="677"/>
      <c r="F3" s="677"/>
      <c r="G3" s="677"/>
      <c r="H3" s="677"/>
    </row>
    <row r="4" spans="1:31">
      <c r="A4" s="679"/>
      <c r="D4" s="711">
        <v>1999</v>
      </c>
      <c r="E4" s="711">
        <v>2003</v>
      </c>
      <c r="F4" s="711">
        <v>2007</v>
      </c>
      <c r="G4" s="711">
        <v>2011</v>
      </c>
      <c r="H4" s="711">
        <v>2016</v>
      </c>
    </row>
    <row r="5" spans="1:31">
      <c r="A5" s="677"/>
      <c r="B5" s="677"/>
      <c r="C5" s="677"/>
    </row>
    <row r="6" spans="1:31">
      <c r="A6" s="680" t="s">
        <v>1884</v>
      </c>
      <c r="B6" s="681"/>
      <c r="C6" s="681"/>
      <c r="E6" s="682"/>
      <c r="F6" s="683"/>
      <c r="G6" s="683"/>
      <c r="H6" s="684"/>
    </row>
    <row r="7" spans="1:31">
      <c r="A7" s="685"/>
      <c r="B7" s="686"/>
      <c r="C7" s="686"/>
      <c r="D7" s="657"/>
      <c r="E7" s="687"/>
      <c r="F7" s="687"/>
      <c r="G7" s="687"/>
      <c r="H7" s="687"/>
    </row>
    <row r="8" spans="1:31">
      <c r="A8" s="688"/>
      <c r="B8" s="683" t="s">
        <v>1421</v>
      </c>
      <c r="C8" s="683"/>
      <c r="D8" s="682">
        <f>SUM(D9:D10)</f>
        <v>35</v>
      </c>
      <c r="E8" s="683">
        <f>SUM(E9:E10)</f>
        <v>27</v>
      </c>
      <c r="F8" s="683">
        <f>SUM(F9:F10)</f>
        <v>47</v>
      </c>
      <c r="G8" s="683">
        <f>SUM(G9:G10)</f>
        <v>69</v>
      </c>
      <c r="H8" s="683">
        <f>SUM(H9:H10)</f>
        <v>63</v>
      </c>
    </row>
    <row r="9" spans="1:31">
      <c r="B9" s="684"/>
      <c r="C9" s="684" t="s">
        <v>269</v>
      </c>
      <c r="D9" s="672">
        <v>7</v>
      </c>
      <c r="E9" s="684">
        <v>9</v>
      </c>
      <c r="F9" s="684">
        <v>21</v>
      </c>
      <c r="G9" s="689">
        <f>'[6]2011 Constituency Seat'!G99</f>
        <v>53</v>
      </c>
      <c r="H9" s="689">
        <f>'[6]2016 Constituency Seat'!G99</f>
        <v>59</v>
      </c>
    </row>
    <row r="10" spans="1:31">
      <c r="B10" s="684"/>
      <c r="C10" s="684" t="s">
        <v>1885</v>
      </c>
      <c r="D10" s="672">
        <v>28</v>
      </c>
      <c r="E10" s="684">
        <v>18</v>
      </c>
      <c r="F10" s="684">
        <v>26</v>
      </c>
      <c r="G10" s="689">
        <f>'[6]2011 Regional Seat'!G161</f>
        <v>16</v>
      </c>
      <c r="H10" s="689">
        <f>'[6]2016 Regional Seat'!G161</f>
        <v>4</v>
      </c>
    </row>
    <row r="11" spans="1:31">
      <c r="B11" s="684"/>
      <c r="C11" s="684"/>
      <c r="D11" s="175">
        <v>1999</v>
      </c>
      <c r="E11" s="175">
        <v>2003</v>
      </c>
      <c r="F11" s="175">
        <v>2007</v>
      </c>
      <c r="G11" s="175">
        <v>2011</v>
      </c>
      <c r="H11" s="175">
        <v>2016</v>
      </c>
    </row>
    <row r="12" spans="1:31">
      <c r="B12" s="684"/>
      <c r="C12" s="684" t="s">
        <v>1887</v>
      </c>
      <c r="D12" s="710">
        <f>D8/129</f>
        <v>0.27131782945736432</v>
      </c>
      <c r="E12" s="710">
        <f>E8/129</f>
        <v>0.20930232558139536</v>
      </c>
      <c r="F12" s="710">
        <f>F8/129</f>
        <v>0.36434108527131781</v>
      </c>
      <c r="G12" s="710">
        <f>G8/129</f>
        <v>0.53488372093023251</v>
      </c>
      <c r="H12" s="710">
        <f>H8/129</f>
        <v>0.48837209302325579</v>
      </c>
    </row>
    <row r="13" spans="1:31">
      <c r="B13" s="683" t="s">
        <v>1886</v>
      </c>
      <c r="C13" s="683" t="s">
        <v>1046</v>
      </c>
      <c r="D13" s="690">
        <f>('[6]1999 Constituency Votes'!$L$99+'[6]1999 Regional Votes'!$L$99)/('[6]1999 Constituency Votes'!$G$99+'[6]1999 Regional Votes'!$G$99)</f>
        <v>0.28013231933510518</v>
      </c>
      <c r="E13" s="691">
        <f>('[6]2003 Constituency Votes'!$L$99+'[6]2003 Regional Votes'!$L$99)/('[6]2003 Constituency Votes'!$G$99+'[6]2003 Regional Votes'!$G$99)</f>
        <v>0.22322322583540946</v>
      </c>
      <c r="F13" s="692">
        <f>('[6]2007 Constituency Votes'!$L$99+'[6]2007 Regional Votes'!$L$99)/('[6]2007 Constituency Votes'!$G$99+'[6]2007 Regional Votes'!$G$99)</f>
        <v>0.31320945129126354</v>
      </c>
      <c r="G13" s="692">
        <f>('[6]2011 Constituency Votes'!$L$99+'[6]2011 Regional Votes'!$L$99)/('[6]2011 Constituency Votes'!$G$99+'[6]2011 Regional Votes'!$G$99)</f>
        <v>0.447056766241754</v>
      </c>
      <c r="H13" s="692">
        <f>('[6]2016 Constituency Votes'!$L$99+'[6]2016 Regional Votes'!$L$99)/('[6]2016 Constituency Votes'!$G$99+'[6]2016 Regional Votes'!$G$99)</f>
        <v>0.44107927766295246</v>
      </c>
    </row>
    <row r="14" spans="1:31">
      <c r="B14" s="684"/>
      <c r="C14" s="684" t="s">
        <v>269</v>
      </c>
      <c r="D14" s="693">
        <f>'[6]1999 Constituency Votes'!L99/'[6]1999 Constituency Votes'!G99</f>
        <v>0.28720232504926385</v>
      </c>
      <c r="E14" s="694">
        <v>0.23799999999999999</v>
      </c>
      <c r="F14" s="694">
        <v>0.32900000000000001</v>
      </c>
      <c r="G14" s="695">
        <f>'[6]2011 Constituency Share'!G99</f>
        <v>0.45389126496273013</v>
      </c>
      <c r="H14" s="695">
        <f>'[6]2016 Constituency Share'!G99</f>
        <v>0.46504009821188036</v>
      </c>
    </row>
    <row r="15" spans="1:31">
      <c r="B15" s="684"/>
      <c r="C15" s="684" t="s">
        <v>1885</v>
      </c>
      <c r="D15" s="693">
        <f>'[6]1999 Regional Votes'!L99/'[6]1999 Regional Votes'!G99</f>
        <v>0.27305151023081653</v>
      </c>
      <c r="E15" s="694">
        <v>0.20899999999999999</v>
      </c>
      <c r="F15" s="694">
        <v>0.31</v>
      </c>
      <c r="G15" s="695">
        <f>'[6]2011 Regional Share'!G99</f>
        <v>0.44022762296844142</v>
      </c>
      <c r="H15" s="695">
        <f>'[6]2016 Regional Share'!G99</f>
        <v>0.41718761142399152</v>
      </c>
      <c r="K15" s="101"/>
      <c r="L15" s="101"/>
      <c r="M15" s="101"/>
      <c r="N15" s="101"/>
      <c r="O15" s="101"/>
      <c r="P15" s="101"/>
      <c r="Q15" s="101"/>
      <c r="R15" s="101"/>
      <c r="S15" s="101"/>
      <c r="T15" s="101"/>
      <c r="U15" s="101"/>
      <c r="V15" s="101"/>
      <c r="W15" s="101"/>
      <c r="X15" s="101"/>
      <c r="Y15" s="101"/>
      <c r="Z15" s="101"/>
      <c r="AA15" s="101"/>
      <c r="AB15" s="101"/>
      <c r="AC15" s="101"/>
      <c r="AD15" s="101"/>
      <c r="AE15" s="101"/>
    </row>
    <row r="16" spans="1:31">
      <c r="B16" s="684"/>
      <c r="C16" s="684"/>
      <c r="E16" s="684"/>
      <c r="F16" s="684"/>
      <c r="G16" s="684"/>
      <c r="H16" s="684"/>
      <c r="K16" s="101"/>
      <c r="L16" s="101"/>
      <c r="M16" s="101"/>
      <c r="N16" s="101"/>
      <c r="O16" s="101"/>
      <c r="P16" s="101"/>
      <c r="Q16" s="101"/>
      <c r="R16" s="101"/>
      <c r="S16" s="101"/>
      <c r="T16" s="101"/>
      <c r="U16" s="101"/>
      <c r="V16" s="101"/>
      <c r="W16" s="101"/>
      <c r="X16" s="101"/>
      <c r="Y16" s="101"/>
      <c r="Z16" s="101"/>
      <c r="AA16" s="101"/>
      <c r="AB16" s="101"/>
      <c r="AC16" s="101"/>
      <c r="AD16" s="101"/>
      <c r="AE16" s="101"/>
    </row>
    <row r="17" spans="1:31">
      <c r="A17" s="696" t="s">
        <v>13</v>
      </c>
      <c r="B17" s="697"/>
      <c r="C17" s="697"/>
      <c r="K17" s="101"/>
      <c r="L17" s="101"/>
      <c r="M17" s="101"/>
      <c r="N17" s="101"/>
      <c r="O17" s="101"/>
      <c r="P17" s="101"/>
      <c r="Q17" s="101"/>
      <c r="R17" s="101"/>
      <c r="S17" s="101"/>
      <c r="T17" s="101"/>
      <c r="U17" s="101"/>
      <c r="V17" s="101"/>
      <c r="W17" s="101"/>
      <c r="X17" s="101"/>
      <c r="Y17" s="101"/>
      <c r="Z17" s="101"/>
      <c r="AA17" s="101"/>
      <c r="AB17" s="101"/>
      <c r="AC17" s="101"/>
      <c r="AD17" s="101"/>
      <c r="AE17" s="101"/>
    </row>
    <row r="18" spans="1:31">
      <c r="A18" s="688"/>
      <c r="K18" s="101"/>
      <c r="L18" s="101"/>
      <c r="M18" s="101"/>
      <c r="N18" s="101"/>
      <c r="O18" s="101"/>
      <c r="P18" s="101"/>
      <c r="Q18" s="101"/>
      <c r="R18" s="101"/>
      <c r="S18" s="101"/>
      <c r="T18" s="101"/>
      <c r="U18" s="101"/>
      <c r="V18" s="101"/>
      <c r="W18" s="101"/>
      <c r="X18" s="101"/>
      <c r="Y18" s="101"/>
      <c r="Z18" s="101"/>
      <c r="AA18" s="101"/>
      <c r="AB18" s="101"/>
      <c r="AC18" s="101"/>
      <c r="AD18" s="101"/>
      <c r="AE18" s="101"/>
    </row>
    <row r="19" spans="1:31">
      <c r="B19" s="688" t="s">
        <v>1421</v>
      </c>
      <c r="D19" s="682">
        <f>SUM(D20:D21)</f>
        <v>18</v>
      </c>
      <c r="E19" s="683">
        <f>SUM(E20:E21)</f>
        <v>18</v>
      </c>
      <c r="F19" s="683">
        <f>SUM(F20:F21)</f>
        <v>17</v>
      </c>
      <c r="G19" s="688">
        <f>'[6]2011 Constituency Seat'!D99+'[6]2011 Regional Seat'!D161</f>
        <v>15</v>
      </c>
      <c r="H19" s="688">
        <f>'[6]2016 Constituency Seat'!D99+'[6]2016 Regional Seat'!D161</f>
        <v>31</v>
      </c>
      <c r="K19" s="101"/>
      <c r="L19" s="101"/>
      <c r="M19" s="101"/>
      <c r="N19" s="101"/>
      <c r="O19" s="101"/>
      <c r="P19" s="101"/>
      <c r="Q19" s="101"/>
      <c r="R19" s="101"/>
      <c r="S19" s="101"/>
      <c r="T19" s="101"/>
      <c r="U19" s="101"/>
      <c r="V19" s="101"/>
      <c r="W19" s="101"/>
      <c r="X19" s="101"/>
      <c r="Y19" s="101"/>
      <c r="Z19" s="101"/>
      <c r="AA19" s="101"/>
      <c r="AB19" s="101"/>
      <c r="AC19" s="101"/>
      <c r="AD19" s="101"/>
      <c r="AE19" s="101"/>
    </row>
    <row r="20" spans="1:31">
      <c r="C20" s="671" t="s">
        <v>269</v>
      </c>
      <c r="D20" s="672">
        <v>0</v>
      </c>
      <c r="E20" s="684">
        <v>3</v>
      </c>
      <c r="F20" s="684">
        <v>4</v>
      </c>
      <c r="G20" s="671">
        <f>'[6]2011 Constituency Seat'!D99</f>
        <v>3</v>
      </c>
      <c r="H20" s="671">
        <f>'[6]2016 Constituency Seat'!D99</f>
        <v>7</v>
      </c>
      <c r="K20" s="101"/>
      <c r="L20" s="101"/>
      <c r="M20" s="101"/>
      <c r="N20" s="101"/>
      <c r="O20" s="101"/>
      <c r="P20" s="101"/>
      <c r="Q20" s="101"/>
      <c r="R20" s="101"/>
      <c r="S20" s="101"/>
      <c r="T20" s="101"/>
      <c r="U20" s="101"/>
      <c r="V20" s="101"/>
      <c r="W20" s="101"/>
      <c r="X20" s="101"/>
      <c r="Y20" s="101"/>
      <c r="Z20" s="101"/>
      <c r="AA20" s="101"/>
      <c r="AB20" s="101"/>
      <c r="AC20" s="101"/>
      <c r="AD20" s="101"/>
      <c r="AE20" s="101"/>
    </row>
    <row r="21" spans="1:31">
      <c r="C21" s="671" t="s">
        <v>1885</v>
      </c>
      <c r="D21" s="672">
        <v>18</v>
      </c>
      <c r="E21" s="684">
        <v>15</v>
      </c>
      <c r="F21" s="684">
        <v>13</v>
      </c>
      <c r="G21" s="671">
        <f>'[6]2011 Regional Seat'!D161</f>
        <v>12</v>
      </c>
      <c r="H21" s="671">
        <f>'[6]2016 Regional Seat'!D161</f>
        <v>24</v>
      </c>
      <c r="K21" s="101"/>
      <c r="L21" s="101"/>
      <c r="M21" s="101"/>
      <c r="N21" s="101"/>
      <c r="O21" s="101"/>
      <c r="P21" s="101"/>
      <c r="Q21" s="101"/>
      <c r="R21" s="101"/>
      <c r="S21" s="101"/>
      <c r="T21" s="101"/>
      <c r="U21" s="101"/>
      <c r="V21" s="101"/>
      <c r="W21" s="101"/>
      <c r="X21" s="101"/>
      <c r="Y21" s="101"/>
      <c r="Z21" s="101"/>
      <c r="AA21" s="101"/>
      <c r="AB21" s="101"/>
      <c r="AC21" s="101"/>
      <c r="AD21" s="101"/>
      <c r="AE21" s="101"/>
    </row>
    <row r="22" spans="1:31">
      <c r="B22" s="684"/>
      <c r="C22" s="684"/>
      <c r="D22" s="175">
        <v>1999</v>
      </c>
      <c r="E22" s="175">
        <v>2003</v>
      </c>
      <c r="F22" s="175">
        <v>2007</v>
      </c>
      <c r="G22" s="175">
        <v>2011</v>
      </c>
      <c r="H22" s="175">
        <v>2016</v>
      </c>
    </row>
    <row r="23" spans="1:31">
      <c r="B23" s="684"/>
      <c r="C23" s="684" t="s">
        <v>1887</v>
      </c>
      <c r="D23" s="710">
        <f>D19/129</f>
        <v>0.13953488372093023</v>
      </c>
      <c r="E23" s="710">
        <f>E19/129</f>
        <v>0.13953488372093023</v>
      </c>
      <c r="F23" s="710">
        <f>F19/129</f>
        <v>0.13178294573643412</v>
      </c>
      <c r="G23" s="710">
        <f>G19/129</f>
        <v>0.11627906976744186</v>
      </c>
      <c r="H23" s="710">
        <f>H19/129</f>
        <v>0.24031007751937986</v>
      </c>
    </row>
    <row r="24" spans="1:31">
      <c r="B24" s="688" t="s">
        <v>1886</v>
      </c>
      <c r="C24" s="683" t="s">
        <v>1046</v>
      </c>
      <c r="D24" s="690">
        <f>('[6]1999 Constituency Votes'!$I$99+'[6]1999 Regional Votes'!$I$99)/('[6]1999 Constituency Votes'!$G$99+'[6]1999 Regional Votes'!$G$99)</f>
        <v>0.1545549816059377</v>
      </c>
      <c r="E24" s="691">
        <f>('[6]2003 Constituency Votes'!$I$99+'[6]2003 Regional Votes'!$I$99)/('[6]2003 Constituency Votes'!$G$99+'[6]2003 Regional Votes'!$G$99)</f>
        <v>0.16054308367625311</v>
      </c>
      <c r="F24" s="692">
        <f>('[6]2007 Constituency Votes'!$I$99+'[6]2007 Regional Votes'!$I$99)/('[6]2007 Constituency Votes'!$G$99+'[6]2007 Regional Votes'!$G$99)</f>
        <v>0.15345368479742194</v>
      </c>
      <c r="G24" s="692">
        <f>('[6]2011 Constituency Votes'!$I$99+'[6]2011 Regional Votes'!$I$99)/('[6]2011 Constituency Votes'!$G$99+'[6]2011 Regional Votes'!$G$99)</f>
        <v>0.13130761144410005</v>
      </c>
      <c r="H24" s="692">
        <f>('[6]2016 Constituency Votes'!$I$99+'[6]2016 Regional Votes'!$I$99)/('[6]2016 Constituency Votes'!$G$99+'[6]2016 Regional Votes'!$G$99)</f>
        <v>0.22477225703492187</v>
      </c>
      <c r="K24" s="101"/>
      <c r="L24" s="101"/>
      <c r="M24" s="101"/>
      <c r="N24" s="101"/>
      <c r="O24" s="101"/>
      <c r="P24" s="101"/>
      <c r="Q24" s="101"/>
      <c r="R24" s="101"/>
      <c r="S24" s="101"/>
      <c r="T24" s="101"/>
      <c r="U24" s="101"/>
      <c r="V24" s="101"/>
      <c r="W24" s="101"/>
      <c r="X24" s="101"/>
      <c r="Y24" s="101"/>
      <c r="Z24" s="101"/>
      <c r="AA24" s="101"/>
      <c r="AB24" s="101"/>
      <c r="AC24" s="101"/>
      <c r="AD24" s="101"/>
      <c r="AE24" s="101"/>
    </row>
    <row r="25" spans="1:31">
      <c r="C25" s="671" t="s">
        <v>269</v>
      </c>
      <c r="D25" s="693">
        <f>'[6]1999 Constituency Votes'!I99/'[6]1999 Constituency Votes'!G99</f>
        <v>0.155571768137126</v>
      </c>
      <c r="E25" s="694">
        <v>0.16600000000000001</v>
      </c>
      <c r="F25" s="694">
        <v>0.16600000000000001</v>
      </c>
      <c r="G25" s="698">
        <f>'[6]2011 Constituency Share'!D99</f>
        <v>0.13907170246863684</v>
      </c>
      <c r="H25" s="698">
        <f>'[6]2016 Constituency Share'!D99</f>
        <v>0.22018871914754334</v>
      </c>
      <c r="K25" s="101"/>
      <c r="L25" s="101"/>
      <c r="M25" s="101"/>
      <c r="N25" s="101"/>
      <c r="O25" s="101"/>
      <c r="P25" s="101"/>
      <c r="Q25" s="101"/>
      <c r="R25" s="101"/>
      <c r="S25" s="101"/>
      <c r="T25" s="101"/>
      <c r="U25" s="101"/>
      <c r="V25" s="101"/>
      <c r="W25" s="101"/>
      <c r="X25" s="101"/>
      <c r="Y25" s="101"/>
      <c r="Z25" s="101"/>
      <c r="AA25" s="101"/>
      <c r="AB25" s="101"/>
      <c r="AC25" s="101"/>
      <c r="AD25" s="101"/>
      <c r="AE25" s="101"/>
    </row>
    <row r="26" spans="1:31">
      <c r="C26" s="671" t="s">
        <v>1885</v>
      </c>
      <c r="D26" s="693">
        <f>'[6]1999 Regional Votes'!I99/'[6]1999 Regional Votes'!G99</f>
        <v>0.15353664136432549</v>
      </c>
      <c r="E26" s="694">
        <v>0.155</v>
      </c>
      <c r="F26" s="694">
        <v>0.13900000000000001</v>
      </c>
      <c r="G26" s="698">
        <f>'[6]2011 Regional Share'!D99</f>
        <v>0.12354960428684231</v>
      </c>
      <c r="H26" s="698">
        <f>'[6]2016 Regional Share'!D99</f>
        <v>0.22934256618503066</v>
      </c>
      <c r="K26" s="101"/>
      <c r="L26" s="101"/>
      <c r="M26" s="101"/>
      <c r="N26" s="101"/>
      <c r="O26" s="101"/>
      <c r="P26" s="101"/>
      <c r="Q26" s="101"/>
      <c r="R26" s="101"/>
      <c r="S26" s="101"/>
      <c r="T26" s="101"/>
      <c r="U26" s="101"/>
      <c r="V26" s="101"/>
      <c r="W26" s="101"/>
      <c r="X26" s="101"/>
      <c r="Y26" s="101"/>
      <c r="Z26" s="101"/>
      <c r="AA26" s="101"/>
      <c r="AB26" s="101"/>
      <c r="AC26" s="101"/>
      <c r="AD26" s="101"/>
      <c r="AE26" s="101"/>
    </row>
    <row r="27" spans="1:31">
      <c r="K27" s="101"/>
      <c r="L27" s="101"/>
      <c r="M27" s="101"/>
      <c r="N27" s="101"/>
      <c r="O27" s="101"/>
      <c r="P27" s="101"/>
      <c r="Q27" s="101"/>
      <c r="R27" s="101"/>
      <c r="S27" s="101"/>
      <c r="T27" s="101"/>
      <c r="U27" s="101"/>
      <c r="V27" s="101"/>
      <c r="W27" s="101"/>
      <c r="X27" s="101"/>
      <c r="Y27" s="101"/>
      <c r="Z27" s="101"/>
      <c r="AA27" s="101"/>
      <c r="AB27" s="101"/>
      <c r="AC27" s="101"/>
      <c r="AD27" s="101"/>
      <c r="AE27" s="101"/>
    </row>
    <row r="28" spans="1:31">
      <c r="A28" s="699" t="s">
        <v>14</v>
      </c>
      <c r="B28" s="700"/>
      <c r="C28" s="700"/>
      <c r="K28" s="101"/>
      <c r="L28" s="101"/>
      <c r="M28" s="101"/>
      <c r="N28" s="101"/>
      <c r="O28" s="101"/>
      <c r="P28" s="101"/>
      <c r="Q28" s="101"/>
      <c r="R28" s="101"/>
      <c r="S28" s="101"/>
      <c r="T28" s="101"/>
      <c r="U28" s="101"/>
      <c r="V28" s="101"/>
      <c r="W28" s="101"/>
      <c r="X28" s="101"/>
      <c r="Y28" s="101"/>
      <c r="Z28" s="101"/>
      <c r="AA28" s="101"/>
      <c r="AB28" s="101"/>
      <c r="AC28" s="101"/>
      <c r="AD28" s="101"/>
      <c r="AE28" s="101"/>
    </row>
    <row r="29" spans="1:31">
      <c r="A29" s="688"/>
      <c r="B29" s="672"/>
      <c r="C29" s="672"/>
      <c r="E29" s="684"/>
      <c r="F29" s="684"/>
      <c r="G29" s="684"/>
      <c r="H29" s="684"/>
      <c r="K29" s="101"/>
      <c r="L29" s="101"/>
      <c r="M29" s="101"/>
      <c r="N29" s="101"/>
      <c r="O29" s="101"/>
      <c r="P29" s="101"/>
      <c r="Q29" s="101"/>
      <c r="R29" s="101"/>
      <c r="S29" s="101"/>
      <c r="T29" s="101"/>
      <c r="U29" s="101"/>
      <c r="V29" s="101"/>
      <c r="W29" s="101"/>
      <c r="X29" s="101"/>
      <c r="Y29" s="101"/>
      <c r="Z29" s="101"/>
      <c r="AA29" s="101"/>
      <c r="AB29" s="101"/>
      <c r="AC29" s="101"/>
      <c r="AD29" s="101"/>
      <c r="AE29" s="101"/>
    </row>
    <row r="30" spans="1:31">
      <c r="B30" s="682" t="s">
        <v>1421</v>
      </c>
      <c r="C30" s="682"/>
      <c r="D30" s="682">
        <f>SUM(D31:D32)</f>
        <v>56</v>
      </c>
      <c r="E30" s="683">
        <f>SUM(E31:E32)</f>
        <v>50</v>
      </c>
      <c r="F30" s="683">
        <f>SUM(F31:F32)</f>
        <v>46</v>
      </c>
      <c r="G30" s="683">
        <f>SUM(G31:G32)</f>
        <v>37</v>
      </c>
      <c r="H30" s="683">
        <f>SUM(H31:H32)</f>
        <v>24</v>
      </c>
      <c r="K30" s="101"/>
      <c r="L30" s="101"/>
      <c r="M30" s="101"/>
      <c r="N30" s="101"/>
      <c r="O30" s="101"/>
      <c r="P30" s="101"/>
      <c r="Q30" s="101"/>
      <c r="R30" s="101"/>
      <c r="S30" s="101"/>
      <c r="T30" s="101"/>
      <c r="U30" s="101"/>
      <c r="V30" s="101"/>
      <c r="W30" s="101"/>
      <c r="X30" s="101"/>
      <c r="Y30" s="101"/>
      <c r="Z30" s="101"/>
      <c r="AA30" s="101"/>
      <c r="AB30" s="101"/>
      <c r="AC30" s="101"/>
      <c r="AD30" s="101"/>
      <c r="AE30" s="101"/>
    </row>
    <row r="31" spans="1:31">
      <c r="B31" s="672"/>
      <c r="C31" s="672" t="s">
        <v>269</v>
      </c>
      <c r="D31" s="672">
        <v>53</v>
      </c>
      <c r="E31" s="684">
        <v>46</v>
      </c>
      <c r="F31" s="684">
        <v>37</v>
      </c>
      <c r="G31" s="689">
        <f>'[6]2011 Constituency Seat'!E99</f>
        <v>15</v>
      </c>
      <c r="H31" s="689">
        <f>'[6]2016 Constituency Seat'!E99</f>
        <v>3</v>
      </c>
      <c r="K31" s="101"/>
      <c r="L31" s="101"/>
      <c r="M31" s="101"/>
      <c r="N31" s="101"/>
      <c r="O31" s="101"/>
      <c r="P31" s="101"/>
      <c r="Q31" s="101"/>
      <c r="R31" s="101"/>
      <c r="S31" s="101"/>
      <c r="T31" s="101"/>
      <c r="U31" s="101"/>
      <c r="V31" s="101"/>
      <c r="W31" s="101"/>
      <c r="X31" s="101"/>
      <c r="Y31" s="101"/>
      <c r="Z31" s="101"/>
      <c r="AA31" s="101"/>
      <c r="AB31" s="101"/>
      <c r="AC31" s="101"/>
      <c r="AD31" s="101"/>
      <c r="AE31" s="101"/>
    </row>
    <row r="32" spans="1:31">
      <c r="B32" s="672"/>
      <c r="C32" s="672" t="s">
        <v>1885</v>
      </c>
      <c r="D32" s="672">
        <v>3</v>
      </c>
      <c r="E32" s="684">
        <v>4</v>
      </c>
      <c r="F32" s="684">
        <v>9</v>
      </c>
      <c r="G32" s="689">
        <f>'[6]2011 Regional Seat'!E161</f>
        <v>22</v>
      </c>
      <c r="H32" s="689">
        <f>'[6]2016 Regional Seat'!E161</f>
        <v>21</v>
      </c>
      <c r="K32" s="101"/>
      <c r="L32" s="101"/>
      <c r="M32" s="101"/>
      <c r="N32" s="101"/>
      <c r="O32" s="101"/>
      <c r="P32" s="101"/>
      <c r="Q32" s="101"/>
      <c r="R32" s="101"/>
      <c r="S32" s="101"/>
      <c r="T32" s="101"/>
      <c r="U32" s="101"/>
      <c r="V32" s="101"/>
      <c r="W32" s="101"/>
      <c r="X32" s="101"/>
      <c r="Y32" s="101"/>
      <c r="Z32" s="101"/>
      <c r="AA32" s="101"/>
      <c r="AB32" s="101"/>
      <c r="AC32" s="101"/>
      <c r="AD32" s="101"/>
      <c r="AE32" s="101"/>
    </row>
    <row r="33" spans="1:31">
      <c r="B33" s="684"/>
      <c r="C33" s="684"/>
      <c r="D33" s="711">
        <v>1999</v>
      </c>
      <c r="E33" s="711">
        <v>2003</v>
      </c>
      <c r="F33" s="711">
        <v>2007</v>
      </c>
      <c r="G33" s="711">
        <v>2011</v>
      </c>
      <c r="H33" s="711">
        <v>2016</v>
      </c>
    </row>
    <row r="34" spans="1:31">
      <c r="B34" s="684"/>
      <c r="C34" s="684" t="s">
        <v>1887</v>
      </c>
      <c r="D34" s="710">
        <f>D30/129</f>
        <v>0.43410852713178294</v>
      </c>
      <c r="E34" s="710">
        <f>E30/129</f>
        <v>0.38759689922480622</v>
      </c>
      <c r="F34" s="710">
        <f>F30/129</f>
        <v>0.35658914728682173</v>
      </c>
      <c r="G34" s="710">
        <f>G30/129</f>
        <v>0.2868217054263566</v>
      </c>
      <c r="H34" s="710">
        <f>H30/129</f>
        <v>0.18604651162790697</v>
      </c>
    </row>
    <row r="35" spans="1:31">
      <c r="B35" s="682" t="s">
        <v>1886</v>
      </c>
      <c r="C35" s="683" t="s">
        <v>1046</v>
      </c>
      <c r="D35" s="690">
        <f>('[6]1999 Constituency Votes'!$J$99+'[6]1999 Regional Votes'!$J$99)/('[6]1999 Constituency Votes'!$G$99+'[6]1999 Regional Votes'!$G$99)</f>
        <v>0.36210605284485287</v>
      </c>
      <c r="E35" s="691">
        <f>('[6]2003 Constituency Votes'!$J$99+'[6]2003 Regional Votes'!$J$99)/('[6]2003 Constituency Votes'!$G$99+'[6]2003 Regional Votes'!$G$99)</f>
        <v>0.31966238374673772</v>
      </c>
      <c r="F35" s="692">
        <f>('[6]2007 Constituency Votes'!$J$99+'[6]2007 Regional Votes'!$J$99)/('[6]2007 Constituency Votes'!$G$99+'[6]2007 Regional Votes'!$G$99)</f>
        <v>0.3080979497818177</v>
      </c>
      <c r="G35" s="692">
        <f>('[6]2011 Constituency Votes'!$J$99+'[6]2011 Regional Votes'!$J$99)/('[6]2011 Constituency Votes'!$G$99+'[6]2011 Regional Votes'!$G$99)</f>
        <v>0.28992400213863329</v>
      </c>
      <c r="H35" s="692">
        <f>('[6]2016 Constituency Votes'!$J$99+'[6]2016 Regional Votes'!$J$99)/('[6]2016 Constituency Votes'!$G$99+'[6]2016 Regional Votes'!$G$99)</f>
        <v>0.20814890999922234</v>
      </c>
      <c r="K35" s="101"/>
      <c r="L35" s="101"/>
      <c r="M35" s="101"/>
      <c r="N35" s="101"/>
      <c r="O35" s="101"/>
      <c r="P35" s="101"/>
      <c r="Q35" s="101"/>
      <c r="R35" s="101"/>
      <c r="S35" s="101"/>
      <c r="T35" s="101"/>
      <c r="U35" s="101"/>
      <c r="V35" s="101"/>
      <c r="W35" s="101"/>
      <c r="X35" s="101"/>
      <c r="Y35" s="101"/>
      <c r="Z35" s="101"/>
      <c r="AA35" s="101"/>
      <c r="AB35" s="101"/>
      <c r="AC35" s="101"/>
      <c r="AD35" s="101"/>
      <c r="AE35" s="101"/>
    </row>
    <row r="36" spans="1:31">
      <c r="B36" s="672"/>
      <c r="C36" s="672" t="s">
        <v>269</v>
      </c>
      <c r="D36" s="693">
        <f>'[6]1999 Constituency Votes'!J99/'[6]1999 Constituency Votes'!G99</f>
        <v>0.38776975591763968</v>
      </c>
      <c r="E36" s="693">
        <f>'[6]2003 Constituency Votes'!J99/'[6]2003 Constituency Votes'!G99</f>
        <v>0.34630402381389758</v>
      </c>
      <c r="F36" s="694">
        <v>0.32100000000000001</v>
      </c>
      <c r="G36" s="695">
        <f>'[6]2011 Constituency Share'!E99</f>
        <v>0.31692987800586747</v>
      </c>
      <c r="H36" s="695">
        <f>'[6]2016 Constituency Share'!E99</f>
        <v>0.22563679330137409</v>
      </c>
      <c r="K36" s="101"/>
      <c r="L36" s="101"/>
      <c r="M36" s="101"/>
      <c r="N36" s="101"/>
      <c r="O36" s="101"/>
      <c r="P36" s="101"/>
      <c r="Q36" s="101"/>
      <c r="R36" s="101"/>
      <c r="S36" s="101"/>
      <c r="T36" s="101"/>
      <c r="U36" s="101"/>
      <c r="V36" s="101"/>
      <c r="W36" s="101"/>
      <c r="X36" s="101"/>
      <c r="Y36" s="101"/>
      <c r="Z36" s="101"/>
      <c r="AA36" s="101"/>
      <c r="AB36" s="101"/>
      <c r="AC36" s="101"/>
      <c r="AD36" s="101"/>
      <c r="AE36" s="101"/>
    </row>
    <row r="37" spans="1:31">
      <c r="B37" s="672"/>
      <c r="C37" s="672" t="s">
        <v>1885</v>
      </c>
      <c r="D37" s="693">
        <f>'[6]1999 Regional Votes'!J99/'[6]1999 Regional Votes'!G99</f>
        <v>0.33640313410411843</v>
      </c>
      <c r="E37" s="693">
        <f>'[6]2003 Regional Votes'!J99/'[6]2003 Regional Votes'!G99</f>
        <v>0.29301600176631692</v>
      </c>
      <c r="F37" s="694">
        <v>0.29199999999999998</v>
      </c>
      <c r="G37" s="695">
        <f>'[6]2011 Regional Share'!E99</f>
        <v>0.26293928781677645</v>
      </c>
      <c r="H37" s="695">
        <f>'[6]2016 Regional Share'!E99</f>
        <v>0.19071149919654415</v>
      </c>
      <c r="K37" s="101"/>
      <c r="L37" s="101"/>
      <c r="M37" s="101"/>
      <c r="N37" s="101"/>
      <c r="O37" s="101"/>
      <c r="P37" s="101"/>
      <c r="Q37" s="101"/>
      <c r="R37" s="101"/>
      <c r="S37" s="101"/>
      <c r="T37" s="101"/>
      <c r="U37" s="101"/>
      <c r="V37" s="101"/>
      <c r="W37" s="101"/>
      <c r="X37" s="101"/>
      <c r="Y37" s="101"/>
      <c r="Z37" s="101"/>
      <c r="AA37" s="101"/>
      <c r="AB37" s="101"/>
      <c r="AC37" s="101"/>
      <c r="AD37" s="101"/>
      <c r="AE37" s="101"/>
    </row>
    <row r="38" spans="1:31">
      <c r="B38" s="672"/>
      <c r="C38" s="672"/>
      <c r="E38" s="694"/>
      <c r="F38" s="694"/>
      <c r="G38" s="684"/>
      <c r="H38" s="684"/>
      <c r="K38" s="101"/>
      <c r="L38" s="101"/>
      <c r="M38" s="101"/>
      <c r="N38" s="101"/>
      <c r="O38" s="101"/>
      <c r="P38" s="101"/>
      <c r="Q38" s="101"/>
      <c r="R38" s="101"/>
      <c r="S38" s="101"/>
      <c r="T38" s="101"/>
      <c r="U38" s="101"/>
      <c r="V38" s="101"/>
      <c r="W38" s="101"/>
      <c r="X38" s="101"/>
      <c r="Y38" s="101"/>
      <c r="Z38" s="101"/>
      <c r="AA38" s="101"/>
      <c r="AB38" s="101"/>
      <c r="AC38" s="101"/>
      <c r="AD38" s="101"/>
      <c r="AE38" s="101"/>
    </row>
    <row r="39" spans="1:31">
      <c r="A39" s="701" t="s">
        <v>22</v>
      </c>
      <c r="B39" s="702"/>
      <c r="C39" s="702"/>
      <c r="E39" s="694"/>
      <c r="F39" s="694"/>
      <c r="G39" s="684"/>
      <c r="H39" s="684"/>
      <c r="K39" s="101"/>
      <c r="L39" s="101"/>
      <c r="M39" s="101"/>
      <c r="N39" s="101"/>
      <c r="O39" s="101"/>
      <c r="P39" s="101"/>
      <c r="Q39" s="101"/>
      <c r="R39" s="101"/>
      <c r="S39" s="101"/>
      <c r="T39" s="101"/>
      <c r="U39" s="101"/>
      <c r="V39" s="101"/>
      <c r="W39" s="101"/>
      <c r="X39" s="101"/>
      <c r="Y39" s="101"/>
      <c r="Z39" s="101"/>
      <c r="AA39" s="101"/>
      <c r="AB39" s="101"/>
      <c r="AC39" s="101"/>
      <c r="AD39" s="101"/>
      <c r="AE39" s="101"/>
    </row>
    <row r="40" spans="1:31">
      <c r="A40" s="688"/>
      <c r="C40" s="672"/>
      <c r="D40" s="657"/>
      <c r="E40" s="694"/>
      <c r="F40" s="694"/>
      <c r="G40" s="687"/>
      <c r="H40" s="687"/>
      <c r="K40" s="101"/>
      <c r="L40" s="101"/>
      <c r="M40" s="101"/>
      <c r="N40" s="101"/>
      <c r="O40" s="101"/>
      <c r="P40" s="101"/>
      <c r="Q40" s="101"/>
      <c r="R40" s="101"/>
      <c r="S40" s="101"/>
      <c r="T40" s="101"/>
      <c r="U40" s="101"/>
      <c r="V40" s="101"/>
      <c r="W40" s="101"/>
      <c r="X40" s="101"/>
      <c r="Y40" s="101"/>
      <c r="Z40" s="101"/>
      <c r="AA40" s="101"/>
      <c r="AB40" s="101"/>
      <c r="AC40" s="101"/>
      <c r="AD40" s="101"/>
      <c r="AE40" s="101"/>
    </row>
    <row r="41" spans="1:31">
      <c r="B41" s="688" t="s">
        <v>1421</v>
      </c>
      <c r="C41" s="682"/>
      <c r="D41" s="682">
        <f>SUM(D42:D43)</f>
        <v>17</v>
      </c>
      <c r="E41" s="682">
        <f>SUM(E42:E43)</f>
        <v>17</v>
      </c>
      <c r="F41" s="683">
        <f>SUM(F42:F43)</f>
        <v>16</v>
      </c>
      <c r="G41" s="683">
        <f>SUM(G42:G43)</f>
        <v>5</v>
      </c>
      <c r="H41" s="683">
        <f>SUM(H42:H43)</f>
        <v>5</v>
      </c>
      <c r="K41" s="101"/>
      <c r="L41" s="101"/>
      <c r="M41" s="101"/>
      <c r="N41" s="101"/>
      <c r="O41" s="101"/>
      <c r="P41" s="101"/>
      <c r="Q41" s="101"/>
      <c r="R41" s="101"/>
      <c r="S41" s="101"/>
      <c r="T41" s="101"/>
      <c r="U41" s="101"/>
      <c r="V41" s="101"/>
      <c r="W41" s="101"/>
      <c r="X41" s="101"/>
      <c r="Y41" s="101"/>
      <c r="Z41" s="101"/>
      <c r="AA41" s="101"/>
      <c r="AB41" s="101"/>
      <c r="AC41" s="101"/>
      <c r="AD41" s="101"/>
      <c r="AE41" s="101"/>
    </row>
    <row r="42" spans="1:31">
      <c r="C42" s="672" t="s">
        <v>269</v>
      </c>
      <c r="D42" s="672">
        <v>12</v>
      </c>
      <c r="E42" s="672">
        <v>13</v>
      </c>
      <c r="F42" s="684">
        <v>11</v>
      </c>
      <c r="G42" s="689">
        <f>'[6]2011 Constituency Seat'!F99</f>
        <v>2</v>
      </c>
      <c r="H42" s="689">
        <f>'[6]2016 Constituency Seat'!F99</f>
        <v>4</v>
      </c>
      <c r="K42" s="101"/>
      <c r="L42" s="101"/>
      <c r="M42" s="101"/>
      <c r="N42" s="101"/>
      <c r="O42" s="101"/>
      <c r="P42" s="101"/>
      <c r="Q42" s="101"/>
      <c r="R42" s="101"/>
      <c r="S42" s="101"/>
      <c r="T42" s="101"/>
      <c r="U42" s="101"/>
      <c r="V42" s="101"/>
      <c r="W42" s="101"/>
      <c r="X42" s="101"/>
      <c r="Y42" s="101"/>
      <c r="Z42" s="101"/>
      <c r="AA42" s="101"/>
      <c r="AB42" s="101"/>
      <c r="AC42" s="101"/>
      <c r="AD42" s="101"/>
      <c r="AE42" s="101"/>
    </row>
    <row r="43" spans="1:31">
      <c r="C43" s="672" t="s">
        <v>1885</v>
      </c>
      <c r="D43" s="672">
        <v>5</v>
      </c>
      <c r="E43" s="672">
        <v>4</v>
      </c>
      <c r="F43" s="684">
        <v>5</v>
      </c>
      <c r="G43" s="689">
        <f>'[6]2011 Regional Seat'!F161</f>
        <v>3</v>
      </c>
      <c r="H43" s="689">
        <f>'[6]2016 Regional Seat'!F161</f>
        <v>1</v>
      </c>
      <c r="K43" s="101"/>
      <c r="L43" s="101"/>
      <c r="M43" s="101"/>
      <c r="N43" s="101"/>
      <c r="O43" s="101"/>
      <c r="P43" s="101"/>
      <c r="Q43" s="101"/>
      <c r="R43" s="101"/>
      <c r="S43" s="101"/>
      <c r="T43" s="101"/>
      <c r="U43" s="101"/>
      <c r="V43" s="101"/>
      <c r="W43" s="101"/>
      <c r="X43" s="101"/>
      <c r="Y43" s="101"/>
      <c r="Z43" s="101"/>
      <c r="AA43" s="101"/>
      <c r="AB43" s="101"/>
      <c r="AC43" s="101"/>
      <c r="AD43" s="101"/>
      <c r="AE43" s="101"/>
    </row>
    <row r="44" spans="1:31">
      <c r="B44" s="684"/>
      <c r="C44" s="684"/>
      <c r="D44" s="711">
        <v>1999</v>
      </c>
      <c r="E44" s="711">
        <v>2003</v>
      </c>
      <c r="F44" s="711">
        <v>2007</v>
      </c>
      <c r="G44" s="711">
        <v>2011</v>
      </c>
      <c r="H44" s="711">
        <v>2016</v>
      </c>
    </row>
    <row r="45" spans="1:31">
      <c r="B45" s="684"/>
      <c r="C45" s="684" t="s">
        <v>1887</v>
      </c>
      <c r="D45" s="710">
        <f>D41/129</f>
        <v>0.13178294573643412</v>
      </c>
      <c r="E45" s="710">
        <f>E41/129</f>
        <v>0.13178294573643412</v>
      </c>
      <c r="F45" s="710">
        <f>F41/129</f>
        <v>0.12403100775193798</v>
      </c>
      <c r="G45" s="710">
        <f>G41/129</f>
        <v>3.875968992248062E-2</v>
      </c>
      <c r="H45" s="710">
        <f>H41/129</f>
        <v>3.875968992248062E-2</v>
      </c>
    </row>
    <row r="46" spans="1:31">
      <c r="B46" s="688" t="s">
        <v>1886</v>
      </c>
      <c r="C46" s="683" t="s">
        <v>1046</v>
      </c>
      <c r="D46" s="690">
        <f>('[6]1999 Constituency Votes'!$K$99+'[6]1999 Regional Votes'!$K$99)/('[6]1999 Constituency Votes'!$G$99+'[6]1999 Regional Votes'!$G$99)</f>
        <v>0.13328037199112575</v>
      </c>
      <c r="E46" s="691">
        <f>('[6]2003 Constituency Votes'!$K$99+'[6]2003 Regional Votes'!$K$99)/('[6]2003 Constituency Votes'!$G$99+'[6]2003 Regional Votes'!$G$99)</f>
        <v>0.13572942683576358</v>
      </c>
      <c r="F46" s="692">
        <f>('[6]2007 Constituency Votes'!$K$99+'[6]2007 Regional Votes'!$K$99)/('[6]2007 Constituency Votes'!$G$99+'[6]2007 Regional Votes'!$G$99)</f>
        <v>0.13839189267108928</v>
      </c>
      <c r="G46" s="692">
        <f>('[6]2011 Constituency Votes'!$K$99+'[6]2011 Regional Votes'!$K$99)/('[6]2011 Constituency Votes'!$G$99+'[6]2011 Regional Votes'!$G$99)</f>
        <v>6.5622776444481959E-2</v>
      </c>
      <c r="H46" s="692">
        <f>('[6]2016 Constituency Votes'!$K$99+'[6]2016 Regional Votes'!$K$99)/('[6]2016 Constituency Votes'!$G$99+'[6]2016 Regional Votes'!$G$99)</f>
        <v>6.5175945611135391E-2</v>
      </c>
      <c r="K46" s="101"/>
      <c r="L46" s="101"/>
      <c r="M46" s="101"/>
      <c r="N46" s="101"/>
      <c r="O46" s="101"/>
      <c r="P46" s="101"/>
      <c r="Q46" s="101"/>
      <c r="R46" s="101"/>
      <c r="S46" s="101"/>
      <c r="T46" s="101"/>
      <c r="U46" s="101"/>
      <c r="V46" s="101"/>
      <c r="W46" s="101"/>
      <c r="X46" s="101"/>
      <c r="Y46" s="101"/>
      <c r="Z46" s="101"/>
      <c r="AA46" s="101"/>
      <c r="AB46" s="101"/>
      <c r="AC46" s="101"/>
      <c r="AD46" s="101"/>
      <c r="AE46" s="101"/>
    </row>
    <row r="47" spans="1:31">
      <c r="C47" s="672" t="s">
        <v>269</v>
      </c>
      <c r="D47" s="693">
        <f>'[6]1999 Constituency Votes'!K99/'[6]1999 Constituency Votes'!G99</f>
        <v>0.14223295914429443</v>
      </c>
      <c r="E47" s="693">
        <v>0.154</v>
      </c>
      <c r="F47" s="694">
        <v>0.16200000000000001</v>
      </c>
      <c r="G47" s="695">
        <f>'[6]2011 Constituency Share'!F99</f>
        <v>7.92821106774525E-2</v>
      </c>
      <c r="H47" s="695">
        <f>'[6]2016 Constituency Share'!F99</f>
        <v>7.8203579047313176E-2</v>
      </c>
      <c r="K47" s="101"/>
      <c r="L47" s="101"/>
      <c r="M47" s="101"/>
      <c r="N47" s="101"/>
      <c r="O47" s="101"/>
      <c r="P47" s="101"/>
      <c r="Q47" s="101"/>
      <c r="R47" s="101"/>
      <c r="S47" s="101"/>
      <c r="T47" s="101"/>
      <c r="U47" s="101"/>
      <c r="V47" s="101"/>
      <c r="W47" s="101"/>
      <c r="X47" s="101"/>
      <c r="Y47" s="101"/>
      <c r="Z47" s="101"/>
      <c r="AA47" s="101"/>
      <c r="AB47" s="101"/>
      <c r="AC47" s="101"/>
      <c r="AD47" s="101"/>
      <c r="AE47" s="101"/>
    </row>
    <row r="48" spans="1:31">
      <c r="C48" s="672" t="s">
        <v>1885</v>
      </c>
      <c r="D48" s="693">
        <f>'[6]1999 Regional Votes'!K99/'[6]1999 Regional Votes'!G99</f>
        <v>0.12431410475117939</v>
      </c>
      <c r="E48" s="693">
        <v>0.11799999999999999</v>
      </c>
      <c r="F48" s="694">
        <v>0.113</v>
      </c>
      <c r="G48" s="695">
        <f>'[6]2011 Regional Share'!F99</f>
        <v>5.1974145534840636E-2</v>
      </c>
      <c r="H48" s="695">
        <f>'[6]2016 Regional Share'!F99</f>
        <v>5.2185911763792295E-2</v>
      </c>
    </row>
    <row r="49" spans="1:8">
      <c r="A49" s="677"/>
      <c r="B49" s="677"/>
      <c r="C49" s="678"/>
      <c r="D49" s="693"/>
      <c r="E49" s="672"/>
      <c r="F49" s="684"/>
      <c r="G49" s="684"/>
      <c r="H49" s="684"/>
    </row>
    <row r="50" spans="1:8">
      <c r="A50" s="703" t="s">
        <v>115</v>
      </c>
      <c r="B50" s="704"/>
      <c r="C50" s="704"/>
    </row>
    <row r="51" spans="1:8">
      <c r="A51" s="688"/>
      <c r="B51" s="672"/>
      <c r="C51" s="672"/>
      <c r="E51" s="684"/>
      <c r="F51" s="684"/>
      <c r="G51" s="684"/>
      <c r="H51" s="684"/>
    </row>
    <row r="52" spans="1:8">
      <c r="A52" s="685"/>
      <c r="B52" s="677"/>
      <c r="C52" s="686"/>
      <c r="D52" s="657"/>
      <c r="E52" s="687"/>
      <c r="F52" s="687"/>
      <c r="G52" s="687"/>
      <c r="H52" s="687"/>
    </row>
    <row r="53" spans="1:8">
      <c r="A53" s="688"/>
      <c r="B53" s="688" t="s">
        <v>1421</v>
      </c>
      <c r="C53" s="683"/>
      <c r="D53" s="682">
        <f>SUM(D54:D55)</f>
        <v>1</v>
      </c>
      <c r="E53" s="683">
        <f>SUM(E54:E55)</f>
        <v>7</v>
      </c>
      <c r="F53" s="683">
        <f>SUM(F54:F55)</f>
        <v>2</v>
      </c>
      <c r="G53" s="683">
        <f>SUM(G54:G55)</f>
        <v>2</v>
      </c>
      <c r="H53" s="683">
        <f>SUM(H54:H55)</f>
        <v>6</v>
      </c>
    </row>
    <row r="54" spans="1:8">
      <c r="C54" s="684" t="s">
        <v>269</v>
      </c>
      <c r="D54" s="672">
        <v>0</v>
      </c>
      <c r="E54" s="684">
        <v>0</v>
      </c>
      <c r="F54" s="684">
        <v>0</v>
      </c>
      <c r="G54" s="689">
        <f>'[6]2011 Constituency Seat'!H99</f>
        <v>0</v>
      </c>
      <c r="H54" s="689">
        <f>'[6]2016 Constituency Seat'!H99</f>
        <v>0</v>
      </c>
    </row>
    <row r="55" spans="1:8">
      <c r="C55" s="684" t="s">
        <v>1885</v>
      </c>
      <c r="D55" s="672">
        <v>1</v>
      </c>
      <c r="E55" s="684">
        <v>7</v>
      </c>
      <c r="F55" s="684">
        <v>2</v>
      </c>
      <c r="G55" s="689">
        <f>'[6]2011 Regional Seat'!H161</f>
        <v>2</v>
      </c>
      <c r="H55" s="689">
        <f>'[6]2016 Regional Seat'!H161</f>
        <v>6</v>
      </c>
    </row>
    <row r="56" spans="1:8">
      <c r="B56" s="684"/>
      <c r="C56" s="684"/>
      <c r="D56" s="711">
        <v>1999</v>
      </c>
      <c r="E56" s="711">
        <v>2003</v>
      </c>
      <c r="F56" s="711">
        <v>2007</v>
      </c>
      <c r="G56" s="711">
        <v>2011</v>
      </c>
      <c r="H56" s="711">
        <v>2016</v>
      </c>
    </row>
    <row r="57" spans="1:8">
      <c r="B57" s="684"/>
      <c r="C57" s="684" t="s">
        <v>1887</v>
      </c>
      <c r="D57" s="710">
        <f>D53/129</f>
        <v>7.7519379844961239E-3</v>
      </c>
      <c r="E57" s="710">
        <f>E53/129</f>
        <v>5.4263565891472867E-2</v>
      </c>
      <c r="F57" s="710">
        <f>F53/129</f>
        <v>1.5503875968992248E-2</v>
      </c>
      <c r="G57" s="710">
        <f>G53/129</f>
        <v>1.5503875968992248E-2</v>
      </c>
      <c r="H57" s="710">
        <f>H53/129</f>
        <v>4.6511627906976744E-2</v>
      </c>
    </row>
    <row r="58" spans="1:8">
      <c r="B58" s="688" t="s">
        <v>1886</v>
      </c>
      <c r="C58" s="683" t="s">
        <v>1046</v>
      </c>
      <c r="D58" s="690">
        <f>('[6]1999 Constituency Votes'!$M$99+'[6]1999 Regional Votes'!$M$99)/('[6]1999 Constituency Votes'!$G$99+'[6]1999 Regional Votes'!$G$99)</f>
        <v>1.7948255672125574E-2</v>
      </c>
      <c r="E58" s="691">
        <f>('[6]2003 Constituency Votes'!$M$99+'[6]2003 Regional Votes'!$M$99)/('[6]2003 Constituency Votes'!$G$99+'[6]2003 Regional Votes'!$G$99)</f>
        <v>3.4482389680909116E-2</v>
      </c>
      <c r="F58" s="692">
        <f>('[6]2007 Constituency Votes'!$M$99+'[6]2007 Regional Votes'!$M$99)/('[6]2007 Constituency Votes'!$G$99+'[6]2007 Regional Votes'!$G$99)</f>
        <v>2.1170599425324191E-2</v>
      </c>
      <c r="G58" s="692">
        <f>('[6]2011 Constituency Votes'!$M$99+'[6]2011 Regional Votes'!$M$99)/('[6]2011 Constituency Votes'!$G$99+'[6]2011 Regional Votes'!$G$99)</f>
        <v>2.1843355161864791E-2</v>
      </c>
      <c r="H58" s="692">
        <f>('[6]2016 Constituency Votes'!$M$99+'[6]2016 Regional Votes'!$M$99)/('[6]2016 Constituency Votes'!$G$99+'[6]2016 Regional Votes'!$G$99)</f>
        <v>3.5838204738105173E-2</v>
      </c>
    </row>
    <row r="59" spans="1:8">
      <c r="A59" s="677"/>
      <c r="B59" s="677"/>
      <c r="C59" s="686" t="s">
        <v>269</v>
      </c>
      <c r="D59" s="705">
        <f>'[6]1999 Constituency Votes'!M99/'[6]1999 Constituency Votes'!G99</f>
        <v>0</v>
      </c>
      <c r="E59" s="706">
        <f>'[6]2003 Constituency Votes'!M99/'[6]2003 Constituency Votes'!G99</f>
        <v>0</v>
      </c>
      <c r="F59" s="706">
        <f>'[6]2007 Constituency Votes'!M99/'[6]2007 Constituency Votes'!G99</f>
        <v>1.4869252178212817E-3</v>
      </c>
      <c r="G59" s="707">
        <f>'[6]2011 Constituency Share'!H99</f>
        <v>0</v>
      </c>
      <c r="H59" s="707">
        <f>'[6]2016 Constituency Share'!H99</f>
        <v>5.7793374208149166E-3</v>
      </c>
    </row>
    <row r="60" spans="1:8">
      <c r="A60" s="677"/>
      <c r="B60" s="677"/>
      <c r="C60" s="686" t="s">
        <v>1885</v>
      </c>
      <c r="D60" s="705">
        <f>'[6]1999 Regional Votes'!M99/'[6]1999 Regional Votes'!G99</f>
        <v>3.5923937348701147E-2</v>
      </c>
      <c r="E60" s="706">
        <f>'[6]2003 Regional Votes'!M99/'[6]2003 Regional Votes'!G99</f>
        <v>6.8970916840610255E-2</v>
      </c>
      <c r="F60" s="706">
        <f>'[6]2007 Regional Votes'!M99/'[6]2007 Regional Votes'!G99</f>
        <v>4.0423359265010249E-2</v>
      </c>
      <c r="G60" s="707">
        <f>'[6]2011 Regional Share'!H99</f>
        <v>4.3669594080074904E-2</v>
      </c>
      <c r="H60" s="707">
        <f>'[6]2016 Regional Share'!H99</f>
        <v>6.5810317921768377E-2</v>
      </c>
    </row>
    <row r="61" spans="1:8">
      <c r="B61" s="684"/>
      <c r="C61" s="684"/>
      <c r="E61" s="684"/>
      <c r="F61" s="684"/>
      <c r="G61" s="684"/>
      <c r="H61" s="684"/>
    </row>
    <row r="62" spans="1:8">
      <c r="A62" s="708" t="s">
        <v>116</v>
      </c>
      <c r="B62" s="709"/>
      <c r="C62" s="709"/>
    </row>
    <row r="63" spans="1:8">
      <c r="A63" s="688"/>
      <c r="B63" s="672"/>
      <c r="C63" s="672"/>
      <c r="E63" s="684"/>
      <c r="F63" s="684"/>
      <c r="G63" s="684"/>
      <c r="H63" s="684"/>
    </row>
    <row r="64" spans="1:8">
      <c r="A64" s="688"/>
      <c r="B64" s="688" t="s">
        <v>1421</v>
      </c>
      <c r="C64" s="683"/>
      <c r="D64" s="682">
        <f>SUM(D65:D66)</f>
        <v>0</v>
      </c>
      <c r="E64" s="683">
        <f>SUM(E65:E66)</f>
        <v>0</v>
      </c>
      <c r="F64" s="683">
        <f>SUM(F65:F66)</f>
        <v>0</v>
      </c>
      <c r="G64" s="683">
        <f>SUM(G65:G66)</f>
        <v>0</v>
      </c>
      <c r="H64" s="683">
        <f>SUM(H65:H66)</f>
        <v>0</v>
      </c>
    </row>
    <row r="65" spans="1:8">
      <c r="C65" s="684" t="s">
        <v>269</v>
      </c>
      <c r="D65" s="672">
        <v>0</v>
      </c>
      <c r="E65" s="684">
        <v>0</v>
      </c>
      <c r="F65" s="684">
        <v>0</v>
      </c>
      <c r="G65" s="689">
        <f>'[6]2011 Constituency Seat'!H110</f>
        <v>0</v>
      </c>
      <c r="H65" s="689">
        <f>'[6]2016 Constituency Seat'!I99</f>
        <v>0</v>
      </c>
    </row>
    <row r="66" spans="1:8">
      <c r="C66" s="684" t="s">
        <v>1885</v>
      </c>
      <c r="D66" s="672">
        <v>0</v>
      </c>
      <c r="E66" s="684">
        <v>0</v>
      </c>
      <c r="F66" s="684">
        <v>0</v>
      </c>
      <c r="G66" s="689">
        <f>'[6]2011 Regional Seat'!H172</f>
        <v>0</v>
      </c>
      <c r="H66" s="689">
        <f>'[6]2016 Regional Seat'!I161</f>
        <v>0</v>
      </c>
    </row>
    <row r="67" spans="1:8">
      <c r="B67" s="684"/>
      <c r="C67" s="684"/>
      <c r="D67" s="711">
        <v>1999</v>
      </c>
      <c r="E67" s="711">
        <v>2003</v>
      </c>
      <c r="F67" s="711">
        <v>2007</v>
      </c>
      <c r="G67" s="711">
        <v>2011</v>
      </c>
      <c r="H67" s="711">
        <v>2016</v>
      </c>
    </row>
    <row r="68" spans="1:8">
      <c r="B68" s="684"/>
      <c r="C68" s="684" t="s">
        <v>1887</v>
      </c>
      <c r="D68" s="710">
        <f>D64/129</f>
        <v>0</v>
      </c>
      <c r="E68" s="710">
        <f>E64/129</f>
        <v>0</v>
      </c>
      <c r="F68" s="710">
        <f>F64/129</f>
        <v>0</v>
      </c>
      <c r="G68" s="710">
        <f>G64/129</f>
        <v>0</v>
      </c>
      <c r="H68" s="710">
        <f>H64/129</f>
        <v>0</v>
      </c>
    </row>
    <row r="69" spans="1:8">
      <c r="B69" s="688" t="s">
        <v>1886</v>
      </c>
      <c r="C69" s="683" t="s">
        <v>1046</v>
      </c>
      <c r="D69" s="690">
        <f>('[6]1999 Constituency Votes'!$N$99+'[6]1999 Regional Votes'!$N$99)/('[6]1999 Constituency Votes'!$G$99+'[6]1999 Regional Votes'!$G$99)</f>
        <v>0</v>
      </c>
      <c r="E69" s="691">
        <f>('[6]2003 Constituency Votes'!$N$99+'[6]2003 Regional Votes'!$N$99)/('[6]2003 Constituency Votes'!$G$99+'[6]2003 Regional Votes'!$G$99)</f>
        <v>3.1233991894141062E-3</v>
      </c>
      <c r="F69" s="692">
        <f>('[6]2007 Constituency Votes'!$N$99+'[6]2007 Regional Votes'!$N$99)/('[6]2007 Constituency Votes'!$G$99+'[6]2007 Regional Votes'!$G$99)</f>
        <v>2.0285150265275916E-3</v>
      </c>
      <c r="G69" s="692">
        <f>('[6]2011 Constituency Votes'!$N$99+'[6]2011 Regional Votes'!$N$99)/('[6]2011 Constituency Votes'!$G$99+'[6]2011 Regional Votes'!$G$99)</f>
        <v>5.2413097922872518E-3</v>
      </c>
      <c r="H69" s="692">
        <f>('[6]2016 Constituency Votes'!$N$99+'[6]2016 Regional Votes'!$N$99)/('[6]2016 Constituency Votes'!$G$99+'[6]2016 Regional Votes'!$G$99)</f>
        <v>1.0170200694209408E-2</v>
      </c>
    </row>
    <row r="70" spans="1:8">
      <c r="C70" s="684" t="s">
        <v>269</v>
      </c>
      <c r="D70" s="705">
        <f>'[6]1999 Constituency Votes'!N99/'[6]1999 Constituency Votes'!G99</f>
        <v>0</v>
      </c>
      <c r="E70" s="706">
        <f>'[6]2003 Constituency Votes'!N99/'[6]2003 Constituency Votes'!G99</f>
        <v>0</v>
      </c>
      <c r="F70" s="706">
        <f>'[6]2007 Constituency Votes'!N99/'[6]2007 Constituency Votes'!G99</f>
        <v>0</v>
      </c>
      <c r="G70" s="707">
        <f>'[6]2011 Constituency Share'!I99</f>
        <v>1.2607601961718735E-3</v>
      </c>
      <c r="H70" s="707">
        <f>'[6]2016 Constituency Share'!I99</f>
        <v>0</v>
      </c>
    </row>
    <row r="71" spans="1:8">
      <c r="A71" s="677"/>
      <c r="B71" s="677"/>
      <c r="C71" s="686" t="s">
        <v>1885</v>
      </c>
      <c r="D71" s="705">
        <f>'[6]1999 Regional Votes'!N99/'[6]1999 Regional Votes'!G99</f>
        <v>0</v>
      </c>
      <c r="E71" s="706">
        <f>'[6]2003 Regional Votes'!N99/'[6]2003 Regional Votes'!G99</f>
        <v>6.2473543088684873E-3</v>
      </c>
      <c r="F71" s="706">
        <f>'[6]2007 Regional Votes'!N99/'[6]2007 Regional Votes'!G99</f>
        <v>4.0126218668066049E-3</v>
      </c>
      <c r="G71" s="707">
        <f>'[6]2011 Regional Share'!I99</f>
        <v>9.2187402679075516E-3</v>
      </c>
      <c r="H71" s="707">
        <f>'[6]2016 Regional Share'!I99</f>
        <v>2.0311048753779391E-2</v>
      </c>
    </row>
    <row r="72" spans="1:8" ht="14" thickBot="1">
      <c r="A72" s="674"/>
      <c r="B72" s="674"/>
      <c r="C72" s="674"/>
      <c r="D72" s="675"/>
      <c r="E72" s="674"/>
      <c r="F72" s="674"/>
      <c r="G72" s="674"/>
      <c r="H72" s="674"/>
    </row>
  </sheetData>
  <pageMargins left="0.7" right="0.7" top="0.75" bottom="0.75" header="0.3" footer="0.3"/>
  <pageSetup paperSize="9" orientation="portrait" horizontalDpi="1200" verticalDpi="1200"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7">
    <tabColor theme="4"/>
  </sheetPr>
  <dimension ref="A2:AF103"/>
  <sheetViews>
    <sheetView showGridLines="0" zoomScale="70" zoomScaleNormal="70" workbookViewId="0">
      <selection activeCell="R30" sqref="R30"/>
    </sheetView>
  </sheetViews>
  <sheetFormatPr baseColWidth="10" defaultColWidth="9.3984375" defaultRowHeight="14"/>
  <cols>
    <col min="1" max="1" width="16.3984375" style="850" customWidth="1"/>
    <col min="2" max="6" width="9" style="850" hidden="1" customWidth="1"/>
    <col min="7" max="7" width="0.796875" style="850" hidden="1" customWidth="1"/>
    <col min="8" max="11" width="9" style="850" hidden="1" customWidth="1"/>
    <col min="12" max="12" width="1.19921875" style="850" customWidth="1"/>
    <col min="13" max="13" width="9.796875" style="850" customWidth="1"/>
    <col min="14" max="14" width="10.796875" style="850" customWidth="1"/>
    <col min="15" max="17" width="9.796875" style="850" customWidth="1"/>
    <col min="18" max="18" width="10.796875" style="850" customWidth="1"/>
    <col min="19" max="19" width="1.3984375" style="850" customWidth="1"/>
    <col min="20" max="25" width="7.796875" style="850" customWidth="1"/>
    <col min="26" max="16384" width="9.3984375" style="850"/>
  </cols>
  <sheetData>
    <row r="2" spans="1:25" ht="20">
      <c r="A2" s="2247" t="s">
        <v>2704</v>
      </c>
      <c r="B2" s="2216"/>
      <c r="C2" s="1218"/>
      <c r="D2" s="1218"/>
      <c r="E2" s="1218"/>
      <c r="F2" s="1218"/>
      <c r="G2" s="1218"/>
      <c r="H2" s="1218"/>
      <c r="I2" s="1218"/>
      <c r="J2" s="1218"/>
      <c r="K2" s="1218"/>
      <c r="L2" s="1218"/>
      <c r="M2" s="1218"/>
      <c r="N2" s="1218"/>
      <c r="O2" s="1218"/>
      <c r="P2" s="1218"/>
      <c r="Q2" s="1218"/>
      <c r="R2" s="1218"/>
      <c r="S2" s="1218"/>
      <c r="T2" s="1218"/>
      <c r="U2" s="1218"/>
      <c r="V2" s="1218"/>
      <c r="W2" s="1218"/>
      <c r="X2" s="1218"/>
      <c r="Y2" s="1218"/>
    </row>
    <row r="3" spans="1:25" ht="17" thickBot="1">
      <c r="A3" s="3083"/>
      <c r="B3" s="3458" t="s">
        <v>1120</v>
      </c>
      <c r="C3" s="3458"/>
      <c r="D3" s="3458"/>
      <c r="E3" s="3458"/>
      <c r="F3" s="3458"/>
      <c r="G3" s="3084"/>
      <c r="H3" s="3459"/>
      <c r="I3" s="3459"/>
      <c r="J3" s="3459"/>
      <c r="K3" s="3459"/>
      <c r="L3" s="3459"/>
      <c r="M3" s="3460" t="s">
        <v>2069</v>
      </c>
      <c r="N3" s="3460"/>
      <c r="O3" s="3460"/>
      <c r="P3" s="3460"/>
      <c r="Q3" s="3460"/>
      <c r="R3" s="3460"/>
      <c r="S3" s="3085"/>
      <c r="T3" s="3460" t="s">
        <v>1893</v>
      </c>
      <c r="U3" s="3460"/>
      <c r="V3" s="3460"/>
      <c r="W3" s="3460"/>
      <c r="X3" s="3460"/>
      <c r="Y3" s="3461"/>
    </row>
    <row r="4" spans="1:25" ht="15">
      <c r="A4" s="3083"/>
      <c r="B4" s="3086">
        <v>1998</v>
      </c>
      <c r="C4" s="3086">
        <v>2003</v>
      </c>
      <c r="D4" s="3086">
        <v>2007</v>
      </c>
      <c r="E4" s="3086">
        <v>2011</v>
      </c>
      <c r="F4" s="3086">
        <v>2016</v>
      </c>
      <c r="G4" s="3086"/>
      <c r="H4" s="3086">
        <v>1998</v>
      </c>
      <c r="I4" s="3086">
        <v>2003</v>
      </c>
      <c r="J4" s="3086">
        <v>2007</v>
      </c>
      <c r="K4" s="3086">
        <v>2011</v>
      </c>
      <c r="L4" s="3086">
        <v>2016</v>
      </c>
      <c r="M4" s="3086">
        <v>1998</v>
      </c>
      <c r="N4" s="3086">
        <v>2003</v>
      </c>
      <c r="O4" s="3086">
        <v>2007</v>
      </c>
      <c r="P4" s="3086">
        <v>2011</v>
      </c>
      <c r="Q4" s="3086">
        <v>2016</v>
      </c>
      <c r="R4" s="3086">
        <v>2017</v>
      </c>
      <c r="S4" s="3086"/>
      <c r="T4" s="3086">
        <v>1998</v>
      </c>
      <c r="U4" s="3086">
        <v>2003</v>
      </c>
      <c r="V4" s="3086">
        <v>2007</v>
      </c>
      <c r="W4" s="3086">
        <v>2011</v>
      </c>
      <c r="X4" s="3086">
        <v>2016</v>
      </c>
      <c r="Y4" s="3087">
        <v>2017</v>
      </c>
    </row>
    <row r="5" spans="1:25" ht="3" customHeight="1">
      <c r="A5" s="3088"/>
      <c r="B5" s="3089"/>
      <c r="C5" s="3089"/>
      <c r="D5" s="3089"/>
      <c r="E5" s="3089"/>
      <c r="F5" s="3089"/>
      <c r="G5" s="3089"/>
      <c r="H5" s="3089"/>
      <c r="I5" s="3089"/>
      <c r="J5" s="3089"/>
      <c r="K5" s="3089"/>
      <c r="L5" s="3089"/>
      <c r="M5" s="3089"/>
      <c r="N5" s="3089"/>
      <c r="O5" s="3089"/>
      <c r="P5" s="3089"/>
      <c r="Q5" s="3089"/>
      <c r="R5" s="3089"/>
      <c r="S5" s="3089"/>
      <c r="T5" s="3089"/>
      <c r="U5" s="3089"/>
      <c r="V5" s="3089"/>
      <c r="W5" s="3089"/>
      <c r="X5" s="3089"/>
      <c r="Y5" s="1176"/>
    </row>
    <row r="6" spans="1:25" ht="14.25" customHeight="1">
      <c r="A6" s="3090" t="s">
        <v>1895</v>
      </c>
      <c r="B6" s="3091"/>
      <c r="C6" s="3092"/>
      <c r="D6" s="3092"/>
      <c r="E6" s="3092"/>
      <c r="F6" s="3092"/>
      <c r="G6" s="3092"/>
      <c r="H6" s="3092"/>
      <c r="I6" s="3092"/>
      <c r="J6" s="3092"/>
      <c r="K6" s="3092"/>
      <c r="L6" s="3093"/>
      <c r="M6" s="3093"/>
      <c r="N6" s="3092"/>
      <c r="O6" s="3092"/>
      <c r="P6" s="3092"/>
      <c r="Q6" s="3093"/>
      <c r="R6" s="3093"/>
      <c r="S6" s="3093"/>
      <c r="T6" s="3093"/>
      <c r="U6" s="3092"/>
      <c r="V6" s="3092"/>
      <c r="W6" s="3092"/>
      <c r="X6" s="3093"/>
      <c r="Y6" s="3094"/>
    </row>
    <row r="7" spans="1:25" ht="15">
      <c r="A7" s="3088" t="s">
        <v>1092</v>
      </c>
      <c r="B7" s="3095">
        <v>146917</v>
      </c>
      <c r="C7" s="3096">
        <v>177944</v>
      </c>
      <c r="D7" s="3096">
        <v>207721</v>
      </c>
      <c r="E7" s="3096">
        <v>198436</v>
      </c>
      <c r="F7" s="3096">
        <f>VLOOKUP(A7,'[7]1st pref votes by party'!$D$4:$E$24,2,FALSE)</f>
        <v>202567</v>
      </c>
      <c r="G7" s="3097"/>
      <c r="H7" s="3098">
        <v>0.18132416738147103</v>
      </c>
      <c r="I7" s="3098">
        <v>0.25339160326323001</v>
      </c>
      <c r="J7" s="3098">
        <v>0.30090842849547961</v>
      </c>
      <c r="K7" s="3098">
        <v>0.29987275854044071</v>
      </c>
      <c r="L7" s="3098">
        <f>+F7/$F$36</f>
        <v>0.29175296337370915</v>
      </c>
      <c r="M7" s="3097">
        <v>146917</v>
      </c>
      <c r="N7" s="3097">
        <v>177944</v>
      </c>
      <c r="O7" s="3097">
        <v>207721</v>
      </c>
      <c r="P7" s="3097">
        <v>198436</v>
      </c>
      <c r="Q7" s="3097">
        <v>202567</v>
      </c>
      <c r="R7" s="3097">
        <v>225413</v>
      </c>
      <c r="S7" s="3097"/>
      <c r="T7" s="3098">
        <f t="shared" ref="T7:W11" si="0">M7/M$20</f>
        <v>0.18132416738147103</v>
      </c>
      <c r="U7" s="3098">
        <f t="shared" si="0"/>
        <v>0.25339160326323001</v>
      </c>
      <c r="V7" s="3098">
        <f t="shared" si="0"/>
        <v>0.30090842849547961</v>
      </c>
      <c r="W7" s="3098">
        <f t="shared" si="0"/>
        <v>0.29987275854044071</v>
      </c>
      <c r="X7" s="3098">
        <f>Q7/Q$20</f>
        <v>0.29175296337370915</v>
      </c>
      <c r="Y7" s="3099">
        <f>R7/$R$20</f>
        <v>0.2806034992499829</v>
      </c>
    </row>
    <row r="8" spans="1:25" ht="15">
      <c r="A8" s="3088" t="s">
        <v>151</v>
      </c>
      <c r="B8" s="3095">
        <v>142858</v>
      </c>
      <c r="C8" s="3096">
        <v>162758</v>
      </c>
      <c r="D8" s="3096">
        <v>180573</v>
      </c>
      <c r="E8" s="3096">
        <v>178222</v>
      </c>
      <c r="F8" s="3096">
        <f>VLOOKUP(A8,'[7]1st pref votes by party'!$D$4:$E$24,2,FALSE)</f>
        <v>166785</v>
      </c>
      <c r="G8" s="3097"/>
      <c r="H8" s="3098">
        <v>0.17631457151849131</v>
      </c>
      <c r="I8" s="3098">
        <v>0.23176679496873617</v>
      </c>
      <c r="J8" s="3098">
        <v>0.26158134063823224</v>
      </c>
      <c r="K8" s="3098">
        <v>0.26932574115883423</v>
      </c>
      <c r="L8" s="3098">
        <f>+F8/$F$36</f>
        <v>0.24021690599300025</v>
      </c>
      <c r="M8" s="3097">
        <v>142858</v>
      </c>
      <c r="N8" s="3097">
        <v>162758</v>
      </c>
      <c r="O8" s="3097">
        <v>180573</v>
      </c>
      <c r="P8" s="3097">
        <v>178222</v>
      </c>
      <c r="Q8" s="3097">
        <v>166785</v>
      </c>
      <c r="R8" s="3097">
        <v>224245</v>
      </c>
      <c r="S8" s="3097"/>
      <c r="T8" s="3098">
        <f t="shared" si="0"/>
        <v>0.17631457151849131</v>
      </c>
      <c r="U8" s="3098">
        <f t="shared" si="0"/>
        <v>0.23176679496873617</v>
      </c>
      <c r="V8" s="3098">
        <f t="shared" si="0"/>
        <v>0.26158134063823224</v>
      </c>
      <c r="W8" s="3098">
        <f t="shared" si="0"/>
        <v>0.26932574115883423</v>
      </c>
      <c r="X8" s="3098">
        <f>Q8/Q$20</f>
        <v>0.24021690599300025</v>
      </c>
      <c r="Y8" s="3099">
        <f t="shared" ref="Y8:Y20" si="1">R8/$R$20</f>
        <v>0.27914952415926503</v>
      </c>
    </row>
    <row r="9" spans="1:25" ht="15">
      <c r="A9" s="3088" t="s">
        <v>1066</v>
      </c>
      <c r="B9" s="3095">
        <v>172225</v>
      </c>
      <c r="C9" s="3096">
        <v>156931</v>
      </c>
      <c r="D9" s="3096">
        <v>103145</v>
      </c>
      <c r="E9" s="3096">
        <v>87531</v>
      </c>
      <c r="F9" s="3096">
        <f>VLOOKUP(A9,'[7]1st pref votes by party'!$D$4:$E$24,2,FALSE)</f>
        <v>87302</v>
      </c>
      <c r="G9" s="3097"/>
      <c r="H9" s="3098">
        <v>0.21255916420341994</v>
      </c>
      <c r="I9" s="3098">
        <v>0.22346916834342234</v>
      </c>
      <c r="J9" s="3098">
        <v>0.14941772790024235</v>
      </c>
      <c r="K9" s="3098">
        <v>0.13227520423614322</v>
      </c>
      <c r="L9" s="3098">
        <f>+F9/$F$36</f>
        <v>0.12573922311359478</v>
      </c>
      <c r="M9" s="3097">
        <v>172225</v>
      </c>
      <c r="N9" s="3097">
        <v>156931</v>
      </c>
      <c r="O9" s="3097">
        <v>103145</v>
      </c>
      <c r="P9" s="3097">
        <v>87531</v>
      </c>
      <c r="Q9" s="3097">
        <v>87302</v>
      </c>
      <c r="R9" s="3097">
        <v>103314</v>
      </c>
      <c r="S9" s="3097"/>
      <c r="T9" s="3098">
        <f t="shared" si="0"/>
        <v>0.21255916420341994</v>
      </c>
      <c r="U9" s="3098">
        <f t="shared" si="0"/>
        <v>0.22346916834342234</v>
      </c>
      <c r="V9" s="3098">
        <f t="shared" si="0"/>
        <v>0.14941772790024235</v>
      </c>
      <c r="W9" s="3098">
        <f t="shared" si="0"/>
        <v>0.13227520423614322</v>
      </c>
      <c r="X9" s="3098">
        <f>Q9/Q$20</f>
        <v>0.12573922311359478</v>
      </c>
      <c r="Y9" s="3099">
        <f t="shared" si="1"/>
        <v>0.12860957407741672</v>
      </c>
    </row>
    <row r="10" spans="1:25" ht="15">
      <c r="A10" s="3088" t="s">
        <v>113</v>
      </c>
      <c r="B10" s="3095">
        <v>177963</v>
      </c>
      <c r="C10" s="3096">
        <v>117547</v>
      </c>
      <c r="D10" s="3096">
        <v>105164</v>
      </c>
      <c r="E10" s="3096">
        <v>94286</v>
      </c>
      <c r="F10" s="3096">
        <f>VLOOKUP(A10,'[7]1st pref votes by party'!$D$4:$E$24,2,FALSE)</f>
        <v>83364</v>
      </c>
      <c r="G10" s="3097"/>
      <c r="H10" s="3098">
        <v>0.21964097279218014</v>
      </c>
      <c r="I10" s="3098">
        <v>0.16738649681238421</v>
      </c>
      <c r="J10" s="3098">
        <v>0.15234248811770892</v>
      </c>
      <c r="K10" s="3098">
        <v>0.14248323344425404</v>
      </c>
      <c r="L10" s="3098">
        <f>+F10/$F$36</f>
        <v>0.1200674050496176</v>
      </c>
      <c r="M10" s="3097">
        <v>177963</v>
      </c>
      <c r="N10" s="3097">
        <v>117547</v>
      </c>
      <c r="O10" s="3097">
        <v>105164</v>
      </c>
      <c r="P10" s="3097">
        <v>94286</v>
      </c>
      <c r="Q10" s="3097">
        <v>83364</v>
      </c>
      <c r="R10" s="3097">
        <v>95958</v>
      </c>
      <c r="S10" s="3097"/>
      <c r="T10" s="3098">
        <f t="shared" si="0"/>
        <v>0.21964097279218014</v>
      </c>
      <c r="U10" s="3098">
        <f t="shared" si="0"/>
        <v>0.16738649681238421</v>
      </c>
      <c r="V10" s="3098">
        <f t="shared" si="0"/>
        <v>0.15234248811770892</v>
      </c>
      <c r="W10" s="3098">
        <f t="shared" si="0"/>
        <v>0.14248323344425404</v>
      </c>
      <c r="X10" s="3098">
        <f>Q10/Q$20</f>
        <v>0.1200674050496176</v>
      </c>
      <c r="Y10" s="3099">
        <f t="shared" si="1"/>
        <v>0.11945251862594375</v>
      </c>
    </row>
    <row r="11" spans="1:25" ht="15">
      <c r="A11" s="3088" t="s">
        <v>71</v>
      </c>
      <c r="B11" s="3095">
        <v>52636</v>
      </c>
      <c r="C11" s="3096">
        <v>25372</v>
      </c>
      <c r="D11" s="3096">
        <v>36139</v>
      </c>
      <c r="E11" s="3096">
        <v>50875</v>
      </c>
      <c r="F11" s="3096">
        <f>VLOOKUP(A11,'[7]1st pref votes by party'!$D$4:$E$24,2,FALSE)</f>
        <v>48447</v>
      </c>
      <c r="G11" s="3097"/>
      <c r="H11" s="3098">
        <v>6.49630667267308E-2</v>
      </c>
      <c r="I11" s="3098">
        <v>3.6129634930060418E-2</v>
      </c>
      <c r="J11" s="3098">
        <v>5.2351614412592548E-2</v>
      </c>
      <c r="K11" s="3098">
        <v>7.6881345072189133E-2</v>
      </c>
      <c r="L11" s="3098">
        <f>+F11/$F$36</f>
        <v>6.9777188863764023E-2</v>
      </c>
      <c r="M11" s="3097">
        <v>52636</v>
      </c>
      <c r="N11" s="3097">
        <v>25372</v>
      </c>
      <c r="O11" s="3097">
        <v>36139</v>
      </c>
      <c r="P11" s="3097">
        <v>50875</v>
      </c>
      <c r="Q11" s="3097">
        <v>48447</v>
      </c>
      <c r="R11" s="3097">
        <v>72717</v>
      </c>
      <c r="S11" s="3097"/>
      <c r="T11" s="3098">
        <f t="shared" si="0"/>
        <v>6.49630667267308E-2</v>
      </c>
      <c r="U11" s="3098">
        <f t="shared" si="0"/>
        <v>3.6129634930060418E-2</v>
      </c>
      <c r="V11" s="3098">
        <f t="shared" si="0"/>
        <v>5.2351614412592548E-2</v>
      </c>
      <c r="W11" s="3098">
        <f t="shared" si="0"/>
        <v>7.6881345072189133E-2</v>
      </c>
      <c r="X11" s="3098">
        <f>Q11/Q$20</f>
        <v>6.9777188863764023E-2</v>
      </c>
      <c r="Y11" s="3099">
        <f t="shared" si="1"/>
        <v>9.0521152972370733E-2</v>
      </c>
    </row>
    <row r="12" spans="1:25" ht="15">
      <c r="A12" s="3088" t="s">
        <v>1122</v>
      </c>
      <c r="B12" s="3095">
        <v>36541</v>
      </c>
      <c r="C12" s="3096">
        <v>5700</v>
      </c>
      <c r="D12" s="3096">
        <v>10452</v>
      </c>
      <c r="E12" s="3096" t="s">
        <v>396</v>
      </c>
      <c r="F12" s="3096" t="s">
        <v>396</v>
      </c>
      <c r="G12" s="3097"/>
      <c r="H12" s="3098">
        <v>4.509870471277206E-2</v>
      </c>
      <c r="I12" s="3098">
        <v>8.1167790911770617E-3</v>
      </c>
      <c r="J12" s="3098">
        <v>1.5140957797404946E-2</v>
      </c>
      <c r="K12" s="3098" t="s">
        <v>396</v>
      </c>
      <c r="L12" s="3098"/>
      <c r="M12" s="3097">
        <v>36541</v>
      </c>
      <c r="N12" s="3097">
        <v>5700</v>
      </c>
      <c r="O12" s="3097">
        <v>10452</v>
      </c>
      <c r="P12" s="3098" t="s">
        <v>396</v>
      </c>
      <c r="Q12" s="3098" t="s">
        <v>396</v>
      </c>
      <c r="R12" s="3098" t="s">
        <v>396</v>
      </c>
      <c r="S12" s="3098"/>
      <c r="T12" s="3098">
        <f t="shared" ref="T12:V13" si="2">M12/M$20</f>
        <v>4.509870471277206E-2</v>
      </c>
      <c r="U12" s="3098">
        <f t="shared" si="2"/>
        <v>8.1167790911770617E-3</v>
      </c>
      <c r="V12" s="3098">
        <f t="shared" si="2"/>
        <v>1.5140957797404946E-2</v>
      </c>
      <c r="W12" s="3096" t="s">
        <v>396</v>
      </c>
      <c r="X12" s="3096" t="s">
        <v>396</v>
      </c>
      <c r="Y12" s="3096" t="s">
        <v>396</v>
      </c>
    </row>
    <row r="13" spans="1:25" ht="15">
      <c r="A13" s="3088" t="s">
        <v>1123</v>
      </c>
      <c r="B13" s="3095">
        <v>20634</v>
      </c>
      <c r="C13" s="3096">
        <v>8032</v>
      </c>
      <c r="D13" s="3096">
        <v>3822</v>
      </c>
      <c r="E13" s="3096">
        <v>1493</v>
      </c>
      <c r="F13" s="3096">
        <f>VLOOKUP(A13,'[7]1st pref votes by party'!$D$4:$E$24,2,FALSE)</f>
        <v>5955</v>
      </c>
      <c r="G13" s="3097"/>
      <c r="H13" s="3098">
        <v>2.5466371282760154E-2</v>
      </c>
      <c r="I13" s="3098">
        <v>1.1437538536900729E-2</v>
      </c>
      <c r="J13" s="3098">
        <v>5.5366188960659871E-3</v>
      </c>
      <c r="K13" s="3098">
        <v>2.256193576270828E-3</v>
      </c>
      <c r="L13" s="3098">
        <f>+F13/$F$36</f>
        <v>8.5768604801889654E-3</v>
      </c>
      <c r="M13" s="3097">
        <v>20634</v>
      </c>
      <c r="N13" s="3097">
        <v>8032</v>
      </c>
      <c r="O13" s="3097">
        <v>3822</v>
      </c>
      <c r="P13" s="3097">
        <v>1493</v>
      </c>
      <c r="Q13" s="3097">
        <v>5955</v>
      </c>
      <c r="R13" s="3097">
        <v>5590</v>
      </c>
      <c r="S13" s="3097"/>
      <c r="T13" s="3098">
        <f t="shared" si="2"/>
        <v>2.5466371282760154E-2</v>
      </c>
      <c r="U13" s="3098">
        <f t="shared" si="2"/>
        <v>1.1437538536900729E-2</v>
      </c>
      <c r="V13" s="3098">
        <f t="shared" si="2"/>
        <v>5.5366188960659871E-3</v>
      </c>
      <c r="W13" s="3098">
        <f t="shared" ref="W13:W18" si="3">P13/P$20</f>
        <v>2.256193576270828E-3</v>
      </c>
      <c r="X13" s="3098">
        <f t="shared" ref="X13:X18" si="4">Q13/Q$20</f>
        <v>8.5768604801889654E-3</v>
      </c>
      <c r="Y13" s="3099">
        <f t="shared" si="1"/>
        <v>6.958665031774584E-3</v>
      </c>
    </row>
    <row r="14" spans="1:25" ht="32">
      <c r="A14" s="3100" t="s">
        <v>1888</v>
      </c>
      <c r="B14" s="3096" t="s">
        <v>396</v>
      </c>
      <c r="C14" s="3096" t="s">
        <v>396</v>
      </c>
      <c r="D14" s="3096">
        <v>774</v>
      </c>
      <c r="E14" s="3096">
        <v>5438</v>
      </c>
      <c r="F14" s="3096">
        <f>VLOOKUP(A14,'[7]1st pref votes by party'!$D$4:$E$24,2,FALSE)</f>
        <v>13761</v>
      </c>
      <c r="G14" s="3097"/>
      <c r="H14" s="3096" t="s">
        <v>396</v>
      </c>
      <c r="I14" s="3096" t="s">
        <v>396</v>
      </c>
      <c r="J14" s="3098">
        <f>+D14/$E$36</f>
        <v>1.1696542719582188E-3</v>
      </c>
      <c r="K14" s="3098">
        <f>+E14/$E$36</f>
        <v>8.2178035283059364E-3</v>
      </c>
      <c r="L14" s="3098"/>
      <c r="M14" s="3096" t="s">
        <v>246</v>
      </c>
      <c r="N14" s="3096" t="s">
        <v>396</v>
      </c>
      <c r="O14" s="3097">
        <v>774</v>
      </c>
      <c r="P14" s="3097">
        <v>5438</v>
      </c>
      <c r="Q14" s="3097">
        <v>13761</v>
      </c>
      <c r="R14" s="3097">
        <v>14100</v>
      </c>
      <c r="S14" s="3097"/>
      <c r="T14" s="3096" t="s">
        <v>396</v>
      </c>
      <c r="U14" s="3096" t="s">
        <v>396</v>
      </c>
      <c r="V14" s="3098">
        <f>O14/O$20</f>
        <v>1.1212305142739598E-3</v>
      </c>
      <c r="W14" s="3098">
        <f t="shared" si="3"/>
        <v>8.2178035283059364E-3</v>
      </c>
      <c r="X14" s="3098">
        <f t="shared" si="4"/>
        <v>1.9819677089484525E-2</v>
      </c>
      <c r="Y14" s="3099">
        <f t="shared" si="1"/>
        <v>1.7552267790343763E-2</v>
      </c>
    </row>
    <row r="15" spans="1:25" ht="15">
      <c r="A15" s="3088" t="s">
        <v>1889</v>
      </c>
      <c r="B15" s="3096" t="s">
        <v>396</v>
      </c>
      <c r="C15" s="3096" t="s">
        <v>396</v>
      </c>
      <c r="D15" s="3096" t="s">
        <v>396</v>
      </c>
      <c r="E15" s="3096">
        <v>16480</v>
      </c>
      <c r="F15" s="3096">
        <f>VLOOKUP(A15,'[7]1st pref votes by party'!$D$4:$E$24,2,FALSE)</f>
        <v>23776</v>
      </c>
      <c r="G15" s="3097"/>
      <c r="H15" s="3096" t="s">
        <v>396</v>
      </c>
      <c r="I15" s="3096" t="s">
        <v>396</v>
      </c>
      <c r="J15" s="3096" t="s">
        <v>396</v>
      </c>
      <c r="K15" s="3098">
        <f>+E15/$E$36</f>
        <v>2.4904266669084556E-2</v>
      </c>
      <c r="L15" s="3098">
        <f>+F15/$F$36</f>
        <v>3.4244069651884604E-2</v>
      </c>
      <c r="M15" s="3096" t="s">
        <v>396</v>
      </c>
      <c r="N15" s="3096" t="s">
        <v>396</v>
      </c>
      <c r="O15" s="3096" t="s">
        <v>396</v>
      </c>
      <c r="P15" s="3097">
        <v>16480</v>
      </c>
      <c r="Q15" s="3097">
        <v>23776</v>
      </c>
      <c r="R15" s="3097">
        <v>20523</v>
      </c>
      <c r="S15" s="3097"/>
      <c r="T15" s="3096" t="s">
        <v>396</v>
      </c>
      <c r="U15" s="3096" t="s">
        <v>396</v>
      </c>
      <c r="V15" s="3096" t="s">
        <v>396</v>
      </c>
      <c r="W15" s="3098">
        <f t="shared" si="3"/>
        <v>2.4904266669084556E-2</v>
      </c>
      <c r="X15" s="3098">
        <f t="shared" si="4"/>
        <v>3.4244069651884604E-2</v>
      </c>
      <c r="Y15" s="3099">
        <f t="shared" si="1"/>
        <v>2.5547885947604612E-2</v>
      </c>
    </row>
    <row r="16" spans="1:25" ht="15">
      <c r="A16" s="3088" t="s">
        <v>251</v>
      </c>
      <c r="B16" s="3096"/>
      <c r="C16" s="3096"/>
      <c r="D16" s="3096"/>
      <c r="E16" s="3096">
        <v>4152</v>
      </c>
      <c r="F16" s="3096">
        <f>VLOOKUP(A16,'[7]1st pref votes by party'!$D$4:$E$24,2,FALSE)</f>
        <v>10109</v>
      </c>
      <c r="G16" s="3097"/>
      <c r="H16" s="3096" t="s">
        <v>396</v>
      </c>
      <c r="I16" s="3096" t="s">
        <v>396</v>
      </c>
      <c r="J16" s="3096" t="s">
        <v>396</v>
      </c>
      <c r="K16" s="3098">
        <f>+E16/$E$36</f>
        <v>6.2744244666285845E-3</v>
      </c>
      <c r="L16" s="3098">
        <f>+F16/$F$36</f>
        <v>1.4559778773170487E-2</v>
      </c>
      <c r="M16" s="3096" t="s">
        <v>396</v>
      </c>
      <c r="N16" s="3096" t="s">
        <v>396</v>
      </c>
      <c r="O16" s="3096" t="s">
        <v>396</v>
      </c>
      <c r="P16" s="3097">
        <v>4152</v>
      </c>
      <c r="Q16" s="3097">
        <v>10109</v>
      </c>
      <c r="R16" s="3097">
        <v>1579</v>
      </c>
      <c r="S16" s="3097"/>
      <c r="T16" s="3096" t="s">
        <v>396</v>
      </c>
      <c r="U16" s="3096" t="s">
        <v>396</v>
      </c>
      <c r="V16" s="3096" t="s">
        <v>396</v>
      </c>
      <c r="W16" s="3098">
        <f t="shared" si="3"/>
        <v>6.2744244666285845E-3</v>
      </c>
      <c r="X16" s="3098">
        <f t="shared" si="4"/>
        <v>1.4559778773170487E-2</v>
      </c>
      <c r="Y16" s="3099">
        <f t="shared" si="1"/>
        <v>1.9656050241810496E-3</v>
      </c>
    </row>
    <row r="17" spans="1:32" ht="16" thickBot="1">
      <c r="A17" s="3088" t="s">
        <v>1890</v>
      </c>
      <c r="B17" s="3101">
        <f>257+253</f>
        <v>510</v>
      </c>
      <c r="C17" s="3096">
        <v>2688</v>
      </c>
      <c r="D17" s="3102">
        <v>11985</v>
      </c>
      <c r="E17" s="3096">
        <v>6031</v>
      </c>
      <c r="F17" s="3096">
        <f>VLOOKUP(A17,'[7]1st pref votes by party'!$D$4:$E$24,2,FALSE)</f>
        <v>18718</v>
      </c>
      <c r="G17" s="3097"/>
      <c r="H17" s="3098">
        <v>1E-3</v>
      </c>
      <c r="I17" s="3098">
        <f>+C17/$E$36</f>
        <v>4.0620551460254419E-3</v>
      </c>
      <c r="J17" s="3098">
        <f>+D17/$E$36</f>
        <v>1.8111507040593351E-2</v>
      </c>
      <c r="K17" s="3098">
        <f>+E17/$E$36</f>
        <v>9.113933997648602E-3</v>
      </c>
      <c r="L17" s="3098">
        <f>+F17/$F$36</f>
        <v>2.695913928936642E-2</v>
      </c>
      <c r="M17" s="3097">
        <v>510</v>
      </c>
      <c r="N17" s="3097">
        <v>2688</v>
      </c>
      <c r="O17" s="3097">
        <v>11985</v>
      </c>
      <c r="P17" s="3097">
        <v>6031</v>
      </c>
      <c r="Q17" s="3097">
        <v>18718</v>
      </c>
      <c r="R17" s="3097">
        <v>18527</v>
      </c>
      <c r="S17" s="3097"/>
      <c r="T17" s="3098">
        <f t="shared" ref="T17:V18" si="5">M17/M$20</f>
        <v>6.2943924368555186E-4</v>
      </c>
      <c r="U17" s="3098">
        <f t="shared" si="5"/>
        <v>3.8277021398392878E-3</v>
      </c>
      <c r="V17" s="3098">
        <f t="shared" si="5"/>
        <v>1.7361689552420425E-2</v>
      </c>
      <c r="W17" s="3098">
        <f t="shared" si="3"/>
        <v>9.113933997648602E-3</v>
      </c>
      <c r="X17" s="3098">
        <f t="shared" si="4"/>
        <v>2.695913928936642E-2</v>
      </c>
      <c r="Y17" s="3099">
        <f t="shared" si="1"/>
        <v>2.3063181939836801E-2</v>
      </c>
    </row>
    <row r="18" spans="1:32" ht="16" thickBot="1">
      <c r="A18" s="3088" t="s">
        <v>28</v>
      </c>
      <c r="B18" s="3096">
        <f>B20-SUM(B7:B17)</f>
        <v>59961</v>
      </c>
      <c r="C18" s="3096">
        <f>C20-SUM(C7:C17)</f>
        <v>45277</v>
      </c>
      <c r="D18" s="3096">
        <f>D20-SUM(D7:D17)</f>
        <v>30538</v>
      </c>
      <c r="E18" s="3096">
        <f>E20-SUM(E7:E17)</f>
        <v>18790</v>
      </c>
      <c r="F18" s="3096">
        <f>F20-SUM(F7:F17)</f>
        <v>33526</v>
      </c>
      <c r="G18" s="3097"/>
      <c r="H18" s="3098">
        <f>+B18/$B$36</f>
        <v>7.4003542138488976E-2</v>
      </c>
      <c r="I18" s="3098">
        <f>+C18/$C$36</f>
        <v>6.4474281914249795E-2</v>
      </c>
      <c r="J18" s="3098">
        <f>+D18/$D$36</f>
        <v>4.4237903675579046E-2</v>
      </c>
      <c r="K18" s="3098">
        <f>+E18/$E$36</f>
        <v>2.839509531020017E-2</v>
      </c>
      <c r="L18" s="3098">
        <f>+F18/$F$36</f>
        <v>4.8286788322219179E-2</v>
      </c>
      <c r="M18" s="3097">
        <v>59961</v>
      </c>
      <c r="N18" s="3097">
        <v>45277</v>
      </c>
      <c r="O18" s="3097">
        <v>30538</v>
      </c>
      <c r="P18" s="3097">
        <v>18790</v>
      </c>
      <c r="Q18" s="3097">
        <v>33526</v>
      </c>
      <c r="R18" s="3097">
        <v>21349</v>
      </c>
      <c r="S18" s="3097"/>
      <c r="T18" s="3098">
        <f t="shared" si="5"/>
        <v>7.4003542138488976E-2</v>
      </c>
      <c r="U18" s="3098">
        <f t="shared" si="5"/>
        <v>6.4474281914249795E-2</v>
      </c>
      <c r="V18" s="3098">
        <f t="shared" si="5"/>
        <v>4.4237903675579046E-2</v>
      </c>
      <c r="W18" s="3098">
        <f t="shared" si="3"/>
        <v>2.839509531020017E-2</v>
      </c>
      <c r="X18" s="3098">
        <f t="shared" si="4"/>
        <v>4.8286788322219179E-2</v>
      </c>
      <c r="Y18" s="3099">
        <f t="shared" si="1"/>
        <v>2.657612518128007E-2</v>
      </c>
      <c r="AF18" s="2217"/>
    </row>
    <row r="19" spans="1:32" ht="7.5" customHeight="1">
      <c r="A19" s="3088"/>
      <c r="B19" s="3095"/>
      <c r="C19" s="3096"/>
      <c r="D19" s="3096"/>
      <c r="E19" s="3096"/>
      <c r="F19" s="3096"/>
      <c r="G19" s="3097"/>
      <c r="H19" s="3097"/>
      <c r="I19" s="3097"/>
      <c r="J19" s="3097"/>
      <c r="K19" s="3098"/>
      <c r="L19" s="3098"/>
      <c r="M19" s="3103"/>
      <c r="N19" s="3097"/>
      <c r="O19" s="3097"/>
      <c r="P19" s="3097"/>
      <c r="Q19" s="3097"/>
      <c r="R19" s="3097"/>
      <c r="S19" s="3097"/>
      <c r="T19" s="3098"/>
      <c r="U19" s="3098"/>
      <c r="V19" s="3098"/>
      <c r="W19" s="3098"/>
      <c r="X19" s="3098"/>
      <c r="Y19" s="3099"/>
    </row>
    <row r="20" spans="1:32" s="880" customFormat="1" ht="16">
      <c r="A20" s="3104" t="s">
        <v>16</v>
      </c>
      <c r="B20" s="3105">
        <v>810245</v>
      </c>
      <c r="C20" s="3105">
        <v>702249</v>
      </c>
      <c r="D20" s="3105">
        <v>690313</v>
      </c>
      <c r="E20" s="3105">
        <v>661734</v>
      </c>
      <c r="F20" s="3105">
        <f>VLOOKUP(A20,'[7]1st pref votes by party'!$D$4:$E$24,2,FALSE)</f>
        <v>694310</v>
      </c>
      <c r="G20" s="3106"/>
      <c r="H20" s="3107">
        <v>1</v>
      </c>
      <c r="I20" s="3107">
        <v>1</v>
      </c>
      <c r="J20" s="3107">
        <v>0.99999999999999989</v>
      </c>
      <c r="K20" s="3108">
        <v>1</v>
      </c>
      <c r="L20" s="3108">
        <f>+F20/$F$36</f>
        <v>1</v>
      </c>
      <c r="M20" s="3104">
        <f>SUM(M7:M18)</f>
        <v>810245</v>
      </c>
      <c r="N20" s="3104">
        <f>SUM(N7:N18)</f>
        <v>702249</v>
      </c>
      <c r="O20" s="3104">
        <f>SUM(O7:O18)</f>
        <v>690313</v>
      </c>
      <c r="P20" s="3104">
        <f>SUM(P7:P18)</f>
        <v>661734</v>
      </c>
      <c r="Q20" s="3104">
        <f>SUM(Q7:Q18)</f>
        <v>694310</v>
      </c>
      <c r="R20" s="3104">
        <v>803315</v>
      </c>
      <c r="S20" s="3104"/>
      <c r="T20" s="3109">
        <f>M20/M$20</f>
        <v>1</v>
      </c>
      <c r="U20" s="3109">
        <f>N20/N$20</f>
        <v>1</v>
      </c>
      <c r="V20" s="3109">
        <f>O20/O$20</f>
        <v>1</v>
      </c>
      <c r="W20" s="3109">
        <f>P20/P$20</f>
        <v>1</v>
      </c>
      <c r="X20" s="3109">
        <f>Q20/Q$20</f>
        <v>1</v>
      </c>
      <c r="Y20" s="3110">
        <f t="shared" si="1"/>
        <v>1</v>
      </c>
    </row>
    <row r="21" spans="1:32" s="880" customFormat="1" ht="3" customHeight="1">
      <c r="A21" s="3104"/>
      <c r="B21" s="3105"/>
      <c r="C21" s="3105"/>
      <c r="D21" s="3105"/>
      <c r="E21" s="3105"/>
      <c r="F21" s="3105"/>
      <c r="G21" s="3106"/>
      <c r="H21" s="3107"/>
      <c r="I21" s="3107"/>
      <c r="J21" s="3107"/>
      <c r="K21" s="3108"/>
      <c r="L21" s="3108"/>
      <c r="M21" s="3104"/>
      <c r="N21" s="3104"/>
      <c r="O21" s="3104"/>
      <c r="P21" s="3104"/>
      <c r="Q21" s="3104"/>
      <c r="R21" s="3104"/>
      <c r="S21" s="3104"/>
      <c r="T21" s="3108"/>
      <c r="U21" s="3108"/>
      <c r="V21" s="3108"/>
      <c r="W21" s="3108"/>
      <c r="X21" s="3108"/>
      <c r="Y21" s="1060"/>
    </row>
    <row r="22" spans="1:32" ht="12.75" customHeight="1">
      <c r="A22" s="3090" t="s">
        <v>1894</v>
      </c>
      <c r="B22" s="3091"/>
      <c r="C22" s="3092"/>
      <c r="D22" s="3092"/>
      <c r="E22" s="3092"/>
      <c r="F22" s="3092"/>
      <c r="G22" s="3092"/>
      <c r="H22" s="3092"/>
      <c r="I22" s="3092"/>
      <c r="J22" s="3092"/>
      <c r="K22" s="3092"/>
      <c r="L22" s="3093"/>
      <c r="M22" s="3093"/>
      <c r="N22" s="3092"/>
      <c r="O22" s="3092"/>
      <c r="P22" s="3092"/>
      <c r="Q22" s="3093"/>
      <c r="R22" s="3093"/>
      <c r="S22" s="3093"/>
      <c r="T22" s="3093"/>
      <c r="U22" s="3092"/>
      <c r="V22" s="3092"/>
      <c r="W22" s="3092"/>
      <c r="X22" s="3093"/>
      <c r="Y22" s="3094"/>
    </row>
    <row r="23" spans="1:32" ht="15">
      <c r="A23" s="3088" t="s">
        <v>1092</v>
      </c>
      <c r="B23" s="3095">
        <v>146917</v>
      </c>
      <c r="C23" s="3096">
        <v>177944</v>
      </c>
      <c r="D23" s="3096">
        <v>207721</v>
      </c>
      <c r="E23" s="3096">
        <v>198436</v>
      </c>
      <c r="F23" s="3096">
        <f>VLOOKUP(A23,'[7]1st pref votes by party'!$D$4:$E$24,2,FALSE)</f>
        <v>202567</v>
      </c>
      <c r="G23" s="3097"/>
      <c r="H23" s="3098">
        <v>0.18132416738147103</v>
      </c>
      <c r="I23" s="3098">
        <v>0.25339160326323001</v>
      </c>
      <c r="J23" s="3098">
        <v>0.30090842849547961</v>
      </c>
      <c r="K23" s="3098">
        <v>0.29987275854044071</v>
      </c>
      <c r="L23" s="3098">
        <f>+F23/$F$36</f>
        <v>0.29175296337370915</v>
      </c>
      <c r="M23" s="3097">
        <v>20</v>
      </c>
      <c r="N23" s="3097">
        <v>30</v>
      </c>
      <c r="O23" s="3097">
        <v>36</v>
      </c>
      <c r="P23" s="3097">
        <v>38</v>
      </c>
      <c r="Q23" s="3097">
        <f>VLOOKUP(A23,'[7]Elected- by sitting in prev NIA'!$G$5:$H$14,2,FALSE)</f>
        <v>38</v>
      </c>
      <c r="R23" s="3097">
        <v>28</v>
      </c>
      <c r="S23" s="3097"/>
      <c r="T23" s="3098">
        <f t="shared" ref="T23:W27" si="6">M23/M$36</f>
        <v>0.18518518518518517</v>
      </c>
      <c r="U23" s="3098">
        <f t="shared" si="6"/>
        <v>0.27777777777777779</v>
      </c>
      <c r="V23" s="3098">
        <f t="shared" si="6"/>
        <v>0.33333333333333331</v>
      </c>
      <c r="W23" s="3098">
        <f t="shared" si="6"/>
        <v>0.35185185185185186</v>
      </c>
      <c r="X23" s="3098">
        <f>Q23/Q$36</f>
        <v>0.35185185185185186</v>
      </c>
      <c r="Y23" s="3099">
        <f>R23/$R$36</f>
        <v>0.31111111111111112</v>
      </c>
    </row>
    <row r="24" spans="1:32" ht="15">
      <c r="A24" s="3088" t="s">
        <v>151</v>
      </c>
      <c r="B24" s="3095">
        <v>142858</v>
      </c>
      <c r="C24" s="3096">
        <v>162758</v>
      </c>
      <c r="D24" s="3096">
        <v>180573</v>
      </c>
      <c r="E24" s="3096">
        <v>178222</v>
      </c>
      <c r="F24" s="3096">
        <f>VLOOKUP(A24,'[7]1st pref votes by party'!$D$4:$E$24,2,FALSE)</f>
        <v>166785</v>
      </c>
      <c r="G24" s="3097"/>
      <c r="H24" s="3098">
        <v>0.17631457151849131</v>
      </c>
      <c r="I24" s="3098">
        <v>0.23176679496873617</v>
      </c>
      <c r="J24" s="3098">
        <v>0.26158134063823224</v>
      </c>
      <c r="K24" s="3098">
        <v>0.26932574115883423</v>
      </c>
      <c r="L24" s="3098">
        <f>+F24/$F$36</f>
        <v>0.24021690599300025</v>
      </c>
      <c r="M24" s="3097">
        <v>18</v>
      </c>
      <c r="N24" s="3097">
        <v>24</v>
      </c>
      <c r="O24" s="3097">
        <v>28</v>
      </c>
      <c r="P24" s="3097">
        <v>29</v>
      </c>
      <c r="Q24" s="3097">
        <f>VLOOKUP(A24,'[7]Elected- by sitting in prev NIA'!$G$5:$H$14,2,FALSE)</f>
        <v>28</v>
      </c>
      <c r="R24" s="3097">
        <v>27</v>
      </c>
      <c r="S24" s="3097"/>
      <c r="T24" s="3098">
        <f t="shared" si="6"/>
        <v>0.16666666666666666</v>
      </c>
      <c r="U24" s="3098">
        <f t="shared" si="6"/>
        <v>0.22222222222222221</v>
      </c>
      <c r="V24" s="3098">
        <f t="shared" si="6"/>
        <v>0.25925925925925924</v>
      </c>
      <c r="W24" s="3098">
        <f t="shared" si="6"/>
        <v>0.26851851851851855</v>
      </c>
      <c r="X24" s="3098">
        <f>Q24/Q$36</f>
        <v>0.25925925925925924</v>
      </c>
      <c r="Y24" s="3099">
        <f t="shared" ref="Y24:Y36" si="7">R24/$R$36</f>
        <v>0.3</v>
      </c>
    </row>
    <row r="25" spans="1:32" ht="15">
      <c r="A25" s="3088" t="s">
        <v>1066</v>
      </c>
      <c r="B25" s="3095">
        <v>172225</v>
      </c>
      <c r="C25" s="3096">
        <v>156931</v>
      </c>
      <c r="D25" s="3096">
        <v>103145</v>
      </c>
      <c r="E25" s="3096">
        <v>87531</v>
      </c>
      <c r="F25" s="3096">
        <f>VLOOKUP(A25,'[7]1st pref votes by party'!$D$4:$E$24,2,FALSE)</f>
        <v>87302</v>
      </c>
      <c r="G25" s="3097"/>
      <c r="H25" s="3098">
        <v>0.21255916420341994</v>
      </c>
      <c r="I25" s="3098">
        <v>0.22346916834342234</v>
      </c>
      <c r="J25" s="3098">
        <v>0.14941772790024235</v>
      </c>
      <c r="K25" s="3098">
        <v>0.13227520423614322</v>
      </c>
      <c r="L25" s="3098">
        <f>+F25/$F$36</f>
        <v>0.12573922311359478</v>
      </c>
      <c r="M25" s="3097">
        <v>28</v>
      </c>
      <c r="N25" s="3097">
        <v>27</v>
      </c>
      <c r="O25" s="3097">
        <v>18</v>
      </c>
      <c r="P25" s="3097">
        <v>16</v>
      </c>
      <c r="Q25" s="3097">
        <f>VLOOKUP(A25,'[7]Elected- by sitting in prev NIA'!$G$5:$H$14,2,FALSE)</f>
        <v>16</v>
      </c>
      <c r="R25" s="3097">
        <v>10</v>
      </c>
      <c r="S25" s="3097"/>
      <c r="T25" s="3098">
        <f t="shared" si="6"/>
        <v>0.25925925925925924</v>
      </c>
      <c r="U25" s="3098">
        <f t="shared" si="6"/>
        <v>0.25</v>
      </c>
      <c r="V25" s="3098">
        <f t="shared" si="6"/>
        <v>0.16666666666666666</v>
      </c>
      <c r="W25" s="3098">
        <f t="shared" si="6"/>
        <v>0.14814814814814814</v>
      </c>
      <c r="X25" s="3098">
        <f>Q25/Q$36</f>
        <v>0.14814814814814814</v>
      </c>
      <c r="Y25" s="3099">
        <f t="shared" si="7"/>
        <v>0.1111111111111111</v>
      </c>
    </row>
    <row r="26" spans="1:32" ht="15">
      <c r="A26" s="3088" t="s">
        <v>113</v>
      </c>
      <c r="B26" s="3095">
        <v>177963</v>
      </c>
      <c r="C26" s="3096">
        <v>117547</v>
      </c>
      <c r="D26" s="3096">
        <v>105164</v>
      </c>
      <c r="E26" s="3096">
        <v>94286</v>
      </c>
      <c r="F26" s="3096">
        <f>VLOOKUP(A26,'[7]1st pref votes by party'!$D$4:$E$24,2,FALSE)</f>
        <v>83364</v>
      </c>
      <c r="G26" s="3097"/>
      <c r="H26" s="3098">
        <v>0.21964097279218014</v>
      </c>
      <c r="I26" s="3098">
        <v>0.16738649681238421</v>
      </c>
      <c r="J26" s="3098">
        <v>0.15234248811770892</v>
      </c>
      <c r="K26" s="3098">
        <v>0.14248323344425404</v>
      </c>
      <c r="L26" s="3098">
        <f>+F26/$F$36</f>
        <v>0.1200674050496176</v>
      </c>
      <c r="M26" s="3097">
        <v>24</v>
      </c>
      <c r="N26" s="3097">
        <v>18</v>
      </c>
      <c r="O26" s="3097">
        <v>16</v>
      </c>
      <c r="P26" s="3097">
        <v>14</v>
      </c>
      <c r="Q26" s="3097">
        <f>VLOOKUP(A26,'[7]Elected- by sitting in prev NIA'!$G$5:$H$14,2,FALSE)</f>
        <v>12</v>
      </c>
      <c r="R26" s="3097">
        <v>12</v>
      </c>
      <c r="S26" s="3097"/>
      <c r="T26" s="3098">
        <f t="shared" si="6"/>
        <v>0.22222222222222221</v>
      </c>
      <c r="U26" s="3098">
        <f t="shared" si="6"/>
        <v>0.16666666666666666</v>
      </c>
      <c r="V26" s="3098">
        <f t="shared" si="6"/>
        <v>0.14814814814814814</v>
      </c>
      <c r="W26" s="3098">
        <f t="shared" si="6"/>
        <v>0.12962962962962962</v>
      </c>
      <c r="X26" s="3098">
        <f>Q26/Q$36</f>
        <v>0.1111111111111111</v>
      </c>
      <c r="Y26" s="3099">
        <f t="shared" si="7"/>
        <v>0.13333333333333333</v>
      </c>
    </row>
    <row r="27" spans="1:32" ht="15">
      <c r="A27" s="3088" t="s">
        <v>71</v>
      </c>
      <c r="B27" s="3095">
        <v>52636</v>
      </c>
      <c r="C27" s="3096">
        <v>25372</v>
      </c>
      <c r="D27" s="3096">
        <v>36139</v>
      </c>
      <c r="E27" s="3096">
        <v>50875</v>
      </c>
      <c r="F27" s="3096">
        <f>VLOOKUP(A27,'[7]1st pref votes by party'!$D$4:$E$24,2,FALSE)</f>
        <v>48447</v>
      </c>
      <c r="G27" s="3097"/>
      <c r="H27" s="3098">
        <v>6.49630667267308E-2</v>
      </c>
      <c r="I27" s="3098">
        <v>3.6129634930060418E-2</v>
      </c>
      <c r="J27" s="3098">
        <v>5.2351614412592548E-2</v>
      </c>
      <c r="K27" s="3098">
        <v>7.6881345072189133E-2</v>
      </c>
      <c r="L27" s="3098">
        <f>+F27/$F$36</f>
        <v>6.9777188863764023E-2</v>
      </c>
      <c r="M27" s="3097">
        <v>6</v>
      </c>
      <c r="N27" s="3097">
        <v>6</v>
      </c>
      <c r="O27" s="3097">
        <v>7</v>
      </c>
      <c r="P27" s="3097">
        <v>8</v>
      </c>
      <c r="Q27" s="3097">
        <f>VLOOKUP(A27,'[7]Elected- by sitting in prev NIA'!$G$5:$H$14,2,FALSE)</f>
        <v>8</v>
      </c>
      <c r="R27" s="3097">
        <v>8</v>
      </c>
      <c r="S27" s="3097"/>
      <c r="T27" s="3098">
        <f t="shared" si="6"/>
        <v>5.5555555555555552E-2</v>
      </c>
      <c r="U27" s="3098">
        <f t="shared" si="6"/>
        <v>5.5555555555555552E-2</v>
      </c>
      <c r="V27" s="3098">
        <f t="shared" si="6"/>
        <v>6.4814814814814811E-2</v>
      </c>
      <c r="W27" s="3098">
        <f t="shared" si="6"/>
        <v>7.407407407407407E-2</v>
      </c>
      <c r="X27" s="3098">
        <f>Q27/Q$36</f>
        <v>7.407407407407407E-2</v>
      </c>
      <c r="Y27" s="3099">
        <f t="shared" si="7"/>
        <v>8.8888888888888892E-2</v>
      </c>
    </row>
    <row r="28" spans="1:32" ht="15">
      <c r="A28" s="3088" t="s">
        <v>1122</v>
      </c>
      <c r="B28" s="3095">
        <v>36541</v>
      </c>
      <c r="C28" s="3096">
        <v>5700</v>
      </c>
      <c r="D28" s="3096">
        <v>10452</v>
      </c>
      <c r="E28" s="3096" t="s">
        <v>396</v>
      </c>
      <c r="F28" s="3096" t="s">
        <v>396</v>
      </c>
      <c r="G28" s="3097"/>
      <c r="H28" s="3098">
        <v>4.509870471277206E-2</v>
      </c>
      <c r="I28" s="3098">
        <v>8.1167790911770617E-3</v>
      </c>
      <c r="J28" s="3098">
        <v>1.5140957797404946E-2</v>
      </c>
      <c r="K28" s="3098" t="s">
        <v>396</v>
      </c>
      <c r="L28" s="3098" t="s">
        <v>396</v>
      </c>
      <c r="M28" s="3097">
        <v>5</v>
      </c>
      <c r="N28" s="3097">
        <v>1</v>
      </c>
      <c r="O28" s="3097">
        <v>0</v>
      </c>
      <c r="P28" s="3098" t="s">
        <v>396</v>
      </c>
      <c r="Q28" s="3098" t="s">
        <v>396</v>
      </c>
      <c r="R28" s="3098" t="s">
        <v>246</v>
      </c>
      <c r="S28" s="3098"/>
      <c r="T28" s="3098">
        <f t="shared" ref="T28:V29" si="8">M28/M$36</f>
        <v>4.6296296296296294E-2</v>
      </c>
      <c r="U28" s="3098">
        <f t="shared" si="8"/>
        <v>9.2592592592592587E-3</v>
      </c>
      <c r="V28" s="3098">
        <f t="shared" si="8"/>
        <v>0</v>
      </c>
      <c r="W28" s="3096" t="s">
        <v>396</v>
      </c>
      <c r="X28" s="3096" t="s">
        <v>396</v>
      </c>
      <c r="Y28" s="3096" t="s">
        <v>396</v>
      </c>
    </row>
    <row r="29" spans="1:32" ht="15">
      <c r="A29" s="3088" t="s">
        <v>1123</v>
      </c>
      <c r="B29" s="3095">
        <v>20634</v>
      </c>
      <c r="C29" s="3096">
        <v>8032</v>
      </c>
      <c r="D29" s="3096">
        <v>3822</v>
      </c>
      <c r="E29" s="3096">
        <v>1493</v>
      </c>
      <c r="F29" s="3096">
        <f>VLOOKUP(A29,'[7]1st pref votes by party'!$D$4:$E$24,2,FALSE)</f>
        <v>5955</v>
      </c>
      <c r="G29" s="3097"/>
      <c r="H29" s="3098">
        <v>2.5466371282760154E-2</v>
      </c>
      <c r="I29" s="3098">
        <v>1.1437538536900729E-2</v>
      </c>
      <c r="J29" s="3098">
        <v>5.5366188960659871E-3</v>
      </c>
      <c r="K29" s="3098">
        <v>2.256193576270828E-3</v>
      </c>
      <c r="L29" s="3098">
        <f t="shared" ref="L29:L34" si="9">+F29/$F$36</f>
        <v>8.5768604801889654E-3</v>
      </c>
      <c r="M29" s="3097">
        <v>2</v>
      </c>
      <c r="N29" s="3097">
        <v>1</v>
      </c>
      <c r="O29" s="3097">
        <v>1</v>
      </c>
      <c r="P29" s="3097">
        <v>0</v>
      </c>
      <c r="Q29" s="3097">
        <v>0</v>
      </c>
      <c r="R29" s="3097">
        <v>0</v>
      </c>
      <c r="S29" s="3097"/>
      <c r="T29" s="3098">
        <f t="shared" si="8"/>
        <v>1.8518518518518517E-2</v>
      </c>
      <c r="U29" s="3098">
        <f t="shared" si="8"/>
        <v>9.2592592592592587E-3</v>
      </c>
      <c r="V29" s="3098">
        <f t="shared" si="8"/>
        <v>9.2592592592592587E-3</v>
      </c>
      <c r="W29" s="3098">
        <f t="shared" ref="W29:W34" si="10">P29/P$36</f>
        <v>0</v>
      </c>
      <c r="X29" s="3098">
        <f t="shared" ref="X29:X34" si="11">Q29/Q$36</f>
        <v>0</v>
      </c>
      <c r="Y29" s="3099">
        <f t="shared" si="7"/>
        <v>0</v>
      </c>
    </row>
    <row r="30" spans="1:32" ht="32">
      <c r="A30" s="3100" t="s">
        <v>1888</v>
      </c>
      <c r="B30" s="3096" t="s">
        <v>396</v>
      </c>
      <c r="C30" s="3096" t="s">
        <v>396</v>
      </c>
      <c r="D30" s="3096">
        <v>774</v>
      </c>
      <c r="E30" s="3096">
        <v>5438</v>
      </c>
      <c r="F30" s="3096">
        <f>VLOOKUP(A30,'[7]1st pref votes by party'!$D$4:$E$24,2,FALSE)</f>
        <v>13761</v>
      </c>
      <c r="G30" s="3097"/>
      <c r="H30" s="3096" t="s">
        <v>396</v>
      </c>
      <c r="I30" s="3096" t="s">
        <v>396</v>
      </c>
      <c r="J30" s="3098">
        <f>+D30/$E$36</f>
        <v>1.1696542719582188E-3</v>
      </c>
      <c r="K30" s="3098">
        <f>+E30/$E$36</f>
        <v>8.2178035283059364E-3</v>
      </c>
      <c r="L30" s="3098">
        <f t="shared" si="9"/>
        <v>1.9819677089484525E-2</v>
      </c>
      <c r="M30" s="3096" t="s">
        <v>396</v>
      </c>
      <c r="N30" s="3096" t="s">
        <v>396</v>
      </c>
      <c r="O30" s="3097">
        <v>0</v>
      </c>
      <c r="P30" s="3097">
        <v>0</v>
      </c>
      <c r="Q30" s="3097">
        <f>VLOOKUP(A30,'[7]Elected- by sitting in prev NIA'!$G$5:$H$14,2,FALSE)</f>
        <v>2</v>
      </c>
      <c r="R30" s="3097">
        <v>1</v>
      </c>
      <c r="S30" s="3097"/>
      <c r="T30" s="3096" t="s">
        <v>396</v>
      </c>
      <c r="U30" s="3096" t="s">
        <v>396</v>
      </c>
      <c r="V30" s="3098">
        <f>O30/O$36</f>
        <v>0</v>
      </c>
      <c r="W30" s="3098">
        <f t="shared" si="10"/>
        <v>0</v>
      </c>
      <c r="X30" s="3098">
        <f t="shared" si="11"/>
        <v>1.8518518518518517E-2</v>
      </c>
      <c r="Y30" s="3099">
        <f t="shared" si="7"/>
        <v>1.1111111111111112E-2</v>
      </c>
    </row>
    <row r="31" spans="1:32" ht="15">
      <c r="A31" s="3088" t="s">
        <v>1889</v>
      </c>
      <c r="B31" s="3096" t="s">
        <v>396</v>
      </c>
      <c r="C31" s="3096" t="s">
        <v>396</v>
      </c>
      <c r="D31" s="3096" t="s">
        <v>396</v>
      </c>
      <c r="E31" s="3096">
        <v>16480</v>
      </c>
      <c r="F31" s="3096">
        <f>VLOOKUP(A31,'[7]1st pref votes by party'!$D$4:$E$24,2,FALSE)</f>
        <v>23776</v>
      </c>
      <c r="G31" s="3097"/>
      <c r="H31" s="3096" t="s">
        <v>396</v>
      </c>
      <c r="I31" s="3096" t="s">
        <v>396</v>
      </c>
      <c r="J31" s="3096" t="s">
        <v>396</v>
      </c>
      <c r="K31" s="3098">
        <f>+E31/$E$36</f>
        <v>2.4904266669084556E-2</v>
      </c>
      <c r="L31" s="3098">
        <f t="shared" si="9"/>
        <v>3.4244069651884604E-2</v>
      </c>
      <c r="M31" s="3096" t="s">
        <v>396</v>
      </c>
      <c r="N31" s="3096" t="s">
        <v>396</v>
      </c>
      <c r="O31" s="3096" t="s">
        <v>396</v>
      </c>
      <c r="P31" s="3097">
        <v>1</v>
      </c>
      <c r="Q31" s="3097">
        <f>VLOOKUP(A31,'[7]Elected- by sitting in prev NIA'!$G$5:$H$14,2,FALSE)</f>
        <v>1</v>
      </c>
      <c r="R31" s="3097">
        <v>1</v>
      </c>
      <c r="S31" s="3097"/>
      <c r="T31" s="3096" t="s">
        <v>396</v>
      </c>
      <c r="U31" s="3096" t="s">
        <v>396</v>
      </c>
      <c r="V31" s="3096" t="s">
        <v>396</v>
      </c>
      <c r="W31" s="3098">
        <f t="shared" si="10"/>
        <v>9.2592592592592587E-3</v>
      </c>
      <c r="X31" s="3098">
        <f t="shared" si="11"/>
        <v>9.2592592592592587E-3</v>
      </c>
      <c r="Y31" s="3099">
        <f t="shared" si="7"/>
        <v>1.1111111111111112E-2</v>
      </c>
    </row>
    <row r="32" spans="1:32" ht="15">
      <c r="A32" s="3088" t="s">
        <v>251</v>
      </c>
      <c r="B32" s="3096"/>
      <c r="C32" s="3096"/>
      <c r="D32" s="3096"/>
      <c r="E32" s="3096">
        <v>4152</v>
      </c>
      <c r="F32" s="3096">
        <f>VLOOKUP(A32,'[7]1st pref votes by party'!$D$4:$E$24,2,FALSE)</f>
        <v>10109</v>
      </c>
      <c r="G32" s="3097"/>
      <c r="H32" s="3096" t="s">
        <v>396</v>
      </c>
      <c r="I32" s="3096" t="s">
        <v>396</v>
      </c>
      <c r="J32" s="3096" t="s">
        <v>396</v>
      </c>
      <c r="K32" s="3098">
        <f>+E32/$E$36</f>
        <v>6.2744244666285845E-3</v>
      </c>
      <c r="L32" s="3098">
        <f t="shared" si="9"/>
        <v>1.4559778773170487E-2</v>
      </c>
      <c r="M32" s="3096" t="s">
        <v>396</v>
      </c>
      <c r="N32" s="3096" t="s">
        <v>396</v>
      </c>
      <c r="O32" s="3096" t="s">
        <v>396</v>
      </c>
      <c r="P32" s="3097">
        <v>0</v>
      </c>
      <c r="Q32" s="3097">
        <v>0</v>
      </c>
      <c r="R32" s="3097">
        <v>0</v>
      </c>
      <c r="S32" s="3097"/>
      <c r="T32" s="3096" t="s">
        <v>396</v>
      </c>
      <c r="U32" s="3096" t="s">
        <v>396</v>
      </c>
      <c r="V32" s="3096" t="s">
        <v>396</v>
      </c>
      <c r="W32" s="3098">
        <f t="shared" si="10"/>
        <v>0</v>
      </c>
      <c r="X32" s="3098">
        <f t="shared" si="11"/>
        <v>0</v>
      </c>
      <c r="Y32" s="3099">
        <f t="shared" si="7"/>
        <v>0</v>
      </c>
    </row>
    <row r="33" spans="1:25" ht="15">
      <c r="A33" s="3088" t="s">
        <v>1890</v>
      </c>
      <c r="B33" s="3101">
        <f>257+253</f>
        <v>510</v>
      </c>
      <c r="C33" s="3096">
        <v>2688</v>
      </c>
      <c r="D33" s="3102">
        <v>11985</v>
      </c>
      <c r="E33" s="3096">
        <v>6031</v>
      </c>
      <c r="F33" s="3096">
        <f>VLOOKUP(A33,'[7]1st pref votes by party'!$D$4:$E$24,2,FALSE)</f>
        <v>18718</v>
      </c>
      <c r="G33" s="3097"/>
      <c r="H33" s="3098">
        <v>1E-3</v>
      </c>
      <c r="I33" s="3098">
        <f>+C33/$E$36</f>
        <v>4.0620551460254419E-3</v>
      </c>
      <c r="J33" s="3098">
        <f>+D33/$E$36</f>
        <v>1.8111507040593351E-2</v>
      </c>
      <c r="K33" s="3098">
        <f>+E33/$E$36</f>
        <v>9.113933997648602E-3</v>
      </c>
      <c r="L33" s="3098">
        <f t="shared" si="9"/>
        <v>2.695913928936642E-2</v>
      </c>
      <c r="M33" s="3097">
        <v>0</v>
      </c>
      <c r="N33" s="3097">
        <v>0</v>
      </c>
      <c r="O33" s="3097">
        <v>1</v>
      </c>
      <c r="P33" s="3097">
        <v>1</v>
      </c>
      <c r="Q33" s="3097">
        <f>VLOOKUP(A33,'[7]Elected- by sitting in prev NIA'!$G$5:$H$14,2,FALSE)</f>
        <v>2</v>
      </c>
      <c r="R33" s="3097">
        <v>2</v>
      </c>
      <c r="S33" s="3097"/>
      <c r="T33" s="3098">
        <f t="shared" ref="T33:V34" si="12">M33/M$36</f>
        <v>0</v>
      </c>
      <c r="U33" s="3098">
        <f t="shared" si="12"/>
        <v>0</v>
      </c>
      <c r="V33" s="3098">
        <f t="shared" si="12"/>
        <v>9.2592592592592587E-3</v>
      </c>
      <c r="W33" s="3098">
        <f t="shared" si="10"/>
        <v>9.2592592592592587E-3</v>
      </c>
      <c r="X33" s="3098">
        <f t="shared" si="11"/>
        <v>1.8518518518518517E-2</v>
      </c>
      <c r="Y33" s="3099">
        <f t="shared" si="7"/>
        <v>2.2222222222222223E-2</v>
      </c>
    </row>
    <row r="34" spans="1:25" ht="15">
      <c r="A34" s="3088" t="s">
        <v>28</v>
      </c>
      <c r="B34" s="3096">
        <f>B36-SUM(B23:B33)</f>
        <v>59961</v>
      </c>
      <c r="C34" s="3096">
        <f>C36-SUM(C23:C33)</f>
        <v>45277</v>
      </c>
      <c r="D34" s="3096">
        <f>D36-SUM(D23:D33)</f>
        <v>30538</v>
      </c>
      <c r="E34" s="3096">
        <f>E36-SUM(E23:E33)</f>
        <v>18790</v>
      </c>
      <c r="F34" s="3096">
        <f>F36-SUM(F23:F33)</f>
        <v>33526</v>
      </c>
      <c r="G34" s="3097"/>
      <c r="H34" s="3098">
        <f>+B34/$B$36</f>
        <v>7.4003542138488976E-2</v>
      </c>
      <c r="I34" s="3098">
        <f>+C34/$C$36</f>
        <v>6.4474281914249795E-2</v>
      </c>
      <c r="J34" s="3098">
        <f>+D34/$D$36</f>
        <v>4.4237903675579046E-2</v>
      </c>
      <c r="K34" s="3098">
        <f>+E34/$E$36</f>
        <v>2.839509531020017E-2</v>
      </c>
      <c r="L34" s="3098">
        <f t="shared" si="9"/>
        <v>4.8286788322219179E-2</v>
      </c>
      <c r="M34" s="3097">
        <v>5</v>
      </c>
      <c r="N34" s="3097">
        <v>1</v>
      </c>
      <c r="O34" s="3097">
        <v>1</v>
      </c>
      <c r="P34" s="3097">
        <v>1</v>
      </c>
      <c r="Q34" s="3097">
        <f>Q36-SUM(Q23:Q33)</f>
        <v>1</v>
      </c>
      <c r="R34" s="3097">
        <v>1</v>
      </c>
      <c r="S34" s="3097"/>
      <c r="T34" s="3098">
        <f t="shared" si="12"/>
        <v>4.6296296296296294E-2</v>
      </c>
      <c r="U34" s="3098">
        <f t="shared" si="12"/>
        <v>9.2592592592592587E-3</v>
      </c>
      <c r="V34" s="3098">
        <f t="shared" si="12"/>
        <v>9.2592592592592587E-3</v>
      </c>
      <c r="W34" s="3098">
        <f t="shared" si="10"/>
        <v>9.2592592592592587E-3</v>
      </c>
      <c r="X34" s="3098">
        <f t="shared" si="11"/>
        <v>9.2592592592592587E-3</v>
      </c>
      <c r="Y34" s="3099">
        <f t="shared" si="7"/>
        <v>1.1111111111111112E-2</v>
      </c>
    </row>
    <row r="35" spans="1:25" ht="7.5" customHeight="1">
      <c r="A35" s="3088"/>
      <c r="B35" s="3095"/>
      <c r="C35" s="3096"/>
      <c r="D35" s="3096"/>
      <c r="E35" s="3096"/>
      <c r="F35" s="3096"/>
      <c r="G35" s="3097"/>
      <c r="H35" s="3097"/>
      <c r="I35" s="3097"/>
      <c r="J35" s="3097"/>
      <c r="K35" s="3098"/>
      <c r="L35" s="3098"/>
      <c r="M35" s="3103"/>
      <c r="N35" s="3097"/>
      <c r="O35" s="3097"/>
      <c r="P35" s="3097"/>
      <c r="Q35" s="3097"/>
      <c r="R35" s="3097"/>
      <c r="S35" s="3097"/>
      <c r="T35" s="3098"/>
      <c r="U35" s="3098"/>
      <c r="V35" s="3098"/>
      <c r="W35" s="3098"/>
      <c r="X35" s="3098"/>
      <c r="Y35" s="3099"/>
    </row>
    <row r="36" spans="1:25" s="880" customFormat="1" ht="16">
      <c r="A36" s="3104" t="s">
        <v>16</v>
      </c>
      <c r="B36" s="3105">
        <v>810245</v>
      </c>
      <c r="C36" s="3105">
        <v>702249</v>
      </c>
      <c r="D36" s="3105">
        <v>690313</v>
      </c>
      <c r="E36" s="3105">
        <v>661734</v>
      </c>
      <c r="F36" s="3105">
        <f>VLOOKUP(A36,'[7]1st pref votes by party'!$D$4:$E$24,2,FALSE)</f>
        <v>694310</v>
      </c>
      <c r="G36" s="3106"/>
      <c r="H36" s="3107">
        <v>1</v>
      </c>
      <c r="I36" s="3107">
        <v>1</v>
      </c>
      <c r="J36" s="3107">
        <v>0.99999999999999989</v>
      </c>
      <c r="K36" s="3108">
        <v>1</v>
      </c>
      <c r="L36" s="3108">
        <f>+F36/$F$36</f>
        <v>1</v>
      </c>
      <c r="M36" s="3104">
        <f>SUM(M23:M34)</f>
        <v>108</v>
      </c>
      <c r="N36" s="3104">
        <f>SUM(N23:N34)</f>
        <v>108</v>
      </c>
      <c r="O36" s="3104">
        <f>SUM(O23:O34)</f>
        <v>108</v>
      </c>
      <c r="P36" s="3104">
        <f>SUM(P23:P34)</f>
        <v>108</v>
      </c>
      <c r="Q36" s="3104">
        <f>VLOOKUP(A36,'[7]Elected- by sitting in prev NIA'!$G$5:$H$14,2,FALSE)</f>
        <v>108</v>
      </c>
      <c r="R36" s="3104">
        <f>SUM(R23:R34)</f>
        <v>90</v>
      </c>
      <c r="S36" s="3104"/>
      <c r="T36" s="3109">
        <f>M36/M$36</f>
        <v>1</v>
      </c>
      <c r="U36" s="3109">
        <f>N36/N$36</f>
        <v>1</v>
      </c>
      <c r="V36" s="3109">
        <f>O36/O$36</f>
        <v>1</v>
      </c>
      <c r="W36" s="3109">
        <f>P36/P$36</f>
        <v>1</v>
      </c>
      <c r="X36" s="3109">
        <f>Q36/Q$36</f>
        <v>1</v>
      </c>
      <c r="Y36" s="3110">
        <f t="shared" si="7"/>
        <v>1</v>
      </c>
    </row>
    <row r="37" spans="1:25" s="880" customFormat="1" ht="6" customHeight="1">
      <c r="A37" s="3104"/>
      <c r="B37" s="3105"/>
      <c r="C37" s="3105"/>
      <c r="D37" s="3105"/>
      <c r="E37" s="3105"/>
      <c r="F37" s="3105"/>
      <c r="G37" s="3106"/>
      <c r="H37" s="3107"/>
      <c r="I37" s="3107"/>
      <c r="J37" s="3107"/>
      <c r="K37" s="3108"/>
      <c r="L37" s="3108"/>
      <c r="M37" s="3104"/>
      <c r="N37" s="3104"/>
      <c r="O37" s="3104"/>
      <c r="P37" s="3104"/>
      <c r="Q37" s="3104"/>
      <c r="R37" s="3104"/>
      <c r="S37" s="3104"/>
      <c r="T37" s="3108"/>
      <c r="U37" s="3108"/>
      <c r="V37" s="3108"/>
      <c r="W37" s="3108"/>
      <c r="X37" s="3108"/>
      <c r="Y37" s="3111"/>
    </row>
    <row r="38" spans="1:25" s="880" customFormat="1" ht="16">
      <c r="A38" s="3104" t="s">
        <v>177</v>
      </c>
      <c r="B38" s="3105"/>
      <c r="C38" s="3105"/>
      <c r="D38" s="3105"/>
      <c r="E38" s="3105"/>
      <c r="F38" s="3105"/>
      <c r="G38" s="3106"/>
      <c r="H38" s="3107"/>
      <c r="I38" s="3107"/>
      <c r="J38" s="3107"/>
      <c r="K38" s="3108"/>
      <c r="L38" s="3108"/>
      <c r="M38" s="3112">
        <v>1178556</v>
      </c>
      <c r="N38" s="3112">
        <v>1097526</v>
      </c>
      <c r="O38" s="3112">
        <v>1107904</v>
      </c>
      <c r="P38" s="3112">
        <v>1210009</v>
      </c>
      <c r="Q38" s="3112">
        <v>1281595</v>
      </c>
      <c r="R38" s="3112">
        <v>1254709</v>
      </c>
      <c r="S38" s="3104"/>
      <c r="T38" s="3108"/>
      <c r="U38" s="3108"/>
      <c r="V38" s="3108"/>
      <c r="W38" s="3108"/>
      <c r="X38" s="3108"/>
      <c r="Y38" s="3111"/>
    </row>
    <row r="39" spans="1:25" s="880" customFormat="1" ht="6" customHeight="1">
      <c r="A39" s="3104"/>
      <c r="B39" s="3105"/>
      <c r="C39" s="3105"/>
      <c r="D39" s="3105"/>
      <c r="E39" s="3105"/>
      <c r="F39" s="3105"/>
      <c r="G39" s="3106"/>
      <c r="H39" s="3107"/>
      <c r="I39" s="3107"/>
      <c r="J39" s="3107"/>
      <c r="K39" s="3108"/>
      <c r="L39" s="3108"/>
      <c r="M39" s="3088"/>
      <c r="N39" s="3088"/>
      <c r="O39" s="3088"/>
      <c r="P39" s="3088"/>
      <c r="Q39" s="3088"/>
      <c r="R39" s="3088"/>
      <c r="S39" s="3104"/>
      <c r="T39" s="3108"/>
      <c r="U39" s="3108"/>
      <c r="V39" s="3108"/>
      <c r="W39" s="3108"/>
      <c r="X39" s="3108"/>
      <c r="Y39" s="1060"/>
    </row>
    <row r="40" spans="1:25" s="880" customFormat="1" ht="16">
      <c r="A40" s="3104" t="s">
        <v>219</v>
      </c>
      <c r="B40" s="3104"/>
      <c r="C40" s="3113">
        <v>0.7</v>
      </c>
      <c r="D40" s="3113">
        <v>0.64</v>
      </c>
      <c r="E40" s="3113">
        <v>0.62308015856969556</v>
      </c>
      <c r="F40" s="3113">
        <v>0.54688353557700808</v>
      </c>
      <c r="G40" s="1060"/>
      <c r="H40" s="1060"/>
      <c r="I40" s="1060"/>
      <c r="J40" s="1060"/>
      <c r="K40" s="1060"/>
      <c r="L40" s="1060"/>
      <c r="M40" s="3114">
        <f t="shared" ref="M40:R40" si="13">M20/M38</f>
        <v>0.68748960592453812</v>
      </c>
      <c r="N40" s="3114">
        <f t="shared" si="13"/>
        <v>0.63984725646590601</v>
      </c>
      <c r="O40" s="3114">
        <f t="shared" si="13"/>
        <v>0.62308015856969556</v>
      </c>
      <c r="P40" s="3114">
        <f t="shared" si="13"/>
        <v>0.54688353557700808</v>
      </c>
      <c r="Q40" s="3114">
        <f t="shared" si="13"/>
        <v>0.54175461046586482</v>
      </c>
      <c r="R40" s="3114">
        <f t="shared" si="13"/>
        <v>0.64024008754221096</v>
      </c>
      <c r="S40" s="1060"/>
      <c r="T40" s="1060"/>
      <c r="U40" s="1060"/>
      <c r="V40" s="1060"/>
      <c r="W40" s="1060"/>
      <c r="X40" s="1060"/>
      <c r="Y40" s="1060"/>
    </row>
    <row r="41" spans="1:25" ht="3" customHeight="1">
      <c r="A41" s="3078"/>
      <c r="B41" s="3079"/>
      <c r="C41" s="3079"/>
      <c r="D41" s="3079"/>
      <c r="E41" s="3079"/>
      <c r="F41" s="3079"/>
      <c r="G41" s="3079"/>
      <c r="H41" s="3080"/>
      <c r="I41" s="3080"/>
      <c r="J41" s="3080"/>
      <c r="K41" s="3081"/>
      <c r="L41" s="3082"/>
      <c r="M41" s="3079"/>
      <c r="N41" s="3079"/>
      <c r="O41" s="3079"/>
      <c r="P41" s="3079"/>
      <c r="Q41" s="871"/>
      <c r="R41" s="871"/>
      <c r="S41" s="871"/>
      <c r="T41" s="871"/>
      <c r="U41" s="871"/>
      <c r="V41" s="871"/>
      <c r="W41" s="871"/>
      <c r="X41" s="871"/>
      <c r="Y41" s="871"/>
    </row>
    <row r="42" spans="1:25">
      <c r="A42" s="2188"/>
      <c r="B42" s="2201">
        <v>0.7</v>
      </c>
      <c r="C42" s="2201">
        <v>0.64</v>
      </c>
      <c r="D42" s="2201">
        <v>0.62308015856969556</v>
      </c>
      <c r="E42" s="2201">
        <v>0.54688353557700808</v>
      </c>
      <c r="F42" s="2197">
        <f>+F36/'[7]Turnout by constituency'!I22</f>
        <v>0.54175461046586482</v>
      </c>
      <c r="G42" s="1540"/>
      <c r="H42" s="2199"/>
      <c r="I42" s="2199"/>
      <c r="J42" s="2199"/>
      <c r="K42" s="2197"/>
      <c r="L42" s="2200"/>
      <c r="M42" s="1540"/>
      <c r="N42" s="1540"/>
      <c r="O42" s="1540"/>
      <c r="P42" s="1540"/>
    </row>
    <row r="43" spans="1:25">
      <c r="A43" s="2188"/>
      <c r="B43" s="2188"/>
      <c r="C43" s="1540"/>
      <c r="D43" s="1540"/>
      <c r="E43" s="1540"/>
      <c r="F43" s="1540"/>
      <c r="G43" s="1540"/>
      <c r="H43" s="1540"/>
      <c r="I43" s="1540"/>
      <c r="J43" s="1540"/>
      <c r="K43" s="1540"/>
      <c r="L43" s="1540"/>
      <c r="M43" s="2188"/>
      <c r="N43" s="2188"/>
      <c r="O43" s="2188"/>
      <c r="P43" s="2188"/>
    </row>
    <row r="44" spans="1:25">
      <c r="A44" s="2208" t="s">
        <v>21</v>
      </c>
      <c r="C44" s="1540"/>
      <c r="D44" s="1540"/>
      <c r="E44" s="1540"/>
      <c r="F44" s="1540"/>
      <c r="G44" s="1540"/>
      <c r="H44" s="1540"/>
      <c r="I44" s="1540"/>
      <c r="J44" s="1540"/>
      <c r="K44" s="1540"/>
      <c r="L44" s="1540"/>
      <c r="M44" s="1540"/>
      <c r="N44" s="1540"/>
      <c r="O44" s="1540"/>
      <c r="P44" s="1540"/>
    </row>
    <row r="45" spans="1:25">
      <c r="A45" s="2209" t="s">
        <v>2405</v>
      </c>
      <c r="C45" s="2205"/>
      <c r="D45" s="2205"/>
      <c r="E45" s="2205"/>
      <c r="F45" s="2205"/>
      <c r="G45" s="2205"/>
      <c r="H45" s="2205"/>
      <c r="I45" s="2205"/>
      <c r="J45" s="2205"/>
      <c r="K45" s="2205"/>
      <c r="L45" s="2205"/>
      <c r="N45" s="2205"/>
      <c r="O45" s="2205"/>
      <c r="P45" s="2205"/>
    </row>
    <row r="46" spans="1:25">
      <c r="A46" s="2210" t="s">
        <v>1124</v>
      </c>
      <c r="C46" s="1540"/>
      <c r="D46" s="1540"/>
      <c r="E46" s="1540"/>
      <c r="F46" s="1540"/>
      <c r="G46" s="1540"/>
      <c r="H46" s="1540"/>
      <c r="I46" s="1540"/>
      <c r="J46" s="1540"/>
      <c r="K46" s="1540"/>
      <c r="L46" s="1540"/>
      <c r="N46" s="1540"/>
      <c r="O46" s="1540"/>
      <c r="P46" s="1540"/>
    </row>
    <row r="47" spans="1:25">
      <c r="C47" s="1540"/>
      <c r="D47" s="1540"/>
      <c r="E47" s="1540"/>
      <c r="F47" s="1540"/>
      <c r="G47" s="1540"/>
      <c r="H47" s="1540"/>
      <c r="I47" s="1540"/>
      <c r="J47" s="1540"/>
      <c r="K47" s="1540"/>
      <c r="L47" s="1540"/>
      <c r="M47" s="1540"/>
      <c r="N47" s="1540"/>
      <c r="O47" s="1540"/>
      <c r="P47" s="1540"/>
    </row>
    <row r="48" spans="1:25" ht="156">
      <c r="B48" s="2211" t="s">
        <v>1891</v>
      </c>
      <c r="C48" s="2211"/>
    </row>
    <row r="49" spans="1:5">
      <c r="B49" s="2211"/>
      <c r="C49" s="2211"/>
    </row>
    <row r="50" spans="1:5">
      <c r="B50" s="2211"/>
      <c r="C50" s="2211"/>
    </row>
    <row r="51" spans="1:5" ht="24">
      <c r="B51" s="2211" t="s">
        <v>1892</v>
      </c>
      <c r="C51" s="850">
        <v>1998</v>
      </c>
      <c r="D51" s="2213"/>
      <c r="E51" s="2213"/>
    </row>
    <row r="52" spans="1:5">
      <c r="A52" s="2211"/>
      <c r="B52" s="2213">
        <v>42700</v>
      </c>
      <c r="C52" s="850">
        <v>2003</v>
      </c>
    </row>
    <row r="53" spans="1:5">
      <c r="A53" s="2211"/>
      <c r="B53" s="2213">
        <v>42436</v>
      </c>
      <c r="C53" s="850">
        <v>2007</v>
      </c>
    </row>
    <row r="54" spans="1:5">
      <c r="A54" s="2211"/>
      <c r="B54" s="2213">
        <v>42495</v>
      </c>
      <c r="C54" s="850">
        <v>2011</v>
      </c>
    </row>
    <row r="55" spans="1:5">
      <c r="A55" s="2211"/>
      <c r="B55" s="2213">
        <v>42495</v>
      </c>
      <c r="C55" s="850">
        <v>2016</v>
      </c>
    </row>
    <row r="56" spans="1:5">
      <c r="A56" s="2211"/>
      <c r="C56" s="2214"/>
    </row>
    <row r="57" spans="1:5">
      <c r="A57" s="2211"/>
      <c r="C57" s="2214"/>
    </row>
    <row r="58" spans="1:5">
      <c r="A58" s="2211"/>
      <c r="B58" s="2212"/>
      <c r="C58" s="2214"/>
    </row>
    <row r="59" spans="1:5">
      <c r="A59" s="2211"/>
      <c r="B59" s="2212"/>
      <c r="C59" s="2214"/>
    </row>
    <row r="60" spans="1:5">
      <c r="A60" s="2211"/>
      <c r="B60" s="2212"/>
      <c r="C60" s="2214"/>
    </row>
    <row r="61" spans="1:5">
      <c r="A61" s="2211"/>
      <c r="B61" s="2212"/>
      <c r="C61" s="2214"/>
    </row>
    <row r="62" spans="1:5">
      <c r="A62" s="2211"/>
      <c r="B62" s="2212"/>
      <c r="C62" s="2214"/>
    </row>
    <row r="63" spans="1:5">
      <c r="A63" s="2211"/>
      <c r="B63" s="2212"/>
      <c r="C63" s="2214"/>
    </row>
    <row r="64" spans="1:5">
      <c r="A64" s="2211"/>
      <c r="B64" s="2212"/>
      <c r="C64" s="2214"/>
    </row>
    <row r="65" spans="1:3">
      <c r="A65" s="2211"/>
      <c r="B65" s="2212"/>
      <c r="C65" s="2214"/>
    </row>
    <row r="66" spans="1:3">
      <c r="A66" s="2211"/>
      <c r="B66" s="2212"/>
      <c r="C66" s="2214"/>
    </row>
    <row r="67" spans="1:3">
      <c r="A67" s="2211"/>
      <c r="B67" s="2212"/>
      <c r="C67" s="2214"/>
    </row>
    <row r="68" spans="1:3">
      <c r="A68" s="2211"/>
      <c r="B68" s="2212"/>
      <c r="C68" s="2214"/>
    </row>
    <row r="69" spans="1:3">
      <c r="A69" s="2211"/>
      <c r="B69" s="2212"/>
      <c r="C69" s="2214"/>
    </row>
    <row r="70" spans="1:3">
      <c r="A70" s="2211"/>
      <c r="B70" s="2212"/>
      <c r="C70" s="2214"/>
    </row>
    <row r="71" spans="1:3">
      <c r="A71" s="2211"/>
      <c r="B71" s="2212"/>
      <c r="C71" s="2214"/>
    </row>
    <row r="72" spans="1:3">
      <c r="A72" s="2211"/>
      <c r="B72" s="2212"/>
    </row>
    <row r="73" spans="1:3">
      <c r="A73" s="2211"/>
      <c r="B73" s="2212"/>
      <c r="C73" s="2211"/>
    </row>
    <row r="85" spans="1:1">
      <c r="A85" s="859"/>
    </row>
    <row r="86" spans="1:1">
      <c r="A86" s="859"/>
    </row>
    <row r="87" spans="1:1">
      <c r="A87" s="859"/>
    </row>
    <row r="88" spans="1:1">
      <c r="A88" s="859"/>
    </row>
    <row r="89" spans="1:1">
      <c r="A89" s="859"/>
    </row>
    <row r="90" spans="1:1">
      <c r="A90" s="859"/>
    </row>
    <row r="91" spans="1:1">
      <c r="A91" s="859"/>
    </row>
    <row r="92" spans="1:1">
      <c r="A92" s="859"/>
    </row>
    <row r="93" spans="1:1">
      <c r="A93" s="859"/>
    </row>
    <row r="94" spans="1:1">
      <c r="A94" s="859"/>
    </row>
    <row r="95" spans="1:1">
      <c r="A95" s="859"/>
    </row>
    <row r="96" spans="1:1">
      <c r="A96" s="859"/>
    </row>
    <row r="97" spans="1:1">
      <c r="A97" s="859"/>
    </row>
    <row r="98" spans="1:1">
      <c r="A98" s="859"/>
    </row>
    <row r="99" spans="1:1">
      <c r="A99" s="859"/>
    </row>
    <row r="100" spans="1:1">
      <c r="A100" s="859"/>
    </row>
    <row r="101" spans="1:1">
      <c r="A101" s="859"/>
    </row>
    <row r="102" spans="1:1">
      <c r="A102" s="859"/>
    </row>
    <row r="103" spans="1:1" ht="16">
      <c r="A103" s="2215"/>
    </row>
  </sheetData>
  <mergeCells count="4">
    <mergeCell ref="B3:F3"/>
    <mergeCell ref="H3:L3"/>
    <mergeCell ref="M3:R3"/>
    <mergeCell ref="T3:Y3"/>
  </mergeCells>
  <pageMargins left="0.7" right="0.7" top="0.75" bottom="0.75" header="0.3" footer="0.3"/>
  <pageSetup paperSize="9" orientation="portrait" verticalDpi="0" r:id="rId1"/>
  <ignoredErrors>
    <ignoredError sqref="Q3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4"/>
  </sheetPr>
  <dimension ref="A1:I35"/>
  <sheetViews>
    <sheetView showGridLines="0" zoomScale="85" zoomScaleNormal="85" workbookViewId="0">
      <selection activeCell="C34" sqref="C34"/>
    </sheetView>
  </sheetViews>
  <sheetFormatPr baseColWidth="10" defaultColWidth="9.3984375" defaultRowHeight="12"/>
  <cols>
    <col min="1" max="1" width="11" style="101" bestFit="1" customWidth="1"/>
    <col min="2" max="16384" width="9.3984375" style="101"/>
  </cols>
  <sheetData>
    <row r="1" spans="1:9">
      <c r="B1" s="102" t="s">
        <v>55</v>
      </c>
      <c r="C1" s="103"/>
      <c r="D1" s="103"/>
      <c r="E1" s="103"/>
      <c r="F1" s="103"/>
      <c r="G1" s="103"/>
    </row>
    <row r="2" spans="1:9" ht="13">
      <c r="B2" s="104" t="s">
        <v>1509</v>
      </c>
      <c r="C2" s="104" t="s">
        <v>53</v>
      </c>
      <c r="D2" s="104" t="s">
        <v>1510</v>
      </c>
      <c r="E2" s="104" t="s">
        <v>95</v>
      </c>
      <c r="F2" s="104" t="s">
        <v>12</v>
      </c>
      <c r="G2" s="104" t="s">
        <v>16</v>
      </c>
    </row>
    <row r="3" spans="1:9">
      <c r="G3" s="105"/>
    </row>
    <row r="4" spans="1:9">
      <c r="A4" s="106">
        <v>1918</v>
      </c>
      <c r="B4" s="105">
        <f>'1 GE-UK'!C39</f>
        <v>0.38700000000000001</v>
      </c>
      <c r="C4" s="105">
        <f>'1 GE-UK'!D39</f>
        <v>0.20800000000000002</v>
      </c>
      <c r="D4" s="105">
        <f>'1 GE-UK'!E39</f>
        <v>0.25600000000000001</v>
      </c>
      <c r="E4" s="105">
        <f>'1 GE-UK'!F39</f>
        <v>0</v>
      </c>
      <c r="F4" s="105">
        <f>'1 GE-UK'!G39</f>
        <v>0.14900000000000002</v>
      </c>
      <c r="G4" s="105">
        <f>'1 GE-UK'!H39</f>
        <v>1</v>
      </c>
    </row>
    <row r="5" spans="1:9">
      <c r="A5" s="106">
        <v>1922</v>
      </c>
      <c r="B5" s="105">
        <f>'1 GE-UK'!C40</f>
        <v>0.38500000000000001</v>
      </c>
      <c r="C5" s="105">
        <f>'1 GE-UK'!D40</f>
        <v>0.29699999999999999</v>
      </c>
      <c r="D5" s="105">
        <f>'1 GE-UK'!E40</f>
        <v>0.28799999999999998</v>
      </c>
      <c r="E5" s="105">
        <f>'1 GE-UK'!F40</f>
        <v>0</v>
      </c>
      <c r="F5" s="105">
        <f>'1 GE-UK'!G40</f>
        <v>3.0000000000000027E-2</v>
      </c>
      <c r="G5" s="105">
        <f>'1 GE-UK'!H40</f>
        <v>1</v>
      </c>
    </row>
    <row r="6" spans="1:9">
      <c r="A6" s="106">
        <v>1923</v>
      </c>
      <c r="B6" s="105">
        <f>'1 GE-UK'!C41</f>
        <v>0.38</v>
      </c>
      <c r="C6" s="105">
        <f>'1 GE-UK'!D41</f>
        <v>0.307</v>
      </c>
      <c r="D6" s="105">
        <f>'1 GE-UK'!E41</f>
        <v>0.29699999999999999</v>
      </c>
      <c r="E6" s="105">
        <f>'1 GE-UK'!F41</f>
        <v>0</v>
      </c>
      <c r="F6" s="105">
        <f>'1 GE-UK'!G41</f>
        <v>1.6000000000000014E-2</v>
      </c>
      <c r="G6" s="105">
        <f>'1 GE-UK'!H41</f>
        <v>1</v>
      </c>
    </row>
    <row r="7" spans="1:9">
      <c r="A7" s="106">
        <v>1924</v>
      </c>
      <c r="B7" s="105">
        <f>'1 GE-UK'!C42</f>
        <v>0.46799999999999997</v>
      </c>
      <c r="C7" s="105">
        <f>'1 GE-UK'!D42</f>
        <v>0.33299999999999996</v>
      </c>
      <c r="D7" s="105">
        <f>'1 GE-UK'!E42</f>
        <v>0.17800000000000002</v>
      </c>
      <c r="E7" s="105">
        <f>'1 GE-UK'!F42</f>
        <v>0</v>
      </c>
      <c r="F7" s="105">
        <f>'1 GE-UK'!G42</f>
        <v>2.1000000000000019E-2</v>
      </c>
      <c r="G7" s="105">
        <f>'1 GE-UK'!H42</f>
        <v>1</v>
      </c>
    </row>
    <row r="8" spans="1:9">
      <c r="A8" s="106">
        <v>1929</v>
      </c>
      <c r="B8" s="105">
        <f>'1 GE-UK'!C43</f>
        <v>0.38100000000000001</v>
      </c>
      <c r="C8" s="105">
        <f>'1 GE-UK'!D43</f>
        <v>0.371</v>
      </c>
      <c r="D8" s="105">
        <f>'1 GE-UK'!E43</f>
        <v>0.23499999999999999</v>
      </c>
      <c r="E8" s="105">
        <f>'1 GE-UK'!F43</f>
        <v>0</v>
      </c>
      <c r="F8" s="105">
        <f>'1 GE-UK'!G43</f>
        <v>1.3000000000000012E-2</v>
      </c>
      <c r="G8" s="105">
        <f>'1 GE-UK'!H43</f>
        <v>1</v>
      </c>
    </row>
    <row r="9" spans="1:9">
      <c r="A9" s="106">
        <v>1931</v>
      </c>
      <c r="B9" s="105">
        <f>'1 GE-UK'!C44</f>
        <v>0.6070000000000001</v>
      </c>
      <c r="C9" s="105">
        <f>'1 GE-UK'!D44</f>
        <v>0.309</v>
      </c>
      <c r="D9" s="105">
        <f>'1 GE-UK'!E44</f>
        <v>7.0000000000000007E-2</v>
      </c>
      <c r="E9" s="105">
        <f>'1 GE-UK'!F44</f>
        <v>1E-3</v>
      </c>
      <c r="F9" s="105">
        <f>'1 GE-UK'!G44</f>
        <v>1.299999999999979E-2</v>
      </c>
      <c r="G9" s="105">
        <f>'1 GE-UK'!H44</f>
        <v>1</v>
      </c>
    </row>
    <row r="10" spans="1:9">
      <c r="A10" s="106">
        <v>1935</v>
      </c>
      <c r="B10" s="105">
        <f>'1 GE-UK'!C45</f>
        <v>0.53300000000000003</v>
      </c>
      <c r="C10" s="105">
        <f>'1 GE-UK'!D45</f>
        <v>0.38</v>
      </c>
      <c r="D10" s="105">
        <f>'1 GE-UK'!E45</f>
        <v>6.7000000000000004E-2</v>
      </c>
      <c r="E10" s="105">
        <f>'1 GE-UK'!F45</f>
        <v>1E-3</v>
      </c>
      <c r="F10" s="105">
        <f>'1 GE-UK'!G45</f>
        <v>1.9000000000000017E-2</v>
      </c>
      <c r="G10" s="105">
        <f>'1 GE-UK'!H45</f>
        <v>1</v>
      </c>
    </row>
    <row r="11" spans="1:9">
      <c r="A11" s="106">
        <v>1945</v>
      </c>
      <c r="B11" s="105">
        <f>'1 GE-UK'!C46</f>
        <v>0.39600000000000002</v>
      </c>
      <c r="C11" s="105">
        <f>'1 GE-UK'!D46</f>
        <v>0.48</v>
      </c>
      <c r="D11" s="105">
        <f>'1 GE-UK'!E46</f>
        <v>0.09</v>
      </c>
      <c r="E11" s="105">
        <f>'1 GE-UK'!F46</f>
        <v>2E-3</v>
      </c>
      <c r="F11" s="105">
        <f>'1 GE-UK'!G46</f>
        <v>3.2000000000000028E-2</v>
      </c>
      <c r="G11" s="105">
        <f>'1 GE-UK'!H46</f>
        <v>1</v>
      </c>
    </row>
    <row r="12" spans="1:9" ht="18">
      <c r="A12" s="106">
        <v>1950</v>
      </c>
      <c r="B12" s="105">
        <f>'1 GE-UK'!C47</f>
        <v>0.43419937295463329</v>
      </c>
      <c r="C12" s="105">
        <f>'1 GE-UK'!D47</f>
        <v>0.46109342130672404</v>
      </c>
      <c r="D12" s="105">
        <f>'1 GE-UK'!E47</f>
        <v>9.1115209819400869E-2</v>
      </c>
      <c r="E12" s="105">
        <f>'1 GE-UK'!F47</f>
        <v>9.4845095381049412E-4</v>
      </c>
      <c r="F12" s="105">
        <f>'1 GE-UK'!G47</f>
        <v>1.2643544965431297E-2</v>
      </c>
      <c r="G12" s="105">
        <f>'1 GE-UK'!H47</f>
        <v>1</v>
      </c>
      <c r="I12" s="130"/>
    </row>
    <row r="13" spans="1:9">
      <c r="A13" s="106">
        <v>1951</v>
      </c>
      <c r="B13" s="105">
        <f>'1 GE-UK'!C48</f>
        <v>0.47971443732075225</v>
      </c>
      <c r="C13" s="105">
        <f>'1 GE-UK'!D48</f>
        <v>0.48778127213331768</v>
      </c>
      <c r="D13" s="105">
        <f>'1 GE-UK'!E48</f>
        <v>2.5546608802432907E-2</v>
      </c>
      <c r="E13" s="105">
        <f>'1 GE-UK'!F48</f>
        <v>6.371038453040946E-4</v>
      </c>
      <c r="F13" s="105">
        <f>'1 GE-UK'!G48</f>
        <v>6.3205778981930694E-3</v>
      </c>
      <c r="G13" s="105">
        <f>'1 GE-UK'!H48</f>
        <v>1</v>
      </c>
    </row>
    <row r="14" spans="1:9">
      <c r="A14" s="106">
        <v>1955</v>
      </c>
      <c r="B14" s="105">
        <f>'1 GE-UK'!C49</f>
        <v>0.49742248884508511</v>
      </c>
      <c r="C14" s="105">
        <f>'1 GE-UK'!D49</f>
        <v>0.4635792088925863</v>
      </c>
      <c r="D14" s="105">
        <f>'1 GE-UK'!E49</f>
        <v>2.6995863822088781E-2</v>
      </c>
      <c r="E14" s="105">
        <f>'1 GE-UK'!F49</f>
        <v>2.1386987887657607E-3</v>
      </c>
      <c r="F14" s="105">
        <f>'1 GE-UK'!G49</f>
        <v>9.8637396514741349E-3</v>
      </c>
      <c r="G14" s="105">
        <f>'1 GE-UK'!H49</f>
        <v>1</v>
      </c>
    </row>
    <row r="15" spans="1:9">
      <c r="A15" s="106">
        <v>1959</v>
      </c>
      <c r="B15" s="105">
        <f>'1 GE-UK'!C50</f>
        <v>0.49352355260367892</v>
      </c>
      <c r="C15" s="105">
        <f>'1 GE-UK'!D50</f>
        <v>0.43844254308599195</v>
      </c>
      <c r="D15" s="105">
        <f>'1 GE-UK'!E50</f>
        <v>5.8887431103112509E-2</v>
      </c>
      <c r="E15" s="105">
        <f>'1 GE-UK'!F50</f>
        <v>3.5642335840823766E-3</v>
      </c>
      <c r="F15" s="105">
        <f>'1 GE-UK'!G50</f>
        <v>5.5822396231341997E-3</v>
      </c>
      <c r="G15" s="105">
        <f>'1 GE-UK'!H50</f>
        <v>1</v>
      </c>
    </row>
    <row r="16" spans="1:9">
      <c r="A16" s="106">
        <v>1964</v>
      </c>
      <c r="B16" s="105">
        <f>'1 GE-UK'!C51</f>
        <v>0.43397974368145265</v>
      </c>
      <c r="C16" s="105">
        <f>'1 GE-UK'!D51</f>
        <v>0.44132562041465734</v>
      </c>
      <c r="D16" s="105">
        <f>'1 GE-UK'!E51</f>
        <v>0.11206083143496937</v>
      </c>
      <c r="E16" s="105">
        <f>'1 GE-UK'!F51</f>
        <v>4.8288059202633623E-3</v>
      </c>
      <c r="F16" s="105">
        <f>'1 GE-UK'!G51</f>
        <v>7.8049985486573492E-3</v>
      </c>
      <c r="G16" s="105">
        <f>'1 GE-UK'!H51</f>
        <v>1</v>
      </c>
    </row>
    <row r="17" spans="1:7">
      <c r="A17" s="106">
        <v>1966</v>
      </c>
      <c r="B17" s="105">
        <f>'1 GE-UK'!C52</f>
        <v>0.41879922817548976</v>
      </c>
      <c r="C17" s="105">
        <f>'1 GE-UK'!D52</f>
        <v>0.48035028529698076</v>
      </c>
      <c r="D17" s="105">
        <f>'1 GE-UK'!E52</f>
        <v>8.5365068672744335E-2</v>
      </c>
      <c r="E17" s="105">
        <f>'1 GE-UK'!F52</f>
        <v>6.9520175631924992E-3</v>
      </c>
      <c r="F17" s="105">
        <f>'1 GE-UK'!G52</f>
        <v>8.5334002915926632E-3</v>
      </c>
      <c r="G17" s="105">
        <f>'1 GE-UK'!H52</f>
        <v>1</v>
      </c>
    </row>
    <row r="18" spans="1:7">
      <c r="A18" s="106">
        <v>1970</v>
      </c>
      <c r="B18" s="105">
        <f>'1 GE-UK'!C53</f>
        <v>0.46375786484701709</v>
      </c>
      <c r="C18" s="105">
        <f>'1 GE-UK'!D53</f>
        <v>0.43072305542625494</v>
      </c>
      <c r="D18" s="105">
        <f>'1 GE-UK'!E53</f>
        <v>7.4688660684757741E-2</v>
      </c>
      <c r="E18" s="105">
        <f>'1 GE-UK'!F53</f>
        <v>1.6998462998395684E-2</v>
      </c>
      <c r="F18" s="105">
        <f>'1 GE-UK'!G53</f>
        <v>1.3831956043574567E-2</v>
      </c>
      <c r="G18" s="105">
        <f>'1 GE-UK'!H53</f>
        <v>1</v>
      </c>
    </row>
    <row r="19" spans="1:7">
      <c r="A19" s="107" t="s">
        <v>213</v>
      </c>
      <c r="B19" s="105">
        <f>'1 GE-UK'!C54</f>
        <v>0.37881680381869115</v>
      </c>
      <c r="C19" s="105">
        <f>'1 GE-UK'!D54</f>
        <v>0.37158761336332596</v>
      </c>
      <c r="D19" s="105">
        <f>'1 GE-UK'!E54</f>
        <v>0.19334676700139586</v>
      </c>
      <c r="E19" s="105">
        <f>'1 GE-UK'!F54</f>
        <v>2.5671660535768769E-2</v>
      </c>
      <c r="F19" s="105">
        <f>'1 GE-UK'!G54</f>
        <v>3.057715528081828E-2</v>
      </c>
      <c r="G19" s="105">
        <f>'1 GE-UK'!H54</f>
        <v>1</v>
      </c>
    </row>
    <row r="20" spans="1:7">
      <c r="A20" s="107" t="s">
        <v>214</v>
      </c>
      <c r="B20" s="105">
        <f>'1 GE-UK'!C55</f>
        <v>0.35844077296788557</v>
      </c>
      <c r="C20" s="105">
        <f>'1 GE-UK'!D55</f>
        <v>0.39251218536889654</v>
      </c>
      <c r="D20" s="105">
        <f>'1 GE-UK'!E55</f>
        <v>0.18317465311713577</v>
      </c>
      <c r="E20" s="105">
        <f>'1 GE-UK'!F55</f>
        <v>3.4462791321035413E-2</v>
      </c>
      <c r="F20" s="105">
        <f>'1 GE-UK'!G55</f>
        <v>3.140959722504677E-2</v>
      </c>
      <c r="G20" s="105">
        <f>'1 GE-UK'!H55</f>
        <v>1</v>
      </c>
    </row>
    <row r="21" spans="1:7">
      <c r="A21" s="106">
        <v>1979</v>
      </c>
      <c r="B21" s="105">
        <f>'1 GE-UK'!C56</f>
        <v>0.43873560032390646</v>
      </c>
      <c r="C21" s="105">
        <f>'1 GE-UK'!D56</f>
        <v>0.36936947209413862</v>
      </c>
      <c r="D21" s="105">
        <f>'1 GE-UK'!E56</f>
        <v>0.13816834768451164</v>
      </c>
      <c r="E21" s="105">
        <f>'1 GE-UK'!F56</f>
        <v>2.0396387575916771E-2</v>
      </c>
      <c r="F21" s="105">
        <f>'1 GE-UK'!G56</f>
        <v>3.3330192321526564E-2</v>
      </c>
      <c r="G21" s="105">
        <f>'1 GE-UK'!H56</f>
        <v>1</v>
      </c>
    </row>
    <row r="22" spans="1:7">
      <c r="A22" s="106">
        <v>1983</v>
      </c>
      <c r="B22" s="105">
        <f>'1 GE-UK'!C57</f>
        <v>0.42425280810424471</v>
      </c>
      <c r="C22" s="105">
        <f>'1 GE-UK'!D57</f>
        <v>0.27572939340331598</v>
      </c>
      <c r="D22" s="105">
        <f>'1 GE-UK'!E57</f>
        <v>0.25368961704941034</v>
      </c>
      <c r="E22" s="105">
        <f>'1 GE-UK'!F57</f>
        <v>1.4909261433640363E-2</v>
      </c>
      <c r="F22" s="105">
        <f>'1 GE-UK'!G57</f>
        <v>3.1418920009388618E-2</v>
      </c>
      <c r="G22" s="105">
        <f>'1 GE-UK'!H57</f>
        <v>1</v>
      </c>
    </row>
    <row r="23" spans="1:7">
      <c r="A23" s="106">
        <v>1987</v>
      </c>
      <c r="B23" s="105">
        <f>'1 GE-UK'!C58</f>
        <v>0.42301756881076047</v>
      </c>
      <c r="C23" s="105">
        <f>'1 GE-UK'!D58</f>
        <v>0.30832883844973336</v>
      </c>
      <c r="D23" s="105">
        <f>'1 GE-UK'!E58</f>
        <v>0.22569100035666001</v>
      </c>
      <c r="E23" s="105">
        <f>'1 GE-UK'!F58</f>
        <v>1.6602490201379189E-2</v>
      </c>
      <c r="F23" s="105">
        <f>'1 GE-UK'!G58</f>
        <v>2.6360102181467004E-2</v>
      </c>
      <c r="G23" s="105">
        <f>'1 GE-UK'!H58</f>
        <v>1</v>
      </c>
    </row>
    <row r="24" spans="1:7">
      <c r="A24" s="106">
        <v>1992</v>
      </c>
      <c r="B24" s="105">
        <f>'1 GE-UK'!C59</f>
        <v>0.41925911747561451</v>
      </c>
      <c r="C24" s="105">
        <f>'1 GE-UK'!D59</f>
        <v>0.34391796721813606</v>
      </c>
      <c r="D24" s="105">
        <f>'1 GE-UK'!E59</f>
        <v>0.17848494056388403</v>
      </c>
      <c r="E24" s="105">
        <f>'1 GE-UK'!F59</f>
        <v>2.3338765780071765E-2</v>
      </c>
      <c r="F24" s="105">
        <f>'1 GE-UK'!G59</f>
        <v>3.4999208962293582E-2</v>
      </c>
      <c r="G24" s="105">
        <f>'1 GE-UK'!H59</f>
        <v>1</v>
      </c>
    </row>
    <row r="25" spans="1:7">
      <c r="A25" s="106">
        <v>1997</v>
      </c>
      <c r="B25" s="105">
        <f>'1 GE-UK'!C60</f>
        <v>0.3068738684338479</v>
      </c>
      <c r="C25" s="105">
        <f>'1 GE-UK'!D60</f>
        <v>0.43207966148999988</v>
      </c>
      <c r="D25" s="105">
        <f>'1 GE-UK'!E60</f>
        <v>0.16757972918739727</v>
      </c>
      <c r="E25" s="105">
        <f>'1 GE-UK'!F60</f>
        <v>2.5013517105451064E-2</v>
      </c>
      <c r="F25" s="105">
        <f>'1 GE-UK'!G60</f>
        <v>6.8453223783303874E-2</v>
      </c>
      <c r="G25" s="105">
        <f>'1 GE-UK'!H60</f>
        <v>1</v>
      </c>
    </row>
    <row r="26" spans="1:7">
      <c r="A26" s="106">
        <v>2001</v>
      </c>
      <c r="B26" s="105">
        <f>'1 GE-UK'!C61</f>
        <v>0.31620942434825633</v>
      </c>
      <c r="C26" s="105">
        <f>'1 GE-UK'!D61</f>
        <v>0.40675075717601555</v>
      </c>
      <c r="D26" s="105">
        <f>'1 GE-UK'!E61</f>
        <v>0.18258622784066209</v>
      </c>
      <c r="E26" s="105">
        <f>'1 GE-UK'!F61</f>
        <v>2.5038776127308503E-2</v>
      </c>
      <c r="F26" s="105">
        <f>'1 GE-UK'!G61</f>
        <v>6.941481450775755E-2</v>
      </c>
      <c r="G26" s="105">
        <f>'1 GE-UK'!H61</f>
        <v>1</v>
      </c>
    </row>
    <row r="27" spans="1:7">
      <c r="A27" s="106">
        <v>2005</v>
      </c>
      <c r="B27" s="105">
        <f>'1 GE-UK'!C62</f>
        <v>0.32358737182998254</v>
      </c>
      <c r="C27" s="105">
        <f>'1 GE-UK'!D62</f>
        <v>0.35185857345393912</v>
      </c>
      <c r="D27" s="105">
        <f>'1 GE-UK'!E62</f>
        <v>0.2204708103685985</v>
      </c>
      <c r="E27" s="105">
        <f>'1 GE-UK'!F62</f>
        <v>2.1625680378039164E-2</v>
      </c>
      <c r="F27" s="105">
        <f>'1 GE-UK'!G62</f>
        <v>8.2457563969440706E-2</v>
      </c>
      <c r="G27" s="105">
        <f>'1 GE-UK'!H62</f>
        <v>1</v>
      </c>
    </row>
    <row r="28" spans="1:7">
      <c r="A28" s="106">
        <v>2010</v>
      </c>
      <c r="B28" s="105">
        <f>'1 GE-UK'!C63</f>
        <v>0.36054287169823473</v>
      </c>
      <c r="C28" s="105">
        <f>'1 GE-UK'!D63</f>
        <v>0.28990271495133119</v>
      </c>
      <c r="D28" s="105">
        <f>'1 GE-UK'!E63</f>
        <v>0.23027281016009241</v>
      </c>
      <c r="E28" s="105">
        <f>'1 GE-UK'!F63</f>
        <v>2.2123038288977444E-2</v>
      </c>
      <c r="F28" s="105">
        <f>'1 GE-UK'!G63</f>
        <v>9.7158564901364208E-2</v>
      </c>
      <c r="G28" s="105">
        <f>'1 GE-UK'!H63</f>
        <v>1</v>
      </c>
    </row>
    <row r="29" spans="1:7">
      <c r="A29" s="108">
        <v>2015</v>
      </c>
      <c r="B29" s="105">
        <f>'1 GE-UK'!C64</f>
        <v>0.36809512175258569</v>
      </c>
      <c r="C29" s="105">
        <f>'1 GE-UK'!D64</f>
        <v>0.30449710888508835</v>
      </c>
      <c r="D29" s="105">
        <f>'1 GE-UK'!E64</f>
        <v>7.8700219887612999E-2</v>
      </c>
      <c r="E29" s="105">
        <f>'1 GE-UK'!F64</f>
        <v>5.3297499796400354E-2</v>
      </c>
      <c r="F29" s="105">
        <f>'1 GE-UK'!G64</f>
        <v>0.19541004967831266</v>
      </c>
      <c r="G29" s="105">
        <f>'1 GE-UK'!H64</f>
        <v>1</v>
      </c>
    </row>
    <row r="30" spans="1:7">
      <c r="A30" s="106">
        <v>2017</v>
      </c>
      <c r="B30" s="105">
        <f>'1 GE-UK'!C65</f>
        <v>0.42344523333194956</v>
      </c>
      <c r="C30" s="105">
        <f>'1 GE-UK'!D65</f>
        <v>0.39988239400641062</v>
      </c>
      <c r="D30" s="105">
        <f>'1 GE-UK'!E65</f>
        <v>7.3650807826235773E-2</v>
      </c>
      <c r="E30" s="105">
        <f>'1 GE-UK'!F65</f>
        <v>3.5462333865697589E-2</v>
      </c>
      <c r="F30" s="105">
        <f>'1 GE-UK'!G65</f>
        <v>6.7559230969706396E-2</v>
      </c>
      <c r="G30" s="105">
        <f>'1 GE-UK'!H65</f>
        <v>1</v>
      </c>
    </row>
    <row r="31" spans="1:7">
      <c r="A31" s="108">
        <v>2019</v>
      </c>
      <c r="B31" s="105">
        <f>'1 GE-UK'!C66</f>
        <v>0.43625932440414555</v>
      </c>
      <c r="C31" s="105">
        <f>'1 GE-UK'!D66</f>
        <v>0.32076640581293681</v>
      </c>
      <c r="D31" s="105">
        <f>'1 GE-UK'!E66</f>
        <v>0.11546218214406084</v>
      </c>
      <c r="E31" s="105">
        <f>'1 GE-UK'!F66</f>
        <v>4.3594683719147584E-2</v>
      </c>
      <c r="F31" s="105">
        <f>'1 GE-UK'!G66</f>
        <v>8.3917403919709144E-2</v>
      </c>
      <c r="G31" s="105">
        <f>'1 GE-UK'!H66</f>
        <v>1</v>
      </c>
    </row>
    <row r="35" spans="9:9" ht="14">
      <c r="I35" s="122" t="s">
        <v>1511</v>
      </c>
    </row>
  </sheetData>
  <phoneticPr fontId="10" type="noConversion"/>
  <pageMargins left="0.75" right="0.75" top="1" bottom="1" header="0.5" footer="0.5"/>
  <pageSetup paperSize="9" orientation="portrait" verticalDpi="1200"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6">
    <tabColor theme="4"/>
  </sheetPr>
  <dimension ref="A1:Y43"/>
  <sheetViews>
    <sheetView showGridLines="0" zoomScale="85" zoomScaleNormal="85" workbookViewId="0">
      <selection activeCell="M35" sqref="M35"/>
    </sheetView>
  </sheetViews>
  <sheetFormatPr baseColWidth="10" defaultColWidth="8.796875" defaultRowHeight="13"/>
  <cols>
    <col min="1" max="1" width="9.796875" style="2188" customWidth="1"/>
    <col min="2" max="2" width="1" style="2188" hidden="1" customWidth="1"/>
    <col min="3" max="3" width="9.796875" style="2188" customWidth="1"/>
    <col min="4" max="6" width="9.796875" style="1540" customWidth="1"/>
    <col min="7" max="7" width="1.19921875" style="1540" customWidth="1"/>
    <col min="8" max="10" width="7.796875" style="1540" customWidth="1"/>
    <col min="11" max="11" width="8.3984375" style="1540" bestFit="1" customWidth="1"/>
    <col min="12" max="12" width="1.19921875" style="1540" customWidth="1"/>
    <col min="13" max="16" width="7.796875" style="1540" customWidth="1"/>
    <col min="17" max="19" width="8.796875" style="2188"/>
    <col min="20" max="20" width="9.3984375" style="2188" bestFit="1" customWidth="1"/>
    <col min="21" max="24" width="7.796875" style="1540" customWidth="1"/>
    <col min="25" max="16384" width="8.796875" style="2188"/>
  </cols>
  <sheetData>
    <row r="1" spans="1:24">
      <c r="A1" s="2188" t="s">
        <v>443</v>
      </c>
    </row>
    <row r="3" spans="1:24" ht="14">
      <c r="A3" s="2189" t="s">
        <v>1410</v>
      </c>
      <c r="B3" s="2190"/>
      <c r="C3" s="2190"/>
    </row>
    <row r="4" spans="1:24" ht="6" customHeight="1"/>
    <row r="5" spans="1:24" ht="12" customHeight="1">
      <c r="C5" s="3462" t="s">
        <v>1120</v>
      </c>
      <c r="D5" s="3462"/>
      <c r="E5" s="3462"/>
      <c r="F5" s="3462"/>
      <c r="G5" s="2191"/>
      <c r="H5" s="3463" t="s">
        <v>1119</v>
      </c>
      <c r="I5" s="3463"/>
      <c r="J5" s="3463"/>
      <c r="K5" s="3463"/>
      <c r="L5" s="2192"/>
      <c r="M5" s="3463" t="s">
        <v>56</v>
      </c>
      <c r="N5" s="3463"/>
      <c r="O5" s="3463"/>
      <c r="P5" s="3463"/>
      <c r="Q5" s="2193"/>
      <c r="U5" s="2194"/>
      <c r="V5" s="2194"/>
      <c r="W5" s="2194"/>
      <c r="X5" s="2194" t="s">
        <v>56</v>
      </c>
    </row>
    <row r="6" spans="1:24">
      <c r="C6" s="2195">
        <v>1998</v>
      </c>
      <c r="D6" s="2195">
        <v>2003</v>
      </c>
      <c r="E6" s="2195">
        <v>2007</v>
      </c>
      <c r="F6" s="2195">
        <v>2011</v>
      </c>
      <c r="G6" s="2196"/>
      <c r="H6" s="2195">
        <v>1998</v>
      </c>
      <c r="I6" s="2195">
        <v>2003</v>
      </c>
      <c r="J6" s="2195">
        <v>2007</v>
      </c>
      <c r="K6" s="2195">
        <v>2011</v>
      </c>
      <c r="L6" s="2196"/>
      <c r="M6" s="2195">
        <v>1998</v>
      </c>
      <c r="N6" s="2195">
        <v>2003</v>
      </c>
      <c r="O6" s="2195">
        <v>2007</v>
      </c>
      <c r="P6" s="2195">
        <v>2011</v>
      </c>
      <c r="Q6" s="2193"/>
      <c r="U6" s="2195">
        <v>2011</v>
      </c>
      <c r="V6" s="2195">
        <v>2007</v>
      </c>
      <c r="W6" s="2195">
        <v>2003</v>
      </c>
      <c r="X6" s="2195">
        <v>1998</v>
      </c>
    </row>
    <row r="7" spans="1:24" ht="6" customHeight="1">
      <c r="A7" s="2190"/>
      <c r="L7" s="2193"/>
      <c r="M7" s="2193"/>
      <c r="X7" s="2193"/>
    </row>
    <row r="8" spans="1:24">
      <c r="A8" s="2188" t="s">
        <v>1092</v>
      </c>
      <c r="C8" s="2188">
        <v>146917</v>
      </c>
      <c r="D8" s="1540">
        <v>177944</v>
      </c>
      <c r="E8" s="1540">
        <v>207721</v>
      </c>
      <c r="F8" s="1540">
        <v>198436</v>
      </c>
      <c r="H8" s="2197">
        <f t="shared" ref="H8:J15" si="0">+C8/C$19</f>
        <v>0.18132416738147103</v>
      </c>
      <c r="I8" s="2197">
        <f t="shared" si="0"/>
        <v>0.25339160326323001</v>
      </c>
      <c r="J8" s="2197">
        <f t="shared" si="0"/>
        <v>0.30090842849547961</v>
      </c>
      <c r="K8" s="2197">
        <f>F8/$F$19</f>
        <v>0.29987275854044071</v>
      </c>
      <c r="L8" s="2198"/>
      <c r="M8" s="1540">
        <v>20</v>
      </c>
      <c r="N8" s="1540">
        <v>30</v>
      </c>
      <c r="O8" s="1540">
        <v>36</v>
      </c>
      <c r="P8" s="1540">
        <v>38</v>
      </c>
      <c r="S8" s="2188" t="s">
        <v>1092</v>
      </c>
      <c r="U8" s="1540">
        <v>38</v>
      </c>
      <c r="V8" s="1540">
        <v>36</v>
      </c>
      <c r="W8" s="1540">
        <v>30</v>
      </c>
      <c r="X8" s="1540">
        <v>20</v>
      </c>
    </row>
    <row r="9" spans="1:24">
      <c r="A9" s="2188" t="s">
        <v>151</v>
      </c>
      <c r="C9" s="2188">
        <v>142858</v>
      </c>
      <c r="D9" s="1540">
        <v>162758</v>
      </c>
      <c r="E9" s="1540">
        <v>180573</v>
      </c>
      <c r="F9" s="1540">
        <v>178222</v>
      </c>
      <c r="H9" s="2197">
        <f t="shared" si="0"/>
        <v>0.17631457151849131</v>
      </c>
      <c r="I9" s="2197">
        <f t="shared" si="0"/>
        <v>0.23176679496873617</v>
      </c>
      <c r="J9" s="2197">
        <f t="shared" si="0"/>
        <v>0.26158134063823224</v>
      </c>
      <c r="K9" s="2197">
        <f>F9/$F$19</f>
        <v>0.26932574115883423</v>
      </c>
      <c r="L9" s="2198"/>
      <c r="M9" s="1540">
        <v>18</v>
      </c>
      <c r="N9" s="1540">
        <v>24</v>
      </c>
      <c r="O9" s="1540">
        <v>28</v>
      </c>
      <c r="P9" s="1540">
        <v>29</v>
      </c>
      <c r="S9" s="2188" t="s">
        <v>151</v>
      </c>
      <c r="U9" s="1540">
        <v>29</v>
      </c>
      <c r="V9" s="1540">
        <v>28</v>
      </c>
      <c r="W9" s="1540">
        <v>24</v>
      </c>
      <c r="X9" s="1540">
        <v>18</v>
      </c>
    </row>
    <row r="10" spans="1:24">
      <c r="A10" s="2188" t="s">
        <v>1066</v>
      </c>
      <c r="C10" s="2188">
        <v>172225</v>
      </c>
      <c r="D10" s="1540">
        <v>156931</v>
      </c>
      <c r="E10" s="1540">
        <v>103145</v>
      </c>
      <c r="F10" s="1540">
        <v>87531</v>
      </c>
      <c r="H10" s="2197">
        <f t="shared" si="0"/>
        <v>0.21255916420341994</v>
      </c>
      <c r="I10" s="2197">
        <f t="shared" si="0"/>
        <v>0.22346916834342234</v>
      </c>
      <c r="J10" s="2197">
        <f t="shared" si="0"/>
        <v>0.14941772790024235</v>
      </c>
      <c r="K10" s="2197">
        <f>F10/$F$19</f>
        <v>0.13227520423614322</v>
      </c>
      <c r="L10" s="2198"/>
      <c r="M10" s="1540">
        <v>28</v>
      </c>
      <c r="N10" s="1540">
        <v>27</v>
      </c>
      <c r="O10" s="1540">
        <v>18</v>
      </c>
      <c r="P10" s="1540">
        <v>16</v>
      </c>
      <c r="S10" s="2188" t="s">
        <v>1066</v>
      </c>
      <c r="U10" s="1540">
        <v>16</v>
      </c>
      <c r="V10" s="1540">
        <v>18</v>
      </c>
      <c r="W10" s="1540">
        <v>27</v>
      </c>
      <c r="X10" s="1540">
        <v>28</v>
      </c>
    </row>
    <row r="11" spans="1:24">
      <c r="A11" s="2188" t="s">
        <v>113</v>
      </c>
      <c r="C11" s="2188">
        <v>177963</v>
      </c>
      <c r="D11" s="1540">
        <v>117547</v>
      </c>
      <c r="E11" s="1540">
        <v>105164</v>
      </c>
      <c r="F11" s="1540">
        <v>94286</v>
      </c>
      <c r="H11" s="2197">
        <f t="shared" si="0"/>
        <v>0.21964097279218014</v>
      </c>
      <c r="I11" s="2197">
        <f t="shared" si="0"/>
        <v>0.16738649681238421</v>
      </c>
      <c r="J11" s="2197">
        <f t="shared" si="0"/>
        <v>0.15234248811770892</v>
      </c>
      <c r="K11" s="2197">
        <f>F11/$F$19</f>
        <v>0.14248323344425404</v>
      </c>
      <c r="L11" s="2198"/>
      <c r="M11" s="1540">
        <v>24</v>
      </c>
      <c r="N11" s="1540">
        <v>18</v>
      </c>
      <c r="O11" s="1540">
        <v>16</v>
      </c>
      <c r="P11" s="1540">
        <v>14</v>
      </c>
      <c r="S11" s="2188" t="s">
        <v>113</v>
      </c>
      <c r="U11" s="1540">
        <v>14</v>
      </c>
      <c r="V11" s="1540">
        <v>16</v>
      </c>
      <c r="W11" s="1540">
        <v>18</v>
      </c>
      <c r="X11" s="1540">
        <v>24</v>
      </c>
    </row>
    <row r="12" spans="1:24">
      <c r="A12" s="2188" t="s">
        <v>71</v>
      </c>
      <c r="C12" s="2188">
        <v>52636</v>
      </c>
      <c r="D12" s="1540">
        <v>25372</v>
      </c>
      <c r="E12" s="1540">
        <v>36139</v>
      </c>
      <c r="F12" s="1540">
        <v>50875</v>
      </c>
      <c r="H12" s="2197">
        <f t="shared" si="0"/>
        <v>6.49630667267308E-2</v>
      </c>
      <c r="I12" s="2197">
        <f t="shared" si="0"/>
        <v>3.6129634930060418E-2</v>
      </c>
      <c r="J12" s="2197">
        <f t="shared" si="0"/>
        <v>5.2351614412592548E-2</v>
      </c>
      <c r="K12" s="2197">
        <f>F12/$F$19</f>
        <v>7.6881345072189133E-2</v>
      </c>
      <c r="L12" s="2198"/>
      <c r="M12" s="1540">
        <v>6</v>
      </c>
      <c r="N12" s="1540">
        <v>6</v>
      </c>
      <c r="O12" s="1540">
        <v>7</v>
      </c>
      <c r="P12" s="1540">
        <v>8</v>
      </c>
      <c r="S12" s="2188" t="s">
        <v>71</v>
      </c>
      <c r="U12" s="1540">
        <v>8</v>
      </c>
      <c r="V12" s="1540">
        <v>7</v>
      </c>
      <c r="W12" s="1540">
        <v>6</v>
      </c>
      <c r="X12" s="1540">
        <v>6</v>
      </c>
    </row>
    <row r="13" spans="1:24" ht="12" hidden="1" customHeight="1">
      <c r="A13" s="2188" t="s">
        <v>1122</v>
      </c>
      <c r="C13" s="2188">
        <v>36541</v>
      </c>
      <c r="D13" s="1540">
        <v>5700</v>
      </c>
      <c r="E13" s="1540">
        <v>10452</v>
      </c>
      <c r="F13" s="1540" t="s">
        <v>396</v>
      </c>
      <c r="H13" s="2197">
        <f t="shared" si="0"/>
        <v>4.509870471277206E-2</v>
      </c>
      <c r="I13" s="2197">
        <f t="shared" si="0"/>
        <v>8.1167790911770617E-3</v>
      </c>
      <c r="J13" s="2197">
        <f t="shared" si="0"/>
        <v>1.5140957797404946E-2</v>
      </c>
      <c r="K13" s="2197" t="s">
        <v>396</v>
      </c>
      <c r="L13" s="2198"/>
      <c r="M13" s="1540">
        <v>5</v>
      </c>
      <c r="N13" s="1540">
        <v>1</v>
      </c>
      <c r="O13" s="1540">
        <v>0</v>
      </c>
      <c r="P13" s="1540" t="s">
        <v>396</v>
      </c>
      <c r="U13" s="1540" t="s">
        <v>396</v>
      </c>
      <c r="V13" s="1540">
        <v>0</v>
      </c>
      <c r="W13" s="1540">
        <v>1</v>
      </c>
      <c r="X13" s="1540">
        <v>5</v>
      </c>
    </row>
    <row r="14" spans="1:24" ht="12" hidden="1" customHeight="1">
      <c r="A14" s="2188" t="s">
        <v>1123</v>
      </c>
      <c r="C14" s="2188">
        <v>20634</v>
      </c>
      <c r="D14" s="1540">
        <v>8032</v>
      </c>
      <c r="E14" s="1540">
        <v>3822</v>
      </c>
      <c r="F14" s="1540">
        <v>1493</v>
      </c>
      <c r="H14" s="2197">
        <f t="shared" si="0"/>
        <v>2.5466371282760154E-2</v>
      </c>
      <c r="I14" s="2197">
        <f t="shared" si="0"/>
        <v>1.1437538536900729E-2</v>
      </c>
      <c r="J14" s="2197">
        <f t="shared" si="0"/>
        <v>5.5366188960659871E-3</v>
      </c>
      <c r="K14" s="2197">
        <f>F14/$F$19</f>
        <v>2.256193576270828E-3</v>
      </c>
      <c r="L14" s="2198"/>
      <c r="M14" s="1540">
        <v>2</v>
      </c>
      <c r="N14" s="1540">
        <v>1</v>
      </c>
      <c r="O14" s="1540">
        <v>1</v>
      </c>
      <c r="P14" s="1540">
        <v>0</v>
      </c>
      <c r="U14" s="1540">
        <v>0</v>
      </c>
      <c r="V14" s="1540">
        <v>1</v>
      </c>
      <c r="W14" s="1540">
        <v>1</v>
      </c>
      <c r="X14" s="1540">
        <v>2</v>
      </c>
    </row>
    <row r="15" spans="1:24" ht="12" hidden="1" customHeight="1">
      <c r="A15" s="2188" t="s">
        <v>28</v>
      </c>
      <c r="C15" s="2188">
        <v>60471</v>
      </c>
      <c r="D15" s="1540">
        <v>47965</v>
      </c>
      <c r="E15" s="1540">
        <f>16249+11985+5744+3457+2045+1229+975+774+473+221+123+22</f>
        <v>43297</v>
      </c>
      <c r="F15" s="1540">
        <v>50891</v>
      </c>
      <c r="H15" s="2197">
        <f t="shared" si="0"/>
        <v>7.4632981382174529E-2</v>
      </c>
      <c r="I15" s="2197">
        <f t="shared" si="0"/>
        <v>6.8301984054089077E-2</v>
      </c>
      <c r="J15" s="2197">
        <f t="shared" si="0"/>
        <v>6.2720823742273432E-2</v>
      </c>
      <c r="K15" s="2197">
        <f>F15/$F$19</f>
        <v>7.6905523971867853E-2</v>
      </c>
      <c r="L15" s="2198"/>
      <c r="M15" s="1540">
        <v>5</v>
      </c>
      <c r="N15" s="1540">
        <v>1</v>
      </c>
      <c r="O15" s="1540">
        <v>2</v>
      </c>
      <c r="P15" s="1540">
        <v>3</v>
      </c>
      <c r="U15" s="1540">
        <v>3</v>
      </c>
      <c r="V15" s="1540">
        <v>2</v>
      </c>
      <c r="W15" s="1540">
        <v>1</v>
      </c>
      <c r="X15" s="1540">
        <v>5</v>
      </c>
    </row>
    <row r="16" spans="1:24" ht="3.75" hidden="1" customHeight="1">
      <c r="K16" s="2197"/>
      <c r="L16" s="2193"/>
      <c r="M16" s="2193"/>
      <c r="X16" s="2193"/>
    </row>
    <row r="17" spans="1:25" ht="12" customHeight="1">
      <c r="A17" s="2188" t="s">
        <v>12</v>
      </c>
      <c r="C17" s="2188">
        <f>C15+C14+C13</f>
        <v>117646</v>
      </c>
      <c r="D17" s="2188">
        <f>D15+D14+D13</f>
        <v>61697</v>
      </c>
      <c r="E17" s="2188">
        <f>E15+E14+E13</f>
        <v>57571</v>
      </c>
      <c r="F17" s="2188">
        <f>F15+F14</f>
        <v>52384</v>
      </c>
      <c r="H17" s="2197">
        <f>+C17/C$19</f>
        <v>0.14519805737770675</v>
      </c>
      <c r="I17" s="2197">
        <f>+D17/D$19</f>
        <v>8.7856301682166862E-2</v>
      </c>
      <c r="J17" s="2197">
        <f>+E17/E$19</f>
        <v>8.3398400435744369E-2</v>
      </c>
      <c r="K17" s="2197">
        <f>F17/$F$19</f>
        <v>7.916171754813868E-2</v>
      </c>
      <c r="L17" s="2193"/>
      <c r="M17" s="2188">
        <f>M15+M14+M13</f>
        <v>12</v>
      </c>
      <c r="N17" s="2188">
        <f>N15+N14+N13</f>
        <v>3</v>
      </c>
      <c r="O17" s="2188">
        <f>O15+O14+O13</f>
        <v>3</v>
      </c>
      <c r="P17" s="2188">
        <f>P15+P14</f>
        <v>3</v>
      </c>
      <c r="S17" s="2188" t="s">
        <v>12</v>
      </c>
      <c r="U17" s="2188">
        <f>U15+U14</f>
        <v>3</v>
      </c>
      <c r="V17" s="2188">
        <f>V15+V14+V13</f>
        <v>3</v>
      </c>
      <c r="W17" s="2188">
        <f>W15+W14+W13</f>
        <v>3</v>
      </c>
      <c r="X17" s="2188">
        <f>X15+X14+X13</f>
        <v>12</v>
      </c>
    </row>
    <row r="18" spans="1:25" ht="2.25" customHeight="1">
      <c r="K18" s="2197"/>
      <c r="L18" s="2193"/>
      <c r="M18" s="2193"/>
      <c r="X18" s="2193"/>
    </row>
    <row r="19" spans="1:25">
      <c r="A19" s="2188" t="s">
        <v>16</v>
      </c>
      <c r="C19" s="1540">
        <v>810245</v>
      </c>
      <c r="D19" s="1540">
        <v>702249</v>
      </c>
      <c r="E19" s="1540">
        <v>690313</v>
      </c>
      <c r="F19" s="1540">
        <v>661734</v>
      </c>
      <c r="H19" s="2199">
        <v>1</v>
      </c>
      <c r="I19" s="2199">
        <v>1</v>
      </c>
      <c r="J19" s="2199">
        <v>0.99999999999999989</v>
      </c>
      <c r="K19" s="2197">
        <v>1</v>
      </c>
      <c r="L19" s="2200"/>
      <c r="M19" s="1540">
        <v>108</v>
      </c>
      <c r="N19" s="1540">
        <v>108</v>
      </c>
      <c r="O19" s="1540">
        <v>108</v>
      </c>
      <c r="P19" s="1540">
        <v>108</v>
      </c>
      <c r="S19" s="2188" t="s">
        <v>16</v>
      </c>
      <c r="U19" s="1540">
        <v>108</v>
      </c>
      <c r="V19" s="1540">
        <v>108</v>
      </c>
      <c r="W19" s="1540">
        <v>108</v>
      </c>
      <c r="X19" s="1540">
        <v>108</v>
      </c>
    </row>
    <row r="20" spans="1:25" ht="6" customHeight="1">
      <c r="C20" s="1540"/>
      <c r="H20" s="2199"/>
      <c r="I20" s="2199"/>
      <c r="J20" s="2199"/>
      <c r="K20" s="2197"/>
      <c r="L20" s="2200"/>
    </row>
    <row r="21" spans="1:25">
      <c r="A21" s="2188" t="s">
        <v>219</v>
      </c>
      <c r="C21" s="2201">
        <v>0.7</v>
      </c>
      <c r="D21" s="2201">
        <v>0.64</v>
      </c>
      <c r="E21" s="2201">
        <v>0.62308015856969556</v>
      </c>
      <c r="F21" s="2201">
        <v>0.54688353557700808</v>
      </c>
      <c r="H21" s="2199"/>
      <c r="I21" s="2199"/>
      <c r="J21" s="2199"/>
      <c r="K21" s="2197"/>
      <c r="L21" s="2200"/>
    </row>
    <row r="22" spans="1:25" ht="4.5" customHeight="1">
      <c r="A22" s="2202"/>
      <c r="B22" s="2202"/>
      <c r="C22" s="2202"/>
      <c r="D22" s="2203"/>
      <c r="E22" s="2203"/>
      <c r="F22" s="2203"/>
      <c r="G22" s="2203"/>
      <c r="H22" s="2203"/>
      <c r="I22" s="2203"/>
      <c r="J22" s="2203"/>
      <c r="K22" s="2203"/>
      <c r="L22" s="2203"/>
      <c r="M22" s="2202"/>
      <c r="N22" s="2202"/>
      <c r="O22" s="2202"/>
      <c r="P22" s="2202"/>
      <c r="U22" s="2202"/>
      <c r="V22" s="2202"/>
      <c r="W22" s="2202"/>
      <c r="X22" s="2202"/>
    </row>
    <row r="23" spans="1:25" ht="3" customHeight="1"/>
    <row r="24" spans="1:25" s="2204" customFormat="1" ht="11.25" customHeight="1">
      <c r="A24" s="2204" t="s">
        <v>1114</v>
      </c>
      <c r="D24" s="2205"/>
      <c r="E24" s="2205"/>
      <c r="F24" s="2205"/>
      <c r="G24" s="2205"/>
      <c r="H24" s="2205"/>
      <c r="I24" s="2205"/>
      <c r="J24" s="2205"/>
      <c r="K24" s="2205"/>
      <c r="L24" s="2205"/>
      <c r="M24" s="2205"/>
      <c r="N24" s="2205"/>
      <c r="O24" s="2205"/>
      <c r="P24" s="2205"/>
      <c r="U24" s="2205"/>
      <c r="V24" s="2205"/>
      <c r="W24" s="2205"/>
      <c r="X24" s="2205"/>
    </row>
    <row r="25" spans="1:25" ht="11.25" customHeight="1">
      <c r="A25" s="2161" t="s">
        <v>2331</v>
      </c>
    </row>
    <row r="26" spans="1:25" ht="11.25" customHeight="1">
      <c r="A26" s="949" t="s">
        <v>1124</v>
      </c>
    </row>
    <row r="28" spans="1:25">
      <c r="A28" s="2188" t="s">
        <v>177</v>
      </c>
      <c r="E28" s="1540">
        <v>1107904</v>
      </c>
      <c r="F28" s="1540">
        <v>1210009</v>
      </c>
    </row>
    <row r="31" spans="1:25" ht="28">
      <c r="A31" s="2128" t="s">
        <v>21</v>
      </c>
      <c r="B31" s="1058" t="s">
        <v>196</v>
      </c>
      <c r="C31" s="1058"/>
      <c r="U31" s="2194"/>
      <c r="V31" s="2194"/>
      <c r="W31" s="2194"/>
      <c r="X31" s="2194" t="s">
        <v>56</v>
      </c>
    </row>
    <row r="32" spans="1:25" ht="14">
      <c r="B32" s="2206" t="s">
        <v>152</v>
      </c>
      <c r="C32" s="2206"/>
      <c r="T32" s="2207">
        <v>2017</v>
      </c>
      <c r="U32" s="883">
        <v>2016</v>
      </c>
      <c r="V32" s="2195">
        <v>2011</v>
      </c>
      <c r="W32" s="2195">
        <v>2007</v>
      </c>
      <c r="X32" s="2195">
        <v>2003</v>
      </c>
      <c r="Y32" s="2195">
        <v>1998</v>
      </c>
    </row>
    <row r="33" spans="2:25">
      <c r="S33" s="2188" t="s">
        <v>1092</v>
      </c>
      <c r="T33" s="2188">
        <v>28</v>
      </c>
      <c r="U33" s="2188">
        <v>38</v>
      </c>
      <c r="V33" s="1540">
        <v>38</v>
      </c>
      <c r="W33" s="1540">
        <v>36</v>
      </c>
      <c r="X33" s="1540">
        <v>30</v>
      </c>
      <c r="Y33" s="1540">
        <v>20</v>
      </c>
    </row>
    <row r="34" spans="2:25" ht="16">
      <c r="B34" s="1033" t="s">
        <v>981</v>
      </c>
      <c r="S34" s="2188" t="s">
        <v>151</v>
      </c>
      <c r="T34" s="2188">
        <v>27</v>
      </c>
      <c r="U34" s="2188">
        <v>28</v>
      </c>
      <c r="V34" s="1540">
        <v>29</v>
      </c>
      <c r="W34" s="1540">
        <v>28</v>
      </c>
      <c r="X34" s="1540">
        <v>24</v>
      </c>
      <c r="Y34" s="1540">
        <v>18</v>
      </c>
    </row>
    <row r="35" spans="2:25">
      <c r="S35" s="2188" t="s">
        <v>1066</v>
      </c>
      <c r="T35" s="2188">
        <v>10</v>
      </c>
      <c r="U35" s="2188">
        <v>16</v>
      </c>
      <c r="V35" s="1540">
        <v>16</v>
      </c>
      <c r="W35" s="1540">
        <v>18</v>
      </c>
      <c r="X35" s="1540">
        <v>27</v>
      </c>
      <c r="Y35" s="1540">
        <v>28</v>
      </c>
    </row>
    <row r="36" spans="2:25">
      <c r="S36" s="2188" t="s">
        <v>113</v>
      </c>
      <c r="T36" s="2188">
        <v>12</v>
      </c>
      <c r="U36" s="2188">
        <v>12</v>
      </c>
      <c r="V36" s="1540">
        <v>14</v>
      </c>
      <c r="W36" s="1540">
        <v>16</v>
      </c>
      <c r="X36" s="1540">
        <v>18</v>
      </c>
      <c r="Y36" s="1540">
        <v>24</v>
      </c>
    </row>
    <row r="37" spans="2:25">
      <c r="S37" s="2188" t="s">
        <v>71</v>
      </c>
      <c r="T37" s="2188">
        <v>8</v>
      </c>
      <c r="U37" s="2188">
        <v>8</v>
      </c>
      <c r="V37" s="1540">
        <v>8</v>
      </c>
      <c r="W37" s="1540">
        <v>7</v>
      </c>
      <c r="X37" s="1540">
        <v>6</v>
      </c>
      <c r="Y37" s="1540">
        <v>6</v>
      </c>
    </row>
    <row r="38" spans="2:25">
      <c r="S38" s="2188" t="s">
        <v>12</v>
      </c>
      <c r="T38" s="2188">
        <v>5</v>
      </c>
      <c r="U38" s="2188">
        <v>6</v>
      </c>
      <c r="V38" s="2188">
        <v>3</v>
      </c>
      <c r="W38" s="2188">
        <v>3</v>
      </c>
      <c r="X38" s="2188">
        <v>3</v>
      </c>
      <c r="Y38" s="2188">
        <v>12</v>
      </c>
    </row>
    <row r="39" spans="2:25">
      <c r="U39" s="2188"/>
      <c r="Y39" s="2193"/>
    </row>
    <row r="40" spans="2:25">
      <c r="S40" s="2188" t="s">
        <v>16</v>
      </c>
      <c r="T40" s="2188">
        <v>90</v>
      </c>
      <c r="U40" s="2188">
        <f>SUM(U33:U38)</f>
        <v>108</v>
      </c>
      <c r="V40" s="1540">
        <v>108</v>
      </c>
      <c r="W40" s="1540">
        <v>108</v>
      </c>
      <c r="X40" s="1540">
        <v>108</v>
      </c>
      <c r="Y40" s="1540">
        <v>108</v>
      </c>
    </row>
    <row r="43" spans="2:25">
      <c r="D43" s="2188"/>
      <c r="E43" s="2188"/>
      <c r="F43" s="2188"/>
      <c r="G43" s="2188"/>
      <c r="H43" s="2188"/>
    </row>
  </sheetData>
  <mergeCells count="3">
    <mergeCell ref="C5:F5"/>
    <mergeCell ref="H5:K5"/>
    <mergeCell ref="M5:P5"/>
  </mergeCells>
  <pageMargins left="0.75" right="0.75" top="1" bottom="1" header="0.5" footer="0.5"/>
  <pageSetup paperSize="9" orientation="portrait" horizont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dimension ref="A1:M64"/>
  <sheetViews>
    <sheetView showGridLines="0" zoomScale="70" zoomScaleNormal="70" workbookViewId="0">
      <selection activeCell="O68" sqref="O68"/>
    </sheetView>
  </sheetViews>
  <sheetFormatPr baseColWidth="10" defaultColWidth="9" defaultRowHeight="13"/>
  <cols>
    <col min="1" max="2" width="9.3984375" style="658" customWidth="1"/>
    <col min="3" max="3" width="9" style="658" customWidth="1"/>
    <col min="4" max="4" width="5.3984375" style="658" customWidth="1"/>
    <col min="5" max="5" width="11.59765625" style="658" customWidth="1"/>
    <col min="6" max="6" width="0.796875" style="658" customWidth="1"/>
    <col min="7" max="10" width="11.19921875" style="658" customWidth="1"/>
    <col min="11" max="11" width="10.19921875" style="658" customWidth="1"/>
    <col min="12" max="12" width="11.3984375" bestFit="1" customWidth="1"/>
  </cols>
  <sheetData>
    <row r="1" spans="1:12" ht="27">
      <c r="A1" s="3468" t="s">
        <v>1093</v>
      </c>
      <c r="B1" s="3468"/>
      <c r="C1" s="3468"/>
      <c r="D1" s="3468"/>
      <c r="E1" s="3468"/>
      <c r="F1" s="3468"/>
      <c r="G1" s="3468"/>
      <c r="H1" s="3468"/>
      <c r="I1" s="3468"/>
      <c r="J1" s="3468"/>
      <c r="K1" s="3468"/>
    </row>
    <row r="2" spans="1:12" ht="27">
      <c r="A2" s="712"/>
      <c r="B2" s="712"/>
      <c r="C2" s="712"/>
      <c r="D2" s="712"/>
      <c r="E2" s="712"/>
      <c r="F2" s="712"/>
      <c r="G2" s="712"/>
      <c r="H2" s="712"/>
      <c r="I2" s="712"/>
      <c r="J2" s="712"/>
      <c r="K2" s="712"/>
    </row>
    <row r="3" spans="1:12">
      <c r="A3" s="3469"/>
      <c r="B3" s="3465"/>
      <c r="C3" s="3465"/>
      <c r="D3" s="713" t="s">
        <v>1896</v>
      </c>
      <c r="E3" s="713"/>
      <c r="F3" s="713"/>
      <c r="G3" s="714"/>
      <c r="H3" s="714"/>
      <c r="I3" s="714"/>
      <c r="J3" s="714"/>
      <c r="K3" s="714"/>
    </row>
    <row r="4" spans="1:12">
      <c r="A4" s="3465"/>
      <c r="B4" s="3465"/>
      <c r="C4" s="3465"/>
      <c r="D4" s="715"/>
      <c r="E4" s="715"/>
      <c r="F4" s="715"/>
      <c r="G4" s="716">
        <v>1998</v>
      </c>
      <c r="H4" s="716">
        <v>2003</v>
      </c>
      <c r="I4" s="716">
        <v>2007</v>
      </c>
      <c r="J4" s="716">
        <v>2011</v>
      </c>
      <c r="K4" s="717">
        <v>2016</v>
      </c>
      <c r="L4" s="828">
        <v>2017</v>
      </c>
    </row>
    <row r="5" spans="1:12">
      <c r="A5" s="3465"/>
      <c r="B5" s="3465"/>
      <c r="C5" s="3465"/>
      <c r="D5" s="423" t="s">
        <v>1897</v>
      </c>
      <c r="F5" s="718" t="s">
        <v>1898</v>
      </c>
      <c r="G5" s="719">
        <v>20</v>
      </c>
      <c r="H5" s="719">
        <v>30</v>
      </c>
      <c r="I5" s="719">
        <v>36</v>
      </c>
      <c r="J5" s="719">
        <v>38</v>
      </c>
      <c r="K5" s="719">
        <v>38</v>
      </c>
      <c r="L5" s="829">
        <v>28</v>
      </c>
    </row>
    <row r="6" spans="1:12">
      <c r="A6" s="3465"/>
      <c r="B6" s="3465"/>
      <c r="C6" s="3465"/>
      <c r="D6" s="423"/>
      <c r="F6" s="718" t="s">
        <v>153</v>
      </c>
      <c r="G6" s="698">
        <f>+G5/108</f>
        <v>0.18518518518518517</v>
      </c>
      <c r="H6" s="698">
        <f>+H5/108</f>
        <v>0.27777777777777779</v>
      </c>
      <c r="I6" s="698">
        <f>+I5/108</f>
        <v>0.33333333333333331</v>
      </c>
      <c r="J6" s="698">
        <f>+J5/108</f>
        <v>0.35185185185185186</v>
      </c>
      <c r="K6" s="698">
        <f>+K5/108</f>
        <v>0.35185185185185186</v>
      </c>
      <c r="L6" s="830">
        <v>0.311</v>
      </c>
    </row>
    <row r="7" spans="1:12">
      <c r="A7" s="3465"/>
      <c r="B7" s="3465"/>
      <c r="C7" s="3465"/>
      <c r="D7" s="720" t="s">
        <v>1899</v>
      </c>
      <c r="F7" s="718" t="s">
        <v>1898</v>
      </c>
      <c r="G7" s="719">
        <v>146917</v>
      </c>
      <c r="H7" s="719">
        <v>177944</v>
      </c>
      <c r="I7" s="719">
        <v>207721</v>
      </c>
      <c r="J7" s="719">
        <v>198436</v>
      </c>
      <c r="K7" s="719">
        <v>202567</v>
      </c>
      <c r="L7" s="829">
        <v>225413</v>
      </c>
    </row>
    <row r="8" spans="1:12">
      <c r="A8" s="3465"/>
      <c r="B8" s="3465"/>
      <c r="C8" s="3465"/>
      <c r="D8" s="721"/>
      <c r="F8" s="718" t="s">
        <v>153</v>
      </c>
      <c r="G8" s="421">
        <v>0.18132416738147103</v>
      </c>
      <c r="H8" s="421">
        <v>0.25339160326323001</v>
      </c>
      <c r="I8" s="421">
        <v>0.30090842849547961</v>
      </c>
      <c r="J8" s="421">
        <v>0.29987275854044071</v>
      </c>
      <c r="K8" s="421">
        <v>0.29175296337370915</v>
      </c>
      <c r="L8" s="830">
        <v>0.28100000000000003</v>
      </c>
    </row>
    <row r="9" spans="1:12">
      <c r="A9" s="3465"/>
      <c r="B9" s="3465"/>
      <c r="C9" s="3465"/>
      <c r="D9" s="423" t="s">
        <v>1900</v>
      </c>
      <c r="E9" s="423"/>
      <c r="F9" s="718" t="s">
        <v>1898</v>
      </c>
      <c r="G9" s="719">
        <v>1</v>
      </c>
      <c r="H9" s="719">
        <v>3</v>
      </c>
      <c r="I9" s="719">
        <v>3</v>
      </c>
      <c r="J9" s="719">
        <v>5</v>
      </c>
      <c r="K9" s="719">
        <v>8</v>
      </c>
      <c r="L9" s="829">
        <v>6</v>
      </c>
    </row>
    <row r="10" spans="1:12">
      <c r="A10" s="3465"/>
      <c r="B10" s="3465"/>
      <c r="C10" s="3465"/>
      <c r="D10" s="715" t="s">
        <v>1901</v>
      </c>
      <c r="E10" s="715"/>
      <c r="F10" s="716" t="s">
        <v>153</v>
      </c>
      <c r="G10" s="722">
        <f>+G9/G5</f>
        <v>0.05</v>
      </c>
      <c r="H10" s="722">
        <f>+H9/H5</f>
        <v>0.1</v>
      </c>
      <c r="I10" s="722">
        <f>+I9/I5</f>
        <v>8.3333333333333329E-2</v>
      </c>
      <c r="J10" s="722">
        <f>+J9/J5</f>
        <v>0.13157894736842105</v>
      </c>
      <c r="K10" s="722">
        <f>+K9/K5</f>
        <v>0.21052631578947367</v>
      </c>
      <c r="L10" s="830">
        <v>0.21</v>
      </c>
    </row>
    <row r="11" spans="1:12" ht="27">
      <c r="A11" s="723" t="s">
        <v>151</v>
      </c>
      <c r="B11" s="723"/>
      <c r="C11" s="723"/>
      <c r="D11" s="723"/>
      <c r="E11" s="723"/>
      <c r="F11" s="723"/>
      <c r="G11" s="723"/>
      <c r="H11" s="723"/>
      <c r="I11" s="723"/>
      <c r="J11" s="723"/>
      <c r="K11" s="723"/>
    </row>
    <row r="12" spans="1:12">
      <c r="A12" s="3469"/>
      <c r="B12" s="3465"/>
      <c r="C12" s="3465"/>
      <c r="D12" s="713" t="s">
        <v>1896</v>
      </c>
      <c r="E12" s="713"/>
      <c r="F12" s="713"/>
      <c r="G12" s="714"/>
      <c r="H12" s="714"/>
      <c r="I12" s="714"/>
      <c r="J12" s="714"/>
      <c r="K12" s="714"/>
    </row>
    <row r="13" spans="1:12">
      <c r="A13" s="3465"/>
      <c r="B13" s="3465"/>
      <c r="C13" s="3465"/>
      <c r="D13" s="715"/>
      <c r="E13" s="715"/>
      <c r="F13" s="715"/>
      <c r="G13" s="716">
        <v>1998</v>
      </c>
      <c r="H13" s="716">
        <v>2003</v>
      </c>
      <c r="I13" s="716">
        <v>2007</v>
      </c>
      <c r="J13" s="716">
        <v>2011</v>
      </c>
      <c r="K13" s="717">
        <v>2016</v>
      </c>
      <c r="L13" s="828">
        <v>2017</v>
      </c>
    </row>
    <row r="14" spans="1:12">
      <c r="A14" s="3465"/>
      <c r="B14" s="3465"/>
      <c r="C14" s="3465"/>
      <c r="D14" s="423" t="s">
        <v>1897</v>
      </c>
      <c r="F14" s="718" t="s">
        <v>1898</v>
      </c>
      <c r="G14" s="719">
        <v>18</v>
      </c>
      <c r="H14" s="719">
        <v>24</v>
      </c>
      <c r="I14" s="719">
        <v>28</v>
      </c>
      <c r="J14" s="719">
        <v>29</v>
      </c>
      <c r="K14" s="719">
        <v>28</v>
      </c>
      <c r="L14" s="829">
        <v>27</v>
      </c>
    </row>
    <row r="15" spans="1:12">
      <c r="A15" s="3465"/>
      <c r="B15" s="3465"/>
      <c r="C15" s="3465"/>
      <c r="D15" s="423"/>
      <c r="F15" s="718" t="s">
        <v>153</v>
      </c>
      <c r="G15" s="698">
        <f>+G14/108</f>
        <v>0.16666666666666666</v>
      </c>
      <c r="H15" s="698">
        <f>+H14/108</f>
        <v>0.22222222222222221</v>
      </c>
      <c r="I15" s="698">
        <f>+I14/108</f>
        <v>0.25925925925925924</v>
      </c>
      <c r="J15" s="698">
        <f>+J14/108</f>
        <v>0.26851851851851855</v>
      </c>
      <c r="K15" s="698">
        <f>+K14/108</f>
        <v>0.25925925925925924</v>
      </c>
      <c r="L15" s="830">
        <v>0.3</v>
      </c>
    </row>
    <row r="16" spans="1:12">
      <c r="A16" s="3465"/>
      <c r="B16" s="3465"/>
      <c r="C16" s="3465"/>
      <c r="D16" s="720" t="s">
        <v>1899</v>
      </c>
      <c r="F16" s="718" t="s">
        <v>1898</v>
      </c>
      <c r="G16" s="719">
        <v>142858</v>
      </c>
      <c r="H16" s="719">
        <v>162758</v>
      </c>
      <c r="I16" s="719">
        <v>180573</v>
      </c>
      <c r="J16" s="719">
        <v>178222</v>
      </c>
      <c r="K16" s="719">
        <v>166785</v>
      </c>
      <c r="L16" s="829">
        <v>224245</v>
      </c>
    </row>
    <row r="17" spans="1:12">
      <c r="A17" s="3465"/>
      <c r="B17" s="3465"/>
      <c r="C17" s="3465"/>
      <c r="D17" s="721"/>
      <c r="F17" s="718" t="s">
        <v>153</v>
      </c>
      <c r="G17" s="421">
        <v>0.17631457151849131</v>
      </c>
      <c r="H17" s="421">
        <v>0.23176679496873617</v>
      </c>
      <c r="I17" s="421">
        <v>0.26158134063823224</v>
      </c>
      <c r="J17" s="421">
        <v>0.26932574115883423</v>
      </c>
      <c r="K17" s="421">
        <v>0.24021690599300025</v>
      </c>
      <c r="L17" s="830">
        <v>0.27900000000000003</v>
      </c>
    </row>
    <row r="18" spans="1:12">
      <c r="A18" s="3465"/>
      <c r="B18" s="3465"/>
      <c r="C18" s="3465"/>
      <c r="D18" s="423" t="s">
        <v>1900</v>
      </c>
      <c r="E18" s="423"/>
      <c r="F18" s="718" t="s">
        <v>1898</v>
      </c>
      <c r="G18" s="724">
        <v>5</v>
      </c>
      <c r="H18" s="724">
        <v>9</v>
      </c>
      <c r="I18" s="724">
        <v>8</v>
      </c>
      <c r="J18" s="724">
        <v>8</v>
      </c>
      <c r="K18" s="719">
        <v>10</v>
      </c>
      <c r="L18" s="724">
        <v>11</v>
      </c>
    </row>
    <row r="19" spans="1:12">
      <c r="A19" s="3465"/>
      <c r="B19" s="3465"/>
      <c r="C19" s="3465"/>
      <c r="D19" s="715" t="s">
        <v>1901</v>
      </c>
      <c r="E19" s="715"/>
      <c r="F19" s="716" t="s">
        <v>153</v>
      </c>
      <c r="G19" s="722">
        <f>+G18/G14</f>
        <v>0.27777777777777779</v>
      </c>
      <c r="H19" s="722">
        <f>+H18/H14</f>
        <v>0.375</v>
      </c>
      <c r="I19" s="722">
        <f>+I18/I14</f>
        <v>0.2857142857142857</v>
      </c>
      <c r="J19" s="722">
        <f>+J18/J14</f>
        <v>0.27586206896551724</v>
      </c>
      <c r="K19" s="722">
        <f>+K18/K14</f>
        <v>0.35714285714285715</v>
      </c>
      <c r="L19" s="830">
        <v>0.41</v>
      </c>
    </row>
    <row r="20" spans="1:12" ht="27">
      <c r="A20" s="725" t="s">
        <v>1094</v>
      </c>
      <c r="B20" s="725"/>
      <c r="C20" s="725"/>
      <c r="D20" s="725"/>
      <c r="E20" s="725"/>
      <c r="F20" s="725"/>
      <c r="G20" s="725"/>
      <c r="H20" s="725"/>
      <c r="I20" s="725"/>
      <c r="J20" s="725"/>
      <c r="K20" s="725"/>
    </row>
    <row r="21" spans="1:12">
      <c r="A21" s="3466"/>
      <c r="B21" s="3465"/>
      <c r="C21" s="3465"/>
      <c r="D21" s="713" t="s">
        <v>1896</v>
      </c>
      <c r="E21" s="713"/>
      <c r="F21" s="713"/>
      <c r="G21" s="714"/>
      <c r="H21" s="714"/>
      <c r="I21" s="714"/>
      <c r="J21" s="714"/>
      <c r="K21" s="714"/>
    </row>
    <row r="22" spans="1:12">
      <c r="A22" s="3465"/>
      <c r="B22" s="3465"/>
      <c r="C22" s="3465"/>
      <c r="D22" s="715"/>
      <c r="E22" s="715"/>
      <c r="F22" s="715"/>
      <c r="G22" s="716">
        <v>1998</v>
      </c>
      <c r="H22" s="716">
        <v>2003</v>
      </c>
      <c r="I22" s="716">
        <v>2007</v>
      </c>
      <c r="J22" s="716">
        <v>2011</v>
      </c>
      <c r="K22" s="717">
        <v>2016</v>
      </c>
      <c r="L22" s="828">
        <v>2017</v>
      </c>
    </row>
    <row r="23" spans="1:12">
      <c r="A23" s="3465"/>
      <c r="B23" s="3465"/>
      <c r="C23" s="3465"/>
      <c r="D23" s="423" t="s">
        <v>1897</v>
      </c>
      <c r="F23" s="718" t="s">
        <v>1898</v>
      </c>
      <c r="G23" s="719">
        <v>28</v>
      </c>
      <c r="H23" s="719">
        <v>27</v>
      </c>
      <c r="I23" s="719">
        <v>18</v>
      </c>
      <c r="J23" s="719">
        <v>16</v>
      </c>
      <c r="K23" s="719">
        <v>16</v>
      </c>
      <c r="L23" s="829">
        <v>10</v>
      </c>
    </row>
    <row r="24" spans="1:12">
      <c r="A24" s="3465"/>
      <c r="B24" s="3465"/>
      <c r="C24" s="3465"/>
      <c r="D24" s="423"/>
      <c r="F24" s="718" t="s">
        <v>153</v>
      </c>
      <c r="G24" s="698">
        <f>+G23/108</f>
        <v>0.25925925925925924</v>
      </c>
      <c r="H24" s="698">
        <f>+H23/108</f>
        <v>0.25</v>
      </c>
      <c r="I24" s="698">
        <f>+I23/108</f>
        <v>0.16666666666666666</v>
      </c>
      <c r="J24" s="698">
        <f>+J23/108</f>
        <v>0.14814814814814814</v>
      </c>
      <c r="K24" s="698">
        <f>+K23/108</f>
        <v>0.14814814814814814</v>
      </c>
      <c r="L24" s="830">
        <v>0.111</v>
      </c>
    </row>
    <row r="25" spans="1:12">
      <c r="A25" s="3465"/>
      <c r="B25" s="3465"/>
      <c r="C25" s="3465"/>
      <c r="D25" s="720" t="s">
        <v>1899</v>
      </c>
      <c r="F25" s="718" t="s">
        <v>1898</v>
      </c>
      <c r="G25" s="719">
        <v>172225</v>
      </c>
      <c r="H25" s="719">
        <v>156931</v>
      </c>
      <c r="I25" s="719">
        <v>103145</v>
      </c>
      <c r="J25" s="719">
        <v>87531</v>
      </c>
      <c r="K25" s="719">
        <v>87302</v>
      </c>
      <c r="L25" s="829">
        <v>103314</v>
      </c>
    </row>
    <row r="26" spans="1:12">
      <c r="A26" s="3465"/>
      <c r="B26" s="3465"/>
      <c r="C26" s="3465"/>
      <c r="D26" s="721"/>
      <c r="F26" s="718" t="s">
        <v>153</v>
      </c>
      <c r="G26" s="421">
        <v>0.21255916420341994</v>
      </c>
      <c r="H26" s="421">
        <v>0.22346916834342234</v>
      </c>
      <c r="I26" s="421">
        <v>0.14941772790024235</v>
      </c>
      <c r="J26" s="421">
        <v>0.13227520423614322</v>
      </c>
      <c r="K26" s="421">
        <v>0.12573922311359478</v>
      </c>
      <c r="L26" s="830">
        <v>0.129</v>
      </c>
    </row>
    <row r="27" spans="1:12">
      <c r="A27" s="3465"/>
      <c r="B27" s="3465"/>
      <c r="C27" s="3465"/>
      <c r="D27" s="423" t="s">
        <v>1900</v>
      </c>
      <c r="E27" s="423"/>
      <c r="F27" s="718" t="s">
        <v>1898</v>
      </c>
      <c r="G27" s="724">
        <v>2</v>
      </c>
      <c r="H27" s="724">
        <v>1</v>
      </c>
      <c r="I27" s="726">
        <v>0</v>
      </c>
      <c r="J27" s="724">
        <v>2</v>
      </c>
      <c r="K27" s="719">
        <v>4</v>
      </c>
      <c r="L27" s="724">
        <v>1</v>
      </c>
    </row>
    <row r="28" spans="1:12">
      <c r="A28" s="3465"/>
      <c r="B28" s="3465"/>
      <c r="C28" s="3465"/>
      <c r="D28" s="715" t="s">
        <v>1901</v>
      </c>
      <c r="E28" s="715"/>
      <c r="F28" s="716" t="s">
        <v>153</v>
      </c>
      <c r="G28" s="483">
        <f>+G27/G23</f>
        <v>7.1428571428571425E-2</v>
      </c>
      <c r="H28" s="483">
        <f>+H27/H23</f>
        <v>3.7037037037037035E-2</v>
      </c>
      <c r="I28" s="483">
        <f>+I27/I23</f>
        <v>0</v>
      </c>
      <c r="J28" s="483">
        <f>+J27/J23</f>
        <v>0.125</v>
      </c>
      <c r="K28" s="722">
        <f>+K27/K23</f>
        <v>0.25</v>
      </c>
      <c r="L28" s="830">
        <v>0.1</v>
      </c>
    </row>
    <row r="29" spans="1:12" ht="27">
      <c r="A29" s="3467" t="s">
        <v>1303</v>
      </c>
      <c r="B29" s="3467"/>
      <c r="C29" s="3467"/>
      <c r="D29" s="3467"/>
      <c r="E29" s="3467"/>
      <c r="F29" s="3467"/>
      <c r="G29" s="3467"/>
      <c r="H29" s="3467"/>
      <c r="I29" s="3467"/>
      <c r="J29" s="3467"/>
      <c r="K29" s="3467"/>
    </row>
    <row r="30" spans="1:12">
      <c r="A30" s="3464"/>
      <c r="B30" s="3465"/>
      <c r="C30" s="3465"/>
      <c r="D30" s="713" t="s">
        <v>1896</v>
      </c>
      <c r="E30" s="713"/>
      <c r="F30" s="713"/>
      <c r="G30" s="714"/>
      <c r="H30" s="714"/>
      <c r="I30" s="714"/>
      <c r="J30" s="714"/>
      <c r="K30" s="714"/>
    </row>
    <row r="31" spans="1:12">
      <c r="A31" s="3465"/>
      <c r="B31" s="3465"/>
      <c r="C31" s="3465"/>
      <c r="D31" s="715"/>
      <c r="E31" s="715"/>
      <c r="F31" s="715"/>
      <c r="G31" s="716">
        <v>1998</v>
      </c>
      <c r="H31" s="716">
        <v>2003</v>
      </c>
      <c r="I31" s="716">
        <v>2007</v>
      </c>
      <c r="J31" s="716">
        <v>2011</v>
      </c>
      <c r="K31" s="717">
        <v>2016</v>
      </c>
      <c r="L31" s="828">
        <v>2017</v>
      </c>
    </row>
    <row r="32" spans="1:12">
      <c r="A32" s="3465"/>
      <c r="B32" s="3465"/>
      <c r="C32" s="3465"/>
      <c r="D32" s="423" t="s">
        <v>1897</v>
      </c>
      <c r="F32" s="718" t="s">
        <v>1898</v>
      </c>
      <c r="G32" s="719">
        <v>24</v>
      </c>
      <c r="H32" s="719">
        <v>18</v>
      </c>
      <c r="I32" s="719">
        <v>16</v>
      </c>
      <c r="J32" s="719">
        <v>14</v>
      </c>
      <c r="K32" s="719">
        <v>12</v>
      </c>
      <c r="L32" s="829">
        <v>12</v>
      </c>
    </row>
    <row r="33" spans="1:12">
      <c r="A33" s="3465"/>
      <c r="B33" s="3465"/>
      <c r="C33" s="3465"/>
      <c r="D33" s="423"/>
      <c r="F33" s="718" t="s">
        <v>153</v>
      </c>
      <c r="G33" s="698">
        <f>+G32/108</f>
        <v>0.22222222222222221</v>
      </c>
      <c r="H33" s="698">
        <f>+H32/108</f>
        <v>0.16666666666666666</v>
      </c>
      <c r="I33" s="698">
        <f>+I32/108</f>
        <v>0.14814814814814814</v>
      </c>
      <c r="J33" s="698">
        <f>+J32/108</f>
        <v>0.12962962962962962</v>
      </c>
      <c r="K33" s="698">
        <f>+K32/108</f>
        <v>0.1111111111111111</v>
      </c>
      <c r="L33" s="830">
        <v>0.13300000000000001</v>
      </c>
    </row>
    <row r="34" spans="1:12">
      <c r="A34" s="3465"/>
      <c r="B34" s="3465"/>
      <c r="C34" s="3465"/>
      <c r="D34" s="720" t="s">
        <v>1899</v>
      </c>
      <c r="F34" s="718" t="s">
        <v>1898</v>
      </c>
      <c r="G34" s="719">
        <v>177963</v>
      </c>
      <c r="H34" s="719">
        <v>117547</v>
      </c>
      <c r="I34" s="719">
        <v>105164</v>
      </c>
      <c r="J34" s="719">
        <v>94286</v>
      </c>
      <c r="K34" s="719">
        <v>83364</v>
      </c>
      <c r="L34" s="829">
        <v>95958</v>
      </c>
    </row>
    <row r="35" spans="1:12">
      <c r="A35" s="3465"/>
      <c r="B35" s="3465"/>
      <c r="C35" s="3465"/>
      <c r="D35" s="721"/>
      <c r="F35" s="718" t="s">
        <v>153</v>
      </c>
      <c r="G35" s="421">
        <v>0.21964097279218014</v>
      </c>
      <c r="H35" s="421">
        <v>0.16738649681238421</v>
      </c>
      <c r="I35" s="421">
        <v>0.15234248811770892</v>
      </c>
      <c r="J35" s="421">
        <v>0.14248323344425404</v>
      </c>
      <c r="K35" s="421">
        <v>0.1200674050496176</v>
      </c>
      <c r="L35" s="830">
        <v>0.11899999999999999</v>
      </c>
    </row>
    <row r="36" spans="1:12">
      <c r="A36" s="3465"/>
      <c r="B36" s="3465"/>
      <c r="C36" s="3465"/>
      <c r="D36" s="423" t="s">
        <v>1900</v>
      </c>
      <c r="E36" s="423"/>
      <c r="F36" s="718" t="s">
        <v>1898</v>
      </c>
      <c r="G36" s="727">
        <v>3</v>
      </c>
      <c r="H36" s="727">
        <v>4</v>
      </c>
      <c r="I36" s="727">
        <v>3</v>
      </c>
      <c r="J36" s="727">
        <v>3</v>
      </c>
      <c r="K36" s="719">
        <v>3</v>
      </c>
      <c r="L36" s="831">
        <v>4</v>
      </c>
    </row>
    <row r="37" spans="1:12">
      <c r="A37" s="3465"/>
      <c r="B37" s="3465"/>
      <c r="C37" s="3465"/>
      <c r="D37" s="715" t="s">
        <v>1901</v>
      </c>
      <c r="E37" s="715"/>
      <c r="F37" s="716" t="s">
        <v>153</v>
      </c>
      <c r="G37" s="722">
        <f>+G36/G32</f>
        <v>0.125</v>
      </c>
      <c r="H37" s="722">
        <f>+H36/H32</f>
        <v>0.22222222222222221</v>
      </c>
      <c r="I37" s="722">
        <f>+I36/I32</f>
        <v>0.1875</v>
      </c>
      <c r="J37" s="722">
        <f>+J36/J32</f>
        <v>0.21428571428571427</v>
      </c>
      <c r="K37" s="722">
        <f>+K36/K32</f>
        <v>0.25</v>
      </c>
      <c r="L37" s="830">
        <v>0.33</v>
      </c>
    </row>
    <row r="38" spans="1:12" ht="27">
      <c r="A38" s="728" t="s">
        <v>1902</v>
      </c>
      <c r="B38" s="728"/>
      <c r="C38" s="728"/>
      <c r="D38" s="728"/>
      <c r="E38" s="728"/>
      <c r="F38" s="728"/>
      <c r="G38" s="728"/>
      <c r="H38" s="728"/>
      <c r="I38" s="728"/>
      <c r="J38" s="728"/>
      <c r="K38" s="728"/>
    </row>
    <row r="39" spans="1:12">
      <c r="A39" s="3464"/>
      <c r="B39" s="3465"/>
      <c r="C39" s="3465"/>
      <c r="D39" s="713" t="s">
        <v>1896</v>
      </c>
      <c r="E39" s="713"/>
      <c r="F39" s="713"/>
      <c r="G39" s="714"/>
      <c r="H39" s="714"/>
      <c r="I39" s="714"/>
      <c r="J39" s="714"/>
      <c r="K39" s="714"/>
    </row>
    <row r="40" spans="1:12">
      <c r="A40" s="3465"/>
      <c r="B40" s="3465"/>
      <c r="C40" s="3465"/>
      <c r="D40" s="715"/>
      <c r="E40" s="715"/>
      <c r="F40" s="715"/>
      <c r="G40" s="716">
        <v>1998</v>
      </c>
      <c r="H40" s="716">
        <v>2003</v>
      </c>
      <c r="I40" s="716">
        <v>2007</v>
      </c>
      <c r="J40" s="716">
        <v>2011</v>
      </c>
      <c r="K40" s="717">
        <v>2016</v>
      </c>
      <c r="L40" s="828">
        <v>2017</v>
      </c>
    </row>
    <row r="41" spans="1:12">
      <c r="A41" s="3465"/>
      <c r="B41" s="3465"/>
      <c r="C41" s="3465"/>
      <c r="D41" s="423" t="s">
        <v>1897</v>
      </c>
      <c r="F41" s="718" t="s">
        <v>1898</v>
      </c>
      <c r="G41" s="727">
        <v>6</v>
      </c>
      <c r="H41" s="727">
        <v>6</v>
      </c>
      <c r="I41" s="727">
        <v>7</v>
      </c>
      <c r="J41" s="727">
        <v>8</v>
      </c>
      <c r="K41" s="727">
        <v>8</v>
      </c>
      <c r="L41" s="831">
        <v>8</v>
      </c>
    </row>
    <row r="42" spans="1:12">
      <c r="A42" s="3465"/>
      <c r="B42" s="3465"/>
      <c r="C42" s="3465"/>
      <c r="D42" s="423"/>
      <c r="F42" s="718" t="s">
        <v>153</v>
      </c>
      <c r="G42" s="105">
        <f>+G41/108</f>
        <v>5.5555555555555552E-2</v>
      </c>
      <c r="H42" s="105">
        <f>+H41/108</f>
        <v>5.5555555555555552E-2</v>
      </c>
      <c r="I42" s="105">
        <f>+I41/108</f>
        <v>6.4814814814814811E-2</v>
      </c>
      <c r="J42" s="105">
        <f>+J41/108</f>
        <v>7.407407407407407E-2</v>
      </c>
      <c r="K42" s="105">
        <f>+K41/108</f>
        <v>7.407407407407407E-2</v>
      </c>
      <c r="L42" s="830">
        <v>8.8999999999999996E-2</v>
      </c>
    </row>
    <row r="43" spans="1:12">
      <c r="A43" s="3465"/>
      <c r="B43" s="3465"/>
      <c r="C43" s="3465"/>
      <c r="D43" s="720" t="s">
        <v>1899</v>
      </c>
      <c r="F43" s="718" t="s">
        <v>1898</v>
      </c>
      <c r="G43" s="727">
        <v>52636</v>
      </c>
      <c r="H43" s="727">
        <v>25372</v>
      </c>
      <c r="I43" s="727">
        <v>36139</v>
      </c>
      <c r="J43" s="727">
        <v>50875</v>
      </c>
      <c r="K43" s="727">
        <v>48447</v>
      </c>
      <c r="L43" s="831">
        <v>72717</v>
      </c>
    </row>
    <row r="44" spans="1:12">
      <c r="A44" s="3465"/>
      <c r="B44" s="3465"/>
      <c r="C44" s="3465"/>
      <c r="D44" s="721"/>
      <c r="F44" s="718" t="s">
        <v>153</v>
      </c>
      <c r="G44" s="109">
        <v>6.49630667267308E-2</v>
      </c>
      <c r="H44" s="109">
        <v>3.6129634930060418E-2</v>
      </c>
      <c r="I44" s="109">
        <v>5.2351614412592548E-2</v>
      </c>
      <c r="J44" s="109">
        <v>7.6881345072189133E-2</v>
      </c>
      <c r="K44" s="109">
        <v>6.9777188863764023E-2</v>
      </c>
      <c r="L44" s="830">
        <v>9.0999999999999998E-2</v>
      </c>
    </row>
    <row r="45" spans="1:12">
      <c r="A45" s="3465"/>
      <c r="B45" s="3465"/>
      <c r="C45" s="3465"/>
      <c r="D45" s="423" t="s">
        <v>1900</v>
      </c>
      <c r="E45" s="423"/>
      <c r="F45" s="718" t="s">
        <v>1898</v>
      </c>
      <c r="G45" s="729">
        <v>1</v>
      </c>
      <c r="H45" s="729">
        <v>2</v>
      </c>
      <c r="I45" s="729">
        <v>2</v>
      </c>
      <c r="J45" s="729">
        <v>2</v>
      </c>
      <c r="K45" s="727">
        <v>3</v>
      </c>
      <c r="L45" s="729">
        <v>3</v>
      </c>
    </row>
    <row r="46" spans="1:12">
      <c r="A46" s="3465"/>
      <c r="B46" s="3465"/>
      <c r="C46" s="3465"/>
      <c r="D46" s="715" t="s">
        <v>1901</v>
      </c>
      <c r="E46" s="715"/>
      <c r="F46" s="716" t="s">
        <v>153</v>
      </c>
      <c r="G46" s="483">
        <f>+G45/G41</f>
        <v>0.16666666666666666</v>
      </c>
      <c r="H46" s="483">
        <f>+H45/H41</f>
        <v>0.33333333333333331</v>
      </c>
      <c r="I46" s="483">
        <f>+I45/I41</f>
        <v>0.2857142857142857</v>
      </c>
      <c r="J46" s="483">
        <f>+J45/J41</f>
        <v>0.25</v>
      </c>
      <c r="K46" s="483">
        <f>+K45/K41</f>
        <v>0.375</v>
      </c>
      <c r="L46" s="830">
        <v>0.38</v>
      </c>
    </row>
    <row r="51" spans="7:13">
      <c r="H51" s="833">
        <v>1998</v>
      </c>
      <c r="I51" s="833">
        <v>2003</v>
      </c>
      <c r="J51" s="833">
        <v>2007</v>
      </c>
      <c r="K51" s="833">
        <v>2011</v>
      </c>
      <c r="L51" s="834">
        <v>2016</v>
      </c>
      <c r="M51" s="833">
        <v>2017</v>
      </c>
    </row>
    <row r="52" spans="7:13">
      <c r="G52" s="658" t="s">
        <v>2068</v>
      </c>
    </row>
    <row r="53" spans="7:13">
      <c r="G53" s="658" t="s">
        <v>1092</v>
      </c>
      <c r="H53" s="832">
        <v>0.18132416738147103</v>
      </c>
      <c r="I53" s="832">
        <v>0.25339160326323001</v>
      </c>
      <c r="J53" s="832">
        <v>0.30090842849547961</v>
      </c>
      <c r="K53" s="832">
        <v>0.29987275854044071</v>
      </c>
      <c r="L53" s="830">
        <v>0.29175296337370915</v>
      </c>
      <c r="M53" s="830">
        <v>0.2806034992499829</v>
      </c>
    </row>
    <row r="54" spans="7:13">
      <c r="G54" s="658" t="s">
        <v>151</v>
      </c>
      <c r="H54" s="832">
        <v>0.17631457151849131</v>
      </c>
      <c r="I54" s="832">
        <v>0.23176679496873617</v>
      </c>
      <c r="J54" s="832">
        <v>0.26158134063823224</v>
      </c>
      <c r="K54" s="832">
        <v>0.26932574115883423</v>
      </c>
      <c r="L54" s="830">
        <v>0.24021690599300025</v>
      </c>
      <c r="M54" s="830">
        <v>0.27914952415926503</v>
      </c>
    </row>
    <row r="55" spans="7:13">
      <c r="G55" s="658" t="s">
        <v>1066</v>
      </c>
      <c r="H55" s="832">
        <v>0.21255916420341994</v>
      </c>
      <c r="I55" s="832">
        <v>0.22346916834342234</v>
      </c>
      <c r="J55" s="832">
        <v>0.14941772790024235</v>
      </c>
      <c r="K55" s="832">
        <v>0.13227520423614322</v>
      </c>
      <c r="L55" s="830">
        <v>0.12573922311359478</v>
      </c>
      <c r="M55" s="830">
        <v>0.12860957407741672</v>
      </c>
    </row>
    <row r="56" spans="7:13">
      <c r="G56" s="658" t="s">
        <v>113</v>
      </c>
      <c r="H56" s="832">
        <v>0.21964097279218014</v>
      </c>
      <c r="I56" s="832">
        <v>0.16738649681238421</v>
      </c>
      <c r="J56" s="832">
        <v>0.15234248811770892</v>
      </c>
      <c r="K56" s="832">
        <v>0.14248323344425404</v>
      </c>
      <c r="L56" s="830">
        <v>0.1200674050496176</v>
      </c>
      <c r="M56" s="830">
        <v>0.11945251862594375</v>
      </c>
    </row>
    <row r="57" spans="7:13">
      <c r="G57" s="658" t="s">
        <v>71</v>
      </c>
      <c r="H57" s="832">
        <v>6.49630667267308E-2</v>
      </c>
      <c r="I57" s="832">
        <v>3.6129634930060418E-2</v>
      </c>
      <c r="J57" s="832">
        <v>5.2351614412592548E-2</v>
      </c>
      <c r="K57" s="832">
        <v>7.6881345072189133E-2</v>
      </c>
      <c r="L57" s="830">
        <v>6.9777188863764023E-2</v>
      </c>
      <c r="M57" s="830">
        <v>9.0521152972370733E-2</v>
      </c>
    </row>
    <row r="59" spans="7:13">
      <c r="G59" s="658" t="s">
        <v>2067</v>
      </c>
    </row>
    <row r="60" spans="7:13">
      <c r="G60" s="658" t="s">
        <v>1092</v>
      </c>
      <c r="H60" s="832">
        <v>0.18518518518518517</v>
      </c>
      <c r="I60" s="832">
        <v>0.27777777777777779</v>
      </c>
      <c r="J60" s="832">
        <v>0.33333333333333331</v>
      </c>
      <c r="K60" s="832">
        <v>0.35185185185185186</v>
      </c>
      <c r="L60" s="830">
        <v>0.35185185185185186</v>
      </c>
      <c r="M60" s="830">
        <v>0.31111111111111112</v>
      </c>
    </row>
    <row r="61" spans="7:13">
      <c r="G61" s="658" t="s">
        <v>151</v>
      </c>
      <c r="H61" s="832">
        <v>0.16666666666666666</v>
      </c>
      <c r="I61" s="832">
        <v>0.22222222222222221</v>
      </c>
      <c r="J61" s="832">
        <v>0.25925925925925924</v>
      </c>
      <c r="K61" s="832">
        <v>0.26851851851851855</v>
      </c>
      <c r="L61" s="830">
        <v>0.25925925925925924</v>
      </c>
      <c r="M61" s="830">
        <v>0.3</v>
      </c>
    </row>
    <row r="62" spans="7:13">
      <c r="G62" s="658" t="s">
        <v>1066</v>
      </c>
      <c r="H62" s="832">
        <v>0.25925925925925924</v>
      </c>
      <c r="I62" s="832">
        <v>0.25</v>
      </c>
      <c r="J62" s="832">
        <v>0.16666666666666666</v>
      </c>
      <c r="K62" s="832">
        <v>0.14814814814814814</v>
      </c>
      <c r="L62" s="830">
        <v>0.14814814814814814</v>
      </c>
      <c r="M62" s="830">
        <v>0.1111111111111111</v>
      </c>
    </row>
    <row r="63" spans="7:13">
      <c r="G63" s="658" t="s">
        <v>113</v>
      </c>
      <c r="H63" s="832">
        <v>0.22222222222222221</v>
      </c>
      <c r="I63" s="832">
        <v>0.16666666666666666</v>
      </c>
      <c r="J63" s="832">
        <v>0.14814814814814814</v>
      </c>
      <c r="K63" s="832">
        <v>0.12962962962962962</v>
      </c>
      <c r="L63" s="830">
        <v>0.1111111111111111</v>
      </c>
      <c r="M63" s="830">
        <v>0.13333333333333333</v>
      </c>
    </row>
    <row r="64" spans="7:13">
      <c r="G64" s="658" t="s">
        <v>71</v>
      </c>
      <c r="H64" s="832">
        <v>5.5555555555555552E-2</v>
      </c>
      <c r="I64" s="832">
        <v>5.5555555555555552E-2</v>
      </c>
      <c r="J64" s="832">
        <v>6.4814814814814811E-2</v>
      </c>
      <c r="K64" s="832">
        <v>7.407407407407407E-2</v>
      </c>
      <c r="L64" s="830">
        <v>7.407407407407407E-2</v>
      </c>
      <c r="M64" s="830">
        <v>8.8888888888888892E-2</v>
      </c>
    </row>
  </sheetData>
  <mergeCells count="7">
    <mergeCell ref="A39:C46"/>
    <mergeCell ref="A21:C28"/>
    <mergeCell ref="A29:K29"/>
    <mergeCell ref="A30:C37"/>
    <mergeCell ref="A1:K1"/>
    <mergeCell ref="A3:C10"/>
    <mergeCell ref="A12:C19"/>
  </mergeCells>
  <pageMargins left="0.7" right="0.7" top="0.75" bottom="0.75" header="0.3" footer="0.3"/>
  <pageSetup paperSize="9" orientation="portrait" verticalDpi="0"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57">
    <tabColor theme="4"/>
  </sheetPr>
  <dimension ref="A2:AK29"/>
  <sheetViews>
    <sheetView showGridLines="0" topLeftCell="N1" zoomScale="85" zoomScaleNormal="85" workbookViewId="0">
      <selection activeCell="AB33" sqref="AB33"/>
    </sheetView>
  </sheetViews>
  <sheetFormatPr baseColWidth="10" defaultColWidth="9.3984375" defaultRowHeight="13"/>
  <cols>
    <col min="1" max="1" width="9.19921875" style="1068" customWidth="1"/>
    <col min="2" max="2" width="9.796875" style="944" customWidth="1"/>
    <col min="3" max="3" width="0.59765625" style="944" customWidth="1"/>
    <col min="4" max="4" width="15.3984375" style="944" customWidth="1"/>
    <col min="5" max="5" width="16" style="944" customWidth="1"/>
    <col min="6" max="6" width="12.3984375" style="944" customWidth="1"/>
    <col min="7" max="7" width="13.796875" style="944" customWidth="1"/>
    <col min="8" max="8" width="7.3984375" style="944" bestFit="1" customWidth="1"/>
    <col min="9" max="9" width="7.59765625" style="944" customWidth="1"/>
    <col min="10" max="10" width="7.59765625" style="944" hidden="1" customWidth="1"/>
    <col min="11" max="11" width="1" style="944" customWidth="1"/>
    <col min="12" max="12" width="5.796875" style="944" bestFit="1" customWidth="1"/>
    <col min="13" max="13" width="9.3984375" style="944"/>
    <col min="14" max="14" width="7.19921875" style="944" customWidth="1"/>
    <col min="15" max="15" width="2.796875" style="1043" customWidth="1"/>
    <col min="16" max="16" width="10.796875" style="1043" customWidth="1"/>
    <col min="17" max="17" width="1.796875" style="1043" customWidth="1"/>
    <col min="18" max="18" width="3.3984375" style="1043" customWidth="1"/>
    <col min="19" max="19" width="10.796875" style="1043" customWidth="1"/>
    <col min="20" max="20" width="1.796875" style="1043" customWidth="1"/>
    <col min="21" max="21" width="2.3984375" style="1043" bestFit="1" customWidth="1"/>
    <col min="22" max="22" width="10.796875" style="1043" customWidth="1"/>
    <col min="23" max="23" width="1.796875" style="1043" customWidth="1"/>
    <col min="24" max="24" width="2.3984375" style="1043" bestFit="1" customWidth="1"/>
    <col min="25" max="25" width="10.796875" style="1043" customWidth="1"/>
    <col min="26" max="26" width="1.796875" style="1043" customWidth="1"/>
    <col min="27" max="27" width="3.3984375" style="1043" bestFit="1" customWidth="1"/>
    <col min="28" max="28" width="10.796875" style="1043" customWidth="1"/>
    <col min="29" max="29" width="1.796875" style="1043" customWidth="1"/>
    <col min="30" max="30" width="3.3984375" style="1043" customWidth="1"/>
    <col min="31" max="31" width="1.19921875" style="1043" hidden="1" customWidth="1"/>
    <col min="32" max="32" width="10.796875" style="1043" customWidth="1"/>
    <col min="33" max="33" width="1.796875" style="1043" customWidth="1"/>
    <col min="34" max="34" width="6" style="1043" bestFit="1" customWidth="1"/>
    <col min="35" max="35" width="1.796875" style="1043" customWidth="1"/>
    <col min="36" max="36" width="4.19921875" style="944" bestFit="1" customWidth="1"/>
    <col min="37" max="37" width="10.796875" style="944" customWidth="1"/>
    <col min="38" max="16384" width="9.3984375" style="944"/>
  </cols>
  <sheetData>
    <row r="2" spans="1:37">
      <c r="A2" s="1068" t="s">
        <v>857</v>
      </c>
    </row>
    <row r="3" spans="1:37" ht="3" customHeight="1"/>
    <row r="4" spans="1:37" ht="14">
      <c r="A4" s="1256" t="s">
        <v>865</v>
      </c>
      <c r="B4" s="1256"/>
      <c r="C4" s="1256"/>
      <c r="D4" s="1256"/>
      <c r="E4" s="1256"/>
      <c r="F4" s="1256"/>
      <c r="G4" s="1256"/>
      <c r="H4" s="1256"/>
      <c r="I4" s="1256"/>
      <c r="J4" s="1256"/>
      <c r="K4" s="1256"/>
      <c r="L4" s="1256"/>
      <c r="N4" s="1327"/>
      <c r="O4" s="1327"/>
      <c r="P4" s="1327"/>
      <c r="Q4" s="1327"/>
      <c r="R4" s="1327"/>
      <c r="S4" s="1327"/>
      <c r="T4" s="1327"/>
      <c r="U4" s="1327"/>
      <c r="V4" s="1327"/>
      <c r="W4" s="1327"/>
      <c r="X4" s="1327"/>
      <c r="Y4" s="1327"/>
      <c r="Z4" s="1327"/>
      <c r="AA4" s="1327"/>
      <c r="AB4" s="1327"/>
      <c r="AC4" s="1327"/>
      <c r="AD4" s="1327"/>
      <c r="AE4" s="1327"/>
      <c r="AF4" s="1327"/>
      <c r="AG4" s="1327"/>
      <c r="AH4" s="1327"/>
      <c r="AI4" s="1327"/>
      <c r="AJ4" s="1327"/>
      <c r="AK4" s="1327"/>
    </row>
    <row r="5" spans="1:37" ht="16">
      <c r="N5" s="1122" t="s">
        <v>1413</v>
      </c>
      <c r="O5" s="1125"/>
      <c r="P5" s="1125"/>
      <c r="Q5" s="1125"/>
      <c r="R5" s="1125"/>
      <c r="S5" s="1125"/>
      <c r="T5" s="1125"/>
      <c r="U5" s="1125"/>
      <c r="V5" s="1125"/>
      <c r="W5" s="1125"/>
      <c r="X5" s="1125"/>
      <c r="Y5" s="1125"/>
      <c r="Z5" s="1125"/>
      <c r="AA5" s="1125"/>
      <c r="AB5" s="1125"/>
      <c r="AC5" s="1125"/>
      <c r="AD5" s="1125"/>
      <c r="AE5" s="1125"/>
      <c r="AF5" s="1125"/>
      <c r="AG5" s="1125"/>
      <c r="AH5" s="1125"/>
      <c r="AI5" s="1125"/>
      <c r="AJ5" s="1147"/>
      <c r="AK5" s="1147"/>
    </row>
    <row r="6" spans="1:37" ht="2.25" customHeight="1">
      <c r="A6" s="1068" t="s">
        <v>858</v>
      </c>
      <c r="B6" s="1043" t="s">
        <v>860</v>
      </c>
      <c r="C6" s="1043"/>
      <c r="D6" s="1043" t="s">
        <v>863</v>
      </c>
      <c r="E6" s="1043" t="s">
        <v>20</v>
      </c>
      <c r="F6" s="1043" t="s">
        <v>861</v>
      </c>
      <c r="G6" s="1043" t="s">
        <v>862</v>
      </c>
      <c r="H6" s="1043" t="s">
        <v>15</v>
      </c>
      <c r="I6" s="1043" t="s">
        <v>28</v>
      </c>
      <c r="J6" s="1043"/>
      <c r="K6" s="1043"/>
      <c r="L6" s="1043" t="s">
        <v>16</v>
      </c>
      <c r="N6" s="1023"/>
      <c r="O6" s="1039"/>
      <c r="P6" s="1039"/>
      <c r="Q6" s="1039"/>
      <c r="R6" s="1039"/>
      <c r="S6" s="1039"/>
      <c r="T6" s="1039"/>
      <c r="U6" s="1039"/>
      <c r="V6" s="1039"/>
      <c r="W6" s="1039"/>
      <c r="X6" s="1039"/>
      <c r="Y6" s="1039"/>
      <c r="Z6" s="1039"/>
      <c r="AA6" s="1039"/>
      <c r="AB6" s="1039"/>
      <c r="AC6" s="1039"/>
      <c r="AD6" s="1039"/>
      <c r="AE6" s="1039"/>
      <c r="AF6" s="1039"/>
      <c r="AG6" s="1039"/>
      <c r="AH6" s="1363"/>
      <c r="AI6" s="1363"/>
      <c r="AJ6" s="1145"/>
      <c r="AK6" s="1145"/>
    </row>
    <row r="7" spans="1:37" ht="12" customHeight="1">
      <c r="B7" s="1043"/>
      <c r="C7" s="1043"/>
      <c r="D7" s="1043"/>
      <c r="E7" s="1043"/>
      <c r="F7" s="1043"/>
      <c r="G7" s="1043"/>
      <c r="H7" s="1043"/>
      <c r="I7" s="1043"/>
      <c r="J7" s="1043"/>
      <c r="K7" s="1043"/>
      <c r="L7" s="1043"/>
      <c r="N7" s="1023"/>
      <c r="O7" s="3432" t="s">
        <v>860</v>
      </c>
      <c r="P7" s="3432"/>
      <c r="Q7" s="1271"/>
      <c r="R7" s="3471" t="s">
        <v>12</v>
      </c>
      <c r="S7" s="3471"/>
      <c r="T7" s="1270"/>
      <c r="U7" s="3471" t="s">
        <v>1411</v>
      </c>
      <c r="V7" s="3471"/>
      <c r="W7" s="1270"/>
      <c r="X7" s="3471" t="s">
        <v>117</v>
      </c>
      <c r="Y7" s="3471"/>
      <c r="Z7" s="1270"/>
      <c r="AA7" s="3471" t="s">
        <v>862</v>
      </c>
      <c r="AB7" s="3471"/>
      <c r="AC7" s="1270"/>
      <c r="AD7" s="3432" t="s">
        <v>28</v>
      </c>
      <c r="AE7" s="3432"/>
      <c r="AF7" s="3432"/>
      <c r="AG7" s="1039"/>
      <c r="AH7" s="1363"/>
      <c r="AI7" s="1363"/>
      <c r="AJ7" s="3470" t="s">
        <v>2404</v>
      </c>
      <c r="AK7" s="3470"/>
    </row>
    <row r="8" spans="1:37" ht="13.5" customHeight="1">
      <c r="B8" s="1043"/>
      <c r="C8" s="1043"/>
      <c r="D8" s="1043" t="s">
        <v>864</v>
      </c>
      <c r="E8" s="1043" t="s">
        <v>167</v>
      </c>
      <c r="F8" s="1043" t="s">
        <v>2343</v>
      </c>
      <c r="G8" s="1043" t="s">
        <v>2344</v>
      </c>
      <c r="H8" s="1043" t="s">
        <v>110</v>
      </c>
      <c r="I8" s="1043"/>
      <c r="J8" s="1043"/>
      <c r="K8" s="1043"/>
      <c r="L8" s="1043"/>
      <c r="N8" s="1023"/>
      <c r="O8" s="3432"/>
      <c r="P8" s="3432"/>
      <c r="Q8" s="1271"/>
      <c r="R8" s="3471"/>
      <c r="S8" s="3471"/>
      <c r="T8" s="1270"/>
      <c r="U8" s="3471"/>
      <c r="V8" s="3471"/>
      <c r="W8" s="1270"/>
      <c r="X8" s="3471"/>
      <c r="Y8" s="3471"/>
      <c r="Z8" s="1270"/>
      <c r="AA8" s="3471"/>
      <c r="AB8" s="3471"/>
      <c r="AC8" s="1270"/>
      <c r="AD8" s="3432"/>
      <c r="AE8" s="3432"/>
      <c r="AF8" s="3432"/>
      <c r="AG8" s="1120"/>
      <c r="AH8" s="1121" t="s">
        <v>16</v>
      </c>
      <c r="AI8" s="1121"/>
      <c r="AJ8" s="3470"/>
      <c r="AK8" s="3470"/>
    </row>
    <row r="9" spans="1:37" ht="3" customHeight="1">
      <c r="B9" s="1043"/>
      <c r="C9" s="1043"/>
      <c r="D9" s="1043" t="s">
        <v>2345</v>
      </c>
      <c r="E9" s="1043"/>
      <c r="F9" s="1043"/>
      <c r="G9" s="1043"/>
      <c r="H9" s="1043"/>
      <c r="I9" s="1043"/>
      <c r="J9" s="1043"/>
      <c r="K9" s="1043"/>
      <c r="L9" s="1043"/>
      <c r="O9" s="1488"/>
      <c r="P9" s="1488"/>
      <c r="R9" s="1488"/>
      <c r="S9" s="1488"/>
      <c r="U9" s="1488"/>
      <c r="V9" s="1488"/>
      <c r="X9" s="1488"/>
      <c r="Y9" s="1488"/>
      <c r="AA9" s="1488"/>
      <c r="AB9" s="1488"/>
      <c r="AD9" s="1488"/>
      <c r="AE9" s="1488"/>
      <c r="AF9" s="1488"/>
      <c r="AH9" s="1486"/>
      <c r="AI9" s="1093"/>
      <c r="AJ9" s="1489"/>
      <c r="AK9" s="1489"/>
    </row>
    <row r="10" spans="1:37">
      <c r="A10" s="1103">
        <v>1921</v>
      </c>
      <c r="B10" s="1043">
        <v>40</v>
      </c>
      <c r="C10" s="1043"/>
      <c r="D10" s="1043">
        <v>0</v>
      </c>
      <c r="E10" s="1043">
        <v>0</v>
      </c>
      <c r="F10" s="1043">
        <v>0</v>
      </c>
      <c r="G10" s="1043">
        <v>12</v>
      </c>
      <c r="H10" s="1043">
        <v>0</v>
      </c>
      <c r="I10" s="1043">
        <v>0</v>
      </c>
      <c r="J10" s="1043">
        <v>52</v>
      </c>
      <c r="K10" s="1043"/>
      <c r="L10" s="1043">
        <f>SUM(B10:I10)</f>
        <v>52</v>
      </c>
      <c r="N10" s="1103">
        <v>1921</v>
      </c>
      <c r="O10" s="1487">
        <v>40</v>
      </c>
      <c r="P10" s="1487">
        <v>40</v>
      </c>
      <c r="Q10" s="1005"/>
      <c r="R10" s="1488">
        <v>0</v>
      </c>
      <c r="S10" s="1488">
        <v>0</v>
      </c>
      <c r="U10" s="1488">
        <v>0</v>
      </c>
      <c r="V10" s="1488">
        <v>0</v>
      </c>
      <c r="X10" s="1488">
        <v>0</v>
      </c>
      <c r="Y10" s="1488">
        <v>0</v>
      </c>
      <c r="AA10" s="1488">
        <v>12</v>
      </c>
      <c r="AB10" s="1488">
        <v>12</v>
      </c>
      <c r="AD10" s="1488">
        <f t="shared" ref="AD10:AD21" si="0">H10+I10</f>
        <v>0</v>
      </c>
      <c r="AE10" s="1488">
        <v>52</v>
      </c>
      <c r="AF10" s="1488">
        <v>0</v>
      </c>
      <c r="AH10" s="1486">
        <f t="shared" ref="AH10:AH21" si="1">L10</f>
        <v>52</v>
      </c>
      <c r="AI10" s="1093"/>
      <c r="AJ10" s="1489">
        <v>0</v>
      </c>
      <c r="AK10" s="1489">
        <v>0</v>
      </c>
    </row>
    <row r="11" spans="1:37">
      <c r="A11" s="1103">
        <v>1925</v>
      </c>
      <c r="B11" s="1043">
        <v>32</v>
      </c>
      <c r="C11" s="1043"/>
      <c r="D11" s="1043">
        <v>4</v>
      </c>
      <c r="E11" s="1043">
        <v>3</v>
      </c>
      <c r="F11" s="1043">
        <v>0</v>
      </c>
      <c r="G11" s="1043">
        <v>12</v>
      </c>
      <c r="H11" s="1043">
        <v>0</v>
      </c>
      <c r="I11" s="1043">
        <v>1</v>
      </c>
      <c r="J11" s="1043">
        <v>52</v>
      </c>
      <c r="K11" s="1043"/>
      <c r="L11" s="1043">
        <f t="shared" ref="L11:L20" si="2">SUM(B11:I11)</f>
        <v>52</v>
      </c>
      <c r="N11" s="1103">
        <v>1925</v>
      </c>
      <c r="O11" s="1487">
        <v>32</v>
      </c>
      <c r="P11" s="1487">
        <v>32</v>
      </c>
      <c r="Q11" s="1005"/>
      <c r="R11" s="1488">
        <v>4</v>
      </c>
      <c r="S11" s="1488">
        <v>4</v>
      </c>
      <c r="U11" s="1488">
        <v>3</v>
      </c>
      <c r="V11" s="1488">
        <v>3</v>
      </c>
      <c r="X11" s="1488">
        <v>0</v>
      </c>
      <c r="Y11" s="1488">
        <v>0</v>
      </c>
      <c r="AA11" s="1488">
        <v>12</v>
      </c>
      <c r="AB11" s="1488">
        <v>12</v>
      </c>
      <c r="AD11" s="1488">
        <f t="shared" si="0"/>
        <v>1</v>
      </c>
      <c r="AE11" s="1488">
        <v>52</v>
      </c>
      <c r="AF11" s="1488">
        <v>1</v>
      </c>
      <c r="AH11" s="1486">
        <f t="shared" si="1"/>
        <v>52</v>
      </c>
      <c r="AI11" s="1093"/>
      <c r="AJ11" s="1489">
        <v>12</v>
      </c>
      <c r="AK11" s="1489">
        <v>12</v>
      </c>
    </row>
    <row r="12" spans="1:37">
      <c r="A12" s="1103">
        <v>1929</v>
      </c>
      <c r="B12" s="1043">
        <v>37</v>
      </c>
      <c r="C12" s="1043"/>
      <c r="D12" s="1043">
        <v>3</v>
      </c>
      <c r="E12" s="1043">
        <v>1</v>
      </c>
      <c r="F12" s="1043">
        <v>0</v>
      </c>
      <c r="G12" s="1043">
        <v>11</v>
      </c>
      <c r="H12" s="1043">
        <v>0</v>
      </c>
      <c r="I12" s="1043">
        <v>0</v>
      </c>
      <c r="J12" s="1043">
        <v>52</v>
      </c>
      <c r="K12" s="1043"/>
      <c r="L12" s="1043">
        <f t="shared" si="2"/>
        <v>52</v>
      </c>
      <c r="N12" s="1103">
        <v>1929</v>
      </c>
      <c r="O12" s="1487">
        <v>37</v>
      </c>
      <c r="P12" s="1487">
        <v>37</v>
      </c>
      <c r="Q12" s="1005"/>
      <c r="R12" s="1488">
        <v>3</v>
      </c>
      <c r="S12" s="1488">
        <v>3</v>
      </c>
      <c r="U12" s="1488">
        <v>1</v>
      </c>
      <c r="V12" s="1488">
        <v>1</v>
      </c>
      <c r="X12" s="1488">
        <v>0</v>
      </c>
      <c r="Y12" s="1488">
        <v>0</v>
      </c>
      <c r="AA12" s="1488">
        <v>11</v>
      </c>
      <c r="AB12" s="1488">
        <v>11</v>
      </c>
      <c r="AD12" s="1488">
        <f t="shared" si="0"/>
        <v>0</v>
      </c>
      <c r="AE12" s="1488">
        <v>52</v>
      </c>
      <c r="AF12" s="1488">
        <v>0</v>
      </c>
      <c r="AH12" s="1486">
        <f t="shared" si="1"/>
        <v>52</v>
      </c>
      <c r="AI12" s="1093"/>
      <c r="AJ12" s="1489">
        <v>22</v>
      </c>
      <c r="AK12" s="1489">
        <v>22</v>
      </c>
    </row>
    <row r="13" spans="1:37">
      <c r="A13" s="1103">
        <v>1933</v>
      </c>
      <c r="B13" s="1043">
        <v>36</v>
      </c>
      <c r="C13" s="1043"/>
      <c r="D13" s="1043">
        <v>3</v>
      </c>
      <c r="E13" s="1043">
        <v>2</v>
      </c>
      <c r="F13" s="1043">
        <v>0</v>
      </c>
      <c r="G13" s="1043">
        <v>11</v>
      </c>
      <c r="H13" s="1043">
        <v>0</v>
      </c>
      <c r="I13" s="1043">
        <v>0</v>
      </c>
      <c r="J13" s="1043">
        <v>52</v>
      </c>
      <c r="K13" s="1043"/>
      <c r="L13" s="1043">
        <f t="shared" si="2"/>
        <v>52</v>
      </c>
      <c r="N13" s="1103">
        <v>1933</v>
      </c>
      <c r="O13" s="1487">
        <v>36</v>
      </c>
      <c r="P13" s="1487">
        <v>36</v>
      </c>
      <c r="Q13" s="1005"/>
      <c r="R13" s="1488">
        <v>3</v>
      </c>
      <c r="S13" s="1488">
        <v>3</v>
      </c>
      <c r="U13" s="1488">
        <v>2</v>
      </c>
      <c r="V13" s="1488">
        <v>2</v>
      </c>
      <c r="X13" s="1488">
        <v>0</v>
      </c>
      <c r="Y13" s="1488">
        <v>0</v>
      </c>
      <c r="AA13" s="1488">
        <v>11</v>
      </c>
      <c r="AB13" s="1488">
        <v>11</v>
      </c>
      <c r="AD13" s="1488">
        <f t="shared" si="0"/>
        <v>0</v>
      </c>
      <c r="AE13" s="1488">
        <v>52</v>
      </c>
      <c r="AF13" s="1488">
        <v>0</v>
      </c>
      <c r="AH13" s="1486">
        <f t="shared" si="1"/>
        <v>52</v>
      </c>
      <c r="AI13" s="1093"/>
      <c r="AJ13" s="1489">
        <v>33</v>
      </c>
      <c r="AK13" s="1489">
        <v>33</v>
      </c>
    </row>
    <row r="14" spans="1:37">
      <c r="A14" s="1103">
        <v>1938</v>
      </c>
      <c r="B14" s="1043">
        <v>39</v>
      </c>
      <c r="C14" s="1043"/>
      <c r="D14" s="1043">
        <v>3</v>
      </c>
      <c r="E14" s="1043">
        <v>1</v>
      </c>
      <c r="F14" s="1043">
        <v>1</v>
      </c>
      <c r="G14" s="1043">
        <v>8</v>
      </c>
      <c r="H14" s="1043">
        <v>0</v>
      </c>
      <c r="I14" s="1043">
        <v>0</v>
      </c>
      <c r="J14" s="1043">
        <v>52</v>
      </c>
      <c r="K14" s="1043"/>
      <c r="L14" s="1043">
        <f t="shared" si="2"/>
        <v>52</v>
      </c>
      <c r="N14" s="1103">
        <v>1938</v>
      </c>
      <c r="O14" s="1487">
        <v>39</v>
      </c>
      <c r="P14" s="1487">
        <v>39</v>
      </c>
      <c r="Q14" s="1005"/>
      <c r="R14" s="1488">
        <v>3</v>
      </c>
      <c r="S14" s="1488">
        <v>3</v>
      </c>
      <c r="U14" s="1488">
        <v>1</v>
      </c>
      <c r="V14" s="1488">
        <v>1</v>
      </c>
      <c r="X14" s="1488">
        <v>1</v>
      </c>
      <c r="Y14" s="1488">
        <v>1</v>
      </c>
      <c r="AA14" s="1488">
        <v>8</v>
      </c>
      <c r="AB14" s="1488">
        <v>8</v>
      </c>
      <c r="AD14" s="1488">
        <f t="shared" si="0"/>
        <v>0</v>
      </c>
      <c r="AE14" s="1488">
        <v>52</v>
      </c>
      <c r="AF14" s="1488">
        <v>0</v>
      </c>
      <c r="AH14" s="1486">
        <f t="shared" si="1"/>
        <v>52</v>
      </c>
      <c r="AI14" s="1093"/>
      <c r="AJ14" s="1489">
        <v>21</v>
      </c>
      <c r="AK14" s="1489">
        <v>21</v>
      </c>
    </row>
    <row r="15" spans="1:37">
      <c r="A15" s="1103">
        <v>1945</v>
      </c>
      <c r="B15" s="1043">
        <v>33</v>
      </c>
      <c r="C15" s="1043"/>
      <c r="D15" s="1043">
        <v>2</v>
      </c>
      <c r="E15" s="1043">
        <v>2</v>
      </c>
      <c r="F15" s="1043">
        <v>3</v>
      </c>
      <c r="G15" s="1043">
        <v>10</v>
      </c>
      <c r="H15" s="1043">
        <v>0</v>
      </c>
      <c r="I15" s="1043">
        <v>2</v>
      </c>
      <c r="J15" s="1043">
        <v>52</v>
      </c>
      <c r="K15" s="1043"/>
      <c r="L15" s="1043">
        <f t="shared" si="2"/>
        <v>52</v>
      </c>
      <c r="N15" s="1103">
        <v>1945</v>
      </c>
      <c r="O15" s="1487">
        <v>33</v>
      </c>
      <c r="P15" s="1487">
        <v>33</v>
      </c>
      <c r="Q15" s="1005"/>
      <c r="R15" s="1488">
        <v>2</v>
      </c>
      <c r="S15" s="1488">
        <v>2</v>
      </c>
      <c r="U15" s="1488">
        <v>2</v>
      </c>
      <c r="V15" s="1488">
        <v>2</v>
      </c>
      <c r="X15" s="1488">
        <v>3</v>
      </c>
      <c r="Y15" s="1488">
        <v>3</v>
      </c>
      <c r="AA15" s="1488">
        <v>10</v>
      </c>
      <c r="AB15" s="1488">
        <v>10</v>
      </c>
      <c r="AD15" s="1488">
        <f t="shared" si="0"/>
        <v>2</v>
      </c>
      <c r="AE15" s="1488">
        <v>52</v>
      </c>
      <c r="AF15" s="1488">
        <v>2</v>
      </c>
      <c r="AH15" s="1486">
        <f t="shared" si="1"/>
        <v>52</v>
      </c>
      <c r="AI15" s="1093"/>
      <c r="AJ15" s="1489">
        <v>20</v>
      </c>
      <c r="AK15" s="1489">
        <v>20</v>
      </c>
    </row>
    <row r="16" spans="1:37">
      <c r="A16" s="1103">
        <v>1949</v>
      </c>
      <c r="B16" s="1043">
        <v>37</v>
      </c>
      <c r="C16" s="1043"/>
      <c r="D16" s="1043">
        <v>2</v>
      </c>
      <c r="E16" s="1043">
        <v>0</v>
      </c>
      <c r="F16" s="1043">
        <v>2</v>
      </c>
      <c r="G16" s="1043">
        <v>9</v>
      </c>
      <c r="H16" s="1043">
        <v>0</v>
      </c>
      <c r="I16" s="1043">
        <v>2</v>
      </c>
      <c r="J16" s="1043">
        <v>52</v>
      </c>
      <c r="K16" s="1043"/>
      <c r="L16" s="1043">
        <f t="shared" si="2"/>
        <v>52</v>
      </c>
      <c r="N16" s="1103">
        <v>1949</v>
      </c>
      <c r="O16" s="1487">
        <v>37</v>
      </c>
      <c r="P16" s="1487">
        <v>37</v>
      </c>
      <c r="Q16" s="1005"/>
      <c r="R16" s="1488">
        <v>2</v>
      </c>
      <c r="S16" s="1488">
        <v>2</v>
      </c>
      <c r="U16" s="1488">
        <v>0</v>
      </c>
      <c r="V16" s="1488">
        <v>0</v>
      </c>
      <c r="X16" s="1488">
        <v>2</v>
      </c>
      <c r="Y16" s="1488">
        <v>2</v>
      </c>
      <c r="AA16" s="1488">
        <v>9</v>
      </c>
      <c r="AB16" s="1488">
        <v>9</v>
      </c>
      <c r="AD16" s="1488">
        <f t="shared" si="0"/>
        <v>2</v>
      </c>
      <c r="AE16" s="1488">
        <v>52</v>
      </c>
      <c r="AF16" s="1488">
        <v>2</v>
      </c>
      <c r="AH16" s="1486">
        <f t="shared" si="1"/>
        <v>52</v>
      </c>
      <c r="AI16" s="1093"/>
      <c r="AJ16" s="1489">
        <v>20</v>
      </c>
      <c r="AK16" s="1489">
        <v>20</v>
      </c>
    </row>
    <row r="17" spans="1:37">
      <c r="A17" s="1103">
        <v>1953</v>
      </c>
      <c r="B17" s="1043">
        <v>38</v>
      </c>
      <c r="C17" s="1043"/>
      <c r="D17" s="1043">
        <v>1</v>
      </c>
      <c r="E17" s="1043">
        <v>0</v>
      </c>
      <c r="F17" s="1043">
        <v>3</v>
      </c>
      <c r="G17" s="1043">
        <v>9</v>
      </c>
      <c r="H17" s="1043">
        <v>0</v>
      </c>
      <c r="I17" s="1043">
        <v>1</v>
      </c>
      <c r="J17" s="1043">
        <v>52</v>
      </c>
      <c r="K17" s="1043"/>
      <c r="L17" s="1043">
        <f t="shared" si="2"/>
        <v>52</v>
      </c>
      <c r="N17" s="1103">
        <v>1953</v>
      </c>
      <c r="O17" s="1487">
        <v>38</v>
      </c>
      <c r="P17" s="1487">
        <v>38</v>
      </c>
      <c r="Q17" s="1005"/>
      <c r="R17" s="1488">
        <v>1</v>
      </c>
      <c r="S17" s="1488">
        <v>1</v>
      </c>
      <c r="U17" s="1488">
        <v>0</v>
      </c>
      <c r="V17" s="1488">
        <v>0</v>
      </c>
      <c r="X17" s="1488">
        <v>3</v>
      </c>
      <c r="Y17" s="1488">
        <v>3</v>
      </c>
      <c r="AA17" s="1488">
        <v>9</v>
      </c>
      <c r="AB17" s="1488">
        <v>9</v>
      </c>
      <c r="AD17" s="1488">
        <f t="shared" si="0"/>
        <v>1</v>
      </c>
      <c r="AE17" s="1488">
        <v>52</v>
      </c>
      <c r="AF17" s="1488">
        <v>1</v>
      </c>
      <c r="AH17" s="1486">
        <f t="shared" si="1"/>
        <v>52</v>
      </c>
      <c r="AI17" s="1093"/>
      <c r="AJ17" s="1489">
        <v>25</v>
      </c>
      <c r="AK17" s="1489">
        <v>25</v>
      </c>
    </row>
    <row r="18" spans="1:37">
      <c r="A18" s="1103">
        <v>1958</v>
      </c>
      <c r="B18" s="1043">
        <v>37</v>
      </c>
      <c r="C18" s="1043"/>
      <c r="D18" s="1043">
        <v>0</v>
      </c>
      <c r="E18" s="1043">
        <v>4</v>
      </c>
      <c r="F18" s="1043">
        <v>2</v>
      </c>
      <c r="G18" s="1043">
        <v>8</v>
      </c>
      <c r="H18" s="1043">
        <v>0</v>
      </c>
      <c r="I18" s="1043">
        <v>1</v>
      </c>
      <c r="J18" s="1043">
        <v>52</v>
      </c>
      <c r="K18" s="1043"/>
      <c r="L18" s="1043">
        <f t="shared" si="2"/>
        <v>52</v>
      </c>
      <c r="N18" s="1103">
        <v>1958</v>
      </c>
      <c r="O18" s="1487">
        <v>37</v>
      </c>
      <c r="P18" s="1487">
        <v>37</v>
      </c>
      <c r="Q18" s="1005"/>
      <c r="R18" s="1488">
        <v>0</v>
      </c>
      <c r="S18" s="1488">
        <v>0</v>
      </c>
      <c r="U18" s="1488">
        <v>4</v>
      </c>
      <c r="V18" s="1488">
        <v>4</v>
      </c>
      <c r="X18" s="1488">
        <v>2</v>
      </c>
      <c r="Y18" s="1488">
        <v>2</v>
      </c>
      <c r="AA18" s="1488">
        <v>8</v>
      </c>
      <c r="AB18" s="1488">
        <v>8</v>
      </c>
      <c r="AD18" s="1488">
        <f t="shared" si="0"/>
        <v>1</v>
      </c>
      <c r="AE18" s="1488">
        <v>52</v>
      </c>
      <c r="AF18" s="1488">
        <v>1</v>
      </c>
      <c r="AH18" s="1486">
        <f t="shared" si="1"/>
        <v>52</v>
      </c>
      <c r="AI18" s="1093"/>
      <c r="AJ18" s="1489">
        <v>27</v>
      </c>
      <c r="AK18" s="1489">
        <v>27</v>
      </c>
    </row>
    <row r="19" spans="1:37">
      <c r="A19" s="1103">
        <v>1962</v>
      </c>
      <c r="B19" s="1043">
        <v>34</v>
      </c>
      <c r="C19" s="1043"/>
      <c r="D19" s="1043">
        <v>0</v>
      </c>
      <c r="E19" s="1043">
        <v>4</v>
      </c>
      <c r="F19" s="1043">
        <v>3</v>
      </c>
      <c r="G19" s="1043">
        <v>9</v>
      </c>
      <c r="H19" s="1043">
        <v>1</v>
      </c>
      <c r="I19" s="1043">
        <v>1</v>
      </c>
      <c r="J19" s="1043">
        <v>52</v>
      </c>
      <c r="K19" s="1043"/>
      <c r="L19" s="1043">
        <f t="shared" si="2"/>
        <v>52</v>
      </c>
      <c r="N19" s="1103">
        <v>1962</v>
      </c>
      <c r="O19" s="1487">
        <v>34</v>
      </c>
      <c r="P19" s="1487">
        <v>34</v>
      </c>
      <c r="Q19" s="1005"/>
      <c r="R19" s="1488">
        <v>0</v>
      </c>
      <c r="S19" s="1488">
        <v>0</v>
      </c>
      <c r="U19" s="1488">
        <v>4</v>
      </c>
      <c r="V19" s="1488">
        <v>4</v>
      </c>
      <c r="X19" s="1488">
        <v>3</v>
      </c>
      <c r="Y19" s="1488">
        <v>3</v>
      </c>
      <c r="AA19" s="1488">
        <v>9</v>
      </c>
      <c r="AB19" s="1488">
        <v>9</v>
      </c>
      <c r="AD19" s="1488">
        <f t="shared" si="0"/>
        <v>2</v>
      </c>
      <c r="AE19" s="1488">
        <v>52</v>
      </c>
      <c r="AF19" s="1488">
        <v>2</v>
      </c>
      <c r="AH19" s="1486">
        <f t="shared" si="1"/>
        <v>52</v>
      </c>
      <c r="AI19" s="1093"/>
      <c r="AJ19" s="1489">
        <v>24</v>
      </c>
      <c r="AK19" s="1489">
        <v>24</v>
      </c>
    </row>
    <row r="20" spans="1:37">
      <c r="A20" s="1103">
        <v>1965</v>
      </c>
      <c r="B20" s="1043">
        <v>36</v>
      </c>
      <c r="C20" s="1043"/>
      <c r="D20" s="1043">
        <v>0</v>
      </c>
      <c r="E20" s="1043">
        <v>2</v>
      </c>
      <c r="F20" s="1043">
        <v>2</v>
      </c>
      <c r="G20" s="1043">
        <v>9</v>
      </c>
      <c r="H20" s="1043">
        <v>1</v>
      </c>
      <c r="I20" s="1043">
        <v>2</v>
      </c>
      <c r="J20" s="1043">
        <v>52</v>
      </c>
      <c r="K20" s="1043"/>
      <c r="L20" s="1043">
        <f t="shared" si="2"/>
        <v>52</v>
      </c>
      <c r="N20" s="1103">
        <v>1965</v>
      </c>
      <c r="O20" s="1487">
        <v>36</v>
      </c>
      <c r="P20" s="1487">
        <v>36</v>
      </c>
      <c r="Q20" s="1005"/>
      <c r="R20" s="1488">
        <v>0</v>
      </c>
      <c r="S20" s="1488">
        <v>0</v>
      </c>
      <c r="U20" s="1488">
        <v>2</v>
      </c>
      <c r="V20" s="1488">
        <v>2</v>
      </c>
      <c r="X20" s="1488">
        <v>2</v>
      </c>
      <c r="Y20" s="1488">
        <v>2</v>
      </c>
      <c r="AA20" s="1488">
        <v>9</v>
      </c>
      <c r="AB20" s="1488">
        <v>9</v>
      </c>
      <c r="AD20" s="1488">
        <f t="shared" si="0"/>
        <v>3</v>
      </c>
      <c r="AE20" s="1488">
        <v>52</v>
      </c>
      <c r="AF20" s="1488">
        <v>3</v>
      </c>
      <c r="AH20" s="1486">
        <f t="shared" si="1"/>
        <v>52</v>
      </c>
      <c r="AI20" s="1093"/>
      <c r="AJ20" s="1489">
        <v>23</v>
      </c>
      <c r="AK20" s="1489">
        <v>23</v>
      </c>
    </row>
    <row r="21" spans="1:37" ht="12.75" customHeight="1">
      <c r="A21" s="1103">
        <v>1969</v>
      </c>
      <c r="B21" s="1043" t="s">
        <v>2346</v>
      </c>
      <c r="C21" s="1043"/>
      <c r="D21" s="1043">
        <v>3</v>
      </c>
      <c r="E21" s="1043">
        <v>2</v>
      </c>
      <c r="F21" s="1043">
        <v>2</v>
      </c>
      <c r="G21" s="1043">
        <v>6</v>
      </c>
      <c r="H21" s="1043">
        <v>0</v>
      </c>
      <c r="I21" s="1043">
        <v>3</v>
      </c>
      <c r="J21" s="1043">
        <v>52</v>
      </c>
      <c r="K21" s="1043"/>
      <c r="L21" s="1043">
        <v>52</v>
      </c>
      <c r="N21" s="1103" t="s">
        <v>2347</v>
      </c>
      <c r="O21" s="1487">
        <v>36</v>
      </c>
      <c r="P21" s="1487">
        <v>36</v>
      </c>
      <c r="Q21" s="1005"/>
      <c r="R21" s="1488">
        <v>3</v>
      </c>
      <c r="S21" s="1488">
        <v>3</v>
      </c>
      <c r="U21" s="1488">
        <v>2</v>
      </c>
      <c r="V21" s="1488">
        <v>2</v>
      </c>
      <c r="X21" s="1488">
        <v>2</v>
      </c>
      <c r="Y21" s="1488">
        <v>2</v>
      </c>
      <c r="AA21" s="1488">
        <v>6</v>
      </c>
      <c r="AB21" s="1488">
        <v>6</v>
      </c>
      <c r="AD21" s="1488">
        <f t="shared" si="0"/>
        <v>3</v>
      </c>
      <c r="AE21" s="1488">
        <v>52</v>
      </c>
      <c r="AF21" s="1488">
        <v>3</v>
      </c>
      <c r="AH21" s="1486">
        <f t="shared" si="1"/>
        <v>52</v>
      </c>
      <c r="AI21" s="1093"/>
      <c r="AJ21" s="1489">
        <v>7</v>
      </c>
      <c r="AK21" s="1489">
        <v>7</v>
      </c>
    </row>
    <row r="22" spans="1:37" ht="4.5" customHeight="1">
      <c r="A22" s="1103"/>
      <c r="N22" s="1023"/>
      <c r="O22" s="1039"/>
      <c r="P22" s="1039"/>
      <c r="Q22" s="1039"/>
      <c r="R22" s="1039"/>
      <c r="S22" s="1039"/>
      <c r="T22" s="1039"/>
      <c r="U22" s="1039"/>
      <c r="V22" s="1039"/>
      <c r="W22" s="1039"/>
      <c r="X22" s="1039"/>
      <c r="Y22" s="1039"/>
      <c r="Z22" s="1039"/>
      <c r="AA22" s="1039"/>
      <c r="AB22" s="1039"/>
      <c r="AC22" s="1039"/>
      <c r="AD22" s="1039"/>
      <c r="AE22" s="1039"/>
      <c r="AF22" s="1039"/>
      <c r="AG22" s="1039"/>
      <c r="AH22" s="1363"/>
      <c r="AI22" s="1363"/>
      <c r="AJ22" s="1023"/>
      <c r="AK22" s="1023"/>
    </row>
    <row r="23" spans="1:37" s="1009" customFormat="1" ht="3" customHeight="1">
      <c r="A23" s="1490">
        <v>1</v>
      </c>
      <c r="B23" s="1009" t="s">
        <v>859</v>
      </c>
      <c r="O23" s="1180"/>
      <c r="P23" s="1180"/>
      <c r="Q23" s="1180"/>
      <c r="R23" s="1180"/>
      <c r="S23" s="1180"/>
      <c r="T23" s="1180"/>
      <c r="U23" s="1180"/>
      <c r="V23" s="1180"/>
      <c r="W23" s="1180"/>
      <c r="X23" s="1180"/>
      <c r="Y23" s="1180"/>
      <c r="Z23" s="1180"/>
      <c r="AA23" s="1180"/>
      <c r="AB23" s="1180"/>
      <c r="AC23" s="1180"/>
      <c r="AD23" s="1180"/>
      <c r="AE23" s="1180"/>
      <c r="AF23" s="1180"/>
      <c r="AG23" s="1180"/>
      <c r="AH23" s="1180"/>
      <c r="AI23" s="1180"/>
    </row>
    <row r="24" spans="1:37">
      <c r="N24" s="944" t="s">
        <v>168</v>
      </c>
    </row>
    <row r="25" spans="1:37">
      <c r="N25" s="944" t="s">
        <v>1592</v>
      </c>
    </row>
    <row r="26" spans="1:37">
      <c r="N26" s="944" t="s">
        <v>1593</v>
      </c>
    </row>
    <row r="27" spans="1:37">
      <c r="N27" s="944" t="s">
        <v>1594</v>
      </c>
    </row>
    <row r="28" spans="1:37">
      <c r="N28" s="944" t="s">
        <v>1595</v>
      </c>
    </row>
    <row r="29" spans="1:37">
      <c r="N29" s="944" t="s">
        <v>1596</v>
      </c>
      <c r="O29" s="1115"/>
      <c r="P29" s="1115"/>
      <c r="Q29" s="1115"/>
      <c r="R29" s="1115"/>
      <c r="S29" s="1115"/>
      <c r="T29" s="1115"/>
      <c r="U29" s="1115"/>
      <c r="V29" s="1115"/>
      <c r="W29" s="1115"/>
      <c r="X29" s="1115"/>
      <c r="Y29" s="1115"/>
      <c r="Z29" s="1115"/>
      <c r="AA29" s="1115"/>
      <c r="AB29" s="1115"/>
      <c r="AC29" s="1115"/>
    </row>
  </sheetData>
  <mergeCells count="7">
    <mergeCell ref="AJ7:AK8"/>
    <mergeCell ref="AD7:AF8"/>
    <mergeCell ref="O7:P8"/>
    <mergeCell ref="R7:S8"/>
    <mergeCell ref="U7:V8"/>
    <mergeCell ref="X7:Y8"/>
    <mergeCell ref="AA7:AB8"/>
  </mergeCells>
  <phoneticPr fontId="10" type="noConversion"/>
  <conditionalFormatting sqref="P10:Q21 S10:T21 V9:W22 Y10:Z22 AB10:AC20">
    <cfRule type="dataBar" priority="3">
      <dataBar showValue="0">
        <cfvo type="num" val="0"/>
        <cfvo type="num" val="65"/>
        <color theme="4"/>
      </dataBar>
      <extLst>
        <ext xmlns:x14="http://schemas.microsoft.com/office/spreadsheetml/2009/9/main" uri="{B025F937-C7B1-47D3-B67F-A62EFF666E3E}">
          <x14:id>{EADF7750-B465-4233-81F7-5F840348B296}</x14:id>
        </ext>
      </extLst>
    </cfRule>
  </conditionalFormatting>
  <conditionalFormatting sqref="AB10:AC21 AF10:AG21 AK10:AK21">
    <cfRule type="dataBar" priority="2">
      <dataBar showValue="0">
        <cfvo type="num" val="0"/>
        <cfvo type="num" val="65"/>
        <color theme="4"/>
      </dataBar>
      <extLst>
        <ext xmlns:x14="http://schemas.microsoft.com/office/spreadsheetml/2009/9/main" uri="{B025F937-C7B1-47D3-B67F-A62EFF666E3E}">
          <x14:id>{E9BBF74F-5F51-43D5-9C5E-ABF6CDF53F44}</x14:id>
        </ext>
      </extLst>
    </cfRule>
  </conditionalFormatting>
  <conditionalFormatting sqref="AJ10">
    <cfRule type="dataBar" priority="1">
      <dataBar showValue="0">
        <cfvo type="num" val="0"/>
        <cfvo type="num" val="65"/>
        <color theme="4"/>
      </dataBar>
      <extLst>
        <ext xmlns:x14="http://schemas.microsoft.com/office/spreadsheetml/2009/9/main" uri="{B025F937-C7B1-47D3-B67F-A62EFF666E3E}">
          <x14:id>{48E0C706-06BC-4C0E-A560-DC3236DAD0B0}</x14:id>
        </ext>
      </extLst>
    </cfRule>
  </conditionalFormatting>
  <pageMargins left="0.75" right="0.75" top="1" bottom="1" header="0.5" footer="0.5"/>
  <pageSetup paperSize="9" orientation="portrait" r:id="rId1"/>
  <headerFooter alignWithMargins="0"/>
  <ignoredErrors>
    <ignoredError sqref="L10:L21" formulaRange="1"/>
  </ignoredErrors>
  <extLst>
    <ext xmlns:x14="http://schemas.microsoft.com/office/spreadsheetml/2009/9/main" uri="{78C0D931-6437-407d-A8EE-F0AAD7539E65}">
      <x14:conditionalFormattings>
        <x14:conditionalFormatting xmlns:xm="http://schemas.microsoft.com/office/excel/2006/main">
          <x14:cfRule type="dataBar" id="{EADF7750-B465-4233-81F7-5F840348B296}">
            <x14:dataBar minLength="0" maxLength="100" gradient="0" negativeBarColorSameAsPositive="1" axisPosition="none">
              <x14:cfvo type="num">
                <xm:f>0</xm:f>
              </x14:cfvo>
              <x14:cfvo type="num">
                <xm:f>65</xm:f>
              </x14:cfvo>
            </x14:dataBar>
          </x14:cfRule>
          <xm:sqref>P10:Q21 S10:T21 V9:W22 Y10:Z22 AB10:AC20</xm:sqref>
        </x14:conditionalFormatting>
        <x14:conditionalFormatting xmlns:xm="http://schemas.microsoft.com/office/excel/2006/main">
          <x14:cfRule type="dataBar" id="{E9BBF74F-5F51-43D5-9C5E-ABF6CDF53F44}">
            <x14:dataBar minLength="0" maxLength="100" gradient="0" negativeBarColorSameAsPositive="1" axisPosition="none">
              <x14:cfvo type="num">
                <xm:f>0</xm:f>
              </x14:cfvo>
              <x14:cfvo type="num">
                <xm:f>65</xm:f>
              </x14:cfvo>
            </x14:dataBar>
          </x14:cfRule>
          <xm:sqref>AB10:AC21 AF10:AG21 AK10:AK21</xm:sqref>
        </x14:conditionalFormatting>
        <x14:conditionalFormatting xmlns:xm="http://schemas.microsoft.com/office/excel/2006/main">
          <x14:cfRule type="dataBar" id="{48E0C706-06BC-4C0E-A560-DC3236DAD0B0}">
            <x14:dataBar minLength="0" maxLength="100" gradient="0" negativeBarColorSameAsPositive="1" axisPosition="none">
              <x14:cfvo type="num">
                <xm:f>0</xm:f>
              </x14:cfvo>
              <x14:cfvo type="num">
                <xm:f>65</xm:f>
              </x14:cfvo>
            </x14:dataBar>
          </x14:cfRule>
          <xm:sqref>AJ10</xm:sqref>
        </x14:conditionalFormatting>
      </x14:conditionalFormatting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2"/>
  <dimension ref="A1:AG29"/>
  <sheetViews>
    <sheetView showGridLines="0" zoomScale="55" zoomScaleNormal="55" workbookViewId="0">
      <selection activeCell="W45" sqref="W45"/>
    </sheetView>
  </sheetViews>
  <sheetFormatPr baseColWidth="10" defaultColWidth="9.3984375" defaultRowHeight="14"/>
  <cols>
    <col min="1" max="1" width="10.19921875" style="1175" customWidth="1"/>
    <col min="2" max="6" width="10" style="1175" customWidth="1"/>
    <col min="7" max="7" width="10.19921875" style="1175" customWidth="1"/>
    <col min="8" max="8" width="1.19921875" style="1175" customWidth="1"/>
    <col min="9" max="9" width="5.3984375" style="1175" customWidth="1"/>
    <col min="10" max="10" width="1.3984375" style="1175" customWidth="1"/>
    <col min="11" max="11" width="2" style="1493" customWidth="1"/>
    <col min="12" max="12" width="6.3984375" style="1493" customWidth="1"/>
    <col min="13" max="18" width="5.3984375" style="1493" customWidth="1"/>
    <col min="19" max="19" width="1.796875" style="1493" customWidth="1"/>
    <col min="20" max="25" width="5.3984375" style="1493" customWidth="1"/>
    <col min="26" max="26" width="1.796875" style="1493" customWidth="1"/>
    <col min="27" max="32" width="5.3984375" style="1493" customWidth="1"/>
    <col min="33" max="33" width="9.3984375" style="1493" customWidth="1"/>
    <col min="34" max="16384" width="9.3984375" style="850"/>
  </cols>
  <sheetData>
    <row r="1" spans="1:33">
      <c r="A1" s="1175" t="s">
        <v>2138</v>
      </c>
    </row>
    <row r="2" spans="1:33">
      <c r="A2" s="1494" t="s">
        <v>1314</v>
      </c>
      <c r="G2" s="1494"/>
    </row>
    <row r="4" spans="1:33">
      <c r="A4" s="1174"/>
      <c r="B4" s="1495" t="s">
        <v>147</v>
      </c>
      <c r="C4" s="1495"/>
      <c r="D4" s="1495"/>
      <c r="E4" s="1495"/>
      <c r="F4" s="3282"/>
      <c r="G4" s="1174"/>
      <c r="H4" s="1491"/>
      <c r="I4" s="1174"/>
      <c r="J4" s="1174"/>
      <c r="K4" s="1496" t="s">
        <v>2760</v>
      </c>
    </row>
    <row r="5" spans="1:33" ht="16">
      <c r="A5" s="1174"/>
      <c r="B5" s="1174">
        <v>2000</v>
      </c>
      <c r="C5" s="1174">
        <v>2004</v>
      </c>
      <c r="D5" s="1174">
        <v>2008</v>
      </c>
      <c r="E5" s="1174">
        <v>2012</v>
      </c>
      <c r="F5" s="1174">
        <v>2016</v>
      </c>
      <c r="G5" s="1174">
        <v>2021</v>
      </c>
      <c r="H5" s="1174"/>
      <c r="I5" s="1174"/>
      <c r="J5" s="1173"/>
      <c r="K5" s="1122" t="s">
        <v>2759</v>
      </c>
      <c r="L5" s="1159"/>
      <c r="M5" s="1159"/>
      <c r="N5" s="1159"/>
      <c r="O5" s="1159"/>
      <c r="P5" s="1159"/>
      <c r="Q5" s="1159"/>
      <c r="R5" s="1159"/>
      <c r="S5" s="1159"/>
      <c r="T5" s="1159"/>
      <c r="U5" s="1159"/>
      <c r="V5" s="1159"/>
      <c r="W5" s="1159"/>
      <c r="X5" s="1159"/>
      <c r="Y5" s="1159"/>
      <c r="Z5" s="1159"/>
      <c r="AA5" s="1159"/>
      <c r="AB5" s="1159"/>
      <c r="AC5" s="1159"/>
      <c r="AD5" s="1159"/>
      <c r="AE5" s="1159"/>
      <c r="AF5" s="1159"/>
    </row>
    <row r="6" spans="1:33" ht="15" thickBot="1">
      <c r="A6" s="1174" t="s">
        <v>698</v>
      </c>
      <c r="B6" s="1497">
        <v>9</v>
      </c>
      <c r="C6" s="1497">
        <v>9</v>
      </c>
      <c r="D6" s="1497">
        <v>11</v>
      </c>
      <c r="E6" s="1497">
        <v>9</v>
      </c>
      <c r="F6" s="1174">
        <v>8</v>
      </c>
      <c r="G6" s="1174">
        <v>9</v>
      </c>
      <c r="H6" s="1174"/>
      <c r="I6" s="1174"/>
      <c r="J6" s="1499"/>
      <c r="K6" s="1500"/>
      <c r="L6" s="1500"/>
      <c r="M6" s="3472" t="s">
        <v>147</v>
      </c>
      <c r="N6" s="3472"/>
      <c r="O6" s="3472"/>
      <c r="P6" s="3472"/>
      <c r="Q6" s="3472"/>
      <c r="R6" s="3472"/>
      <c r="S6" s="1501"/>
      <c r="T6" s="3472" t="s">
        <v>1315</v>
      </c>
      <c r="U6" s="3472"/>
      <c r="V6" s="3472"/>
      <c r="W6" s="3472"/>
      <c r="X6" s="3472"/>
      <c r="Y6" s="3472"/>
      <c r="Z6" s="1501"/>
      <c r="AA6" s="3472" t="s">
        <v>1316</v>
      </c>
      <c r="AB6" s="3472"/>
      <c r="AC6" s="3472"/>
      <c r="AD6" s="3472"/>
      <c r="AE6" s="3472"/>
      <c r="AF6" s="3472"/>
    </row>
    <row r="7" spans="1:33" s="1163" customFormat="1">
      <c r="A7" s="1174" t="s">
        <v>699</v>
      </c>
      <c r="B7" s="1497">
        <v>9</v>
      </c>
      <c r="C7" s="1497">
        <v>7</v>
      </c>
      <c r="D7" s="1497">
        <v>8</v>
      </c>
      <c r="E7" s="1497">
        <v>12</v>
      </c>
      <c r="F7" s="1174">
        <v>12</v>
      </c>
      <c r="G7" s="1174">
        <v>11</v>
      </c>
      <c r="H7" s="1174"/>
      <c r="I7" s="1174"/>
      <c r="J7" s="1499"/>
      <c r="K7" s="1502"/>
      <c r="L7" s="1502"/>
      <c r="M7" s="1502">
        <v>2000</v>
      </c>
      <c r="N7" s="1502">
        <v>2004</v>
      </c>
      <c r="O7" s="1502">
        <v>2008</v>
      </c>
      <c r="P7" s="1502">
        <v>2012</v>
      </c>
      <c r="Q7" s="1502">
        <v>2016</v>
      </c>
      <c r="R7" s="1502">
        <v>2021</v>
      </c>
      <c r="S7" s="1502"/>
      <c r="T7" s="1502">
        <v>2000</v>
      </c>
      <c r="U7" s="1502">
        <v>2004</v>
      </c>
      <c r="V7" s="1502">
        <v>2008</v>
      </c>
      <c r="W7" s="1502">
        <v>2012</v>
      </c>
      <c r="X7" s="1502">
        <v>2016</v>
      </c>
      <c r="Y7" s="1502">
        <v>2021</v>
      </c>
      <c r="Z7" s="1502">
        <v>2016</v>
      </c>
      <c r="AA7" s="1502">
        <v>2000</v>
      </c>
      <c r="AB7" s="1502">
        <v>2004</v>
      </c>
      <c r="AC7" s="1502">
        <v>2008</v>
      </c>
      <c r="AD7" s="1502">
        <v>2012</v>
      </c>
      <c r="AE7" s="1502">
        <v>2016</v>
      </c>
      <c r="AF7" s="1502">
        <v>2021</v>
      </c>
      <c r="AG7" s="1175"/>
    </row>
    <row r="8" spans="1:33" ht="15" thickBot="1">
      <c r="A8" s="1174" t="s">
        <v>827</v>
      </c>
      <c r="B8" s="1497">
        <v>4</v>
      </c>
      <c r="C8" s="1497">
        <v>5</v>
      </c>
      <c r="D8" s="1497">
        <v>3</v>
      </c>
      <c r="E8" s="1497">
        <v>2</v>
      </c>
      <c r="F8" s="1174">
        <v>1</v>
      </c>
      <c r="G8" s="1174">
        <v>2</v>
      </c>
      <c r="H8" s="1174"/>
      <c r="I8" s="1174"/>
      <c r="J8" s="1174"/>
    </row>
    <row r="9" spans="1:33" ht="15" thickBot="1">
      <c r="A9" s="1174" t="s">
        <v>115</v>
      </c>
      <c r="B9" s="1497">
        <v>3</v>
      </c>
      <c r="C9" s="1497">
        <v>2</v>
      </c>
      <c r="D9" s="1497">
        <v>2</v>
      </c>
      <c r="E9" s="1497">
        <v>2</v>
      </c>
      <c r="F9" s="1174">
        <v>2</v>
      </c>
      <c r="G9" s="1174">
        <v>3</v>
      </c>
      <c r="H9" s="1174"/>
      <c r="I9" s="1174"/>
      <c r="J9" s="1174"/>
      <c r="K9" s="2376"/>
      <c r="L9" s="1493" t="s">
        <v>699</v>
      </c>
      <c r="M9" s="1493">
        <v>9</v>
      </c>
      <c r="N9" s="1493">
        <v>7</v>
      </c>
      <c r="O9" s="1493">
        <v>8</v>
      </c>
      <c r="P9" s="1493">
        <v>12</v>
      </c>
      <c r="Q9" s="1493">
        <f>X9+AE9</f>
        <v>12</v>
      </c>
      <c r="R9" s="1493">
        <v>11</v>
      </c>
      <c r="S9" s="1493">
        <f>Z9+AG9</f>
        <v>9</v>
      </c>
      <c r="T9" s="1493">
        <v>6</v>
      </c>
      <c r="U9" s="1493">
        <v>5</v>
      </c>
      <c r="V9" s="1493">
        <v>6</v>
      </c>
      <c r="W9" s="1493">
        <v>8</v>
      </c>
      <c r="X9" s="1493">
        <v>9</v>
      </c>
      <c r="Y9" s="1493">
        <v>9</v>
      </c>
      <c r="Z9" s="1493">
        <v>9</v>
      </c>
      <c r="AA9" s="1493">
        <v>3</v>
      </c>
      <c r="AB9" s="1493">
        <v>2</v>
      </c>
      <c r="AC9" s="1493">
        <v>2</v>
      </c>
      <c r="AD9" s="1493">
        <v>4</v>
      </c>
      <c r="AE9" s="1493">
        <v>3</v>
      </c>
      <c r="AF9" s="1493">
        <v>2</v>
      </c>
    </row>
    <row r="10" spans="1:33" ht="15" thickBot="1">
      <c r="A10" s="1174" t="s">
        <v>251</v>
      </c>
      <c r="B10" s="1497">
        <v>0</v>
      </c>
      <c r="C10" s="1497">
        <v>2</v>
      </c>
      <c r="D10" s="1497">
        <v>0</v>
      </c>
      <c r="E10" s="1497">
        <v>0</v>
      </c>
      <c r="F10" s="1174">
        <v>2</v>
      </c>
      <c r="G10" s="1174">
        <v>0</v>
      </c>
      <c r="H10" s="1174"/>
      <c r="I10" s="1174"/>
      <c r="J10" s="1174"/>
      <c r="K10" s="2377"/>
      <c r="L10" s="1493" t="s">
        <v>698</v>
      </c>
      <c r="M10" s="1493">
        <v>9</v>
      </c>
      <c r="N10" s="1493">
        <v>9</v>
      </c>
      <c r="O10" s="1493">
        <v>11</v>
      </c>
      <c r="P10" s="1493">
        <v>9</v>
      </c>
      <c r="Q10" s="1493">
        <f>X10+AE10</f>
        <v>8</v>
      </c>
      <c r="R10" s="1493">
        <v>9</v>
      </c>
      <c r="S10" s="1493">
        <f>Z10+AG10</f>
        <v>5</v>
      </c>
      <c r="T10" s="1493">
        <v>8</v>
      </c>
      <c r="U10" s="1493">
        <v>9</v>
      </c>
      <c r="V10" s="1493">
        <v>8</v>
      </c>
      <c r="W10" s="1493">
        <v>6</v>
      </c>
      <c r="X10" s="1493">
        <v>5</v>
      </c>
      <c r="Y10" s="1493">
        <v>5</v>
      </c>
      <c r="Z10" s="1493">
        <v>5</v>
      </c>
      <c r="AA10" s="1493">
        <v>1</v>
      </c>
      <c r="AC10" s="1493">
        <v>3</v>
      </c>
      <c r="AD10" s="1493">
        <v>3</v>
      </c>
      <c r="AE10" s="1493">
        <v>3</v>
      </c>
      <c r="AF10" s="1493">
        <v>4</v>
      </c>
    </row>
    <row r="11" spans="1:33" ht="15" thickBot="1">
      <c r="A11" s="1174" t="s">
        <v>816</v>
      </c>
      <c r="B11" s="1497">
        <v>0</v>
      </c>
      <c r="C11" s="1497">
        <v>0</v>
      </c>
      <c r="D11" s="1497">
        <v>1</v>
      </c>
      <c r="E11" s="1497">
        <v>0</v>
      </c>
      <c r="F11" s="1174">
        <v>0</v>
      </c>
      <c r="G11" s="1174">
        <v>0</v>
      </c>
      <c r="H11" s="1174"/>
      <c r="I11" s="1174"/>
      <c r="J11" s="1174"/>
      <c r="K11" s="2378"/>
      <c r="L11" s="1493" t="s">
        <v>115</v>
      </c>
      <c r="M11" s="1493">
        <v>3</v>
      </c>
      <c r="N11" s="1493">
        <v>2</v>
      </c>
      <c r="O11" s="1493">
        <v>2</v>
      </c>
      <c r="P11" s="1493">
        <v>2</v>
      </c>
      <c r="Q11" s="1493">
        <f>X11+AE11</f>
        <v>2</v>
      </c>
      <c r="R11" s="1493">
        <v>3</v>
      </c>
      <c r="S11" s="1493">
        <f>Z11+AG11</f>
        <v>0</v>
      </c>
      <c r="AA11" s="1493">
        <v>3</v>
      </c>
      <c r="AB11" s="1493">
        <v>2</v>
      </c>
      <c r="AC11" s="1493">
        <v>2</v>
      </c>
      <c r="AD11" s="1493">
        <v>2</v>
      </c>
      <c r="AE11" s="1493">
        <v>2</v>
      </c>
      <c r="AF11" s="1493">
        <v>3</v>
      </c>
    </row>
    <row r="12" spans="1:33" ht="15" thickBot="1">
      <c r="A12" s="1174"/>
      <c r="B12" s="1174"/>
      <c r="C12" s="1174"/>
      <c r="D12" s="1174"/>
      <c r="E12" s="1174"/>
      <c r="F12" s="1174"/>
      <c r="H12" s="1174"/>
      <c r="I12" s="1174"/>
      <c r="J12" s="1174"/>
      <c r="K12" s="2379"/>
      <c r="L12" s="1493" t="s">
        <v>251</v>
      </c>
      <c r="N12" s="1493">
        <v>2</v>
      </c>
      <c r="Q12" s="1493">
        <f>X12+AE12</f>
        <v>2</v>
      </c>
      <c r="R12" s="1493">
        <v>0</v>
      </c>
      <c r="S12" s="1493">
        <f>Z12+AG12</f>
        <v>0</v>
      </c>
      <c r="AB12" s="1493">
        <v>2</v>
      </c>
      <c r="AE12" s="1493">
        <v>2</v>
      </c>
    </row>
    <row r="13" spans="1:33" ht="15" thickBot="1">
      <c r="A13" s="1174" t="s">
        <v>16</v>
      </c>
      <c r="B13" s="1477">
        <f t="shared" ref="B13:H13" si="0">SUM(B6:B11)</f>
        <v>25</v>
      </c>
      <c r="C13" s="1477">
        <f t="shared" si="0"/>
        <v>25</v>
      </c>
      <c r="D13" s="1477">
        <f t="shared" si="0"/>
        <v>25</v>
      </c>
      <c r="E13" s="1477">
        <f t="shared" si="0"/>
        <v>25</v>
      </c>
      <c r="F13" s="1174">
        <f t="shared" si="0"/>
        <v>25</v>
      </c>
      <c r="G13" s="1174">
        <f t="shared" si="0"/>
        <v>25</v>
      </c>
      <c r="H13" s="1174">
        <f t="shared" si="0"/>
        <v>0</v>
      </c>
      <c r="I13" s="1174"/>
      <c r="J13" s="1174"/>
      <c r="K13" s="2380"/>
      <c r="L13" s="1493" t="s">
        <v>827</v>
      </c>
      <c r="M13" s="1493">
        <v>4</v>
      </c>
      <c r="N13" s="1493">
        <v>5</v>
      </c>
      <c r="O13" s="1493">
        <v>3</v>
      </c>
      <c r="P13" s="1493">
        <v>2</v>
      </c>
      <c r="Q13" s="1493">
        <f>X13+AE13</f>
        <v>1</v>
      </c>
      <c r="R13" s="1493">
        <v>2</v>
      </c>
      <c r="S13" s="1493">
        <f>Z13+AG13</f>
        <v>0</v>
      </c>
      <c r="AA13" s="1493">
        <v>4</v>
      </c>
      <c r="AB13" s="1493">
        <v>5</v>
      </c>
      <c r="AC13" s="1493">
        <v>3</v>
      </c>
      <c r="AD13" s="1493">
        <v>2</v>
      </c>
      <c r="AE13" s="1493">
        <v>1</v>
      </c>
      <c r="AF13" s="1493">
        <v>2</v>
      </c>
    </row>
    <row r="14" spans="1:33" ht="15" thickBot="1">
      <c r="A14" s="1174"/>
      <c r="B14" s="1174"/>
      <c r="C14" s="1174"/>
      <c r="D14" s="1174"/>
      <c r="E14" s="1174"/>
      <c r="F14" s="1174"/>
      <c r="G14" s="1174"/>
      <c r="H14" s="1174"/>
      <c r="I14" s="1174"/>
      <c r="J14" s="1174"/>
      <c r="K14" s="2381"/>
      <c r="L14" s="1493" t="s">
        <v>816</v>
      </c>
      <c r="O14" s="1493">
        <v>1</v>
      </c>
      <c r="AC14" s="1493">
        <v>1</v>
      </c>
    </row>
    <row r="16" spans="1:33">
      <c r="I16" s="1494"/>
      <c r="K16" s="1496"/>
      <c r="L16" s="1496" t="s">
        <v>16</v>
      </c>
      <c r="M16" s="1496">
        <f t="shared" ref="M16:S16" si="1">SUM(M9:M14)</f>
        <v>25</v>
      </c>
      <c r="N16" s="1496">
        <f t="shared" si="1"/>
        <v>25</v>
      </c>
      <c r="O16" s="1496">
        <f t="shared" si="1"/>
        <v>25</v>
      </c>
      <c r="P16" s="1496">
        <f t="shared" si="1"/>
        <v>25</v>
      </c>
      <c r="Q16" s="1496">
        <f t="shared" si="1"/>
        <v>25</v>
      </c>
      <c r="R16" s="1496">
        <f t="shared" si="1"/>
        <v>25</v>
      </c>
      <c r="S16" s="1496">
        <f t="shared" si="1"/>
        <v>14</v>
      </c>
      <c r="T16" s="1496">
        <f t="shared" ref="T16:Y16" si="2">SUM(T9:T14)</f>
        <v>14</v>
      </c>
      <c r="U16" s="1496">
        <f t="shared" si="2"/>
        <v>14</v>
      </c>
      <c r="V16" s="1496">
        <f t="shared" si="2"/>
        <v>14</v>
      </c>
      <c r="W16" s="1496">
        <f t="shared" si="2"/>
        <v>14</v>
      </c>
      <c r="X16" s="1496">
        <f t="shared" si="2"/>
        <v>14</v>
      </c>
      <c r="Y16" s="1496">
        <f t="shared" si="2"/>
        <v>14</v>
      </c>
      <c r="Z16" s="1496">
        <v>14</v>
      </c>
      <c r="AA16" s="1496">
        <f>SUM(AA9:AA14)</f>
        <v>11</v>
      </c>
      <c r="AB16" s="1496">
        <f>SUM(AB9:AB14)</f>
        <v>11</v>
      </c>
      <c r="AC16" s="1496">
        <f>SUM(AC9:AC14)</f>
        <v>11</v>
      </c>
      <c r="AD16" s="1496">
        <f>SUM(AD9:AD14)</f>
        <v>11</v>
      </c>
      <c r="AE16" s="1496">
        <f>SUM(AE9:AE13)</f>
        <v>11</v>
      </c>
      <c r="AF16" s="1496">
        <f>SUM(AF9:AF13)</f>
        <v>11</v>
      </c>
      <c r="AG16" s="1496"/>
    </row>
    <row r="17" spans="1:32" ht="4.5" customHeight="1">
      <c r="A17" s="1174"/>
      <c r="B17" s="1174"/>
      <c r="C17" s="1174"/>
      <c r="D17" s="1174"/>
      <c r="E17" s="1174"/>
      <c r="F17" s="1174"/>
      <c r="G17" s="1174"/>
      <c r="H17" s="1174"/>
      <c r="I17" s="1174"/>
      <c r="J17" s="1499"/>
      <c r="K17" s="1500"/>
      <c r="L17" s="1500"/>
      <c r="M17" s="1500"/>
      <c r="N17" s="1500"/>
      <c r="O17" s="1500"/>
      <c r="P17" s="1500"/>
      <c r="Q17" s="1500"/>
      <c r="R17" s="1500"/>
      <c r="S17" s="1500"/>
      <c r="T17" s="1500"/>
      <c r="U17" s="1500"/>
      <c r="V17" s="1500"/>
      <c r="W17" s="1500"/>
      <c r="X17" s="1500"/>
      <c r="Y17" s="1500"/>
      <c r="Z17" s="1500"/>
      <c r="AA17" s="1500"/>
      <c r="AB17" s="1500"/>
      <c r="AC17" s="1500"/>
      <c r="AD17" s="1500"/>
      <c r="AE17" s="1500"/>
      <c r="AF17" s="1500"/>
    </row>
    <row r="18" spans="1:32">
      <c r="A18" s="1174"/>
      <c r="B18" s="1174"/>
      <c r="C18" s="1174"/>
      <c r="D18" s="1174"/>
      <c r="E18" s="1174"/>
      <c r="F18" s="1174"/>
      <c r="G18" s="1174"/>
      <c r="H18" s="1174"/>
      <c r="I18" s="1174"/>
      <c r="J18" s="1174"/>
    </row>
    <row r="19" spans="1:32">
      <c r="A19" s="1174"/>
      <c r="B19" s="1174"/>
      <c r="C19" s="1174"/>
      <c r="D19" s="1174"/>
      <c r="E19" s="1174"/>
      <c r="F19" s="1174"/>
      <c r="G19" s="1174"/>
      <c r="H19" s="1174"/>
      <c r="I19" s="1174"/>
      <c r="J19" s="1174"/>
    </row>
    <row r="20" spans="1:32">
      <c r="A20" s="1174"/>
      <c r="B20" s="1174"/>
      <c r="C20" s="1174"/>
      <c r="D20" s="1174"/>
      <c r="E20" s="1174"/>
      <c r="F20" s="1174"/>
      <c r="G20" s="1174"/>
      <c r="H20" s="1174"/>
      <c r="I20" s="1174"/>
      <c r="J20" s="1174"/>
    </row>
    <row r="21" spans="1:32">
      <c r="A21" s="1174"/>
      <c r="B21" s="1174"/>
      <c r="C21" s="1174"/>
      <c r="D21" s="1174"/>
      <c r="E21" s="1174"/>
      <c r="F21" s="1174"/>
      <c r="G21" s="1174"/>
      <c r="H21" s="1174"/>
      <c r="I21" s="1174"/>
      <c r="J21" s="1174"/>
    </row>
    <row r="22" spans="1:32">
      <c r="A22" s="1174"/>
      <c r="B22" s="1174"/>
      <c r="C22" s="1174"/>
      <c r="D22" s="1174"/>
      <c r="E22" s="1174"/>
      <c r="F22" s="1174"/>
      <c r="G22" s="1174"/>
      <c r="H22" s="1174"/>
      <c r="I22" s="1174"/>
      <c r="J22" s="1174"/>
    </row>
    <row r="23" spans="1:32">
      <c r="A23" s="1174"/>
      <c r="B23" s="1174"/>
      <c r="C23" s="1174"/>
      <c r="D23" s="1174"/>
      <c r="E23" s="1174"/>
      <c r="F23" s="1174"/>
      <c r="G23" s="1174"/>
      <c r="H23" s="1174"/>
      <c r="I23" s="1174"/>
      <c r="J23" s="1174"/>
    </row>
    <row r="24" spans="1:32">
      <c r="A24" s="1174"/>
      <c r="B24" s="1174"/>
      <c r="C24" s="1174"/>
      <c r="D24" s="1174"/>
      <c r="E24" s="1174"/>
      <c r="F24" s="1174"/>
      <c r="G24" s="1174"/>
      <c r="H24" s="1174"/>
      <c r="I24" s="1174"/>
      <c r="J24" s="1174"/>
    </row>
    <row r="25" spans="1:32">
      <c r="A25" s="1174"/>
      <c r="B25" s="1174"/>
      <c r="C25" s="1174"/>
      <c r="D25" s="1174"/>
      <c r="E25" s="1174"/>
      <c r="F25" s="1174"/>
      <c r="G25" s="1174"/>
      <c r="H25" s="1174"/>
      <c r="I25" s="1174"/>
      <c r="J25" s="1174"/>
    </row>
    <row r="26" spans="1:32">
      <c r="A26" s="1174"/>
      <c r="B26" s="1174"/>
      <c r="C26" s="1174"/>
      <c r="D26" s="1174"/>
      <c r="E26" s="1174"/>
      <c r="F26" s="1174"/>
      <c r="G26" s="1174"/>
      <c r="H26" s="1174"/>
      <c r="I26" s="1174"/>
      <c r="J26" s="1174"/>
    </row>
    <row r="27" spans="1:32">
      <c r="A27" s="1174"/>
      <c r="B27" s="1174"/>
      <c r="C27" s="1174"/>
      <c r="D27" s="1174"/>
      <c r="E27" s="1174"/>
      <c r="F27" s="1174"/>
      <c r="G27" s="1174"/>
      <c r="H27" s="1174"/>
      <c r="I27" s="1174"/>
      <c r="J27" s="1174"/>
    </row>
    <row r="28" spans="1:32">
      <c r="A28" s="1174"/>
      <c r="B28" s="1174"/>
      <c r="C28" s="1174"/>
      <c r="D28" s="1174"/>
      <c r="E28" s="1174"/>
      <c r="F28" s="1174"/>
      <c r="G28" s="1174"/>
      <c r="H28" s="1174"/>
      <c r="I28" s="1498"/>
      <c r="J28" s="1174"/>
    </row>
    <row r="29" spans="1:32">
      <c r="A29" s="1174"/>
      <c r="B29" s="1174"/>
      <c r="C29" s="1174"/>
      <c r="D29" s="1174"/>
      <c r="E29" s="1174"/>
      <c r="F29" s="1174"/>
      <c r="G29" s="1174"/>
      <c r="H29" s="1174"/>
      <c r="I29" s="1174"/>
      <c r="J29" s="1174"/>
    </row>
  </sheetData>
  <mergeCells count="3">
    <mergeCell ref="M6:R6"/>
    <mergeCell ref="T6:Y6"/>
    <mergeCell ref="AA6:AF6"/>
  </mergeCells>
  <pageMargins left="0.7" right="0.7" top="0.75" bottom="0.75" header="0.3" footer="0.3"/>
  <pageSetup paperSize="9" orientation="portrait" verticalDpi="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8">
    <tabColor theme="4"/>
  </sheetPr>
  <dimension ref="A4:Q100"/>
  <sheetViews>
    <sheetView showGridLines="0" zoomScale="85" zoomScaleNormal="85" workbookViewId="0">
      <selection activeCell="Q67" sqref="Q67"/>
    </sheetView>
  </sheetViews>
  <sheetFormatPr baseColWidth="10" defaultColWidth="9.3984375" defaultRowHeight="14"/>
  <cols>
    <col min="1" max="1" width="10.19921875" style="1175" customWidth="1"/>
    <col min="2" max="7" width="9" style="1175" customWidth="1"/>
    <col min="8" max="8" width="2.19921875" style="1175" customWidth="1"/>
    <col min="9" max="14" width="7.3984375" style="1175" customWidth="1"/>
    <col min="15" max="16" width="6.796875" style="1175" customWidth="1"/>
    <col min="17" max="17" width="13.19921875" style="1175" customWidth="1"/>
    <col min="18" max="18" width="6.796875" style="1175" customWidth="1"/>
    <col min="19" max="19" width="9.3984375" style="1175"/>
    <col min="20" max="20" width="5.3984375" style="1175" customWidth="1"/>
    <col min="21" max="21" width="1.3984375" style="1175" customWidth="1"/>
    <col min="22" max="25" width="6.3984375" style="1175" customWidth="1"/>
    <col min="26" max="26" width="1.796875" style="1175" customWidth="1"/>
    <col min="27" max="30" width="6.3984375" style="1175" customWidth="1"/>
    <col min="31" max="31" width="1.796875" style="1175" customWidth="1"/>
    <col min="32" max="35" width="6.3984375" style="1175" customWidth="1"/>
    <col min="36" max="16384" width="9.3984375" style="1175"/>
  </cols>
  <sheetData>
    <row r="4" spans="1:17">
      <c r="A4" s="1494"/>
    </row>
    <row r="5" spans="1:17" ht="16">
      <c r="A5" s="1510" t="s">
        <v>2761</v>
      </c>
      <c r="B5" s="1511"/>
      <c r="C5" s="1511"/>
      <c r="D5" s="1511"/>
      <c r="E5" s="1511"/>
      <c r="F5" s="1511"/>
      <c r="G5" s="1511"/>
      <c r="H5" s="1511"/>
      <c r="I5" s="1511"/>
      <c r="J5" s="1511"/>
      <c r="K5" s="1511"/>
      <c r="L5" s="1511"/>
      <c r="M5" s="1511"/>
      <c r="N5" s="1511"/>
    </row>
    <row r="6" spans="1:17" s="1174" customFormat="1" ht="12.75" customHeight="1" thickBot="1">
      <c r="A6" s="1084"/>
      <c r="B6" s="3474" t="s">
        <v>142</v>
      </c>
      <c r="C6" s="3474"/>
      <c r="D6" s="3474"/>
      <c r="E6" s="3474"/>
      <c r="F6" s="3474"/>
      <c r="G6" s="3474"/>
      <c r="H6" s="1508"/>
      <c r="I6" s="3475" t="s">
        <v>235</v>
      </c>
      <c r="J6" s="3475"/>
      <c r="K6" s="3475"/>
      <c r="L6" s="3475"/>
      <c r="M6" s="3475"/>
      <c r="N6" s="3475"/>
    </row>
    <row r="7" spans="1:17" s="1174" customFormat="1" ht="13">
      <c r="A7" s="1084"/>
      <c r="B7" s="1449">
        <v>2000</v>
      </c>
      <c r="C7" s="1449">
        <v>2004</v>
      </c>
      <c r="D7" s="1449">
        <v>2008</v>
      </c>
      <c r="E7" s="1449">
        <v>2012</v>
      </c>
      <c r="F7" s="1449">
        <v>2016</v>
      </c>
      <c r="G7" s="1449">
        <v>2021</v>
      </c>
      <c r="H7" s="1509"/>
      <c r="I7" s="1449">
        <v>2000</v>
      </c>
      <c r="J7" s="1449">
        <v>2004</v>
      </c>
      <c r="K7" s="1449">
        <v>2008</v>
      </c>
      <c r="L7" s="1449">
        <v>2012</v>
      </c>
      <c r="M7" s="1449">
        <v>2015</v>
      </c>
      <c r="N7" s="1449">
        <v>2021</v>
      </c>
    </row>
    <row r="8" spans="1:17" s="1174" customFormat="1" ht="6" customHeight="1">
      <c r="A8" s="1050"/>
      <c r="B8" s="1005"/>
      <c r="C8" s="1005"/>
      <c r="D8" s="1005"/>
      <c r="E8" s="1005"/>
      <c r="F8" s="1005"/>
      <c r="G8" s="1005"/>
      <c r="H8" s="1142"/>
      <c r="I8" s="1005"/>
      <c r="J8" s="1005"/>
      <c r="K8" s="1005"/>
      <c r="L8" s="1005"/>
    </row>
    <row r="9" spans="1:17" s="1174" customFormat="1" ht="13">
      <c r="A9" s="1223" t="s">
        <v>1903</v>
      </c>
      <c r="B9" s="1050"/>
      <c r="C9" s="1050"/>
      <c r="D9" s="1050"/>
      <c r="E9" s="1050"/>
      <c r="F9" s="1050"/>
      <c r="G9" s="1050"/>
      <c r="H9" s="1050"/>
      <c r="I9" s="1050"/>
      <c r="J9" s="1050"/>
      <c r="K9" s="1050"/>
      <c r="L9" s="1050"/>
    </row>
    <row r="10" spans="1:17" s="1174" customFormat="1" ht="2.25" customHeight="1" thickBot="1">
      <c r="A10" s="1050"/>
      <c r="B10" s="1050"/>
      <c r="C10" s="1050"/>
      <c r="D10" s="1050"/>
      <c r="E10" s="1050"/>
      <c r="F10" s="1050"/>
      <c r="G10" s="1050"/>
      <c r="H10" s="1050"/>
      <c r="I10" s="1050"/>
      <c r="J10" s="1050"/>
      <c r="K10" s="1050"/>
      <c r="L10" s="1050"/>
    </row>
    <row r="11" spans="1:17" s="1174" customFormat="1" thickBot="1">
      <c r="A11" s="1451" t="s">
        <v>2350</v>
      </c>
      <c r="B11" s="1050">
        <v>501296</v>
      </c>
      <c r="C11" s="1050">
        <v>444808</v>
      </c>
      <c r="D11" s="1050">
        <v>673855</v>
      </c>
      <c r="E11" s="1050">
        <v>933438</v>
      </c>
      <c r="F11" s="1050">
        <v>1138576</v>
      </c>
      <c r="G11" s="1050">
        <v>1083215</v>
      </c>
      <c r="H11" s="1050"/>
      <c r="I11" s="1153">
        <f t="shared" ref="I11:L16" si="0">B11/B$17</f>
        <v>0.31606171228256003</v>
      </c>
      <c r="J11" s="1153">
        <f t="shared" si="0"/>
        <v>0.24668098588542073</v>
      </c>
      <c r="K11" s="1153">
        <f t="shared" si="0"/>
        <v>0.28003909754813322</v>
      </c>
      <c r="L11" s="1153">
        <f t="shared" si="0"/>
        <v>0.42281456934143896</v>
      </c>
      <c r="M11" s="1153">
        <f t="shared" ref="M11:M16" si="1">E11/E$17</f>
        <v>0.42281456934143896</v>
      </c>
      <c r="N11" s="1153">
        <v>0.41699999999999998</v>
      </c>
      <c r="Q11" s="1451" t="s">
        <v>2350</v>
      </c>
    </row>
    <row r="12" spans="1:17" s="1174" customFormat="1" thickBot="1">
      <c r="A12" s="1453" t="s">
        <v>2351</v>
      </c>
      <c r="B12" s="1050">
        <v>526707</v>
      </c>
      <c r="C12" s="1050">
        <v>562048</v>
      </c>
      <c r="D12" s="1050">
        <v>900569</v>
      </c>
      <c r="E12" s="1050">
        <v>722280</v>
      </c>
      <c r="F12" s="1050">
        <v>812415</v>
      </c>
      <c r="G12" s="1050">
        <v>833021</v>
      </c>
      <c r="H12" s="1050"/>
      <c r="I12" s="1153">
        <f t="shared" si="0"/>
        <v>0.33208307325653974</v>
      </c>
      <c r="J12" s="1153">
        <f t="shared" si="0"/>
        <v>0.31169977778036584</v>
      </c>
      <c r="K12" s="1153">
        <f t="shared" si="0"/>
        <v>0.37425637568887193</v>
      </c>
      <c r="L12" s="1153">
        <f t="shared" si="0"/>
        <v>0.32716742530723469</v>
      </c>
      <c r="M12" s="1153">
        <f t="shared" si="1"/>
        <v>0.32716742530723469</v>
      </c>
      <c r="N12" s="1153">
        <v>0.32</v>
      </c>
      <c r="Q12" s="1453" t="s">
        <v>2351</v>
      </c>
    </row>
    <row r="13" spans="1:17" s="1174" customFormat="1" thickBot="1">
      <c r="A13" s="1473" t="s">
        <v>2352</v>
      </c>
      <c r="B13" s="1050">
        <v>162457</v>
      </c>
      <c r="C13" s="1050">
        <v>138243</v>
      </c>
      <c r="D13" s="1050">
        <v>194059</v>
      </c>
      <c r="E13" s="1050">
        <v>188623</v>
      </c>
      <c r="F13" s="1050">
        <v>236809</v>
      </c>
      <c r="G13" s="1050">
        <v>336840</v>
      </c>
      <c r="H13" s="1050"/>
      <c r="I13" s="1153">
        <f t="shared" si="0"/>
        <v>0.10242738340678532</v>
      </c>
      <c r="J13" s="1153">
        <f t="shared" si="0"/>
        <v>7.6666605663023635E-2</v>
      </c>
      <c r="K13" s="1153">
        <f t="shared" si="0"/>
        <v>8.0646589000739316E-2</v>
      </c>
      <c r="L13" s="1153">
        <f t="shared" si="0"/>
        <v>8.5439581967833161E-2</v>
      </c>
      <c r="M13" s="1153">
        <f t="shared" si="1"/>
        <v>8.5439581967833161E-2</v>
      </c>
      <c r="N13" s="1153">
        <v>0.13</v>
      </c>
      <c r="Q13" s="1473" t="s">
        <v>2352</v>
      </c>
    </row>
    <row r="14" spans="1:17" s="1174" customFormat="1" thickBot="1">
      <c r="A14" s="1455" t="s">
        <v>2353</v>
      </c>
      <c r="B14" s="1050">
        <v>299998</v>
      </c>
      <c r="C14" s="1050">
        <v>332237</v>
      </c>
      <c r="D14" s="1050">
        <v>330018</v>
      </c>
      <c r="E14" s="1050">
        <v>193842</v>
      </c>
      <c r="F14" s="1050">
        <v>195820</v>
      </c>
      <c r="G14" s="1050">
        <v>266595</v>
      </c>
      <c r="H14" s="1050"/>
      <c r="I14" s="1153">
        <f t="shared" si="0"/>
        <v>0.1891454979918919</v>
      </c>
      <c r="J14" s="1153">
        <f t="shared" si="0"/>
        <v>0.18425152134767031</v>
      </c>
      <c r="K14" s="1153">
        <f t="shared" si="0"/>
        <v>0.13714811479419139</v>
      </c>
      <c r="L14" s="1153">
        <f t="shared" si="0"/>
        <v>8.7803605328134499E-2</v>
      </c>
      <c r="M14" s="1153">
        <f t="shared" si="1"/>
        <v>8.7803605328134499E-2</v>
      </c>
      <c r="N14" s="1153">
        <v>0.10299999999999999</v>
      </c>
      <c r="Q14" s="1455" t="s">
        <v>2353</v>
      </c>
    </row>
    <row r="15" spans="1:17" s="1174" customFormat="1" thickBot="1">
      <c r="A15" s="1454" t="s">
        <v>2349</v>
      </c>
      <c r="B15" s="1050">
        <v>2115</v>
      </c>
      <c r="C15" s="1050">
        <v>181147</v>
      </c>
      <c r="D15" s="1050">
        <v>71984</v>
      </c>
      <c r="E15" s="1050">
        <v>95849</v>
      </c>
      <c r="F15" s="1050">
        <v>199448</v>
      </c>
      <c r="G15" s="1055">
        <v>0</v>
      </c>
      <c r="H15" s="1050"/>
      <c r="I15" s="1153">
        <f t="shared" si="0"/>
        <v>1.3334846507405097E-3</v>
      </c>
      <c r="J15" s="1153">
        <f t="shared" si="0"/>
        <v>0.1004602447577074</v>
      </c>
      <c r="K15" s="1153">
        <f t="shared" si="0"/>
        <v>2.9914943716236909E-2</v>
      </c>
      <c r="L15" s="1153">
        <f t="shared" si="0"/>
        <v>4.3416224384273602E-2</v>
      </c>
      <c r="M15" s="1153">
        <f t="shared" si="1"/>
        <v>4.3416224384273602E-2</v>
      </c>
      <c r="N15" s="1100">
        <v>0</v>
      </c>
      <c r="Q15" s="1454" t="s">
        <v>2349</v>
      </c>
    </row>
    <row r="16" spans="1:17" s="1174" customFormat="1" thickBot="1">
      <c r="A16" s="1456" t="s">
        <v>2354</v>
      </c>
      <c r="B16" s="1050">
        <v>93497</v>
      </c>
      <c r="C16" s="1050">
        <v>144688</v>
      </c>
      <c r="D16" s="1050">
        <v>235804</v>
      </c>
      <c r="E16" s="1050">
        <v>73645</v>
      </c>
      <c r="F16" s="1050">
        <v>31844</v>
      </c>
      <c r="G16" s="1050">
        <v>79979</v>
      </c>
      <c r="H16" s="1050"/>
      <c r="I16" s="1153">
        <f t="shared" si="0"/>
        <v>5.8948848411482471E-2</v>
      </c>
      <c r="J16" s="1153">
        <f t="shared" si="0"/>
        <v>8.0240864565812114E-2</v>
      </c>
      <c r="K16" s="1153">
        <f t="shared" si="0"/>
        <v>9.7994879251827191E-2</v>
      </c>
      <c r="L16" s="1153">
        <f t="shared" si="0"/>
        <v>3.3358593671085034E-2</v>
      </c>
      <c r="M16" s="1153">
        <f t="shared" si="1"/>
        <v>3.3358593671085034E-2</v>
      </c>
      <c r="N16" s="1153">
        <v>3.1E-2</v>
      </c>
      <c r="Q16" s="1456" t="s">
        <v>2354</v>
      </c>
    </row>
    <row r="17" spans="1:15" s="1498" customFormat="1" ht="13">
      <c r="A17" s="1040" t="s">
        <v>16</v>
      </c>
      <c r="B17" s="1223">
        <f>SUM(B11:B16)</f>
        <v>1586070</v>
      </c>
      <c r="C17" s="1223">
        <f>SUM(C11:C16)</f>
        <v>1803171</v>
      </c>
      <c r="D17" s="1223">
        <f>SUM(D11:D16)</f>
        <v>2406289</v>
      </c>
      <c r="E17" s="1223">
        <f>SUM(E11:E16)</f>
        <v>2207677</v>
      </c>
      <c r="F17" s="1223">
        <f>SUM(F11:F16)</f>
        <v>2614912</v>
      </c>
      <c r="G17" s="1223">
        <v>2599650</v>
      </c>
      <c r="H17" s="1223"/>
      <c r="I17" s="1430">
        <f t="shared" ref="I17:N17" si="2">SUM(I11:I16)</f>
        <v>1</v>
      </c>
      <c r="J17" s="1430">
        <f t="shared" si="2"/>
        <v>1</v>
      </c>
      <c r="K17" s="1430">
        <f t="shared" si="2"/>
        <v>1</v>
      </c>
      <c r="L17" s="1430">
        <f t="shared" si="2"/>
        <v>1</v>
      </c>
      <c r="M17" s="1430">
        <f t="shared" si="2"/>
        <v>1</v>
      </c>
      <c r="N17" s="1430">
        <f t="shared" si="2"/>
        <v>1.0009999999999999</v>
      </c>
    </row>
    <row r="18" spans="1:15" s="1174" customFormat="1" ht="6" customHeight="1">
      <c r="A18" s="1050"/>
      <c r="B18" s="1050"/>
      <c r="C18" s="1050"/>
      <c r="D18" s="1050"/>
      <c r="E18" s="1050"/>
      <c r="F18" s="1050"/>
      <c r="G18" s="1050"/>
      <c r="H18" s="1050"/>
      <c r="I18" s="1050"/>
      <c r="J18" s="1050"/>
      <c r="K18" s="1050"/>
      <c r="L18" s="1050"/>
    </row>
    <row r="19" spans="1:15" s="1174" customFormat="1" ht="6" customHeight="1">
      <c r="A19" s="1050"/>
      <c r="B19" s="1050"/>
      <c r="C19" s="1050"/>
      <c r="D19" s="1050"/>
      <c r="E19" s="1050"/>
      <c r="F19" s="1050"/>
      <c r="G19" s="1050"/>
      <c r="H19" s="1050"/>
      <c r="I19" s="1050"/>
      <c r="J19" s="1050"/>
      <c r="K19" s="1050"/>
      <c r="L19" s="1050"/>
    </row>
    <row r="20" spans="1:15" s="1174" customFormat="1" ht="13">
      <c r="A20" s="1223" t="s">
        <v>1904</v>
      </c>
      <c r="B20" s="1050"/>
      <c r="C20" s="1050"/>
      <c r="D20" s="1050"/>
      <c r="E20" s="1050"/>
      <c r="F20" s="1050"/>
      <c r="G20" s="1050"/>
      <c r="H20" s="1050"/>
      <c r="I20" s="1050"/>
      <c r="J20" s="1050"/>
      <c r="K20" s="1050"/>
      <c r="L20" s="1050"/>
    </row>
    <row r="21" spans="1:15" s="1174" customFormat="1" ht="2.25" customHeight="1" thickBot="1">
      <c r="A21" s="1050"/>
      <c r="B21" s="1050"/>
      <c r="C21" s="1050"/>
      <c r="D21" s="1050"/>
      <c r="E21" s="1050"/>
      <c r="F21" s="1050"/>
      <c r="G21" s="1050"/>
      <c r="H21" s="1050"/>
      <c r="I21" s="1050"/>
      <c r="J21" s="1050"/>
      <c r="K21" s="1050"/>
      <c r="L21" s="1050"/>
    </row>
    <row r="22" spans="1:15" s="1174" customFormat="1" thickBot="1">
      <c r="A22" s="1451" t="s">
        <v>2350</v>
      </c>
      <c r="B22" s="1050">
        <v>502874</v>
      </c>
      <c r="C22" s="1050">
        <v>468247</v>
      </c>
      <c r="D22" s="1050">
        <v>665443</v>
      </c>
      <c r="E22" s="1050">
        <v>911204</v>
      </c>
      <c r="F22" s="1050">
        <v>1054801</v>
      </c>
      <c r="G22" s="1131">
        <v>986609</v>
      </c>
      <c r="H22" s="1050"/>
      <c r="I22" s="1153">
        <f t="shared" ref="I22:L28" si="3">B22/B$30</f>
        <v>0.30300368154347657</v>
      </c>
      <c r="J22" s="1153">
        <f t="shared" si="3"/>
        <v>0.24997624342957325</v>
      </c>
      <c r="K22" s="1153">
        <f t="shared" si="3"/>
        <v>0.27581906211828117</v>
      </c>
      <c r="L22" s="1153">
        <f t="shared" si="3"/>
        <v>0.41137729525130384</v>
      </c>
      <c r="M22" s="1153">
        <f t="shared" ref="M22:M28" si="4">E22/E$30</f>
        <v>0.41137729525130384</v>
      </c>
      <c r="N22" s="1153">
        <v>0.38100000000000001</v>
      </c>
      <c r="O22" s="1503"/>
    </row>
    <row r="23" spans="1:15" s="1174" customFormat="1" thickBot="1">
      <c r="A23" s="1453" t="s">
        <v>2351</v>
      </c>
      <c r="B23" s="1050">
        <v>481053</v>
      </c>
      <c r="C23" s="1050">
        <v>533696</v>
      </c>
      <c r="D23" s="1050">
        <v>835535</v>
      </c>
      <c r="E23" s="1050">
        <v>708528</v>
      </c>
      <c r="F23" s="1050">
        <v>764230</v>
      </c>
      <c r="G23" s="1131">
        <v>795081</v>
      </c>
      <c r="H23" s="1050"/>
      <c r="I23" s="1153">
        <f t="shared" si="3"/>
        <v>0.28985557021745811</v>
      </c>
      <c r="J23" s="1153">
        <f t="shared" si="3"/>
        <v>0.28491655304441782</v>
      </c>
      <c r="K23" s="1153">
        <f t="shared" si="3"/>
        <v>0.34632039117850522</v>
      </c>
      <c r="L23" s="1153">
        <f t="shared" si="3"/>
        <v>0.31987604559441773</v>
      </c>
      <c r="M23" s="1153">
        <f t="shared" si="4"/>
        <v>0.31987604559441773</v>
      </c>
      <c r="N23" s="1153">
        <v>0.307</v>
      </c>
    </row>
    <row r="24" spans="1:15" s="1174" customFormat="1" thickBot="1">
      <c r="A24" s="1473" t="s">
        <v>2352</v>
      </c>
      <c r="B24" s="1050">
        <v>183910</v>
      </c>
      <c r="C24" s="1050">
        <v>160445</v>
      </c>
      <c r="D24" s="1050">
        <v>203465</v>
      </c>
      <c r="E24" s="1050">
        <v>189215</v>
      </c>
      <c r="F24" s="1050">
        <v>207959</v>
      </c>
      <c r="G24" s="1131">
        <v>305452</v>
      </c>
      <c r="H24" s="1050"/>
      <c r="I24" s="1153">
        <f t="shared" si="3"/>
        <v>0.11081385610045613</v>
      </c>
      <c r="J24" s="1153">
        <f t="shared" si="3"/>
        <v>8.5654448137538267E-2</v>
      </c>
      <c r="K24" s="1153">
        <f t="shared" si="3"/>
        <v>8.4334083420963296E-2</v>
      </c>
      <c r="L24" s="1153">
        <f t="shared" si="3"/>
        <v>8.5424070703130642E-2</v>
      </c>
      <c r="M24" s="1153">
        <f t="shared" si="4"/>
        <v>8.5424070703130642E-2</v>
      </c>
      <c r="N24" s="1153">
        <v>0.11799999999999999</v>
      </c>
    </row>
    <row r="25" spans="1:15" s="1174" customFormat="1" thickBot="1">
      <c r="A25" s="1455" t="s">
        <v>2353</v>
      </c>
      <c r="B25" s="1050">
        <v>245555</v>
      </c>
      <c r="C25" s="1050">
        <v>316218</v>
      </c>
      <c r="D25" s="1050">
        <v>275272</v>
      </c>
      <c r="E25" s="1050">
        <v>150447</v>
      </c>
      <c r="F25" s="1050">
        <v>165580</v>
      </c>
      <c r="G25" s="1131">
        <v>189522</v>
      </c>
      <c r="H25" s="1050"/>
      <c r="I25" s="1153">
        <f t="shared" si="3"/>
        <v>0.14795767731361809</v>
      </c>
      <c r="J25" s="1153">
        <f t="shared" si="3"/>
        <v>0.16881472330802502</v>
      </c>
      <c r="K25" s="1153">
        <f t="shared" si="3"/>
        <v>0.11409732293738682</v>
      </c>
      <c r="L25" s="1153">
        <f t="shared" si="3"/>
        <v>6.7921650847310708E-2</v>
      </c>
      <c r="M25" s="1153">
        <f t="shared" si="4"/>
        <v>6.7921650847310708E-2</v>
      </c>
      <c r="N25" s="1153">
        <v>7.2999999999999995E-2</v>
      </c>
    </row>
    <row r="26" spans="1:15" s="1174" customFormat="1" thickBot="1">
      <c r="A26" s="1454" t="s">
        <v>2349</v>
      </c>
      <c r="B26" s="1050">
        <v>34054</v>
      </c>
      <c r="C26" s="1050">
        <v>156780</v>
      </c>
      <c r="D26" s="1050">
        <v>46617</v>
      </c>
      <c r="E26" s="1050">
        <v>100040</v>
      </c>
      <c r="F26" s="1050">
        <v>171069</v>
      </c>
      <c r="G26" s="1131">
        <v>27114</v>
      </c>
      <c r="H26" s="1050"/>
      <c r="I26" s="1153">
        <f t="shared" si="3"/>
        <v>2.0519031350361226E-2</v>
      </c>
      <c r="J26" s="1153">
        <f t="shared" si="3"/>
        <v>8.3697867674301152E-2</v>
      </c>
      <c r="K26" s="1153">
        <f t="shared" si="3"/>
        <v>1.9322251821369995E-2</v>
      </c>
      <c r="L26" s="1153">
        <f t="shared" si="3"/>
        <v>4.5164622430257588E-2</v>
      </c>
      <c r="M26" s="1153">
        <f t="shared" si="4"/>
        <v>4.5164622430257588E-2</v>
      </c>
      <c r="N26" s="1153">
        <v>0.01</v>
      </c>
    </row>
    <row r="27" spans="1:15" s="1174" customFormat="1" thickBot="1">
      <c r="A27" s="1514" t="s">
        <v>2355</v>
      </c>
      <c r="B27" s="1050">
        <v>47670</v>
      </c>
      <c r="C27" s="1050">
        <v>90365</v>
      </c>
      <c r="D27" s="1050">
        <v>130714</v>
      </c>
      <c r="E27" s="1050">
        <v>47024</v>
      </c>
      <c r="F27" s="1050">
        <v>15833</v>
      </c>
      <c r="G27" s="1055">
        <v>0</v>
      </c>
      <c r="H27" s="1050"/>
      <c r="I27" s="1153">
        <f t="shared" si="3"/>
        <v>2.8723269644438821E-2</v>
      </c>
      <c r="J27" s="1153">
        <f t="shared" si="3"/>
        <v>4.8241853631765683E-2</v>
      </c>
      <c r="K27" s="1153">
        <f t="shared" si="3"/>
        <v>5.4179565921843052E-2</v>
      </c>
      <c r="L27" s="1153">
        <f t="shared" si="3"/>
        <v>2.1229720163538912E-2</v>
      </c>
      <c r="M27" s="1153">
        <f t="shared" si="4"/>
        <v>2.1229720163538912E-2</v>
      </c>
      <c r="N27" s="1100">
        <v>0</v>
      </c>
    </row>
    <row r="28" spans="1:15" s="1174" customFormat="1" thickBot="1">
      <c r="A28" s="1513" t="s">
        <v>2354</v>
      </c>
      <c r="B28" s="1050">
        <v>164514</v>
      </c>
      <c r="C28" s="1050">
        <v>147415</v>
      </c>
      <c r="D28" s="1050">
        <v>255561</v>
      </c>
      <c r="E28" s="1050">
        <v>108550</v>
      </c>
      <c r="F28" s="1050">
        <f>27172+25810+39071+11055+41324+91772</f>
        <v>236204</v>
      </c>
      <c r="G28" s="1050">
        <f>G30-(SUM(G22:G26))</f>
        <v>285490</v>
      </c>
      <c r="H28" s="1050"/>
      <c r="I28" s="1153">
        <f t="shared" si="3"/>
        <v>9.9126913830191066E-2</v>
      </c>
      <c r="J28" s="1153">
        <f t="shared" si="3"/>
        <v>7.8698310774378777E-2</v>
      </c>
      <c r="K28" s="1153">
        <f t="shared" si="3"/>
        <v>0.10592732260165041</v>
      </c>
      <c r="L28" s="1153">
        <f t="shared" si="3"/>
        <v>4.9006595010040593E-2</v>
      </c>
      <c r="M28" s="1153">
        <f t="shared" si="4"/>
        <v>4.9006595010040593E-2</v>
      </c>
      <c r="N28" s="1153">
        <f>G28/G30</f>
        <v>0.1102589612199278</v>
      </c>
      <c r="O28" s="1140"/>
    </row>
    <row r="29" spans="1:15" s="1174" customFormat="1" ht="2.25" customHeight="1">
      <c r="A29" s="1050"/>
      <c r="B29" s="1050"/>
      <c r="C29" s="1050"/>
      <c r="D29" s="1050"/>
      <c r="E29" s="1050"/>
      <c r="F29" s="1050"/>
      <c r="G29" s="1050"/>
      <c r="H29" s="1050"/>
      <c r="I29" s="1153"/>
      <c r="J29" s="1153"/>
      <c r="K29" s="1153"/>
      <c r="L29" s="1153"/>
      <c r="M29" s="1153"/>
      <c r="N29" s="1153"/>
    </row>
    <row r="30" spans="1:15" s="1498" customFormat="1" ht="13">
      <c r="A30" s="1223" t="s">
        <v>16</v>
      </c>
      <c r="B30" s="1223">
        <f>SUM(B22:B28)</f>
        <v>1659630</v>
      </c>
      <c r="C30" s="1223">
        <f>SUM(C22:C28)</f>
        <v>1873166</v>
      </c>
      <c r="D30" s="1223">
        <f>SUM(D22:D28)</f>
        <v>2412607</v>
      </c>
      <c r="E30" s="1223">
        <f>SUM(E22:E28)</f>
        <v>2215008</v>
      </c>
      <c r="F30" s="1223">
        <f>SUM(F22:F28)</f>
        <v>2615676</v>
      </c>
      <c r="G30" s="1223">
        <v>2589268</v>
      </c>
      <c r="H30" s="1223"/>
      <c r="I30" s="1430">
        <f t="shared" ref="I30:N30" si="5">SUM(I22:I28)</f>
        <v>1</v>
      </c>
      <c r="J30" s="1430">
        <f t="shared" si="5"/>
        <v>1.0000000000000002</v>
      </c>
      <c r="K30" s="1430">
        <f t="shared" si="5"/>
        <v>0.99999999999999989</v>
      </c>
      <c r="L30" s="1430">
        <f t="shared" si="5"/>
        <v>0.99999999999999989</v>
      </c>
      <c r="M30" s="1430">
        <f t="shared" si="5"/>
        <v>0.99999999999999989</v>
      </c>
      <c r="N30" s="1430">
        <f t="shared" si="5"/>
        <v>0.99925896121992774</v>
      </c>
    </row>
    <row r="31" spans="1:15">
      <c r="G31" s="1507"/>
    </row>
    <row r="32" spans="1:15" ht="15" thickBot="1">
      <c r="A32" s="1223" t="s">
        <v>1905</v>
      </c>
      <c r="B32" s="3300"/>
      <c r="C32" s="3300"/>
      <c r="D32" s="3300"/>
      <c r="E32" s="3300"/>
      <c r="F32" s="3300"/>
      <c r="G32" s="3300"/>
      <c r="H32" s="3300"/>
      <c r="I32" s="3300"/>
      <c r="J32" s="3300"/>
      <c r="K32" s="3300"/>
      <c r="L32" s="3300"/>
      <c r="M32" s="3300"/>
      <c r="N32" s="3300"/>
    </row>
    <row r="33" spans="1:14" ht="15" thickBot="1">
      <c r="A33" s="1451" t="s">
        <v>2350</v>
      </c>
      <c r="B33" s="3185">
        <v>6</v>
      </c>
      <c r="C33" s="3185">
        <v>5</v>
      </c>
      <c r="D33" s="3185">
        <v>6</v>
      </c>
      <c r="E33" s="3185">
        <v>8</v>
      </c>
      <c r="F33" s="3185">
        <v>9</v>
      </c>
      <c r="G33" s="3185">
        <v>9</v>
      </c>
      <c r="H33" s="3300"/>
      <c r="I33" s="3301">
        <f t="shared" ref="I33:N33" si="6">B33/B$40</f>
        <v>0.42857142857142855</v>
      </c>
      <c r="J33" s="3301">
        <f t="shared" si="6"/>
        <v>0.35714285714285715</v>
      </c>
      <c r="K33" s="3301">
        <f t="shared" si="6"/>
        <v>0.42857142857142855</v>
      </c>
      <c r="L33" s="3301">
        <f t="shared" si="6"/>
        <v>0.5714285714285714</v>
      </c>
      <c r="M33" s="3301">
        <f t="shared" si="6"/>
        <v>0.6428571428571429</v>
      </c>
      <c r="N33" s="3301">
        <f t="shared" si="6"/>
        <v>0.6428571428571429</v>
      </c>
    </row>
    <row r="34" spans="1:14" ht="15" thickBot="1">
      <c r="A34" s="1453" t="s">
        <v>2351</v>
      </c>
      <c r="B34" s="3185">
        <v>8</v>
      </c>
      <c r="C34" s="3185">
        <v>9</v>
      </c>
      <c r="D34" s="3185">
        <v>8</v>
      </c>
      <c r="E34" s="3185">
        <v>6</v>
      </c>
      <c r="F34" s="3185">
        <v>5</v>
      </c>
      <c r="G34" s="3185">
        <v>5</v>
      </c>
      <c r="H34" s="3300"/>
      <c r="I34" s="3301">
        <f t="shared" ref="I34:N38" si="7">B34/B$40</f>
        <v>0.5714285714285714</v>
      </c>
      <c r="J34" s="3301">
        <f t="shared" si="7"/>
        <v>0.6428571428571429</v>
      </c>
      <c r="K34" s="3301">
        <f t="shared" si="7"/>
        <v>0.5714285714285714</v>
      </c>
      <c r="L34" s="3301">
        <f t="shared" si="7"/>
        <v>0.42857142857142855</v>
      </c>
      <c r="M34" s="3301">
        <f t="shared" si="7"/>
        <v>0.35714285714285715</v>
      </c>
      <c r="N34" s="3301">
        <f t="shared" si="7"/>
        <v>0.35714285714285715</v>
      </c>
    </row>
    <row r="35" spans="1:14" ht="15" thickBot="1">
      <c r="A35" s="1473" t="s">
        <v>2352</v>
      </c>
      <c r="B35" s="3185">
        <v>0</v>
      </c>
      <c r="C35" s="3185">
        <v>0</v>
      </c>
      <c r="D35" s="3185">
        <v>0</v>
      </c>
      <c r="E35" s="3185">
        <v>0</v>
      </c>
      <c r="F35" s="3185">
        <v>0</v>
      </c>
      <c r="G35" s="3185">
        <v>0</v>
      </c>
      <c r="H35" s="3300"/>
      <c r="I35" s="3301">
        <f t="shared" si="7"/>
        <v>0</v>
      </c>
      <c r="J35" s="3301">
        <f t="shared" si="7"/>
        <v>0</v>
      </c>
      <c r="K35" s="3301">
        <f t="shared" si="7"/>
        <v>0</v>
      </c>
      <c r="L35" s="3301">
        <f t="shared" si="7"/>
        <v>0</v>
      </c>
      <c r="M35" s="3301">
        <f t="shared" si="7"/>
        <v>0</v>
      </c>
      <c r="N35" s="3301">
        <f t="shared" si="7"/>
        <v>0</v>
      </c>
    </row>
    <row r="36" spans="1:14" ht="15" thickBot="1">
      <c r="A36" s="1455" t="s">
        <v>2353</v>
      </c>
      <c r="B36" s="3185">
        <v>0</v>
      </c>
      <c r="C36" s="3185">
        <v>0</v>
      </c>
      <c r="D36" s="3185">
        <v>0</v>
      </c>
      <c r="E36" s="3185">
        <v>0</v>
      </c>
      <c r="F36" s="3185">
        <v>0</v>
      </c>
      <c r="G36" s="3185">
        <v>0</v>
      </c>
      <c r="H36" s="3300"/>
      <c r="I36" s="3301">
        <f t="shared" si="7"/>
        <v>0</v>
      </c>
      <c r="J36" s="3301">
        <f t="shared" si="7"/>
        <v>0</v>
      </c>
      <c r="K36" s="3301">
        <f t="shared" si="7"/>
        <v>0</v>
      </c>
      <c r="L36" s="3301">
        <f t="shared" si="7"/>
        <v>0</v>
      </c>
      <c r="M36" s="3301">
        <f t="shared" si="7"/>
        <v>0</v>
      </c>
      <c r="N36" s="3301">
        <f t="shared" si="7"/>
        <v>0</v>
      </c>
    </row>
    <row r="37" spans="1:14" ht="15" thickBot="1">
      <c r="A37" s="1454" t="s">
        <v>2349</v>
      </c>
      <c r="B37" s="3185">
        <v>0</v>
      </c>
      <c r="C37" s="3185">
        <v>0</v>
      </c>
      <c r="D37" s="3185">
        <v>0</v>
      </c>
      <c r="E37" s="3185">
        <v>0</v>
      </c>
      <c r="F37" s="3185">
        <v>0</v>
      </c>
      <c r="G37" s="3185">
        <v>0</v>
      </c>
      <c r="H37" s="3300"/>
      <c r="I37" s="3301">
        <f t="shared" si="7"/>
        <v>0</v>
      </c>
      <c r="J37" s="3301">
        <f t="shared" si="7"/>
        <v>0</v>
      </c>
      <c r="K37" s="3301">
        <f t="shared" si="7"/>
        <v>0</v>
      </c>
      <c r="L37" s="3301">
        <f t="shared" si="7"/>
        <v>0</v>
      </c>
      <c r="M37" s="3301">
        <f t="shared" si="7"/>
        <v>0</v>
      </c>
      <c r="N37" s="3301">
        <f t="shared" si="7"/>
        <v>0</v>
      </c>
    </row>
    <row r="38" spans="1:14" ht="15" thickBot="1">
      <c r="A38" s="1456" t="s">
        <v>2354</v>
      </c>
      <c r="B38" s="3185">
        <v>0</v>
      </c>
      <c r="C38" s="3185">
        <v>0</v>
      </c>
      <c r="D38" s="3185">
        <v>0</v>
      </c>
      <c r="E38" s="3185">
        <v>0</v>
      </c>
      <c r="F38" s="3185">
        <v>0</v>
      </c>
      <c r="G38" s="3185">
        <v>0</v>
      </c>
      <c r="H38" s="3300"/>
      <c r="I38" s="3301">
        <f t="shared" si="7"/>
        <v>0</v>
      </c>
      <c r="J38" s="3301">
        <f t="shared" si="7"/>
        <v>0</v>
      </c>
      <c r="K38" s="3301">
        <f t="shared" si="7"/>
        <v>0</v>
      </c>
      <c r="L38" s="3301">
        <f t="shared" si="7"/>
        <v>0</v>
      </c>
      <c r="M38" s="3301">
        <f t="shared" si="7"/>
        <v>0</v>
      </c>
      <c r="N38" s="3301">
        <f t="shared" si="7"/>
        <v>0</v>
      </c>
    </row>
    <row r="39" spans="1:14" ht="6" customHeight="1">
      <c r="A39" s="3160"/>
      <c r="B39" s="3185"/>
      <c r="C39" s="3185"/>
      <c r="D39" s="3185"/>
      <c r="E39" s="3185"/>
      <c r="F39" s="3185"/>
      <c r="G39" s="3185"/>
      <c r="H39" s="3300"/>
      <c r="I39" s="3301"/>
      <c r="J39" s="3301"/>
      <c r="K39" s="3301"/>
      <c r="L39" s="3301"/>
      <c r="M39" s="3301"/>
      <c r="N39" s="3301"/>
    </row>
    <row r="40" spans="1:14" s="1494" customFormat="1">
      <c r="A40" s="1223" t="s">
        <v>16</v>
      </c>
      <c r="B40" s="1223">
        <f t="shared" ref="B40:G40" si="8">SUM(B33:B38)</f>
        <v>14</v>
      </c>
      <c r="C40" s="1223">
        <f t="shared" si="8"/>
        <v>14</v>
      </c>
      <c r="D40" s="1223">
        <f t="shared" si="8"/>
        <v>14</v>
      </c>
      <c r="E40" s="1223">
        <f t="shared" si="8"/>
        <v>14</v>
      </c>
      <c r="F40" s="1223">
        <f t="shared" si="8"/>
        <v>14</v>
      </c>
      <c r="G40" s="1223">
        <f t="shared" si="8"/>
        <v>14</v>
      </c>
      <c r="H40" s="1498"/>
      <c r="I40" s="3302">
        <f t="shared" ref="I40:N40" si="9">SUM(I33:I38)</f>
        <v>1</v>
      </c>
      <c r="J40" s="3302">
        <f t="shared" si="9"/>
        <v>1</v>
      </c>
      <c r="K40" s="3302">
        <f t="shared" si="9"/>
        <v>1</v>
      </c>
      <c r="L40" s="3302">
        <f t="shared" si="9"/>
        <v>1</v>
      </c>
      <c r="M40" s="3302">
        <f t="shared" si="9"/>
        <v>1</v>
      </c>
      <c r="N40" s="3302">
        <f t="shared" si="9"/>
        <v>1</v>
      </c>
    </row>
    <row r="41" spans="1:14" ht="9" customHeight="1">
      <c r="A41" s="3300"/>
      <c r="B41" s="3185"/>
      <c r="C41" s="3185"/>
      <c r="D41" s="3185"/>
      <c r="E41" s="3185"/>
      <c r="F41" s="3185"/>
      <c r="G41" s="3185"/>
      <c r="H41" s="3300"/>
      <c r="I41" s="3300"/>
      <c r="J41" s="3300"/>
      <c r="K41" s="3300"/>
      <c r="L41" s="3300"/>
      <c r="M41" s="3300"/>
      <c r="N41" s="3300"/>
    </row>
    <row r="42" spans="1:14" ht="15" thickBot="1">
      <c r="A42" s="1223" t="s">
        <v>1906</v>
      </c>
      <c r="B42" s="3185"/>
      <c r="C42" s="3185"/>
      <c r="D42" s="3185"/>
      <c r="E42" s="3185"/>
      <c r="F42" s="3185"/>
      <c r="G42" s="3185"/>
      <c r="H42" s="3300"/>
      <c r="I42" s="3300"/>
      <c r="J42" s="3300"/>
      <c r="K42" s="3300"/>
      <c r="L42" s="3300"/>
      <c r="M42" s="3300"/>
      <c r="N42" s="3300"/>
    </row>
    <row r="43" spans="1:14" ht="15" thickBot="1">
      <c r="A43" s="1451" t="s">
        <v>2350</v>
      </c>
      <c r="B43" s="3185">
        <v>3</v>
      </c>
      <c r="C43" s="3185">
        <v>2</v>
      </c>
      <c r="D43" s="3185">
        <v>2</v>
      </c>
      <c r="E43" s="3185">
        <v>4</v>
      </c>
      <c r="F43" s="3185">
        <v>3</v>
      </c>
      <c r="G43" s="3185">
        <v>2</v>
      </c>
      <c r="H43" s="3300"/>
      <c r="I43" s="3301">
        <f t="shared" ref="I43:N43" si="10">B43/B$50</f>
        <v>0.27272727272727271</v>
      </c>
      <c r="J43" s="3301">
        <f t="shared" si="10"/>
        <v>0.18181818181818182</v>
      </c>
      <c r="K43" s="3301">
        <f t="shared" si="10"/>
        <v>0.18181818181818182</v>
      </c>
      <c r="L43" s="3301">
        <f t="shared" si="10"/>
        <v>0.36363636363636365</v>
      </c>
      <c r="M43" s="3301">
        <f t="shared" si="10"/>
        <v>0.27272727272727271</v>
      </c>
      <c r="N43" s="3301">
        <f t="shared" si="10"/>
        <v>0.18181818181818182</v>
      </c>
    </row>
    <row r="44" spans="1:14" ht="15" thickBot="1">
      <c r="A44" s="1453" t="s">
        <v>2351</v>
      </c>
      <c r="B44" s="3185">
        <v>1</v>
      </c>
      <c r="C44" s="3185">
        <v>0</v>
      </c>
      <c r="D44" s="3185">
        <v>3</v>
      </c>
      <c r="E44" s="3185">
        <v>3</v>
      </c>
      <c r="F44" s="3185">
        <v>3</v>
      </c>
      <c r="G44" s="3185">
        <v>4</v>
      </c>
      <c r="H44" s="3300"/>
      <c r="I44" s="3301">
        <f t="shared" ref="I44:I49" si="11">B44/B$50</f>
        <v>9.0909090909090912E-2</v>
      </c>
      <c r="J44" s="3301">
        <f t="shared" ref="J44:J49" si="12">C44/C$50</f>
        <v>0</v>
      </c>
      <c r="K44" s="3301">
        <f t="shared" ref="K44:K49" si="13">D44/D$50</f>
        <v>0.27272727272727271</v>
      </c>
      <c r="L44" s="3301">
        <f t="shared" ref="L44:L49" si="14">E44/E$50</f>
        <v>0.27272727272727271</v>
      </c>
      <c r="M44" s="3301">
        <f t="shared" ref="M44:M49" si="15">F44/F$50</f>
        <v>0.27272727272727271</v>
      </c>
      <c r="N44" s="3301">
        <f t="shared" ref="N44:N49" si="16">G44/G$50</f>
        <v>0.36363636363636365</v>
      </c>
    </row>
    <row r="45" spans="1:14" ht="15" thickBot="1">
      <c r="A45" s="1473" t="s">
        <v>2352</v>
      </c>
      <c r="B45" s="3185">
        <v>3</v>
      </c>
      <c r="C45" s="3185">
        <v>2</v>
      </c>
      <c r="D45" s="3185">
        <v>2</v>
      </c>
      <c r="E45" s="3185">
        <v>2</v>
      </c>
      <c r="F45" s="3185">
        <v>2</v>
      </c>
      <c r="G45" s="3185">
        <v>3</v>
      </c>
      <c r="H45" s="3300"/>
      <c r="I45" s="3301">
        <f t="shared" si="11"/>
        <v>0.27272727272727271</v>
      </c>
      <c r="J45" s="3301">
        <f t="shared" si="12"/>
        <v>0.18181818181818182</v>
      </c>
      <c r="K45" s="3301">
        <f t="shared" si="13"/>
        <v>0.18181818181818182</v>
      </c>
      <c r="L45" s="3301">
        <f t="shared" si="14"/>
        <v>0.18181818181818182</v>
      </c>
      <c r="M45" s="3301">
        <f t="shared" si="15"/>
        <v>0.18181818181818182</v>
      </c>
      <c r="N45" s="3301">
        <f t="shared" si="16"/>
        <v>0.27272727272727271</v>
      </c>
    </row>
    <row r="46" spans="1:14" ht="15" thickBot="1">
      <c r="A46" s="1455" t="s">
        <v>2353</v>
      </c>
      <c r="B46" s="3185">
        <v>4</v>
      </c>
      <c r="C46" s="3185">
        <v>5</v>
      </c>
      <c r="D46" s="3185">
        <v>3</v>
      </c>
      <c r="E46" s="3185">
        <v>2</v>
      </c>
      <c r="F46" s="3185">
        <v>2</v>
      </c>
      <c r="G46" s="3185">
        <v>2</v>
      </c>
      <c r="H46" s="3300"/>
      <c r="I46" s="3301">
        <f t="shared" si="11"/>
        <v>0.36363636363636365</v>
      </c>
      <c r="J46" s="3301">
        <f t="shared" si="12"/>
        <v>0.45454545454545453</v>
      </c>
      <c r="K46" s="3301">
        <f t="shared" si="13"/>
        <v>0.27272727272727271</v>
      </c>
      <c r="L46" s="3301">
        <f t="shared" si="14"/>
        <v>0.18181818181818182</v>
      </c>
      <c r="M46" s="3301">
        <f t="shared" si="15"/>
        <v>0.18181818181818182</v>
      </c>
      <c r="N46" s="3301">
        <f t="shared" si="16"/>
        <v>0.18181818181818182</v>
      </c>
    </row>
    <row r="47" spans="1:14" ht="15" thickBot="1">
      <c r="A47" s="1512" t="s">
        <v>2349</v>
      </c>
      <c r="B47" s="3185">
        <v>0</v>
      </c>
      <c r="C47" s="3185">
        <v>2</v>
      </c>
      <c r="D47" s="3185">
        <v>0</v>
      </c>
      <c r="E47" s="3185">
        <v>0</v>
      </c>
      <c r="F47" s="3185">
        <v>1</v>
      </c>
      <c r="G47" s="3185">
        <v>0</v>
      </c>
      <c r="H47" s="3300"/>
      <c r="I47" s="3301">
        <f t="shared" si="11"/>
        <v>0</v>
      </c>
      <c r="J47" s="3301">
        <f t="shared" si="12"/>
        <v>0.18181818181818182</v>
      </c>
      <c r="K47" s="3301">
        <f t="shared" si="13"/>
        <v>0</v>
      </c>
      <c r="L47" s="3301">
        <f t="shared" si="14"/>
        <v>0</v>
      </c>
      <c r="M47" s="3301">
        <f t="shared" si="15"/>
        <v>9.0909090909090912E-2</v>
      </c>
      <c r="N47" s="3301">
        <f t="shared" si="16"/>
        <v>0</v>
      </c>
    </row>
    <row r="48" spans="1:14" ht="15" thickBot="1">
      <c r="A48" s="1514" t="s">
        <v>2355</v>
      </c>
      <c r="B48" s="3185">
        <v>0</v>
      </c>
      <c r="C48" s="3185">
        <v>0</v>
      </c>
      <c r="D48" s="3185">
        <v>1</v>
      </c>
      <c r="E48" s="3185">
        <v>0</v>
      </c>
      <c r="F48" s="3185">
        <v>0</v>
      </c>
      <c r="G48" s="1055">
        <v>0</v>
      </c>
      <c r="H48" s="3300"/>
      <c r="I48" s="3301">
        <f t="shared" si="11"/>
        <v>0</v>
      </c>
      <c r="J48" s="3301">
        <f t="shared" si="12"/>
        <v>0</v>
      </c>
      <c r="K48" s="3301">
        <f t="shared" si="13"/>
        <v>9.0909090909090912E-2</v>
      </c>
      <c r="L48" s="3301">
        <f t="shared" si="14"/>
        <v>0</v>
      </c>
      <c r="M48" s="3301">
        <f t="shared" si="15"/>
        <v>0</v>
      </c>
      <c r="N48" s="3301">
        <f t="shared" si="16"/>
        <v>0</v>
      </c>
    </row>
    <row r="49" spans="1:14" ht="15" thickBot="1">
      <c r="A49" s="1513" t="s">
        <v>2354</v>
      </c>
      <c r="B49" s="3185">
        <v>0</v>
      </c>
      <c r="C49" s="3185">
        <v>0</v>
      </c>
      <c r="D49" s="3185">
        <v>0</v>
      </c>
      <c r="E49" s="3185">
        <v>0</v>
      </c>
      <c r="F49" s="3185">
        <v>0</v>
      </c>
      <c r="G49" s="3185">
        <v>0</v>
      </c>
      <c r="H49" s="3300"/>
      <c r="I49" s="3301">
        <f t="shared" si="11"/>
        <v>0</v>
      </c>
      <c r="J49" s="3301">
        <f t="shared" si="12"/>
        <v>0</v>
      </c>
      <c r="K49" s="3301">
        <f t="shared" si="13"/>
        <v>0</v>
      </c>
      <c r="L49" s="3301">
        <f t="shared" si="14"/>
        <v>0</v>
      </c>
      <c r="M49" s="3301">
        <f t="shared" si="15"/>
        <v>0</v>
      </c>
      <c r="N49" s="3301">
        <f t="shared" si="16"/>
        <v>0</v>
      </c>
    </row>
    <row r="50" spans="1:14" s="1494" customFormat="1">
      <c r="A50" s="1040" t="s">
        <v>16</v>
      </c>
      <c r="B50" s="1223">
        <f t="shared" ref="B50:G50" si="17">SUM(B43:B49)</f>
        <v>11</v>
      </c>
      <c r="C50" s="1223">
        <f t="shared" si="17"/>
        <v>11</v>
      </c>
      <c r="D50" s="1223">
        <f t="shared" si="17"/>
        <v>11</v>
      </c>
      <c r="E50" s="1223">
        <f t="shared" si="17"/>
        <v>11</v>
      </c>
      <c r="F50" s="1223">
        <f t="shared" si="17"/>
        <v>11</v>
      </c>
      <c r="G50" s="1223">
        <f t="shared" si="17"/>
        <v>11</v>
      </c>
      <c r="H50" s="1498"/>
      <c r="I50" s="3302">
        <f t="shared" ref="I50:N50" si="18">SUM(I43:I49)</f>
        <v>1</v>
      </c>
      <c r="J50" s="3302">
        <f t="shared" si="18"/>
        <v>1</v>
      </c>
      <c r="K50" s="3302">
        <f t="shared" si="18"/>
        <v>1</v>
      </c>
      <c r="L50" s="3302">
        <f t="shared" si="18"/>
        <v>1</v>
      </c>
      <c r="M50" s="3302">
        <f t="shared" si="18"/>
        <v>1</v>
      </c>
      <c r="N50" s="3302">
        <f t="shared" si="18"/>
        <v>1</v>
      </c>
    </row>
    <row r="51" spans="1:14">
      <c r="A51" s="1050"/>
      <c r="B51" s="1050"/>
      <c r="C51" s="1050"/>
      <c r="D51" s="1050"/>
      <c r="E51" s="1050"/>
      <c r="F51" s="1050"/>
      <c r="G51" s="1050"/>
    </row>
    <row r="52" spans="1:14">
      <c r="A52" s="1223" t="s">
        <v>1908</v>
      </c>
      <c r="B52" s="1050"/>
      <c r="C52" s="1050"/>
      <c r="D52" s="1050"/>
      <c r="E52" s="1050"/>
      <c r="F52" s="1050"/>
      <c r="G52" s="1050"/>
    </row>
    <row r="53" spans="1:14" s="1174" customFormat="1" ht="13">
      <c r="B53" s="1153">
        <f>B17/B63</f>
        <v>0.31164796730395145</v>
      </c>
      <c r="C53" s="1153">
        <f>C17/C63</f>
        <v>0.34691095757583218</v>
      </c>
      <c r="D53" s="1153">
        <f>D17/D63</f>
        <v>0.44268961802277279</v>
      </c>
      <c r="E53" s="1153">
        <f>E17/E63</f>
        <v>0.37352033513465954</v>
      </c>
      <c r="F53" s="1153">
        <v>0.45600000000000002</v>
      </c>
      <c r="G53" s="1153">
        <v>0.42</v>
      </c>
      <c r="H53" s="1050"/>
      <c r="I53" s="1050"/>
      <c r="J53" s="1050"/>
      <c r="K53" s="1050"/>
      <c r="L53" s="1050"/>
    </row>
    <row r="54" spans="1:14" ht="8.25" customHeight="1"/>
    <row r="55" spans="1:14" s="1174" customFormat="1" ht="12.75" customHeight="1">
      <c r="A55" s="1498" t="s">
        <v>1907</v>
      </c>
    </row>
    <row r="56" spans="1:14" s="1174" customFormat="1" ht="13">
      <c r="B56" s="1503">
        <f>B30/B63</f>
        <v>0.32610182146857131</v>
      </c>
      <c r="C56" s="1503">
        <f>C30/C63</f>
        <v>0.36037725249490554</v>
      </c>
      <c r="D56" s="1503">
        <f>D30/D63</f>
        <v>0.44385195264121136</v>
      </c>
      <c r="E56" s="1503">
        <f>E30/E63</f>
        <v>0.3747606785258677</v>
      </c>
      <c r="F56" s="1503">
        <v>0.45600000000000002</v>
      </c>
      <c r="G56" s="1503">
        <v>0.41799999999999998</v>
      </c>
    </row>
    <row r="57" spans="1:14" s="1174" customFormat="1" ht="3.75" customHeight="1">
      <c r="A57" s="1499"/>
      <c r="B57" s="1499"/>
      <c r="C57" s="1499"/>
      <c r="D57" s="1499"/>
      <c r="E57" s="1499"/>
      <c r="F57" s="1499"/>
      <c r="G57" s="1499"/>
      <c r="H57" s="1499"/>
      <c r="I57" s="1499"/>
      <c r="J57" s="1499"/>
      <c r="K57" s="1499"/>
      <c r="L57" s="1499"/>
      <c r="M57" s="1499"/>
      <c r="N57" s="1499"/>
    </row>
    <row r="58" spans="1:14" ht="3" customHeight="1"/>
    <row r="59" spans="1:14" s="1504" customFormat="1" ht="11">
      <c r="A59" s="1504" t="s">
        <v>1209</v>
      </c>
    </row>
    <row r="60" spans="1:14" s="1504" customFormat="1" ht="11">
      <c r="A60" s="1504" t="s">
        <v>1597</v>
      </c>
    </row>
    <row r="62" spans="1:14">
      <c r="A62" s="1175" t="s">
        <v>2348</v>
      </c>
    </row>
    <row r="63" spans="1:14">
      <c r="A63" s="1175" t="s">
        <v>1139</v>
      </c>
      <c r="B63" s="1175">
        <v>5089300</v>
      </c>
      <c r="C63" s="1175">
        <v>5197792</v>
      </c>
      <c r="D63" s="1175">
        <v>5435612</v>
      </c>
      <c r="E63" s="1505">
        <v>5910460</v>
      </c>
      <c r="F63" s="1505"/>
      <c r="G63" s="1505"/>
    </row>
    <row r="65" spans="1:9">
      <c r="A65" s="1175" t="s">
        <v>1140</v>
      </c>
    </row>
    <row r="66" spans="1:9">
      <c r="A66" s="1175" t="s">
        <v>1141</v>
      </c>
      <c r="B66" s="1175">
        <v>38141</v>
      </c>
      <c r="C66" s="1175">
        <v>56874</v>
      </c>
      <c r="D66" s="1175">
        <v>41032</v>
      </c>
    </row>
    <row r="67" spans="1:9">
      <c r="A67" s="1175" t="s">
        <v>269</v>
      </c>
      <c r="B67" s="1175">
        <v>161702</v>
      </c>
      <c r="C67" s="1175">
        <v>118531</v>
      </c>
      <c r="D67" s="1175">
        <v>47799</v>
      </c>
    </row>
    <row r="68" spans="1:9">
      <c r="A68" s="1175" t="s">
        <v>1142</v>
      </c>
      <c r="B68" s="1175">
        <v>88142</v>
      </c>
      <c r="C68" s="1175">
        <v>48536</v>
      </c>
      <c r="D68" s="1175">
        <v>41593</v>
      </c>
    </row>
    <row r="69" spans="1:9">
      <c r="B69" s="1506"/>
      <c r="C69" s="1507"/>
      <c r="D69" s="1507"/>
      <c r="E69" s="1507"/>
      <c r="F69" s="1507"/>
      <c r="G69" s="1507"/>
    </row>
    <row r="72" spans="1:9">
      <c r="A72" s="1494" t="s">
        <v>1314</v>
      </c>
    </row>
    <row r="73" spans="1:9" ht="6" customHeight="1"/>
    <row r="74" spans="1:9" s="1174" customFormat="1" ht="13">
      <c r="B74" s="3473" t="s">
        <v>147</v>
      </c>
      <c r="C74" s="3473"/>
      <c r="D74" s="3473"/>
      <c r="E74" s="3473"/>
      <c r="F74" s="3282"/>
      <c r="G74" s="1495"/>
      <c r="H74" s="1491"/>
      <c r="I74" s="1491"/>
    </row>
    <row r="75" spans="1:9" s="1174" customFormat="1" ht="13">
      <c r="B75" s="1174">
        <v>2000</v>
      </c>
      <c r="C75" s="1174">
        <v>2004</v>
      </c>
      <c r="D75" s="1174">
        <v>2008</v>
      </c>
      <c r="E75" s="1174">
        <v>2012</v>
      </c>
    </row>
    <row r="76" spans="1:9" s="1174" customFormat="1" ht="4.5" customHeight="1"/>
    <row r="77" spans="1:9" s="1174" customFormat="1" ht="13">
      <c r="A77" s="1174" t="s">
        <v>698</v>
      </c>
      <c r="B77" s="1497">
        <v>9</v>
      </c>
      <c r="C77" s="1497">
        <v>9</v>
      </c>
      <c r="D77" s="1497">
        <v>11</v>
      </c>
      <c r="E77" s="1497">
        <v>9</v>
      </c>
      <c r="F77" s="1497"/>
      <c r="G77" s="1497"/>
    </row>
    <row r="78" spans="1:9" s="1174" customFormat="1" ht="13">
      <c r="A78" s="1174" t="s">
        <v>699</v>
      </c>
      <c r="B78" s="1497">
        <v>9</v>
      </c>
      <c r="C78" s="1497">
        <v>7</v>
      </c>
      <c r="D78" s="1497">
        <v>8</v>
      </c>
      <c r="E78" s="1497">
        <v>12</v>
      </c>
      <c r="F78" s="1497"/>
      <c r="G78" s="1497"/>
    </row>
    <row r="79" spans="1:9" s="1174" customFormat="1" ht="13">
      <c r="A79" s="1174" t="s">
        <v>827</v>
      </c>
      <c r="B79" s="1497">
        <v>4</v>
      </c>
      <c r="C79" s="1497">
        <v>5</v>
      </c>
      <c r="D79" s="1497">
        <v>3</v>
      </c>
      <c r="E79" s="1497">
        <v>2</v>
      </c>
      <c r="F79" s="1497"/>
      <c r="G79" s="1497"/>
    </row>
    <row r="80" spans="1:9" s="1174" customFormat="1" ht="13">
      <c r="A80" s="1174" t="s">
        <v>115</v>
      </c>
      <c r="B80" s="1497">
        <v>3</v>
      </c>
      <c r="C80" s="1497">
        <v>2</v>
      </c>
      <c r="D80" s="1497">
        <v>2</v>
      </c>
      <c r="E80" s="1497">
        <v>2</v>
      </c>
      <c r="F80" s="1497"/>
      <c r="G80" s="1497"/>
    </row>
    <row r="81" spans="1:13" s="1174" customFormat="1" ht="13">
      <c r="A81" s="1174" t="s">
        <v>251</v>
      </c>
      <c r="B81" s="1497">
        <v>0</v>
      </c>
      <c r="C81" s="1497">
        <v>2</v>
      </c>
      <c r="D81" s="1497">
        <v>0</v>
      </c>
      <c r="E81" s="1497">
        <v>0</v>
      </c>
      <c r="F81" s="1497"/>
      <c r="G81" s="1497"/>
    </row>
    <row r="82" spans="1:13" s="1174" customFormat="1" ht="13">
      <c r="A82" s="1174" t="s">
        <v>816</v>
      </c>
      <c r="B82" s="1497">
        <v>0</v>
      </c>
      <c r="C82" s="1497">
        <v>0</v>
      </c>
      <c r="D82" s="1497">
        <v>1</v>
      </c>
      <c r="E82" s="1497">
        <v>0</v>
      </c>
      <c r="F82" s="1497"/>
      <c r="G82" s="1497"/>
    </row>
    <row r="83" spans="1:13" s="1174" customFormat="1" ht="2.25" customHeight="1"/>
    <row r="84" spans="1:13" s="1174" customFormat="1" ht="13">
      <c r="A84" s="1174" t="s">
        <v>16</v>
      </c>
      <c r="B84" s="1477">
        <f>SUM(B77:B82)</f>
        <v>25</v>
      </c>
      <c r="C84" s="1477">
        <f>SUM(C77:C82)</f>
        <v>25</v>
      </c>
      <c r="D84" s="1477">
        <f>SUM(D77:D82)</f>
        <v>25</v>
      </c>
      <c r="E84" s="1477">
        <f>SUM(E77:E82)</f>
        <v>25</v>
      </c>
      <c r="F84" s="1477"/>
      <c r="G84" s="1477"/>
    </row>
    <row r="85" spans="1:13" s="1174" customFormat="1" ht="2.25" customHeight="1"/>
    <row r="87" spans="1:13">
      <c r="A87" s="1494" t="s">
        <v>1414</v>
      </c>
    </row>
    <row r="88" spans="1:13" s="1174" customFormat="1" ht="6" customHeight="1"/>
    <row r="89" spans="1:13" s="1174" customFormat="1" ht="13">
      <c r="C89" s="3473" t="s">
        <v>147</v>
      </c>
      <c r="D89" s="3473"/>
      <c r="E89" s="3473"/>
      <c r="F89" s="3473"/>
      <c r="G89" s="3473"/>
      <c r="H89" s="3473"/>
      <c r="I89" s="1495"/>
      <c r="J89" s="3473" t="s">
        <v>1315</v>
      </c>
      <c r="K89" s="3473"/>
      <c r="L89" s="3473"/>
      <c r="M89" s="3282"/>
    </row>
    <row r="90" spans="1:13" s="1174" customFormat="1" ht="13">
      <c r="C90" s="1174">
        <v>2000</v>
      </c>
      <c r="D90" s="1174">
        <v>2004</v>
      </c>
      <c r="E90" s="1174">
        <v>2008</v>
      </c>
      <c r="H90" s="1174">
        <v>2012</v>
      </c>
      <c r="J90" s="1174">
        <v>2000</v>
      </c>
      <c r="K90" s="1174">
        <v>2004</v>
      </c>
      <c r="L90" s="1174">
        <v>2008</v>
      </c>
    </row>
    <row r="91" spans="1:13" s="1174" customFormat="1" ht="4.5" customHeight="1"/>
    <row r="92" spans="1:13" s="1174" customFormat="1" ht="13">
      <c r="A92" s="1174" t="s">
        <v>698</v>
      </c>
      <c r="C92" s="1174">
        <v>9</v>
      </c>
      <c r="D92" s="1174">
        <v>9</v>
      </c>
      <c r="E92" s="1174">
        <v>11</v>
      </c>
      <c r="H92" s="1174">
        <v>9</v>
      </c>
      <c r="J92" s="1174">
        <v>8</v>
      </c>
      <c r="K92" s="1174">
        <v>9</v>
      </c>
      <c r="L92" s="1174">
        <v>8</v>
      </c>
    </row>
    <row r="93" spans="1:13" s="1174" customFormat="1" ht="13">
      <c r="A93" s="1174" t="s">
        <v>699</v>
      </c>
      <c r="C93" s="1174">
        <v>9</v>
      </c>
      <c r="D93" s="1174">
        <v>7</v>
      </c>
      <c r="E93" s="1174">
        <v>8</v>
      </c>
      <c r="H93" s="1174">
        <v>12</v>
      </c>
      <c r="J93" s="1174">
        <v>6</v>
      </c>
      <c r="K93" s="1174">
        <v>5</v>
      </c>
      <c r="L93" s="1174">
        <v>6</v>
      </c>
    </row>
    <row r="94" spans="1:13" s="1174" customFormat="1" ht="13">
      <c r="A94" s="1174" t="s">
        <v>827</v>
      </c>
      <c r="C94" s="1174">
        <v>4</v>
      </c>
      <c r="D94" s="1174">
        <v>5</v>
      </c>
      <c r="E94" s="1174">
        <v>3</v>
      </c>
      <c r="H94" s="1174">
        <v>2</v>
      </c>
    </row>
    <row r="95" spans="1:13" s="1174" customFormat="1" ht="13">
      <c r="A95" s="1174" t="s">
        <v>115</v>
      </c>
      <c r="C95" s="1174">
        <v>3</v>
      </c>
      <c r="D95" s="1174">
        <v>2</v>
      </c>
      <c r="E95" s="1174">
        <v>2</v>
      </c>
      <c r="H95" s="1174">
        <v>2</v>
      </c>
    </row>
    <row r="96" spans="1:13" s="1174" customFormat="1" ht="13">
      <c r="A96" s="1174" t="s">
        <v>251</v>
      </c>
      <c r="D96" s="1174">
        <v>2</v>
      </c>
    </row>
    <row r="97" spans="1:13" s="1174" customFormat="1" ht="13">
      <c r="A97" s="1174" t="s">
        <v>816</v>
      </c>
      <c r="E97" s="1174">
        <v>1</v>
      </c>
    </row>
    <row r="98" spans="1:13" s="1174" customFormat="1" ht="2.25" customHeight="1"/>
    <row r="99" spans="1:13" s="1174" customFormat="1" ht="13">
      <c r="A99" s="1498" t="s">
        <v>16</v>
      </c>
      <c r="C99" s="1498">
        <f>SUM(C92:C97)</f>
        <v>25</v>
      </c>
      <c r="D99" s="1498">
        <f>SUM(D92:D97)</f>
        <v>25</v>
      </c>
      <c r="E99" s="1498">
        <f>SUM(E92:E97)</f>
        <v>25</v>
      </c>
      <c r="F99" s="1498"/>
      <c r="G99" s="1498"/>
      <c r="H99" s="1498">
        <f>SUM(H92:H97)</f>
        <v>25</v>
      </c>
      <c r="I99" s="1498"/>
      <c r="J99" s="1498">
        <f>SUM(J92:J97)</f>
        <v>14</v>
      </c>
      <c r="K99" s="1498">
        <f>SUM(K92:K97)</f>
        <v>14</v>
      </c>
      <c r="L99" s="1498">
        <f>SUM(L92:L97)</f>
        <v>14</v>
      </c>
      <c r="M99" s="1498"/>
    </row>
    <row r="100" spans="1:13" s="1174" customFormat="1" ht="2.25" customHeight="1"/>
  </sheetData>
  <mergeCells count="5">
    <mergeCell ref="J89:L89"/>
    <mergeCell ref="C89:H89"/>
    <mergeCell ref="B74:E74"/>
    <mergeCell ref="B6:G6"/>
    <mergeCell ref="I6:N6"/>
  </mergeCells>
  <pageMargins left="0.7" right="0.7" top="0.75" bottom="0.75" header="0.3" footer="0.3"/>
  <pageSetup paperSize="9" orientation="portrait" r:id="rId1"/>
  <ignoredErrors>
    <ignoredError sqref="G28" formulaRange="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9"/>
  <dimension ref="A2:W29"/>
  <sheetViews>
    <sheetView showGridLines="0" workbookViewId="0">
      <selection activeCell="R63" sqref="R63"/>
    </sheetView>
  </sheetViews>
  <sheetFormatPr baseColWidth="10" defaultColWidth="9.3984375" defaultRowHeight="13"/>
  <cols>
    <col min="1" max="2" width="10.19921875" style="643" customWidth="1"/>
    <col min="3" max="6" width="10" style="643" customWidth="1"/>
    <col min="7" max="7" width="1.19921875" style="643" customWidth="1"/>
    <col min="8" max="8" width="5.3984375" style="643" customWidth="1"/>
    <col min="9" max="9" width="1.3984375" style="643" customWidth="1"/>
    <col min="10" max="13" width="6.3984375" style="643" customWidth="1"/>
    <col min="14" max="14" width="1.796875" style="643" customWidth="1"/>
    <col min="15" max="18" width="6.3984375" style="643" customWidth="1"/>
    <col min="19" max="19" width="1.796875" style="643" customWidth="1"/>
    <col min="20" max="23" width="6.3984375" style="643" customWidth="1"/>
    <col min="24" max="16384" width="9.3984375" style="643"/>
  </cols>
  <sheetData>
    <row r="2" spans="1:8">
      <c r="A2" s="642" t="s">
        <v>1314</v>
      </c>
      <c r="B2" s="642"/>
    </row>
    <row r="3" spans="1:8" ht="6" customHeight="1"/>
    <row r="4" spans="1:8" s="424" customFormat="1" ht="12">
      <c r="C4" s="644"/>
      <c r="D4" s="644"/>
      <c r="E4" s="644"/>
      <c r="F4" s="644" t="s">
        <v>147</v>
      </c>
      <c r="G4" s="645"/>
    </row>
    <row r="5" spans="1:8" s="424" customFormat="1" ht="12">
      <c r="B5" s="424">
        <v>2016</v>
      </c>
      <c r="C5" s="646">
        <v>2012</v>
      </c>
      <c r="D5" s="646">
        <v>2008</v>
      </c>
      <c r="E5" s="646">
        <v>2004</v>
      </c>
      <c r="F5" s="646">
        <v>2000</v>
      </c>
    </row>
    <row r="6" spans="1:8" s="424" customFormat="1" ht="12">
      <c r="A6" s="424" t="s">
        <v>698</v>
      </c>
      <c r="B6" s="424">
        <v>8</v>
      </c>
      <c r="C6" s="647">
        <v>9</v>
      </c>
      <c r="D6" s="647">
        <v>11</v>
      </c>
      <c r="E6" s="647">
        <v>9</v>
      </c>
      <c r="F6" s="647">
        <v>9</v>
      </c>
    </row>
    <row r="7" spans="1:8" s="424" customFormat="1" ht="12">
      <c r="A7" s="424" t="s">
        <v>699</v>
      </c>
      <c r="B7" s="424">
        <v>12</v>
      </c>
      <c r="C7" s="647">
        <v>12</v>
      </c>
      <c r="D7" s="647">
        <v>8</v>
      </c>
      <c r="E7" s="647">
        <v>7</v>
      </c>
      <c r="F7" s="647">
        <v>9</v>
      </c>
    </row>
    <row r="8" spans="1:8" s="424" customFormat="1" ht="12">
      <c r="A8" s="424" t="s">
        <v>827</v>
      </c>
      <c r="B8" s="424">
        <v>1</v>
      </c>
      <c r="C8" s="647">
        <v>2</v>
      </c>
      <c r="D8" s="647">
        <v>3</v>
      </c>
      <c r="E8" s="647">
        <v>5</v>
      </c>
      <c r="F8" s="647">
        <v>4</v>
      </c>
    </row>
    <row r="9" spans="1:8" s="424" customFormat="1" ht="12">
      <c r="A9" s="424" t="s">
        <v>115</v>
      </c>
      <c r="B9" s="424">
        <v>2</v>
      </c>
      <c r="C9" s="647">
        <v>2</v>
      </c>
      <c r="D9" s="647">
        <v>2</v>
      </c>
      <c r="E9" s="647">
        <v>2</v>
      </c>
      <c r="F9" s="647">
        <v>3</v>
      </c>
    </row>
    <row r="10" spans="1:8" s="424" customFormat="1" ht="12">
      <c r="A10" s="424" t="s">
        <v>251</v>
      </c>
      <c r="B10" s="424">
        <v>2</v>
      </c>
      <c r="C10" s="647">
        <v>0</v>
      </c>
      <c r="D10" s="647">
        <v>0</v>
      </c>
      <c r="E10" s="647">
        <v>2</v>
      </c>
      <c r="F10" s="647">
        <v>0</v>
      </c>
    </row>
    <row r="11" spans="1:8" s="424" customFormat="1" ht="12">
      <c r="A11" s="424" t="s">
        <v>816</v>
      </c>
      <c r="B11" s="424">
        <v>0</v>
      </c>
      <c r="C11" s="647">
        <v>0</v>
      </c>
      <c r="D11" s="647">
        <v>1</v>
      </c>
      <c r="E11" s="647">
        <v>0</v>
      </c>
      <c r="F11" s="647">
        <v>0</v>
      </c>
    </row>
    <row r="12" spans="1:8" s="424" customFormat="1" ht="2.25" customHeight="1"/>
    <row r="13" spans="1:8" s="424" customFormat="1" ht="12">
      <c r="A13" s="424" t="s">
        <v>16</v>
      </c>
      <c r="B13" s="424">
        <f>SUM(B6:B11)</f>
        <v>25</v>
      </c>
      <c r="C13" s="648">
        <f>SUM(C6:C11)</f>
        <v>25</v>
      </c>
      <c r="D13" s="648">
        <f>SUM(D6:D11)</f>
        <v>25</v>
      </c>
      <c r="E13" s="648">
        <f>SUM(E6:E11)</f>
        <v>25</v>
      </c>
      <c r="F13" s="648">
        <f>SUM(F6:F11)</f>
        <v>25</v>
      </c>
    </row>
    <row r="14" spans="1:8" s="424" customFormat="1" ht="2.25" customHeight="1">
      <c r="A14" s="646"/>
      <c r="B14" s="646"/>
      <c r="C14" s="646"/>
      <c r="D14" s="646"/>
      <c r="E14" s="646"/>
      <c r="F14" s="646"/>
    </row>
    <row r="16" spans="1:8">
      <c r="H16" s="642" t="s">
        <v>1414</v>
      </c>
    </row>
    <row r="17" spans="8:23" s="424" customFormat="1" ht="6" customHeight="1"/>
    <row r="18" spans="8:23" s="424" customFormat="1" ht="12">
      <c r="J18" s="3476" t="s">
        <v>147</v>
      </c>
      <c r="K18" s="3476"/>
      <c r="L18" s="3476"/>
      <c r="M18" s="3476"/>
      <c r="N18" s="644"/>
      <c r="O18" s="3476" t="s">
        <v>1315</v>
      </c>
      <c r="P18" s="3476"/>
      <c r="Q18" s="3476"/>
      <c r="R18" s="3476"/>
      <c r="S18" s="644"/>
      <c r="T18" s="3476" t="s">
        <v>1316</v>
      </c>
      <c r="U18" s="3476"/>
      <c r="V18" s="3476"/>
      <c r="W18" s="3476"/>
    </row>
    <row r="19" spans="8:23" s="424" customFormat="1" ht="12">
      <c r="J19" s="646">
        <v>2000</v>
      </c>
      <c r="K19" s="646">
        <v>2004</v>
      </c>
      <c r="L19" s="646">
        <v>2008</v>
      </c>
      <c r="M19" s="646">
        <v>2012</v>
      </c>
      <c r="O19" s="646">
        <v>2000</v>
      </c>
      <c r="P19" s="646">
        <v>2004</v>
      </c>
      <c r="Q19" s="646">
        <v>2008</v>
      </c>
      <c r="R19" s="646">
        <v>2012</v>
      </c>
      <c r="T19" s="646">
        <v>2000</v>
      </c>
      <c r="U19" s="646">
        <v>2004</v>
      </c>
      <c r="V19" s="646">
        <v>2008</v>
      </c>
      <c r="W19" s="646">
        <v>2012</v>
      </c>
    </row>
    <row r="20" spans="8:23" s="424" customFormat="1" ht="4.5" customHeight="1"/>
    <row r="21" spans="8:23" s="424" customFormat="1" ht="12">
      <c r="H21" s="424" t="s">
        <v>698</v>
      </c>
      <c r="J21" s="424">
        <v>9</v>
      </c>
      <c r="K21" s="424">
        <v>9</v>
      </c>
      <c r="L21" s="424">
        <v>11</v>
      </c>
      <c r="M21" s="424">
        <v>9</v>
      </c>
      <c r="O21" s="424">
        <v>8</v>
      </c>
      <c r="P21" s="424">
        <v>9</v>
      </c>
      <c r="Q21" s="424">
        <v>8</v>
      </c>
      <c r="R21" s="424">
        <v>6</v>
      </c>
      <c r="T21" s="424">
        <v>1</v>
      </c>
      <c r="V21" s="424">
        <v>3</v>
      </c>
      <c r="W21" s="424">
        <v>3</v>
      </c>
    </row>
    <row r="22" spans="8:23" s="424" customFormat="1" ht="12">
      <c r="H22" s="424" t="s">
        <v>699</v>
      </c>
      <c r="J22" s="424">
        <v>9</v>
      </c>
      <c r="K22" s="424">
        <v>7</v>
      </c>
      <c r="L22" s="424">
        <v>8</v>
      </c>
      <c r="M22" s="424">
        <v>12</v>
      </c>
      <c r="O22" s="424">
        <v>6</v>
      </c>
      <c r="P22" s="424">
        <v>5</v>
      </c>
      <c r="Q22" s="424">
        <v>6</v>
      </c>
      <c r="R22" s="424">
        <v>8</v>
      </c>
      <c r="T22" s="424">
        <v>3</v>
      </c>
      <c r="U22" s="424">
        <v>2</v>
      </c>
      <c r="V22" s="424">
        <v>2</v>
      </c>
      <c r="W22" s="424">
        <v>4</v>
      </c>
    </row>
    <row r="23" spans="8:23" s="424" customFormat="1" ht="12">
      <c r="H23" s="424" t="s">
        <v>827</v>
      </c>
      <c r="J23" s="424">
        <v>4</v>
      </c>
      <c r="K23" s="424">
        <v>5</v>
      </c>
      <c r="L23" s="424">
        <v>3</v>
      </c>
      <c r="M23" s="424">
        <v>2</v>
      </c>
      <c r="T23" s="424">
        <v>4</v>
      </c>
      <c r="U23" s="424">
        <v>5</v>
      </c>
      <c r="V23" s="424">
        <v>3</v>
      </c>
      <c r="W23" s="424">
        <v>2</v>
      </c>
    </row>
    <row r="24" spans="8:23" s="424" customFormat="1" ht="12">
      <c r="H24" s="424" t="s">
        <v>115</v>
      </c>
      <c r="J24" s="424">
        <v>3</v>
      </c>
      <c r="K24" s="424">
        <v>2</v>
      </c>
      <c r="L24" s="424">
        <v>2</v>
      </c>
      <c r="M24" s="424">
        <v>2</v>
      </c>
      <c r="T24" s="424">
        <v>3</v>
      </c>
      <c r="U24" s="424">
        <v>2</v>
      </c>
      <c r="V24" s="424">
        <v>2</v>
      </c>
      <c r="W24" s="424">
        <v>2</v>
      </c>
    </row>
    <row r="25" spans="8:23" s="424" customFormat="1" ht="12">
      <c r="H25" s="424" t="s">
        <v>251</v>
      </c>
      <c r="K25" s="424">
        <v>2</v>
      </c>
      <c r="U25" s="424">
        <v>2</v>
      </c>
    </row>
    <row r="26" spans="8:23" s="424" customFormat="1" ht="12">
      <c r="H26" s="424" t="s">
        <v>816</v>
      </c>
      <c r="L26" s="424">
        <v>1</v>
      </c>
      <c r="V26" s="424">
        <v>1</v>
      </c>
    </row>
    <row r="27" spans="8:23" s="424" customFormat="1" ht="2.25" customHeight="1"/>
    <row r="28" spans="8:23" s="424" customFormat="1" ht="12">
      <c r="H28" s="649" t="s">
        <v>16</v>
      </c>
      <c r="J28" s="649">
        <f>SUM(J21:J26)</f>
        <v>25</v>
      </c>
      <c r="K28" s="649">
        <f>SUM(K21:K26)</f>
        <v>25</v>
      </c>
      <c r="L28" s="649">
        <f>SUM(L21:L26)</f>
        <v>25</v>
      </c>
      <c r="M28" s="649">
        <f>SUM(M21:M26)</f>
        <v>25</v>
      </c>
      <c r="N28" s="649"/>
      <c r="O28" s="649">
        <f>SUM(O21:O26)</f>
        <v>14</v>
      </c>
      <c r="P28" s="649">
        <f>SUM(P21:P26)</f>
        <v>14</v>
      </c>
      <c r="Q28" s="649">
        <f>SUM(Q21:Q26)</f>
        <v>14</v>
      </c>
      <c r="R28" s="649">
        <f>SUM(R21:R26)</f>
        <v>14</v>
      </c>
      <c r="S28" s="649"/>
      <c r="T28" s="649">
        <f>SUM(T21:T26)</f>
        <v>11</v>
      </c>
      <c r="U28" s="649">
        <f>SUM(U21:U26)</f>
        <v>11</v>
      </c>
      <c r="V28" s="649">
        <f>SUM(V21:V26)</f>
        <v>11</v>
      </c>
      <c r="W28" s="649">
        <f>SUM(W21:W26)</f>
        <v>11</v>
      </c>
    </row>
    <row r="29" spans="8:23" s="424" customFormat="1" ht="2.25" customHeight="1">
      <c r="H29" s="646"/>
      <c r="I29" s="646"/>
      <c r="J29" s="646"/>
      <c r="K29" s="646"/>
      <c r="L29" s="646"/>
      <c r="M29" s="646"/>
      <c r="N29" s="646"/>
      <c r="O29" s="646"/>
      <c r="P29" s="646"/>
      <c r="Q29" s="646"/>
      <c r="R29" s="646"/>
      <c r="S29" s="646"/>
      <c r="T29" s="646"/>
      <c r="U29" s="646"/>
      <c r="V29" s="646"/>
      <c r="W29" s="646"/>
    </row>
  </sheetData>
  <mergeCells count="3">
    <mergeCell ref="T18:W18"/>
    <mergeCell ref="J18:M18"/>
    <mergeCell ref="O18:R18"/>
  </mergeCell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0">
    <tabColor theme="4"/>
  </sheetPr>
  <dimension ref="A3:W128"/>
  <sheetViews>
    <sheetView showGridLines="0" topLeftCell="A68" zoomScale="85" zoomScaleNormal="85" workbookViewId="0">
      <selection activeCell="X119" sqref="X119"/>
    </sheetView>
  </sheetViews>
  <sheetFormatPr baseColWidth="10" defaultColWidth="8.796875" defaultRowHeight="13"/>
  <cols>
    <col min="1" max="1" width="18.796875" style="1256" customWidth="1"/>
    <col min="2" max="2" width="1.19921875" style="1256" customWidth="1"/>
    <col min="3" max="3" width="22.3984375" style="1256" customWidth="1"/>
    <col min="4" max="4" width="10.3984375" style="1256" customWidth="1"/>
    <col min="5" max="5" width="5.19921875" style="1043" customWidth="1"/>
    <col min="6" max="6" width="1.19921875" style="1043" customWidth="1"/>
    <col min="7" max="7" width="9.19921875" style="1256" customWidth="1"/>
    <col min="8" max="8" width="5.3984375" style="1043" customWidth="1"/>
    <col min="9" max="9" width="1.19921875" style="1043" customWidth="1"/>
    <col min="10" max="10" width="9.19921875" style="1256" customWidth="1"/>
    <col min="11" max="11" width="6" style="1043" customWidth="1"/>
    <col min="12" max="12" width="9" style="1256" bestFit="1" customWidth="1"/>
    <col min="13" max="13" width="8.796875" style="1256"/>
    <col min="14" max="15" width="9.19921875" style="1256" bestFit="1" customWidth="1"/>
    <col min="16" max="16" width="12.796875" style="1256" customWidth="1"/>
    <col min="17" max="17" width="16" style="1256" customWidth="1"/>
    <col min="18" max="18" width="8.796875" style="1256"/>
    <col min="19" max="19" width="14.796875" style="1256" customWidth="1"/>
    <col min="20" max="20" width="8.796875" style="1256"/>
    <col min="21" max="21" width="11.3984375" style="1256" customWidth="1"/>
    <col min="22" max="16384" width="8.796875" style="1256"/>
  </cols>
  <sheetData>
    <row r="3" spans="1:11" ht="12" customHeight="1">
      <c r="A3" s="1515"/>
      <c r="B3" s="1515"/>
    </row>
    <row r="4" spans="1:11" ht="13.5" customHeight="1">
      <c r="A4" s="1515"/>
      <c r="B4" s="1515"/>
    </row>
    <row r="5" spans="1:11" ht="16">
      <c r="A5" s="1367" t="s">
        <v>2762</v>
      </c>
      <c r="B5" s="1550"/>
      <c r="C5" s="1550"/>
      <c r="D5" s="1550"/>
      <c r="E5" s="1125"/>
      <c r="F5" s="1125"/>
      <c r="G5" s="1550"/>
      <c r="H5" s="1125"/>
      <c r="I5" s="1125"/>
      <c r="J5" s="1550"/>
      <c r="K5" s="1125"/>
    </row>
    <row r="6" spans="1:11" ht="17" thickBot="1">
      <c r="A6" s="1549"/>
      <c r="B6" s="1549"/>
      <c r="C6" s="1549"/>
      <c r="D6" s="3431" t="s">
        <v>1170</v>
      </c>
      <c r="E6" s="3431"/>
      <c r="F6" s="1270"/>
      <c r="G6" s="3431" t="s">
        <v>2357</v>
      </c>
      <c r="H6" s="3431"/>
      <c r="I6" s="1270"/>
      <c r="J6" s="3431" t="s">
        <v>2358</v>
      </c>
      <c r="K6" s="3431"/>
    </row>
    <row r="7" spans="1:11">
      <c r="A7" s="1549" t="s">
        <v>141</v>
      </c>
      <c r="B7" s="1549"/>
      <c r="C7" s="1549" t="s">
        <v>110</v>
      </c>
      <c r="D7" s="1039" t="s">
        <v>111</v>
      </c>
      <c r="E7" s="1158" t="s">
        <v>153</v>
      </c>
      <c r="F7" s="1158"/>
      <c r="G7" s="1039" t="s">
        <v>111</v>
      </c>
      <c r="H7" s="1158" t="s">
        <v>153</v>
      </c>
      <c r="I7" s="1158"/>
      <c r="J7" s="1039" t="s">
        <v>111</v>
      </c>
      <c r="K7" s="1039" t="s">
        <v>153</v>
      </c>
    </row>
    <row r="8" spans="1:11" ht="6" customHeight="1">
      <c r="A8" s="1257"/>
      <c r="B8" s="1257"/>
      <c r="C8" s="1257"/>
      <c r="D8" s="1041"/>
      <c r="E8" s="1433"/>
      <c r="F8" s="1433"/>
      <c r="G8" s="1041"/>
      <c r="H8" s="1433"/>
      <c r="I8" s="1433"/>
      <c r="J8" s="1041"/>
    </row>
    <row r="9" spans="1:11">
      <c r="A9" s="1566" t="s">
        <v>1143</v>
      </c>
      <c r="B9" s="1557"/>
      <c r="C9" s="1557"/>
      <c r="D9" s="1568"/>
      <c r="E9" s="1569"/>
      <c r="F9" s="1569"/>
      <c r="G9" s="1568"/>
      <c r="H9" s="1569"/>
      <c r="I9" s="1569"/>
      <c r="J9" s="1568"/>
      <c r="K9" s="1568"/>
    </row>
    <row r="10" spans="1:11" ht="3" customHeight="1">
      <c r="A10" s="1257"/>
      <c r="B10" s="1257"/>
      <c r="C10" s="1257"/>
      <c r="D10" s="1041"/>
      <c r="E10" s="1433"/>
      <c r="F10" s="1433"/>
      <c r="G10" s="1041"/>
      <c r="H10" s="1433"/>
      <c r="I10" s="1433"/>
      <c r="J10" s="1041"/>
    </row>
    <row r="11" spans="1:11" ht="12" customHeight="1">
      <c r="A11" s="1257" t="s">
        <v>154</v>
      </c>
      <c r="B11" s="1545"/>
      <c r="C11" s="1257" t="s">
        <v>117</v>
      </c>
      <c r="D11" s="1516">
        <v>667877</v>
      </c>
      <c r="E11" s="1517">
        <f>+D11/D$23*100</f>
        <v>38.962303446232042</v>
      </c>
      <c r="F11" s="1517"/>
      <c r="G11" s="1516">
        <v>144206</v>
      </c>
      <c r="H11" s="1517">
        <f>+G11/G$23*100</f>
        <v>10.9538075430766</v>
      </c>
      <c r="I11" s="1517"/>
      <c r="J11" s="1516">
        <v>776427</v>
      </c>
      <c r="K11" s="1517">
        <f>+J11/J$23*100</f>
        <v>57.917936032893614</v>
      </c>
    </row>
    <row r="12" spans="1:11" ht="12" customHeight="1">
      <c r="A12" s="1257" t="s">
        <v>155</v>
      </c>
      <c r="B12" s="1554"/>
      <c r="C12" s="1257" t="s">
        <v>13</v>
      </c>
      <c r="D12" s="1516">
        <v>464434</v>
      </c>
      <c r="E12" s="1517">
        <f t="shared" ref="E12:H21" si="0">+D12/D$23*100</f>
        <v>27.093938612569872</v>
      </c>
      <c r="F12" s="1517"/>
      <c r="G12" s="1516">
        <v>162767</v>
      </c>
      <c r="H12" s="1517">
        <f t="shared" si="0"/>
        <v>12.363690778219691</v>
      </c>
      <c r="I12" s="1517"/>
      <c r="J12" s="1516">
        <v>564137</v>
      </c>
      <c r="K12" s="1517">
        <f>+J12/J$23*100</f>
        <v>42.082063967106379</v>
      </c>
    </row>
    <row r="13" spans="1:11" ht="12" customHeight="1">
      <c r="A13" s="1257" t="s">
        <v>156</v>
      </c>
      <c r="B13" s="1553"/>
      <c r="C13" s="1257" t="s">
        <v>14</v>
      </c>
      <c r="D13" s="1516">
        <v>223884</v>
      </c>
      <c r="E13" s="1517">
        <f t="shared" si="0"/>
        <v>13.060842557471231</v>
      </c>
      <c r="F13" s="1517"/>
      <c r="G13" s="1516">
        <v>200509</v>
      </c>
      <c r="H13" s="1517">
        <f t="shared" si="0"/>
        <v>15.230552103620834</v>
      </c>
      <c r="I13" s="1517"/>
      <c r="J13" s="1043" t="s">
        <v>246</v>
      </c>
      <c r="K13" s="1043" t="s">
        <v>246</v>
      </c>
    </row>
    <row r="14" spans="1:11" ht="12" customHeight="1">
      <c r="A14" s="1257" t="s">
        <v>157</v>
      </c>
      <c r="B14" s="1552"/>
      <c r="C14" s="1257" t="s">
        <v>22</v>
      </c>
      <c r="D14" s="1516">
        <v>203452</v>
      </c>
      <c r="E14" s="1517">
        <f t="shared" si="0"/>
        <v>11.868889871552398</v>
      </c>
      <c r="F14" s="1517"/>
      <c r="G14" s="1516">
        <v>397148</v>
      </c>
      <c r="H14" s="1517">
        <f t="shared" si="0"/>
        <v>30.167141159991857</v>
      </c>
      <c r="I14" s="1517"/>
      <c r="J14" s="1043" t="s">
        <v>246</v>
      </c>
      <c r="K14" s="1043" t="s">
        <v>246</v>
      </c>
    </row>
    <row r="15" spans="1:11" ht="12" customHeight="1">
      <c r="A15" s="1257" t="s">
        <v>158</v>
      </c>
      <c r="B15" s="1541"/>
      <c r="C15" s="1257" t="s">
        <v>159</v>
      </c>
      <c r="D15" s="1516">
        <v>42060</v>
      </c>
      <c r="E15" s="1517">
        <f t="shared" si="0"/>
        <v>2.4536770736954852</v>
      </c>
      <c r="F15" s="1517"/>
      <c r="G15" s="1516">
        <v>53657</v>
      </c>
      <c r="H15" s="1517">
        <f t="shared" si="0"/>
        <v>4.0757558724245948</v>
      </c>
      <c r="I15" s="1517"/>
      <c r="J15" s="1043" t="s">
        <v>246</v>
      </c>
      <c r="K15" s="1043" t="s">
        <v>246</v>
      </c>
    </row>
    <row r="16" spans="1:11" ht="12" customHeight="1">
      <c r="A16" s="1257" t="s">
        <v>160</v>
      </c>
      <c r="B16" s="1551"/>
      <c r="C16" s="1257" t="s">
        <v>115</v>
      </c>
      <c r="D16" s="1516">
        <v>38121</v>
      </c>
      <c r="E16" s="1517">
        <f t="shared" si="0"/>
        <v>2.2238854904028904</v>
      </c>
      <c r="F16" s="1517"/>
      <c r="G16" s="1516">
        <v>191226</v>
      </c>
      <c r="H16" s="1517">
        <f t="shared" si="0"/>
        <v>14.525420587439955</v>
      </c>
      <c r="I16" s="1517"/>
      <c r="J16" s="1043" t="s">
        <v>246</v>
      </c>
      <c r="K16" s="1043" t="s">
        <v>246</v>
      </c>
    </row>
    <row r="17" spans="1:14" ht="12" customHeight="1">
      <c r="A17" s="1257" t="s">
        <v>161</v>
      </c>
      <c r="B17" s="1574"/>
      <c r="C17" s="1257" t="s">
        <v>112</v>
      </c>
      <c r="D17" s="1516">
        <v>33569</v>
      </c>
      <c r="E17" s="1517">
        <f t="shared" si="0"/>
        <v>1.9583329930309972</v>
      </c>
      <c r="F17" s="1517"/>
      <c r="G17" s="1516">
        <v>42803</v>
      </c>
      <c r="H17" s="1517">
        <f t="shared" si="0"/>
        <v>3.2512920701379122</v>
      </c>
      <c r="I17" s="1517"/>
      <c r="J17" s="1043" t="s">
        <v>246</v>
      </c>
      <c r="K17" s="1043" t="s">
        <v>246</v>
      </c>
    </row>
    <row r="18" spans="1:14" ht="12" customHeight="1">
      <c r="A18" s="1257" t="s">
        <v>162</v>
      </c>
      <c r="B18" s="1555"/>
      <c r="C18" s="1257" t="s">
        <v>116</v>
      </c>
      <c r="D18" s="1516">
        <v>16324</v>
      </c>
      <c r="E18" s="1517">
        <f t="shared" si="0"/>
        <v>0.95230205779850452</v>
      </c>
      <c r="F18" s="1517"/>
      <c r="G18" s="1516">
        <v>42987</v>
      </c>
      <c r="H18" s="1517">
        <f t="shared" si="0"/>
        <v>3.2652686077849316</v>
      </c>
      <c r="I18" s="1517"/>
      <c r="J18" s="1043" t="s">
        <v>246</v>
      </c>
      <c r="K18" s="1043" t="s">
        <v>246</v>
      </c>
    </row>
    <row r="19" spans="1:14" ht="12" customHeight="1">
      <c r="A19" s="1257" t="s">
        <v>163</v>
      </c>
      <c r="B19" s="1545"/>
      <c r="C19" s="1257" t="s">
        <v>164</v>
      </c>
      <c r="D19" s="1516">
        <v>9956</v>
      </c>
      <c r="E19" s="1517">
        <f t="shared" si="0"/>
        <v>0.58080858168597826</v>
      </c>
      <c r="F19" s="1517"/>
      <c r="G19" s="1516">
        <v>22214</v>
      </c>
      <c r="H19" s="1517">
        <f t="shared" si="0"/>
        <v>1.68736308310267</v>
      </c>
      <c r="I19" s="1517"/>
      <c r="J19" s="1043" t="s">
        <v>246</v>
      </c>
      <c r="K19" s="1043" t="s">
        <v>246</v>
      </c>
    </row>
    <row r="20" spans="1:14" ht="12" customHeight="1">
      <c r="A20" s="1257" t="s">
        <v>165</v>
      </c>
      <c r="B20" s="1545"/>
      <c r="C20" s="1257" t="s">
        <v>117</v>
      </c>
      <c r="D20" s="1516">
        <v>9015</v>
      </c>
      <c r="E20" s="1517">
        <f t="shared" si="0"/>
        <v>0.5259129533848026</v>
      </c>
      <c r="F20" s="1517"/>
      <c r="G20" s="1516">
        <v>41237</v>
      </c>
      <c r="H20" s="1517">
        <f t="shared" si="0"/>
        <v>3.1323395812507786</v>
      </c>
      <c r="I20" s="1517"/>
      <c r="J20" s="1043" t="s">
        <v>246</v>
      </c>
      <c r="K20" s="1043" t="s">
        <v>246</v>
      </c>
    </row>
    <row r="21" spans="1:14" ht="12" customHeight="1">
      <c r="A21" s="1257" t="s">
        <v>166</v>
      </c>
      <c r="B21" s="1545"/>
      <c r="C21" s="1257" t="s">
        <v>119</v>
      </c>
      <c r="D21" s="1516">
        <v>5470</v>
      </c>
      <c r="E21" s="1517">
        <f t="shared" si="0"/>
        <v>0.31910636217580368</v>
      </c>
      <c r="F21" s="1517"/>
      <c r="G21" s="1516">
        <v>17738</v>
      </c>
      <c r="H21" s="1517">
        <f t="shared" si="0"/>
        <v>1.3473686129501736</v>
      </c>
      <c r="I21" s="1517"/>
      <c r="J21" s="1043" t="s">
        <v>246</v>
      </c>
      <c r="K21" s="1043" t="s">
        <v>246</v>
      </c>
      <c r="N21" s="1548"/>
    </row>
    <row r="22" spans="1:14" ht="3" customHeight="1">
      <c r="A22" s="1257"/>
      <c r="B22" s="1257"/>
      <c r="C22" s="1257"/>
      <c r="D22" s="1516"/>
      <c r="E22" s="1518"/>
      <c r="F22" s="1518"/>
      <c r="G22" s="1516"/>
      <c r="H22" s="1518"/>
      <c r="I22" s="1518"/>
      <c r="J22" s="1043"/>
    </row>
    <row r="23" spans="1:14" ht="12" customHeight="1">
      <c r="A23" s="1519" t="s">
        <v>16</v>
      </c>
      <c r="B23" s="1519"/>
      <c r="C23" s="1519"/>
      <c r="D23" s="1520">
        <f>SUM(D11:D21)</f>
        <v>1714162</v>
      </c>
      <c r="E23" s="1521"/>
      <c r="F23" s="1521"/>
      <c r="G23" s="1520">
        <f>SUM(G11:G21)</f>
        <v>1316492</v>
      </c>
      <c r="H23" s="1521"/>
      <c r="I23" s="1521"/>
      <c r="J23" s="1520">
        <f>SUM(J11:J21)</f>
        <v>1340564</v>
      </c>
      <c r="K23" s="1093"/>
    </row>
    <row r="24" spans="1:14" ht="3" customHeight="1">
      <c r="A24" s="1257"/>
      <c r="B24" s="1257"/>
      <c r="C24" s="1257"/>
      <c r="D24" s="1516"/>
      <c r="E24" s="1518"/>
      <c r="F24" s="1518"/>
      <c r="G24" s="1516"/>
      <c r="H24" s="1518"/>
      <c r="I24" s="1518"/>
      <c r="J24" s="1516"/>
    </row>
    <row r="25" spans="1:14" ht="12" customHeight="1">
      <c r="A25" s="1519" t="s">
        <v>219</v>
      </c>
      <c r="B25" s="1519"/>
      <c r="C25" s="1519"/>
      <c r="D25" s="1439">
        <f>D23/C115</f>
        <v>0.33681685104041814</v>
      </c>
      <c r="E25" s="1518"/>
      <c r="F25" s="1518"/>
      <c r="G25" s="1516"/>
      <c r="H25" s="1518"/>
      <c r="I25" s="1518"/>
      <c r="J25" s="1516"/>
    </row>
    <row r="26" spans="1:14" ht="9" customHeight="1">
      <c r="A26" s="1257"/>
      <c r="B26" s="1257"/>
      <c r="C26" s="1257"/>
      <c r="D26" s="1516"/>
      <c r="E26" s="1522"/>
      <c r="F26" s="1522"/>
      <c r="G26" s="1516"/>
      <c r="H26" s="1522"/>
      <c r="I26" s="1522"/>
      <c r="J26" s="1257"/>
    </row>
    <row r="27" spans="1:14" ht="12.75" customHeight="1">
      <c r="A27" s="1566" t="s">
        <v>1144</v>
      </c>
      <c r="B27" s="1567"/>
      <c r="C27" s="1557"/>
      <c r="D27" s="1557"/>
      <c r="E27" s="1568"/>
      <c r="F27" s="1568"/>
      <c r="G27" s="1557"/>
      <c r="H27" s="1568"/>
      <c r="I27" s="1568"/>
      <c r="J27" s="1557"/>
      <c r="K27" s="1568"/>
    </row>
    <row r="28" spans="1:14" ht="3" customHeight="1">
      <c r="A28" s="1257"/>
      <c r="B28" s="1257"/>
      <c r="C28" s="1257"/>
      <c r="D28" s="1041"/>
      <c r="E28" s="1433"/>
      <c r="F28" s="1433"/>
      <c r="G28" s="1041"/>
      <c r="H28" s="1433"/>
      <c r="I28" s="1433"/>
      <c r="J28" s="1041"/>
      <c r="K28" s="1433"/>
    </row>
    <row r="29" spans="1:14" ht="12" customHeight="1">
      <c r="A29" s="1257" t="s">
        <v>154</v>
      </c>
      <c r="B29" s="1553"/>
      <c r="C29" s="1257" t="s">
        <v>14</v>
      </c>
      <c r="D29" s="1041">
        <v>685548</v>
      </c>
      <c r="E29" s="1517">
        <f>+D29/D$40*100</f>
        <v>36.784522714663311</v>
      </c>
      <c r="F29" s="1517"/>
      <c r="G29" s="1041">
        <v>186371</v>
      </c>
      <c r="H29" s="1517">
        <f>+G29/G$40*100</f>
        <v>12.87158321626934</v>
      </c>
      <c r="I29" s="1517"/>
      <c r="J29" s="1041">
        <v>828390</v>
      </c>
      <c r="K29" s="1517">
        <f>+J29/J$40*100</f>
        <v>55.389583904464523</v>
      </c>
    </row>
    <row r="30" spans="1:14" ht="12" customHeight="1">
      <c r="A30" s="1256" t="s">
        <v>155</v>
      </c>
      <c r="B30" s="1554"/>
      <c r="C30" s="1256" t="s">
        <v>13</v>
      </c>
      <c r="D30" s="1256">
        <v>542423</v>
      </c>
      <c r="E30" s="1517">
        <f t="shared" ref="E30:E38" si="1">+D30/D$40*100</f>
        <v>29.104849207430867</v>
      </c>
      <c r="F30" s="1517"/>
      <c r="G30" s="1256">
        <v>185148</v>
      </c>
      <c r="H30" s="1517">
        <f t="shared" ref="H30:H38" si="2">+G30/G$40*100</f>
        <v>12.787117573688159</v>
      </c>
      <c r="I30" s="1517"/>
      <c r="J30" s="1256">
        <v>667180</v>
      </c>
      <c r="K30" s="1517">
        <f>+J30/J$40*100</f>
        <v>44.610416095535484</v>
      </c>
    </row>
    <row r="31" spans="1:14" ht="12" customHeight="1">
      <c r="A31" s="1256" t="s">
        <v>253</v>
      </c>
      <c r="B31" s="1552"/>
      <c r="C31" s="1256" t="s">
        <v>22</v>
      </c>
      <c r="D31" s="1256">
        <v>284647</v>
      </c>
      <c r="E31" s="1517">
        <f t="shared" si="1"/>
        <v>15.27333467118388</v>
      </c>
      <c r="F31" s="1517"/>
      <c r="G31" s="1256">
        <v>450732</v>
      </c>
      <c r="H31" s="1517">
        <f t="shared" si="2"/>
        <v>31.129491424285494</v>
      </c>
      <c r="I31" s="1517"/>
      <c r="J31" s="1043" t="s">
        <v>246</v>
      </c>
      <c r="K31" s="1043" t="s">
        <v>246</v>
      </c>
    </row>
    <row r="32" spans="1:14" ht="12" customHeight="1">
      <c r="A32" s="1256" t="s">
        <v>254</v>
      </c>
      <c r="B32" s="1555"/>
      <c r="C32" s="1256" t="s">
        <v>116</v>
      </c>
      <c r="D32" s="1256">
        <v>115666</v>
      </c>
      <c r="E32" s="1517">
        <f t="shared" si="1"/>
        <v>6.2063029931007696</v>
      </c>
      <c r="F32" s="1517"/>
      <c r="G32" s="1256">
        <v>187559</v>
      </c>
      <c r="H32" s="1517">
        <f t="shared" si="2"/>
        <v>12.953631608245173</v>
      </c>
      <c r="I32" s="1517"/>
      <c r="J32" s="1043" t="s">
        <v>246</v>
      </c>
      <c r="K32" s="1043" t="s">
        <v>246</v>
      </c>
    </row>
    <row r="33" spans="1:23" ht="12" customHeight="1">
      <c r="A33" s="1256" t="s">
        <v>255</v>
      </c>
      <c r="B33" s="1556"/>
      <c r="C33" s="1256" t="s">
        <v>252</v>
      </c>
      <c r="D33" s="1256">
        <v>61731</v>
      </c>
      <c r="E33" s="1517">
        <f t="shared" si="1"/>
        <v>3.3123069014844777</v>
      </c>
      <c r="F33" s="1517"/>
      <c r="G33" s="1256">
        <v>54075</v>
      </c>
      <c r="H33" s="1517">
        <f t="shared" si="2"/>
        <v>3.7346521852636116</v>
      </c>
      <c r="I33" s="1517"/>
      <c r="J33" s="1043" t="s">
        <v>246</v>
      </c>
      <c r="K33" s="1043" t="s">
        <v>246</v>
      </c>
    </row>
    <row r="34" spans="1:23" ht="12" customHeight="1">
      <c r="A34" s="1256" t="s">
        <v>256</v>
      </c>
      <c r="B34" s="1574"/>
      <c r="C34" s="1256" t="s">
        <v>112</v>
      </c>
      <c r="D34" s="1256">
        <v>58407</v>
      </c>
      <c r="E34" s="1517">
        <f t="shared" si="1"/>
        <v>3.1339506762405254</v>
      </c>
      <c r="F34" s="1517"/>
      <c r="G34" s="1256">
        <v>65926</v>
      </c>
      <c r="H34" s="1517">
        <f t="shared" si="2"/>
        <v>4.5531332402346534</v>
      </c>
      <c r="I34" s="1517"/>
      <c r="J34" s="1043" t="s">
        <v>246</v>
      </c>
      <c r="K34" s="1043" t="s">
        <v>246</v>
      </c>
    </row>
    <row r="35" spans="1:23" ht="12" customHeight="1">
      <c r="A35" s="1256" t="s">
        <v>160</v>
      </c>
      <c r="B35" s="1551"/>
      <c r="C35" s="1256" t="s">
        <v>115</v>
      </c>
      <c r="D35" s="1256">
        <v>57332</v>
      </c>
      <c r="E35" s="1517">
        <f t="shared" si="1"/>
        <v>3.076269285705854</v>
      </c>
      <c r="F35" s="1517"/>
      <c r="G35" s="1256">
        <v>205614</v>
      </c>
      <c r="H35" s="1517">
        <f t="shared" si="2"/>
        <v>14.200587599090008</v>
      </c>
      <c r="I35" s="1517"/>
      <c r="J35" s="1043" t="s">
        <v>246</v>
      </c>
      <c r="K35" s="1043" t="s">
        <v>246</v>
      </c>
    </row>
    <row r="36" spans="1:23" ht="12" customHeight="1">
      <c r="A36" s="1256" t="s">
        <v>158</v>
      </c>
      <c r="B36" s="1541"/>
      <c r="C36" s="1256" t="s">
        <v>159</v>
      </c>
      <c r="D36" s="1256">
        <v>41698</v>
      </c>
      <c r="E36" s="1517">
        <f t="shared" si="1"/>
        <v>2.2373940674555692</v>
      </c>
      <c r="F36" s="1517"/>
      <c r="G36" s="1256">
        <v>53300</v>
      </c>
      <c r="H36" s="1517">
        <f t="shared" si="2"/>
        <v>3.6811273504308919</v>
      </c>
      <c r="I36" s="1517"/>
      <c r="J36" s="1043" t="s">
        <v>246</v>
      </c>
      <c r="K36" s="1043" t="s">
        <v>246</v>
      </c>
    </row>
    <row r="37" spans="1:23" ht="12" customHeight="1">
      <c r="A37" s="1256" t="s">
        <v>258</v>
      </c>
      <c r="B37" s="1545"/>
      <c r="C37" s="1256" t="s">
        <v>259</v>
      </c>
      <c r="D37" s="1256">
        <v>9542</v>
      </c>
      <c r="E37" s="1517">
        <f t="shared" si="1"/>
        <v>0.51199611951798751</v>
      </c>
      <c r="F37" s="1517"/>
      <c r="G37" s="1256">
        <v>39333</v>
      </c>
      <c r="H37" s="1517">
        <f t="shared" si="2"/>
        <v>2.7165062302907743</v>
      </c>
      <c r="I37" s="1517"/>
      <c r="J37" s="1043" t="s">
        <v>246</v>
      </c>
      <c r="K37" s="1043" t="s">
        <v>246</v>
      </c>
    </row>
    <row r="38" spans="1:23" ht="12" customHeight="1">
      <c r="A38" s="1256" t="s">
        <v>257</v>
      </c>
      <c r="B38" s="1545"/>
      <c r="C38" s="1256" t="s">
        <v>117</v>
      </c>
      <c r="D38" s="1256">
        <v>6692</v>
      </c>
      <c r="E38" s="1517">
        <f t="shared" si="1"/>
        <v>0.35907336321676508</v>
      </c>
      <c r="F38" s="1517"/>
      <c r="G38" s="1256">
        <v>19868</v>
      </c>
      <c r="H38" s="1517">
        <f t="shared" si="2"/>
        <v>1.3721695722018943</v>
      </c>
      <c r="I38" s="1517"/>
      <c r="J38" s="1043" t="s">
        <v>246</v>
      </c>
      <c r="K38" s="1043" t="s">
        <v>246</v>
      </c>
    </row>
    <row r="39" spans="1:23" ht="3" customHeight="1">
      <c r="B39" s="1257"/>
      <c r="E39" s="1523"/>
      <c r="F39" s="1523"/>
      <c r="H39" s="1523"/>
      <c r="I39" s="1523"/>
      <c r="J39" s="1043"/>
    </row>
    <row r="40" spans="1:23" ht="12" customHeight="1">
      <c r="A40" s="1519" t="s">
        <v>16</v>
      </c>
      <c r="B40" s="1519"/>
      <c r="C40" s="1519"/>
      <c r="D40" s="1515">
        <f>SUM(D29:D38)</f>
        <v>1863686</v>
      </c>
      <c r="E40" s="1524"/>
      <c r="F40" s="1524"/>
      <c r="G40" s="1515">
        <f>SUM(G29:G38)</f>
        <v>1447926</v>
      </c>
      <c r="H40" s="1524"/>
      <c r="I40" s="1524"/>
      <c r="J40" s="1515">
        <f>SUM(J29:J38)</f>
        <v>1495570</v>
      </c>
      <c r="K40" s="1093"/>
    </row>
    <row r="41" spans="1:23" ht="3" customHeight="1">
      <c r="A41" s="1257"/>
      <c r="B41" s="1257"/>
      <c r="C41" s="1257"/>
      <c r="E41" s="1523"/>
      <c r="F41" s="1523"/>
      <c r="H41" s="1523"/>
      <c r="I41" s="1523"/>
    </row>
    <row r="42" spans="1:23" ht="12" customHeight="1">
      <c r="A42" s="1519" t="s">
        <v>219</v>
      </c>
      <c r="B42" s="1519"/>
      <c r="C42" s="1519"/>
      <c r="D42" s="1439">
        <f>D40/C116</f>
        <v>0.35855340113648254</v>
      </c>
      <c r="E42" s="1523"/>
      <c r="F42" s="1523"/>
      <c r="H42" s="1523"/>
      <c r="I42" s="1523"/>
    </row>
    <row r="43" spans="1:23" ht="9" customHeight="1">
      <c r="B43" s="1257"/>
      <c r="E43" s="1523"/>
      <c r="F43" s="1523"/>
      <c r="H43" s="1523"/>
      <c r="I43" s="1523"/>
    </row>
    <row r="44" spans="1:23" ht="12.75" customHeight="1">
      <c r="A44" s="1566" t="s">
        <v>1145</v>
      </c>
      <c r="B44" s="1567"/>
      <c r="C44" s="1557"/>
      <c r="D44" s="1557"/>
      <c r="E44" s="1568"/>
      <c r="F44" s="1568"/>
      <c r="G44" s="1557"/>
      <c r="H44" s="1568"/>
      <c r="I44" s="1568"/>
      <c r="J44" s="1557"/>
      <c r="K44" s="1568"/>
    </row>
    <row r="45" spans="1:23" ht="3" customHeight="1">
      <c r="A45" s="1257"/>
      <c r="B45" s="1257"/>
      <c r="C45" s="1257"/>
      <c r="D45" s="1041"/>
      <c r="E45" s="1433"/>
      <c r="F45" s="1433"/>
      <c r="G45" s="1041"/>
      <c r="H45" s="1433"/>
      <c r="I45" s="1433"/>
      <c r="J45" s="1041"/>
      <c r="K45" s="1433"/>
    </row>
    <row r="46" spans="1:23" ht="12" customHeight="1">
      <c r="A46" s="1257" t="s">
        <v>968</v>
      </c>
      <c r="B46" s="1554"/>
      <c r="C46" s="1257" t="s">
        <v>13</v>
      </c>
      <c r="D46" s="1041">
        <v>1044067</v>
      </c>
      <c r="E46" s="1517">
        <f>+D46/$D$57*100</f>
        <v>43.198869619365418</v>
      </c>
      <c r="F46" s="1517"/>
      <c r="G46" s="1041">
        <v>210312</v>
      </c>
      <c r="H46" s="1517">
        <f>+G46/$G$57*100</f>
        <v>11.32954266921293</v>
      </c>
      <c r="I46" s="1517"/>
      <c r="J46" s="944">
        <v>1169046</v>
      </c>
      <c r="K46" s="1517">
        <f>+J46/$J$57*100</f>
        <v>53.175871021973641</v>
      </c>
      <c r="R46" s="1525"/>
      <c r="S46" s="1525"/>
      <c r="T46" s="1525"/>
      <c r="U46" s="1525"/>
      <c r="V46" s="1525"/>
      <c r="W46" s="1525"/>
    </row>
    <row r="47" spans="1:23" ht="12" customHeight="1">
      <c r="A47" s="1256" t="s">
        <v>154</v>
      </c>
      <c r="B47" s="1553"/>
      <c r="C47" s="1256" t="s">
        <v>14</v>
      </c>
      <c r="D47" s="1256">
        <v>894317</v>
      </c>
      <c r="E47" s="1517">
        <f t="shared" ref="E47:E55" si="3">+D47/$D$57*100</f>
        <v>37.002877671051785</v>
      </c>
      <c r="F47" s="1517"/>
      <c r="G47" s="1256">
        <v>214279</v>
      </c>
      <c r="H47" s="1517">
        <f t="shared" ref="H47:H55" si="4">+G47/$G$57*100</f>
        <v>11.543245623722267</v>
      </c>
      <c r="I47" s="1517"/>
      <c r="J47" s="944">
        <v>1029406</v>
      </c>
      <c r="K47" s="1517">
        <f>+J47/$J$57*100</f>
        <v>46.824128978026359</v>
      </c>
      <c r="R47" s="1526"/>
      <c r="S47" s="1137"/>
      <c r="T47" s="1137"/>
      <c r="U47" s="1137"/>
      <c r="V47" s="1137"/>
      <c r="W47" s="1137"/>
    </row>
    <row r="48" spans="1:23" ht="12" customHeight="1">
      <c r="A48" s="1256" t="s">
        <v>969</v>
      </c>
      <c r="B48" s="1552"/>
      <c r="C48" s="1256" t="s">
        <v>22</v>
      </c>
      <c r="D48" s="1256">
        <v>236752</v>
      </c>
      <c r="E48" s="1517">
        <f t="shared" si="3"/>
        <v>9.7957494874600979</v>
      </c>
      <c r="F48" s="1517"/>
      <c r="G48" s="1256">
        <v>641412</v>
      </c>
      <c r="H48" s="1517">
        <f t="shared" si="4"/>
        <v>34.552971882466068</v>
      </c>
      <c r="I48" s="1517"/>
      <c r="J48" s="1043" t="s">
        <v>246</v>
      </c>
      <c r="K48" s="1043" t="s">
        <v>246</v>
      </c>
      <c r="R48" s="1526"/>
      <c r="S48" s="1137"/>
      <c r="T48" s="1137"/>
      <c r="U48" s="1137"/>
      <c r="V48" s="1137"/>
      <c r="W48" s="1137"/>
    </row>
    <row r="49" spans="1:23" ht="12" customHeight="1">
      <c r="A49" s="1256" t="s">
        <v>970</v>
      </c>
      <c r="B49" s="1551"/>
      <c r="C49" s="1256" t="s">
        <v>115</v>
      </c>
      <c r="D49" s="1256">
        <v>77396</v>
      </c>
      <c r="E49" s="1517">
        <f t="shared" si="3"/>
        <v>3.2023037918643213</v>
      </c>
      <c r="F49" s="1517"/>
      <c r="G49" s="1256">
        <v>329665</v>
      </c>
      <c r="H49" s="1517">
        <f t="shared" si="4"/>
        <v>17.759108771948725</v>
      </c>
      <c r="I49" s="1517"/>
      <c r="J49" s="1043" t="s">
        <v>246</v>
      </c>
      <c r="K49" s="1043" t="s">
        <v>246</v>
      </c>
      <c r="R49" s="1526"/>
      <c r="S49" s="1137"/>
      <c r="T49" s="1137"/>
      <c r="U49" s="1137"/>
      <c r="V49" s="1137"/>
      <c r="W49" s="1137"/>
    </row>
    <row r="50" spans="1:23" ht="12" customHeight="1">
      <c r="A50" s="1256" t="s">
        <v>971</v>
      </c>
      <c r="B50" s="1542"/>
      <c r="C50" s="1256" t="s">
        <v>112</v>
      </c>
      <c r="D50" s="1256">
        <v>69753</v>
      </c>
      <c r="E50" s="1517">
        <f t="shared" si="3"/>
        <v>2.8860702929597393</v>
      </c>
      <c r="F50" s="1517"/>
      <c r="G50" s="1256">
        <v>124093</v>
      </c>
      <c r="H50" s="1517">
        <f t="shared" si="4"/>
        <v>6.6849106967298111</v>
      </c>
      <c r="I50" s="1517"/>
      <c r="J50" s="1043" t="s">
        <v>246</v>
      </c>
      <c r="K50" s="1043" t="s">
        <v>246</v>
      </c>
      <c r="R50" s="1526"/>
      <c r="S50" s="1137"/>
      <c r="T50" s="1137"/>
      <c r="U50" s="1137"/>
      <c r="V50" s="1137"/>
      <c r="W50" s="1137"/>
    </row>
    <row r="51" spans="1:23" ht="12" customHeight="1">
      <c r="A51" s="1256" t="s">
        <v>850</v>
      </c>
      <c r="B51" s="1541"/>
      <c r="C51" s="1256" t="s">
        <v>159</v>
      </c>
      <c r="D51" s="1256">
        <v>39266</v>
      </c>
      <c r="E51" s="1517">
        <f t="shared" si="3"/>
        <v>1.624653220984863</v>
      </c>
      <c r="F51" s="1517"/>
      <c r="G51" s="1256">
        <v>77373</v>
      </c>
      <c r="H51" s="1517">
        <f t="shared" si="4"/>
        <v>4.1680964706959758</v>
      </c>
      <c r="I51" s="1517"/>
      <c r="J51" s="1043" t="s">
        <v>246</v>
      </c>
      <c r="K51" s="1043" t="s">
        <v>246</v>
      </c>
      <c r="R51" s="1526"/>
      <c r="S51" s="1137"/>
      <c r="T51" s="1137"/>
      <c r="U51" s="1137"/>
      <c r="V51" s="1137"/>
      <c r="W51" s="1137"/>
    </row>
    <row r="52" spans="1:23" ht="12" customHeight="1">
      <c r="A52" s="1256" t="s">
        <v>972</v>
      </c>
      <c r="B52" s="1555"/>
      <c r="C52" s="1256" t="s">
        <v>116</v>
      </c>
      <c r="D52" s="1256">
        <v>22435</v>
      </c>
      <c r="E52" s="1517">
        <f t="shared" si="3"/>
        <v>0.92826096400945834</v>
      </c>
      <c r="F52" s="1517"/>
      <c r="G52" s="1256">
        <v>112765</v>
      </c>
      <c r="H52" s="1517">
        <f t="shared" si="4"/>
        <v>6.0746694391846212</v>
      </c>
      <c r="I52" s="1517"/>
      <c r="J52" s="1043" t="s">
        <v>246</v>
      </c>
      <c r="K52" s="1043" t="s">
        <v>246</v>
      </c>
      <c r="R52" s="1526"/>
      <c r="S52" s="1137"/>
      <c r="T52" s="1137"/>
      <c r="U52" s="1137"/>
      <c r="V52" s="1137"/>
      <c r="W52" s="1137"/>
    </row>
    <row r="53" spans="1:23" ht="12" customHeight="1">
      <c r="A53" s="1256" t="s">
        <v>255</v>
      </c>
      <c r="B53" s="1545"/>
      <c r="C53" s="1256" t="s">
        <v>967</v>
      </c>
      <c r="D53" s="1256">
        <v>16803</v>
      </c>
      <c r="E53" s="1517">
        <f t="shared" si="3"/>
        <v>0.69523374095167956</v>
      </c>
      <c r="F53" s="1517"/>
      <c r="G53" s="1256">
        <v>34276</v>
      </c>
      <c r="H53" s="1517">
        <f t="shared" si="4"/>
        <v>1.8464538615482824</v>
      </c>
      <c r="I53" s="1517"/>
      <c r="J53" s="1043" t="s">
        <v>246</v>
      </c>
      <c r="K53" s="1043" t="s">
        <v>246</v>
      </c>
      <c r="R53" s="1526"/>
      <c r="S53" s="1137"/>
      <c r="T53" s="1137"/>
      <c r="U53" s="1137"/>
      <c r="V53" s="1137"/>
      <c r="W53" s="1137"/>
    </row>
    <row r="54" spans="1:23" ht="12" customHeight="1">
      <c r="A54" s="1256" t="s">
        <v>973</v>
      </c>
      <c r="B54" s="1545"/>
      <c r="C54" s="1256" t="s">
        <v>959</v>
      </c>
      <c r="D54" s="1256">
        <v>10700</v>
      </c>
      <c r="E54" s="1517">
        <f t="shared" si="3"/>
        <v>0.44271862335195922</v>
      </c>
      <c r="F54" s="1517"/>
      <c r="G54" s="1256">
        <v>73538</v>
      </c>
      <c r="H54" s="1517">
        <f t="shared" si="4"/>
        <v>3.9615043782978643</v>
      </c>
      <c r="I54" s="1517"/>
      <c r="J54" s="1043" t="s">
        <v>246</v>
      </c>
      <c r="K54" s="1043" t="s">
        <v>246</v>
      </c>
      <c r="R54" s="1526"/>
      <c r="S54" s="1137"/>
      <c r="T54" s="1137"/>
      <c r="U54" s="1137"/>
      <c r="V54" s="1137"/>
      <c r="W54" s="1137"/>
    </row>
    <row r="55" spans="1:23" ht="12" customHeight="1">
      <c r="A55" s="1256" t="s">
        <v>974</v>
      </c>
      <c r="B55" s="1545"/>
      <c r="C55" s="1256" t="s">
        <v>117</v>
      </c>
      <c r="D55" s="1256">
        <v>5396</v>
      </c>
      <c r="E55" s="1517">
        <f t="shared" si="3"/>
        <v>0.22326258800067028</v>
      </c>
      <c r="F55" s="1517"/>
      <c r="G55" s="1256">
        <v>38602</v>
      </c>
      <c r="H55" s="1517">
        <f t="shared" si="4"/>
        <v>2.0794962061934532</v>
      </c>
      <c r="I55" s="1517"/>
      <c r="J55" s="1043" t="s">
        <v>246</v>
      </c>
      <c r="K55" s="1043" t="s">
        <v>246</v>
      </c>
      <c r="R55" s="1526"/>
      <c r="S55" s="1137"/>
      <c r="T55" s="1137"/>
      <c r="U55" s="1137"/>
      <c r="V55" s="1137"/>
      <c r="W55" s="1137"/>
    </row>
    <row r="56" spans="1:23" ht="3" customHeight="1">
      <c r="E56" s="1517"/>
      <c r="F56" s="1517"/>
      <c r="H56" s="1517"/>
      <c r="I56" s="1517"/>
      <c r="J56" s="1043"/>
      <c r="R56" s="1526"/>
      <c r="S56" s="1137"/>
      <c r="T56" s="1137"/>
      <c r="U56" s="1137"/>
      <c r="V56" s="1137"/>
      <c r="W56" s="1137"/>
    </row>
    <row r="57" spans="1:23" ht="12" customHeight="1">
      <c r="A57" s="1519" t="s">
        <v>16</v>
      </c>
      <c r="B57" s="1515"/>
      <c r="C57" s="1519"/>
      <c r="D57" s="1515">
        <f>SUM(D46:D55)</f>
        <v>2416885</v>
      </c>
      <c r="E57" s="1527"/>
      <c r="F57" s="1527"/>
      <c r="G57" s="1515">
        <f>SUM(G46:G55)</f>
        <v>1856315</v>
      </c>
      <c r="H57" s="1527"/>
      <c r="I57" s="1527"/>
      <c r="J57" s="1515">
        <f>SUM(J46:J55)</f>
        <v>2198452</v>
      </c>
      <c r="K57" s="1093"/>
      <c r="R57" s="1526"/>
      <c r="S57" s="1137"/>
      <c r="T57" s="1137"/>
      <c r="U57" s="1137"/>
      <c r="V57" s="1137"/>
      <c r="W57" s="1137"/>
    </row>
    <row r="58" spans="1:23" ht="3" customHeight="1">
      <c r="A58" s="1257"/>
      <c r="C58" s="1257"/>
      <c r="E58" s="1517"/>
      <c r="F58" s="1517"/>
      <c r="H58" s="1517"/>
      <c r="I58" s="1517"/>
      <c r="R58" s="1526"/>
      <c r="S58" s="1137"/>
      <c r="T58" s="1137"/>
      <c r="U58" s="1137"/>
      <c r="V58" s="1137"/>
      <c r="W58" s="1137"/>
    </row>
    <row r="59" spans="1:23" ht="12" customHeight="1">
      <c r="A59" s="1519" t="s">
        <v>219</v>
      </c>
      <c r="B59" s="1515"/>
      <c r="C59" s="1519"/>
      <c r="D59" s="1439">
        <f>D57/C117</f>
        <v>0.44463898453384826</v>
      </c>
      <c r="E59" s="1517"/>
      <c r="F59" s="1517"/>
      <c r="H59" s="1517"/>
      <c r="I59" s="1517"/>
      <c r="R59" s="1526"/>
      <c r="S59" s="1137"/>
      <c r="T59" s="1137"/>
      <c r="U59" s="1137"/>
      <c r="V59" s="1137"/>
      <c r="W59" s="1137"/>
    </row>
    <row r="60" spans="1:23" ht="3" customHeight="1">
      <c r="A60" s="1562"/>
      <c r="B60" s="1562"/>
      <c r="C60" s="1562"/>
      <c r="D60" s="1563"/>
      <c r="E60" s="1564"/>
      <c r="F60" s="1564"/>
      <c r="G60" s="1549"/>
      <c r="H60" s="1564"/>
      <c r="I60" s="1564"/>
      <c r="J60" s="1549"/>
      <c r="K60" s="1039"/>
      <c r="R60" s="1526"/>
      <c r="S60" s="1137"/>
      <c r="T60" s="1137"/>
      <c r="U60" s="1137"/>
      <c r="V60" s="1137"/>
      <c r="W60" s="1137"/>
    </row>
    <row r="61" spans="1:23" ht="12" customHeight="1">
      <c r="A61" s="1519"/>
      <c r="B61" s="1515"/>
      <c r="C61" s="1519"/>
      <c r="D61" s="1439"/>
      <c r="E61" s="1517"/>
      <c r="F61" s="1517"/>
      <c r="H61" s="1517"/>
      <c r="I61" s="1517"/>
      <c r="R61" s="1526"/>
      <c r="S61" s="1137"/>
      <c r="T61" s="1137"/>
      <c r="U61" s="1137"/>
      <c r="V61" s="1137"/>
      <c r="W61" s="1137"/>
    </row>
    <row r="62" spans="1:23" ht="12" customHeight="1">
      <c r="A62" s="1515"/>
      <c r="B62" s="1515"/>
      <c r="C62" s="1519"/>
      <c r="D62" s="1439"/>
      <c r="E62" s="1517"/>
      <c r="F62" s="1517"/>
      <c r="H62" s="1517"/>
      <c r="I62" s="1517"/>
      <c r="R62" s="1526"/>
      <c r="S62" s="1137"/>
      <c r="T62" s="1137"/>
      <c r="U62" s="1137"/>
      <c r="V62" s="1137"/>
      <c r="W62" s="1137"/>
    </row>
    <row r="63" spans="1:23" ht="16">
      <c r="A63" s="1367" t="s">
        <v>2763</v>
      </c>
      <c r="B63" s="1550"/>
      <c r="C63" s="1550"/>
      <c r="D63" s="1550"/>
      <c r="E63" s="1125"/>
      <c r="F63" s="1125"/>
      <c r="G63" s="1550"/>
      <c r="H63" s="1125"/>
      <c r="I63" s="1125"/>
      <c r="J63" s="1550"/>
      <c r="K63" s="1125"/>
      <c r="R63" s="1526"/>
      <c r="S63" s="1137"/>
      <c r="T63" s="1137"/>
      <c r="U63" s="1137"/>
      <c r="V63" s="1137"/>
      <c r="W63" s="1137"/>
    </row>
    <row r="64" spans="1:23" ht="17" thickBot="1">
      <c r="A64" s="1549"/>
      <c r="B64" s="1549"/>
      <c r="C64" s="1549"/>
      <c r="D64" s="3431" t="s">
        <v>1170</v>
      </c>
      <c r="E64" s="3431"/>
      <c r="F64" s="1270"/>
      <c r="G64" s="3431" t="s">
        <v>2357</v>
      </c>
      <c r="H64" s="3431"/>
      <c r="I64" s="1270"/>
      <c r="J64" s="3431" t="s">
        <v>2358</v>
      </c>
      <c r="K64" s="3431"/>
    </row>
    <row r="65" spans="1:23">
      <c r="A65" s="1549" t="s">
        <v>141</v>
      </c>
      <c r="B65" s="1549"/>
      <c r="C65" s="1549" t="s">
        <v>110</v>
      </c>
      <c r="D65" s="1039" t="s">
        <v>111</v>
      </c>
      <c r="E65" s="1158" t="s">
        <v>153</v>
      </c>
      <c r="F65" s="1158"/>
      <c r="G65" s="1039" t="s">
        <v>111</v>
      </c>
      <c r="H65" s="1158" t="s">
        <v>153</v>
      </c>
      <c r="I65" s="1158"/>
      <c r="J65" s="1039" t="s">
        <v>111</v>
      </c>
      <c r="K65" s="1039" t="s">
        <v>153</v>
      </c>
    </row>
    <row r="66" spans="1:23" ht="9" customHeight="1">
      <c r="A66" s="1257"/>
      <c r="C66" s="1257"/>
      <c r="D66" s="1528"/>
      <c r="E66" s="1517"/>
      <c r="F66" s="1517"/>
      <c r="H66" s="1517"/>
      <c r="I66" s="1517"/>
      <c r="R66" s="1526"/>
      <c r="S66" s="1137"/>
      <c r="T66" s="1137"/>
      <c r="U66" s="1137"/>
      <c r="V66" s="1137"/>
      <c r="W66" s="1137"/>
    </row>
    <row r="67" spans="1:23" ht="12.75" customHeight="1">
      <c r="A67" s="1565" t="s">
        <v>1201</v>
      </c>
      <c r="B67" s="1560"/>
      <c r="C67" s="1560"/>
      <c r="D67" s="1578"/>
      <c r="E67" s="1559"/>
      <c r="F67" s="1559"/>
      <c r="G67" s="1560"/>
      <c r="H67" s="1559"/>
      <c r="I67" s="1559"/>
      <c r="J67" s="1560"/>
      <c r="K67" s="1561"/>
      <c r="R67" s="1526"/>
      <c r="S67" s="1137"/>
      <c r="T67" s="1137"/>
      <c r="U67" s="1137"/>
      <c r="V67" s="1137"/>
      <c r="W67" s="1137"/>
    </row>
    <row r="68" spans="1:23" ht="3" customHeight="1">
      <c r="A68" s="1257"/>
      <c r="C68" s="1257"/>
      <c r="D68" s="1528"/>
      <c r="E68" s="1517"/>
      <c r="F68" s="1517"/>
      <c r="H68" s="1517"/>
      <c r="I68" s="1517"/>
      <c r="R68" s="1526"/>
      <c r="S68" s="1137"/>
      <c r="T68" s="1137"/>
      <c r="U68" s="1137"/>
      <c r="V68" s="1137"/>
      <c r="W68" s="1137"/>
    </row>
    <row r="69" spans="1:23" ht="12" customHeight="1">
      <c r="A69" s="1529" t="s">
        <v>968</v>
      </c>
      <c r="B69" s="1570"/>
      <c r="C69" s="1529" t="s">
        <v>13</v>
      </c>
      <c r="D69" s="1530">
        <v>971931</v>
      </c>
      <c r="E69" s="1531">
        <f>100*D69/D$77</f>
        <v>44.009146583049386</v>
      </c>
      <c r="F69" s="1517"/>
      <c r="G69" s="1256">
        <v>187997</v>
      </c>
      <c r="H69" s="1531">
        <f>100*G69/G$77</f>
        <v>12.13245496399572</v>
      </c>
      <c r="I69" s="1517"/>
      <c r="J69" s="1532">
        <v>1054811</v>
      </c>
      <c r="K69" s="1531">
        <f>100*J69/J$77</f>
        <v>51.527489834320427</v>
      </c>
      <c r="R69" s="1526"/>
      <c r="S69" s="1137"/>
      <c r="T69" s="1137"/>
      <c r="U69" s="1137"/>
      <c r="V69" s="1137"/>
      <c r="W69" s="1137"/>
    </row>
    <row r="70" spans="1:23" ht="12" customHeight="1">
      <c r="A70" s="1529" t="s">
        <v>154</v>
      </c>
      <c r="B70" s="1572"/>
      <c r="C70" s="1529" t="s">
        <v>14</v>
      </c>
      <c r="D70" s="1530">
        <v>889918</v>
      </c>
      <c r="E70" s="1531">
        <f t="shared" ref="E70:E75" si="5">100*D70/D$77</f>
        <v>40.295588584883234</v>
      </c>
      <c r="F70" s="1517"/>
      <c r="G70" s="1256">
        <v>199538</v>
      </c>
      <c r="H70" s="1531">
        <f t="shared" ref="H70:H75" si="6">100*G70/G$77</f>
        <v>12.877257608396825</v>
      </c>
      <c r="I70" s="1517"/>
      <c r="J70" s="1532">
        <v>992273</v>
      </c>
      <c r="K70" s="1531">
        <f>100*J70/J$77</f>
        <v>48.472510165679573</v>
      </c>
      <c r="R70" s="1526"/>
      <c r="S70" s="1137"/>
      <c r="T70" s="1137"/>
      <c r="U70" s="1137"/>
      <c r="V70" s="1137"/>
      <c r="W70" s="1137"/>
    </row>
    <row r="71" spans="1:23" ht="12" customHeight="1">
      <c r="A71" s="1529" t="s">
        <v>1202</v>
      </c>
      <c r="B71" s="1573"/>
      <c r="C71" s="1529" t="s">
        <v>115</v>
      </c>
      <c r="D71" s="1530">
        <v>98913</v>
      </c>
      <c r="E71" s="1531">
        <f t="shared" si="5"/>
        <v>4.4787919265556546</v>
      </c>
      <c r="F71" s="1517"/>
      <c r="G71" s="1256">
        <v>360381</v>
      </c>
      <c r="H71" s="1531">
        <f t="shared" si="6"/>
        <v>23.257319278391364</v>
      </c>
      <c r="I71" s="1517"/>
      <c r="J71" s="1043" t="s">
        <v>246</v>
      </c>
      <c r="K71" s="1043" t="s">
        <v>246</v>
      </c>
      <c r="R71" s="1526"/>
      <c r="S71" s="1137"/>
      <c r="T71" s="1137"/>
      <c r="U71" s="1137"/>
      <c r="V71" s="1137"/>
      <c r="W71" s="1137"/>
    </row>
    <row r="72" spans="1:23" ht="12" customHeight="1">
      <c r="A72" s="1529" t="s">
        <v>969</v>
      </c>
      <c r="B72" s="1571"/>
      <c r="C72" s="1529" t="s">
        <v>22</v>
      </c>
      <c r="D72" s="1530">
        <v>91774</v>
      </c>
      <c r="E72" s="1531">
        <f t="shared" si="5"/>
        <v>4.1555371919537238</v>
      </c>
      <c r="F72" s="1517"/>
      <c r="G72" s="1256">
        <v>360104</v>
      </c>
      <c r="H72" s="1531">
        <f t="shared" si="6"/>
        <v>23.239442982359904</v>
      </c>
      <c r="I72" s="1517"/>
      <c r="J72" s="1043" t="s">
        <v>246</v>
      </c>
      <c r="K72" s="1043" t="s">
        <v>246</v>
      </c>
      <c r="R72" s="1526"/>
      <c r="S72" s="1137"/>
      <c r="T72" s="1137"/>
      <c r="U72" s="1137"/>
      <c r="V72" s="1137"/>
      <c r="W72" s="1137"/>
    </row>
    <row r="73" spans="1:23" ht="12" customHeight="1">
      <c r="A73" s="1529" t="s">
        <v>1203</v>
      </c>
      <c r="B73" s="1543"/>
      <c r="C73" s="1529" t="s">
        <v>117</v>
      </c>
      <c r="D73" s="1530">
        <v>83914</v>
      </c>
      <c r="E73" s="1531">
        <f t="shared" si="5"/>
        <v>3.7996354950814477</v>
      </c>
      <c r="F73" s="1517"/>
      <c r="G73" s="1256">
        <v>210761</v>
      </c>
      <c r="H73" s="1531">
        <f t="shared" si="6"/>
        <v>13.601538006812353</v>
      </c>
      <c r="I73" s="1517"/>
      <c r="J73" s="1043" t="s">
        <v>246</v>
      </c>
      <c r="K73" s="1043" t="s">
        <v>246</v>
      </c>
      <c r="R73" s="1526"/>
      <c r="S73" s="1137"/>
      <c r="T73" s="1137"/>
      <c r="U73" s="1137"/>
      <c r="V73" s="1137"/>
      <c r="W73" s="1137"/>
    </row>
    <row r="74" spans="1:23" ht="12" customHeight="1">
      <c r="A74" s="1529" t="s">
        <v>1204</v>
      </c>
      <c r="B74" s="1555"/>
      <c r="C74" s="1529" t="s">
        <v>116</v>
      </c>
      <c r="D74" s="1530">
        <v>43274</v>
      </c>
      <c r="E74" s="1531">
        <f t="shared" si="5"/>
        <v>1.9594516578181778</v>
      </c>
      <c r="F74" s="1517"/>
      <c r="G74" s="1256">
        <v>159618</v>
      </c>
      <c r="H74" s="1531">
        <f t="shared" si="6"/>
        <v>10.301005848194752</v>
      </c>
      <c r="I74" s="1517"/>
      <c r="J74" s="1043" t="s">
        <v>246</v>
      </c>
      <c r="K74" s="1043" t="s">
        <v>246</v>
      </c>
      <c r="R74" s="1526"/>
      <c r="S74" s="1137"/>
      <c r="T74" s="1137"/>
      <c r="U74" s="1137"/>
      <c r="V74" s="1137"/>
      <c r="W74" s="1137"/>
    </row>
    <row r="75" spans="1:23" ht="12" customHeight="1">
      <c r="A75" s="1529" t="s">
        <v>1205</v>
      </c>
      <c r="B75" s="1574"/>
      <c r="C75" s="1529" t="s">
        <v>112</v>
      </c>
      <c r="D75" s="1530">
        <v>28751</v>
      </c>
      <c r="E75" s="1531">
        <f t="shared" si="5"/>
        <v>1.301848560658373</v>
      </c>
      <c r="F75" s="1517"/>
      <c r="G75" s="1256">
        <v>71139</v>
      </c>
      <c r="H75" s="1531">
        <f t="shared" si="6"/>
        <v>4.5909813118490801</v>
      </c>
      <c r="I75" s="1517"/>
      <c r="J75" s="1043" t="s">
        <v>246</v>
      </c>
      <c r="K75" s="1043" t="s">
        <v>246</v>
      </c>
      <c r="R75" s="1526"/>
      <c r="S75" s="1137"/>
      <c r="T75" s="1137"/>
      <c r="U75" s="1137"/>
      <c r="V75" s="1137"/>
      <c r="W75" s="1137"/>
    </row>
    <row r="76" spans="1:23" ht="3" customHeight="1">
      <c r="A76" s="1257"/>
      <c r="C76" s="1257"/>
      <c r="D76" s="1530"/>
      <c r="E76" s="1517"/>
      <c r="F76" s="1517"/>
      <c r="H76" s="1531"/>
      <c r="I76" s="1517"/>
      <c r="J76" s="1043"/>
      <c r="R76" s="1526"/>
      <c r="S76" s="1137"/>
      <c r="T76" s="1137"/>
      <c r="U76" s="1137"/>
      <c r="V76" s="1137"/>
      <c r="W76" s="1137"/>
    </row>
    <row r="77" spans="1:23" ht="12" customHeight="1">
      <c r="A77" s="1519" t="s">
        <v>16</v>
      </c>
      <c r="B77" s="1515"/>
      <c r="C77" s="1519"/>
      <c r="D77" s="1533">
        <v>2208475</v>
      </c>
      <c r="E77" s="1527"/>
      <c r="F77" s="1527"/>
      <c r="G77" s="1515">
        <f>SUM(G69:G75)</f>
        <v>1549538</v>
      </c>
      <c r="H77" s="1534"/>
      <c r="I77" s="1527"/>
      <c r="J77" s="1515">
        <f>SUM(J69:J75)</f>
        <v>2047084</v>
      </c>
      <c r="K77" s="1093"/>
      <c r="R77" s="1526"/>
      <c r="S77" s="1137"/>
      <c r="T77" s="1137"/>
      <c r="U77" s="1137"/>
      <c r="V77" s="1137"/>
      <c r="W77" s="1137"/>
    </row>
    <row r="78" spans="1:23" ht="3" customHeight="1">
      <c r="A78" s="1257"/>
      <c r="C78" s="1257"/>
      <c r="D78" s="1528"/>
      <c r="E78" s="1517"/>
      <c r="F78" s="1517"/>
      <c r="H78" s="1517"/>
      <c r="I78" s="1517"/>
      <c r="R78" s="1526"/>
      <c r="S78" s="1137"/>
      <c r="T78" s="1137"/>
      <c r="U78" s="1137"/>
      <c r="V78" s="1137"/>
      <c r="W78" s="1137"/>
    </row>
    <row r="79" spans="1:23" ht="12" customHeight="1">
      <c r="A79" s="1519" t="s">
        <v>219</v>
      </c>
      <c r="B79" s="1515"/>
      <c r="C79" s="1519"/>
      <c r="D79" s="1439">
        <f>D77/C118</f>
        <v>0.3736553500065985</v>
      </c>
      <c r="E79" s="1517"/>
      <c r="F79" s="1517"/>
      <c r="H79" s="1517"/>
      <c r="I79" s="1517"/>
      <c r="R79" s="1526"/>
      <c r="S79" s="1137"/>
      <c r="T79" s="1137"/>
      <c r="U79" s="1137"/>
      <c r="V79" s="1137"/>
      <c r="W79" s="1137"/>
    </row>
    <row r="81" spans="1:23">
      <c r="A81" s="1565" t="s">
        <v>1918</v>
      </c>
      <c r="B81" s="1560"/>
      <c r="C81" s="1560"/>
      <c r="D81" s="1560"/>
      <c r="E81" s="1561"/>
      <c r="F81" s="1561"/>
      <c r="G81" s="1560"/>
      <c r="H81" s="1561"/>
      <c r="I81" s="1561"/>
      <c r="J81" s="1560"/>
      <c r="K81" s="1561"/>
    </row>
    <row r="82" spans="1:23">
      <c r="A82" s="1257"/>
    </row>
    <row r="83" spans="1:23">
      <c r="A83" s="1529" t="s">
        <v>1909</v>
      </c>
      <c r="B83" s="1553"/>
      <c r="C83" s="1256" t="s">
        <v>14</v>
      </c>
      <c r="D83" s="1256">
        <v>1148716</v>
      </c>
      <c r="E83" s="1535">
        <v>44.233086288165282</v>
      </c>
      <c r="G83" s="1536">
        <v>161427</v>
      </c>
      <c r="H83" s="1535">
        <v>65.544529530708203</v>
      </c>
      <c r="J83" s="1256">
        <v>1310143</v>
      </c>
      <c r="K83" s="1535">
        <v>56.845168492817244</v>
      </c>
    </row>
    <row r="84" spans="1:23">
      <c r="A84" s="1529" t="s">
        <v>1910</v>
      </c>
      <c r="B84" s="1554"/>
      <c r="C84" s="1257" t="s">
        <v>13</v>
      </c>
      <c r="D84" s="1256">
        <v>909755</v>
      </c>
      <c r="E84" s="1535">
        <v>35.031523384448207</v>
      </c>
      <c r="G84" s="1536">
        <v>84859</v>
      </c>
      <c r="H84" s="1535">
        <v>34.455470469291797</v>
      </c>
      <c r="J84" s="1256">
        <v>994614</v>
      </c>
      <c r="K84" s="1535">
        <v>43.154831507182749</v>
      </c>
    </row>
    <row r="85" spans="1:23">
      <c r="A85" s="1256" t="s">
        <v>970</v>
      </c>
      <c r="B85" s="1577"/>
      <c r="C85" s="1497" t="s">
        <v>115</v>
      </c>
      <c r="D85" s="1256">
        <v>150673</v>
      </c>
      <c r="E85" s="1535">
        <v>5.8018969095030686</v>
      </c>
      <c r="G85" s="1043" t="s">
        <v>246</v>
      </c>
      <c r="H85" s="1043" t="s">
        <v>246</v>
      </c>
      <c r="J85" s="1043" t="s">
        <v>246</v>
      </c>
      <c r="K85" s="1043" t="s">
        <v>246</v>
      </c>
    </row>
    <row r="86" spans="1:23">
      <c r="A86" s="1529" t="s">
        <v>1912</v>
      </c>
      <c r="B86" s="1552"/>
      <c r="C86" s="1256" t="s">
        <v>22</v>
      </c>
      <c r="D86" s="1256">
        <v>120005</v>
      </c>
      <c r="E86" s="1535">
        <v>4.6209781355977242</v>
      </c>
      <c r="G86" s="1043" t="s">
        <v>246</v>
      </c>
      <c r="H86" s="1043" t="s">
        <v>246</v>
      </c>
      <c r="J86" s="1043" t="s">
        <v>246</v>
      </c>
      <c r="K86" s="1043" t="s">
        <v>246</v>
      </c>
    </row>
    <row r="87" spans="1:23">
      <c r="A87" s="1529" t="s">
        <v>1913</v>
      </c>
      <c r="B87" s="1555"/>
      <c r="C87" s="1256" t="s">
        <v>116</v>
      </c>
      <c r="D87" s="1256">
        <v>94373</v>
      </c>
      <c r="E87" s="1535">
        <v>3.6339783308259155</v>
      </c>
      <c r="G87" s="1043" t="s">
        <v>246</v>
      </c>
      <c r="H87" s="1043" t="s">
        <v>246</v>
      </c>
      <c r="J87" s="1043" t="s">
        <v>246</v>
      </c>
      <c r="K87" s="1043" t="s">
        <v>246</v>
      </c>
    </row>
    <row r="88" spans="1:23">
      <c r="A88" s="1529" t="s">
        <v>1914</v>
      </c>
      <c r="B88" s="1544"/>
      <c r="C88" s="1497" t="s">
        <v>252</v>
      </c>
      <c r="D88" s="1256">
        <v>37007</v>
      </c>
      <c r="E88" s="1535">
        <v>1.4250117733766505</v>
      </c>
      <c r="G88" s="1043" t="s">
        <v>246</v>
      </c>
      <c r="H88" s="1043" t="s">
        <v>246</v>
      </c>
      <c r="J88" s="1043" t="s">
        <v>246</v>
      </c>
      <c r="K88" s="1043" t="s">
        <v>246</v>
      </c>
    </row>
    <row r="89" spans="1:23">
      <c r="A89" s="1529" t="s">
        <v>1915</v>
      </c>
      <c r="B89" s="1575"/>
      <c r="C89" s="1497" t="s">
        <v>816</v>
      </c>
      <c r="D89" s="1256">
        <v>13325</v>
      </c>
      <c r="E89" s="1535">
        <v>0.51309973465138681</v>
      </c>
      <c r="G89" s="1043" t="s">
        <v>246</v>
      </c>
      <c r="H89" s="1043" t="s">
        <v>246</v>
      </c>
      <c r="J89" s="1043" t="s">
        <v>246</v>
      </c>
      <c r="K89" s="1043" t="s">
        <v>246</v>
      </c>
    </row>
    <row r="90" spans="1:23">
      <c r="A90" s="1257" t="s">
        <v>809</v>
      </c>
      <c r="B90" s="1545"/>
      <c r="C90" s="1497" t="s">
        <v>28</v>
      </c>
      <c r="D90" s="1256">
        <v>123107</v>
      </c>
      <c r="E90" s="1535">
        <v>4.7404254434317652</v>
      </c>
      <c r="G90" s="1043" t="s">
        <v>246</v>
      </c>
      <c r="H90" s="1043" t="s">
        <v>246</v>
      </c>
      <c r="J90" s="1043" t="s">
        <v>246</v>
      </c>
      <c r="K90" s="1043" t="s">
        <v>246</v>
      </c>
    </row>
    <row r="91" spans="1:23" ht="4.5" customHeight="1">
      <c r="A91" s="1257"/>
      <c r="B91" s="1546"/>
      <c r="C91" s="1497"/>
      <c r="E91" s="1535"/>
      <c r="G91" s="1535"/>
      <c r="J91" s="1043"/>
    </row>
    <row r="92" spans="1:23">
      <c r="A92" s="1537" t="s">
        <v>16</v>
      </c>
      <c r="D92" s="1515">
        <v>2596961</v>
      </c>
      <c r="G92" s="1538">
        <f>G84+G83</f>
        <v>246286</v>
      </c>
      <c r="J92" s="1538">
        <f>J84+J83</f>
        <v>2304757</v>
      </c>
    </row>
    <row r="93" spans="1:23" ht="3" customHeight="1">
      <c r="A93" s="1257"/>
    </row>
    <row r="94" spans="1:23" s="1515" customFormat="1">
      <c r="A94" s="1515" t="s">
        <v>1916</v>
      </c>
      <c r="D94" s="1547">
        <v>0.46002553649490402</v>
      </c>
      <c r="G94" s="3305"/>
    </row>
    <row r="95" spans="1:23" s="1515" customFormat="1">
      <c r="D95" s="1547"/>
    </row>
    <row r="96" spans="1:23" ht="13.25" customHeight="1">
      <c r="A96" s="1566" t="s">
        <v>2764</v>
      </c>
      <c r="B96" s="1567"/>
      <c r="C96" s="1557"/>
      <c r="D96" s="1557"/>
      <c r="E96" s="1568"/>
      <c r="F96" s="1568"/>
      <c r="G96" s="1557"/>
      <c r="H96" s="1568"/>
      <c r="I96" s="1568"/>
      <c r="J96" s="1557"/>
      <c r="K96" s="1568"/>
      <c r="R96" s="1526"/>
      <c r="S96" s="1137"/>
      <c r="T96" s="1137"/>
      <c r="U96" s="1137"/>
      <c r="V96" s="1137"/>
      <c r="W96" s="1137"/>
    </row>
    <row r="97" spans="1:23" ht="14.25" customHeight="1">
      <c r="A97" s="1257"/>
      <c r="B97" s="1257"/>
      <c r="C97" s="1257"/>
      <c r="D97" s="1041"/>
      <c r="E97" s="1433"/>
      <c r="F97" s="1433"/>
      <c r="G97" s="1041"/>
      <c r="H97" s="1433"/>
      <c r="I97" s="1433"/>
      <c r="J97" s="1041"/>
      <c r="K97" s="1433"/>
      <c r="R97" s="1526"/>
      <c r="S97" s="1137"/>
      <c r="T97" s="1137"/>
      <c r="U97" s="1137"/>
      <c r="V97" s="1137"/>
      <c r="W97" s="1137"/>
    </row>
    <row r="98" spans="1:23">
      <c r="A98" s="3303" t="s">
        <v>1909</v>
      </c>
      <c r="B98" s="1553"/>
      <c r="C98" s="1256" t="s">
        <v>14</v>
      </c>
      <c r="D98" s="1041">
        <v>1013721</v>
      </c>
      <c r="E98" s="1517">
        <f t="shared" ref="E98:E104" si="7">+D98/$D$106*100</f>
        <v>40.046544205341242</v>
      </c>
      <c r="F98" s="1517"/>
      <c r="G98" s="1041">
        <v>192313</v>
      </c>
      <c r="H98" s="1517">
        <v>69.5</v>
      </c>
      <c r="I98" s="1517"/>
      <c r="J98" s="944">
        <v>1206034</v>
      </c>
      <c r="K98" s="1517">
        <f>+J98/$J$106*100</f>
        <v>55.230567379621597</v>
      </c>
    </row>
    <row r="99" spans="1:23" ht="13.25" customHeight="1">
      <c r="A99" s="3051" t="s">
        <v>2765</v>
      </c>
      <c r="B99" s="1554"/>
      <c r="C99" s="1257" t="s">
        <v>13</v>
      </c>
      <c r="D99" s="1256">
        <v>893051</v>
      </c>
      <c r="E99" s="1517">
        <f t="shared" si="7"/>
        <v>35.279535837892482</v>
      </c>
      <c r="F99" s="1517"/>
      <c r="G99" s="1256">
        <v>84550</v>
      </c>
      <c r="H99" s="1517">
        <v>30.5</v>
      </c>
      <c r="I99" s="1517"/>
      <c r="J99" s="944">
        <v>977601</v>
      </c>
      <c r="K99" s="1517">
        <f>+J99/$J$57*100</f>
        <v>44.467698180355995</v>
      </c>
    </row>
    <row r="100" spans="1:23" ht="13.25" customHeight="1">
      <c r="A100" s="1256" t="s">
        <v>970</v>
      </c>
      <c r="B100" s="1551"/>
      <c r="C100" s="1256" t="s">
        <v>115</v>
      </c>
      <c r="D100" s="1256">
        <v>197976</v>
      </c>
      <c r="E100" s="1517">
        <f t="shared" si="7"/>
        <v>7.8209434702414553</v>
      </c>
      <c r="F100" s="1517"/>
      <c r="G100" s="1043" t="s">
        <v>246</v>
      </c>
      <c r="H100" s="1043" t="s">
        <v>246</v>
      </c>
      <c r="J100" s="1043" t="s">
        <v>246</v>
      </c>
      <c r="K100" s="1043" t="s">
        <v>246</v>
      </c>
    </row>
    <row r="101" spans="1:23">
      <c r="A101" s="3051" t="s">
        <v>2766</v>
      </c>
      <c r="B101" s="1552"/>
      <c r="C101" s="1256" t="s">
        <v>22</v>
      </c>
      <c r="D101" s="1256">
        <v>111716</v>
      </c>
      <c r="E101" s="1517">
        <f t="shared" si="7"/>
        <v>4.4132850482962303</v>
      </c>
      <c r="F101" s="1517"/>
      <c r="G101" s="1043" t="s">
        <v>246</v>
      </c>
      <c r="H101" s="1043" t="s">
        <v>246</v>
      </c>
      <c r="J101" s="1043" t="s">
        <v>246</v>
      </c>
      <c r="K101" s="1043" t="s">
        <v>246</v>
      </c>
    </row>
    <row r="102" spans="1:23">
      <c r="A102" s="3051" t="s">
        <v>2767</v>
      </c>
      <c r="B102" s="1545"/>
      <c r="C102" s="3051" t="s">
        <v>117</v>
      </c>
      <c r="D102" s="1256">
        <v>49628</v>
      </c>
      <c r="E102" s="1517">
        <f t="shared" si="7"/>
        <v>1.9605294709517465</v>
      </c>
      <c r="F102" s="1517"/>
      <c r="G102" s="1043" t="s">
        <v>246</v>
      </c>
      <c r="H102" s="1043" t="s">
        <v>246</v>
      </c>
      <c r="J102" s="1043" t="s">
        <v>246</v>
      </c>
      <c r="K102" s="1043" t="s">
        <v>246</v>
      </c>
    </row>
    <row r="103" spans="1:23">
      <c r="A103" s="3051" t="s">
        <v>2768</v>
      </c>
      <c r="B103" s="1545"/>
      <c r="C103" s="3051" t="s">
        <v>2769</v>
      </c>
      <c r="D103" s="1256">
        <v>47634</v>
      </c>
      <c r="E103" s="1517">
        <f t="shared" si="7"/>
        <v>1.8817574921277402</v>
      </c>
      <c r="F103" s="1517"/>
      <c r="G103" s="1043" t="s">
        <v>246</v>
      </c>
      <c r="H103" s="1043" t="s">
        <v>246</v>
      </c>
      <c r="J103" s="1043" t="s">
        <v>246</v>
      </c>
      <c r="K103" s="1043" t="s">
        <v>246</v>
      </c>
    </row>
    <row r="104" spans="1:23">
      <c r="A104" s="3051" t="s">
        <v>809</v>
      </c>
      <c r="B104" s="1545"/>
      <c r="C104" s="3051" t="s">
        <v>28</v>
      </c>
      <c r="D104" s="1256">
        <f>D106-(SUM(D98:D103))</f>
        <v>217631</v>
      </c>
      <c r="E104" s="1517">
        <f t="shared" si="7"/>
        <v>8.5974044751490997</v>
      </c>
      <c r="F104" s="1517"/>
      <c r="G104" s="1043" t="s">
        <v>246</v>
      </c>
      <c r="H104" s="1043" t="s">
        <v>246</v>
      </c>
      <c r="J104" s="1043" t="s">
        <v>246</v>
      </c>
      <c r="K104" s="1043" t="s">
        <v>246</v>
      </c>
      <c r="P104" s="947"/>
      <c r="Q104" s="944"/>
      <c r="R104" s="944"/>
      <c r="S104" s="944"/>
      <c r="T104" s="944"/>
      <c r="U104" s="944"/>
      <c r="V104" s="944"/>
    </row>
    <row r="105" spans="1:23">
      <c r="E105" s="1517"/>
      <c r="F105" s="1517"/>
      <c r="H105" s="1517"/>
      <c r="I105" s="1517"/>
      <c r="J105" s="1043"/>
    </row>
    <row r="106" spans="1:23">
      <c r="A106" s="1537" t="s">
        <v>16</v>
      </c>
      <c r="D106" s="1515">
        <v>2531357</v>
      </c>
      <c r="G106" s="1538">
        <v>2203377</v>
      </c>
      <c r="J106" s="1538">
        <v>2183635</v>
      </c>
    </row>
    <row r="107" spans="1:23" ht="3" customHeight="1">
      <c r="A107" s="1257"/>
    </row>
    <row r="108" spans="1:23">
      <c r="A108" s="1515" t="s">
        <v>1916</v>
      </c>
      <c r="B108" s="1515"/>
      <c r="C108" s="1515"/>
      <c r="D108" s="1547">
        <f>D106/C120</f>
        <v>0.40885136076940432</v>
      </c>
      <c r="E108" s="1515"/>
      <c r="F108" s="1515"/>
      <c r="G108" s="1515"/>
      <c r="H108" s="1515"/>
      <c r="I108" s="1515"/>
      <c r="J108" s="1515"/>
      <c r="K108" s="1515"/>
    </row>
    <row r="109" spans="1:23" ht="3" customHeight="1">
      <c r="A109" s="1549"/>
      <c r="B109" s="1549"/>
      <c r="C109" s="1549"/>
      <c r="D109" s="1549"/>
      <c r="E109" s="1564"/>
      <c r="F109" s="1564"/>
      <c r="G109" s="1549"/>
      <c r="H109" s="1564"/>
      <c r="I109" s="1564"/>
      <c r="J109" s="1039"/>
      <c r="K109" s="1039"/>
    </row>
    <row r="110" spans="1:23">
      <c r="A110" s="1515" t="s">
        <v>1971</v>
      </c>
      <c r="E110" s="1523"/>
      <c r="F110" s="1523"/>
      <c r="H110" s="1523"/>
      <c r="I110" s="1523"/>
      <c r="J110" s="1043"/>
    </row>
    <row r="111" spans="1:23">
      <c r="A111" s="1256" t="s">
        <v>1150</v>
      </c>
    </row>
    <row r="112" spans="1:23">
      <c r="A112" s="3403" t="s">
        <v>1151</v>
      </c>
      <c r="B112" s="3403"/>
      <c r="C112" s="3403"/>
      <c r="D112" s="3403"/>
      <c r="E112" s="3403"/>
      <c r="F112" s="3403"/>
      <c r="G112" s="3403"/>
      <c r="H112" s="3403"/>
      <c r="I112" s="3403"/>
      <c r="J112" s="3403"/>
      <c r="K112" s="3403"/>
      <c r="P112" s="1134"/>
      <c r="Q112" s="1134"/>
      <c r="R112" s="1134"/>
      <c r="S112" s="1134"/>
      <c r="T112" s="1134"/>
      <c r="U112" s="1134"/>
      <c r="V112" s="1134"/>
    </row>
    <row r="113" spans="1:22">
      <c r="P113" s="1134"/>
      <c r="Q113" s="1134"/>
      <c r="R113" s="1134"/>
      <c r="S113" s="1134"/>
      <c r="T113" s="1134"/>
      <c r="U113" s="1134"/>
      <c r="V113" s="1134"/>
    </row>
    <row r="114" spans="1:22" ht="12.75" customHeight="1">
      <c r="A114" s="1515" t="s">
        <v>1146</v>
      </c>
      <c r="G114" s="3304"/>
      <c r="P114" s="1134"/>
      <c r="Q114" s="1134"/>
      <c r="R114" s="1134"/>
      <c r="S114" s="1134"/>
      <c r="T114" s="1134"/>
      <c r="U114" s="1134"/>
      <c r="V114" s="1134"/>
    </row>
    <row r="115" spans="1:22">
      <c r="A115" s="1007">
        <v>2000</v>
      </c>
      <c r="C115" s="1068">
        <v>5089300</v>
      </c>
      <c r="P115" s="1134"/>
      <c r="Q115" s="1134"/>
      <c r="R115" s="1134"/>
      <c r="S115" s="1134"/>
      <c r="T115" s="1134"/>
      <c r="U115" s="1134"/>
      <c r="V115" s="1134"/>
    </row>
    <row r="116" spans="1:22">
      <c r="A116" s="1007">
        <v>2004</v>
      </c>
      <c r="C116" s="1068">
        <v>5197792</v>
      </c>
      <c r="P116" s="1134"/>
      <c r="Q116" s="1134"/>
      <c r="R116" s="1134"/>
      <c r="S116" s="1134"/>
      <c r="T116" s="1134"/>
      <c r="U116" s="1134"/>
      <c r="V116" s="1134"/>
    </row>
    <row r="117" spans="1:22">
      <c r="A117" s="1007">
        <v>2008</v>
      </c>
      <c r="C117" s="1068">
        <v>5435612</v>
      </c>
      <c r="P117" s="1134"/>
      <c r="Q117" s="1134"/>
      <c r="R117" s="1134"/>
      <c r="S117" s="1134"/>
      <c r="T117" s="1134"/>
      <c r="U117" s="1134"/>
      <c r="V117" s="1134"/>
    </row>
    <row r="118" spans="1:22">
      <c r="A118" s="1007">
        <v>2012</v>
      </c>
      <c r="C118" s="1068">
        <v>5910460</v>
      </c>
      <c r="P118" s="1134"/>
      <c r="Q118" s="1134"/>
      <c r="R118" s="1134"/>
      <c r="S118" s="1134"/>
      <c r="T118" s="1134"/>
      <c r="U118" s="1134"/>
      <c r="V118" s="1134"/>
    </row>
    <row r="119" spans="1:22">
      <c r="A119" s="1103">
        <v>2016</v>
      </c>
      <c r="C119" s="1068">
        <v>5645254</v>
      </c>
      <c r="P119" s="1134"/>
      <c r="Q119" s="1134"/>
      <c r="R119" s="1134"/>
      <c r="S119" s="1134"/>
      <c r="T119" s="1134"/>
      <c r="U119" s="1134"/>
      <c r="V119" s="1134"/>
    </row>
    <row r="120" spans="1:22">
      <c r="A120" s="1103">
        <v>2021</v>
      </c>
      <c r="C120" s="1068">
        <v>6191387</v>
      </c>
      <c r="P120" s="1134"/>
      <c r="Q120" s="1134"/>
      <c r="R120" s="1134"/>
      <c r="S120" s="1134"/>
      <c r="T120" s="1134"/>
      <c r="U120" s="1134"/>
      <c r="V120" s="1134"/>
    </row>
    <row r="121" spans="1:22">
      <c r="A121" s="1515" t="s">
        <v>1674</v>
      </c>
      <c r="E121" s="1523"/>
      <c r="F121" s="1523"/>
      <c r="H121" s="1523"/>
      <c r="I121" s="1523"/>
      <c r="J121" s="1043"/>
      <c r="P121" s="1134"/>
      <c r="Q121" s="1134"/>
      <c r="R121" s="1134"/>
      <c r="S121" s="1134"/>
      <c r="T121" s="1134"/>
      <c r="U121" s="1134"/>
      <c r="V121" s="1134"/>
    </row>
    <row r="122" spans="1:22" ht="14">
      <c r="A122" s="1256" t="s">
        <v>1148</v>
      </c>
      <c r="C122" s="2382" t="s">
        <v>1149</v>
      </c>
      <c r="E122" s="1523"/>
      <c r="F122" s="1523"/>
      <c r="H122" s="1523"/>
      <c r="I122" s="1523"/>
      <c r="J122" s="1043"/>
      <c r="P122" s="1134"/>
      <c r="Q122" s="1539"/>
      <c r="R122" s="1539"/>
      <c r="S122" s="1539"/>
      <c r="T122" s="1539"/>
      <c r="U122" s="1539"/>
      <c r="V122" s="1539"/>
    </row>
    <row r="123" spans="1:22">
      <c r="A123" s="1256" t="s">
        <v>1147</v>
      </c>
      <c r="C123" s="1256" t="s">
        <v>2356</v>
      </c>
      <c r="P123" s="1134"/>
      <c r="Q123" s="1539"/>
      <c r="R123" s="1539"/>
      <c r="S123" s="1539"/>
      <c r="T123" s="1539"/>
      <c r="U123" s="1539"/>
      <c r="V123" s="1539"/>
    </row>
    <row r="124" spans="1:22" ht="14">
      <c r="A124" s="1256" t="s">
        <v>1206</v>
      </c>
      <c r="C124" s="2382" t="s">
        <v>1207</v>
      </c>
    </row>
    <row r="125" spans="1:22">
      <c r="C125" s="1256" t="s">
        <v>1208</v>
      </c>
    </row>
    <row r="126" spans="1:22">
      <c r="A126" s="1103" t="s">
        <v>1917</v>
      </c>
      <c r="C126" s="3051" t="s">
        <v>2772</v>
      </c>
    </row>
    <row r="127" spans="1:22">
      <c r="A127" s="1256" t="s">
        <v>2026</v>
      </c>
      <c r="C127" s="1256" t="s">
        <v>1416</v>
      </c>
    </row>
    <row r="128" spans="1:22" ht="14">
      <c r="A128" s="3051" t="s">
        <v>2770</v>
      </c>
      <c r="C128" s="650" t="s">
        <v>2771</v>
      </c>
      <c r="D128" s="3051" t="s">
        <v>2773</v>
      </c>
    </row>
  </sheetData>
  <mergeCells count="7">
    <mergeCell ref="J6:K6"/>
    <mergeCell ref="D6:E6"/>
    <mergeCell ref="G6:H6"/>
    <mergeCell ref="A112:K112"/>
    <mergeCell ref="D64:E64"/>
    <mergeCell ref="G64:H64"/>
    <mergeCell ref="J64:K64"/>
  </mergeCells>
  <hyperlinks>
    <hyperlink ref="C122" r:id="rId1" xr:uid="{00000000-0004-0000-4200-000001000000}"/>
    <hyperlink ref="C124" r:id="rId2" xr:uid="{00000000-0004-0000-4200-000000000000}"/>
    <hyperlink ref="C128" r:id="rId3" display="../../Downloads/Results Factsheet 2021_0.pdf" xr:uid="{FE42AB25-15D2-464F-8F64-7AD931F04633}"/>
  </hyperlinks>
  <pageMargins left="0.7" right="0.7" top="0.75" bottom="0.75" header="0.3" footer="0.3"/>
  <pageSetup paperSize="9" orientation="portrait" horizontalDpi="1200" verticalDpi="1200"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2">
    <tabColor theme="4"/>
  </sheetPr>
  <dimension ref="A1:XFD118"/>
  <sheetViews>
    <sheetView showGridLines="0" topLeftCell="I74" zoomScale="85" zoomScaleNormal="85" workbookViewId="0">
      <selection activeCell="AN122" sqref="AN122"/>
    </sheetView>
  </sheetViews>
  <sheetFormatPr baseColWidth="10" defaultColWidth="9.3984375" defaultRowHeight="13"/>
  <cols>
    <col min="1" max="1" width="9.3984375" style="1588"/>
    <col min="2" max="2" width="1.19921875" style="1589" customWidth="1"/>
    <col min="3" max="6" width="9.3984375" style="1589"/>
    <col min="7" max="7" width="1.19921875" style="1589" customWidth="1"/>
    <col min="8" max="8" width="9.3984375" style="1589"/>
    <col min="9" max="9" width="12.59765625" style="1589" customWidth="1"/>
    <col min="10" max="10" width="5" style="1589" customWidth="1"/>
    <col min="11" max="11" width="1.19921875" style="1589" customWidth="1"/>
    <col min="12" max="14" width="6.59765625" style="1590" customWidth="1"/>
    <col min="15" max="15" width="1.19921875" style="1589" customWidth="1"/>
    <col min="16" max="18" width="6.59765625" style="1590" customWidth="1"/>
    <col min="19" max="19" width="1.19921875" style="1589" customWidth="1"/>
    <col min="20" max="22" width="6.59765625" style="1590" customWidth="1"/>
    <col min="23" max="23" width="1.19921875" style="1589" customWidth="1"/>
    <col min="24" max="26" width="6.59765625" style="1590" customWidth="1"/>
    <col min="27" max="16384" width="9.3984375" style="1589"/>
  </cols>
  <sheetData>
    <row r="1" spans="1:26" ht="12" customHeight="1"/>
    <row r="2" spans="1:26" ht="11.25" customHeight="1"/>
    <row r="3" spans="1:26" ht="11.25" customHeight="1"/>
    <row r="4" spans="1:26" ht="11.25" customHeight="1"/>
    <row r="5" spans="1:26" ht="11.25" customHeight="1">
      <c r="A5" s="1591"/>
    </row>
    <row r="6" spans="1:26" s="1579" customFormat="1" ht="14">
      <c r="A6" s="1592" t="s">
        <v>1598</v>
      </c>
      <c r="L6" s="1580"/>
      <c r="M6" s="1580"/>
      <c r="N6" s="1580"/>
      <c r="P6" s="1580" t="s">
        <v>1361</v>
      </c>
      <c r="Q6" s="1580"/>
      <c r="R6" s="1580"/>
      <c r="T6" s="1580"/>
      <c r="U6" s="1580"/>
      <c r="V6" s="1580"/>
      <c r="X6" s="1580"/>
      <c r="Y6" s="1580"/>
      <c r="Z6" s="1580"/>
    </row>
    <row r="7" spans="1:26" s="1579" customFormat="1" ht="6" customHeight="1">
      <c r="A7" s="1581"/>
      <c r="L7" s="1580"/>
      <c r="M7" s="1580"/>
      <c r="P7" s="1580"/>
      <c r="Q7" s="1580"/>
      <c r="R7" s="1580"/>
      <c r="T7" s="1580"/>
      <c r="U7" s="1580"/>
      <c r="V7" s="1580"/>
      <c r="X7" s="1580"/>
      <c r="Y7" s="1580"/>
      <c r="Z7" s="1580"/>
    </row>
    <row r="8" spans="1:26" s="1579" customFormat="1" ht="14">
      <c r="A8" s="1592" t="s">
        <v>2480</v>
      </c>
      <c r="L8" s="1580"/>
      <c r="M8" s="1580"/>
      <c r="N8" s="1580"/>
      <c r="P8" s="1580" t="s">
        <v>1361</v>
      </c>
      <c r="Q8" s="1580"/>
      <c r="R8" s="1580"/>
      <c r="T8" s="1580"/>
      <c r="U8" s="1580"/>
      <c r="V8" s="1580"/>
      <c r="X8" s="1580"/>
      <c r="Y8" s="1580"/>
      <c r="Z8" s="1580"/>
    </row>
    <row r="9" spans="1:26" s="1579" customFormat="1" ht="14">
      <c r="A9" s="1592"/>
      <c r="L9" s="1580"/>
      <c r="M9" s="1580"/>
      <c r="N9" s="1580"/>
      <c r="P9" s="1580"/>
      <c r="Q9" s="1580"/>
      <c r="R9" s="1580"/>
      <c r="T9" s="1580"/>
      <c r="U9" s="1580"/>
      <c r="V9" s="1580"/>
      <c r="X9" s="1580"/>
      <c r="Y9" s="1580"/>
      <c r="Z9" s="1580"/>
    </row>
    <row r="10" spans="1:26" s="1579" customFormat="1" ht="6" customHeight="1">
      <c r="A10" s="1581"/>
      <c r="L10" s="1580"/>
      <c r="M10" s="1580"/>
      <c r="P10" s="1580"/>
      <c r="Q10" s="1580"/>
      <c r="R10" s="1580"/>
      <c r="T10" s="1580"/>
      <c r="U10" s="1580"/>
      <c r="V10" s="1580"/>
      <c r="X10" s="1580"/>
      <c r="Y10" s="1580"/>
      <c r="Z10" s="1580"/>
    </row>
    <row r="11" spans="1:26" s="1579" customFormat="1" ht="4.5" customHeight="1">
      <c r="A11" s="1581"/>
      <c r="L11" s="1580"/>
      <c r="M11" s="1580"/>
      <c r="N11" s="1580"/>
      <c r="P11" s="1580"/>
      <c r="Q11" s="1580"/>
      <c r="R11" s="1580"/>
      <c r="T11" s="1580"/>
      <c r="U11" s="1580"/>
      <c r="V11" s="1580"/>
      <c r="X11" s="1580"/>
      <c r="Y11" s="1580"/>
      <c r="Z11" s="1580"/>
    </row>
    <row r="12" spans="1:26" s="1579" customFormat="1">
      <c r="A12" s="1581"/>
      <c r="C12" s="1580" t="s">
        <v>698</v>
      </c>
      <c r="D12" s="1580" t="s">
        <v>699</v>
      </c>
      <c r="E12" s="1580" t="s">
        <v>827</v>
      </c>
      <c r="F12" s="1580" t="s">
        <v>12</v>
      </c>
      <c r="G12" s="1580"/>
      <c r="H12" s="1580" t="s">
        <v>16</v>
      </c>
      <c r="I12" s="1580"/>
      <c r="L12" s="1580"/>
      <c r="M12" s="1580"/>
      <c r="N12" s="1580" t="s">
        <v>698</v>
      </c>
      <c r="P12" s="1580" t="s">
        <v>699</v>
      </c>
      <c r="Q12" s="1580" t="s">
        <v>827</v>
      </c>
      <c r="R12" s="1580" t="s">
        <v>12</v>
      </c>
      <c r="T12" s="1580" t="s">
        <v>16</v>
      </c>
      <c r="U12" s="1580"/>
      <c r="V12" s="1580"/>
      <c r="X12" s="1580"/>
      <c r="Y12" s="1580"/>
      <c r="Z12" s="1580"/>
    </row>
    <row r="13" spans="1:26" s="1579" customFormat="1" ht="4.5" customHeight="1">
      <c r="A13" s="1581"/>
      <c r="L13" s="1580"/>
      <c r="M13" s="1580"/>
      <c r="N13" s="1580"/>
      <c r="P13" s="1580"/>
      <c r="Q13" s="1580"/>
      <c r="R13" s="1580"/>
      <c r="T13" s="1580"/>
      <c r="U13" s="1580"/>
      <c r="V13" s="1580"/>
      <c r="X13" s="1580"/>
      <c r="Y13" s="1580"/>
      <c r="Z13" s="1580"/>
    </row>
    <row r="14" spans="1:26" s="1579" customFormat="1">
      <c r="A14" s="1593" t="s">
        <v>1427</v>
      </c>
      <c r="L14" s="1580"/>
      <c r="M14" s="1580"/>
      <c r="N14" s="1580"/>
      <c r="P14" s="1580"/>
      <c r="Q14" s="1580"/>
      <c r="R14" s="1580"/>
      <c r="T14" s="1580"/>
      <c r="U14" s="1580"/>
      <c r="V14" s="1580"/>
      <c r="X14" s="1580"/>
      <c r="Y14" s="1580"/>
      <c r="Z14" s="1580"/>
    </row>
    <row r="15" spans="1:26" s="1579" customFormat="1" ht="4.5" customHeight="1">
      <c r="A15" s="1581"/>
      <c r="L15" s="1580"/>
      <c r="M15" s="1580"/>
      <c r="N15" s="1580"/>
      <c r="P15" s="1580"/>
      <c r="Q15" s="1580"/>
      <c r="R15" s="1580"/>
      <c r="T15" s="1580"/>
      <c r="U15" s="1580"/>
      <c r="V15" s="1580"/>
      <c r="X15" s="1580"/>
      <c r="Y15" s="1580"/>
      <c r="Z15" s="1580"/>
    </row>
    <row r="16" spans="1:26" s="1579" customFormat="1">
      <c r="A16" s="1581">
        <v>1979</v>
      </c>
      <c r="C16" s="1579">
        <v>6</v>
      </c>
      <c r="D16" s="1579">
        <v>4</v>
      </c>
      <c r="E16" s="1580" t="s">
        <v>103</v>
      </c>
      <c r="F16" s="1579">
        <v>1</v>
      </c>
      <c r="H16" s="1579">
        <v>11</v>
      </c>
      <c r="L16" s="1580"/>
      <c r="M16" s="1580">
        <v>1979</v>
      </c>
      <c r="N16" s="1580">
        <v>60</v>
      </c>
      <c r="P16" s="1580">
        <v>17</v>
      </c>
      <c r="Q16" s="1580">
        <v>0</v>
      </c>
      <c r="R16" s="1580">
        <v>4</v>
      </c>
      <c r="T16" s="1580">
        <f>SUM(N16:R16)</f>
        <v>81</v>
      </c>
      <c r="U16" s="1580"/>
      <c r="V16" s="1580"/>
      <c r="X16" s="1580"/>
      <c r="Y16" s="1580"/>
      <c r="Z16" s="1580"/>
    </row>
    <row r="17" spans="1:26" s="1579" customFormat="1">
      <c r="A17" s="1581">
        <v>1984</v>
      </c>
      <c r="C17" s="1579">
        <v>6</v>
      </c>
      <c r="D17" s="1579">
        <v>5</v>
      </c>
      <c r="E17" s="1580" t="s">
        <v>103</v>
      </c>
      <c r="F17" s="1579">
        <v>1</v>
      </c>
      <c r="H17" s="1579">
        <v>12</v>
      </c>
      <c r="L17" s="1580"/>
      <c r="M17" s="1580">
        <v>1984</v>
      </c>
      <c r="N17" s="1580">
        <v>45</v>
      </c>
      <c r="P17" s="1580">
        <v>32</v>
      </c>
      <c r="Q17" s="1580">
        <v>0</v>
      </c>
      <c r="R17" s="1580">
        <v>4</v>
      </c>
      <c r="T17" s="1580">
        <f t="shared" ref="T17:T22" si="0">SUM(N17:R17)</f>
        <v>81</v>
      </c>
      <c r="U17" s="1580"/>
      <c r="V17" s="1580"/>
      <c r="X17" s="1580"/>
      <c r="Y17" s="1580"/>
      <c r="Z17" s="1580"/>
    </row>
    <row r="18" spans="1:26" s="1579" customFormat="1">
      <c r="A18" s="1581">
        <v>1989</v>
      </c>
      <c r="C18" s="1579">
        <v>4</v>
      </c>
      <c r="D18" s="1579">
        <v>7</v>
      </c>
      <c r="E18" s="1580" t="s">
        <v>103</v>
      </c>
      <c r="F18" s="1579">
        <v>1</v>
      </c>
      <c r="H18" s="1579">
        <v>12</v>
      </c>
      <c r="L18" s="1580"/>
      <c r="M18" s="1580">
        <v>1989</v>
      </c>
      <c r="N18" s="1580">
        <v>32</v>
      </c>
      <c r="P18" s="1580">
        <v>45</v>
      </c>
      <c r="Q18" s="1580">
        <v>0</v>
      </c>
      <c r="R18" s="1580">
        <v>4</v>
      </c>
      <c r="T18" s="1580">
        <f t="shared" si="0"/>
        <v>81</v>
      </c>
      <c r="U18" s="1580"/>
      <c r="V18" s="1580"/>
      <c r="X18" s="1580"/>
      <c r="Y18" s="1580"/>
      <c r="Z18" s="1580"/>
    </row>
    <row r="19" spans="1:26" s="1579" customFormat="1">
      <c r="A19" s="1581">
        <v>1994</v>
      </c>
      <c r="C19" s="1579">
        <v>2</v>
      </c>
      <c r="D19" s="1579">
        <v>13</v>
      </c>
      <c r="E19" s="1579">
        <v>0</v>
      </c>
      <c r="F19" s="1579">
        <v>1</v>
      </c>
      <c r="H19" s="1579">
        <v>16</v>
      </c>
      <c r="L19" s="1580"/>
      <c r="M19" s="1580">
        <v>1994</v>
      </c>
      <c r="N19" s="1580">
        <v>18</v>
      </c>
      <c r="P19" s="1580">
        <v>62</v>
      </c>
      <c r="Q19" s="1580">
        <v>2</v>
      </c>
      <c r="R19" s="1580">
        <v>5</v>
      </c>
      <c r="T19" s="1580">
        <f t="shared" si="0"/>
        <v>87</v>
      </c>
      <c r="U19" s="1580"/>
      <c r="V19" s="1580"/>
      <c r="X19" s="1580"/>
      <c r="Y19" s="1580"/>
      <c r="Z19" s="1580"/>
    </row>
    <row r="20" spans="1:26" s="1579" customFormat="1">
      <c r="A20" s="1581">
        <v>1999</v>
      </c>
      <c r="C20" s="1579">
        <v>3</v>
      </c>
      <c r="D20" s="1579">
        <v>10</v>
      </c>
      <c r="E20" s="1579">
        <v>5</v>
      </c>
      <c r="F20" s="1579">
        <v>3</v>
      </c>
      <c r="H20" s="1579">
        <v>21</v>
      </c>
      <c r="L20" s="1580"/>
      <c r="M20" s="1580">
        <v>1999</v>
      </c>
      <c r="N20" s="1580">
        <v>36</v>
      </c>
      <c r="P20" s="1580">
        <v>29</v>
      </c>
      <c r="Q20" s="1580">
        <v>10</v>
      </c>
      <c r="R20" s="1580">
        <v>12</v>
      </c>
      <c r="T20" s="1580">
        <f t="shared" si="0"/>
        <v>87</v>
      </c>
      <c r="U20" s="1580"/>
      <c r="V20" s="1580"/>
      <c r="X20" s="1580"/>
      <c r="Y20" s="1580"/>
      <c r="Z20" s="1580"/>
    </row>
    <row r="21" spans="1:26" s="1579" customFormat="1">
      <c r="A21" s="1581">
        <v>2004</v>
      </c>
      <c r="C21" s="1579">
        <v>2</v>
      </c>
      <c r="D21" s="1579">
        <v>7</v>
      </c>
      <c r="E21" s="1579">
        <v>6</v>
      </c>
      <c r="F21" s="1579">
        <v>4</v>
      </c>
      <c r="H21" s="1579">
        <v>19</v>
      </c>
      <c r="L21" s="1580"/>
      <c r="M21" s="1580">
        <v>2004</v>
      </c>
      <c r="N21" s="1580">
        <v>27</v>
      </c>
      <c r="P21" s="1580">
        <v>19</v>
      </c>
      <c r="Q21" s="1580">
        <v>12</v>
      </c>
      <c r="R21" s="1580">
        <v>20</v>
      </c>
      <c r="T21" s="1580">
        <f t="shared" si="0"/>
        <v>78</v>
      </c>
      <c r="U21" s="1580"/>
      <c r="V21" s="1580"/>
      <c r="X21" s="1580"/>
      <c r="Y21" s="1580"/>
      <c r="Z21" s="1580"/>
    </row>
    <row r="22" spans="1:26" s="1579" customFormat="1">
      <c r="A22" s="1581">
        <v>2009</v>
      </c>
      <c r="C22" s="1579">
        <v>6</v>
      </c>
      <c r="D22" s="1579">
        <v>5</v>
      </c>
      <c r="E22" s="1579">
        <v>6</v>
      </c>
      <c r="F22" s="1579">
        <f>1+2+1+1+2</f>
        <v>7</v>
      </c>
      <c r="H22" s="1579">
        <v>24</v>
      </c>
      <c r="L22" s="1580"/>
      <c r="M22" s="1580">
        <v>2009</v>
      </c>
      <c r="N22" s="1580">
        <v>25</v>
      </c>
      <c r="P22" s="1580">
        <v>13</v>
      </c>
      <c r="Q22" s="1580">
        <v>11</v>
      </c>
      <c r="R22" s="1580">
        <f>2+1+2+1+1+2+13+1</f>
        <v>23</v>
      </c>
      <c r="T22" s="1580">
        <f t="shared" si="0"/>
        <v>72</v>
      </c>
      <c r="U22" s="1580"/>
      <c r="V22" s="1580"/>
      <c r="X22" s="1580"/>
      <c r="Y22" s="1580"/>
      <c r="Z22" s="1580"/>
    </row>
    <row r="23" spans="1:26" s="1579" customFormat="1" ht="14">
      <c r="A23" s="1581">
        <v>2014</v>
      </c>
      <c r="C23" s="1579">
        <v>6</v>
      </c>
      <c r="D23" s="1579">
        <v>11</v>
      </c>
      <c r="E23" s="1579">
        <v>1</v>
      </c>
      <c r="F23" s="1594">
        <f>H23-SUM(C23:E23)</f>
        <v>12</v>
      </c>
      <c r="H23" s="1227">
        <v>30</v>
      </c>
      <c r="L23" s="1580"/>
      <c r="M23" s="1580">
        <v>2014</v>
      </c>
      <c r="N23" s="1228">
        <v>19</v>
      </c>
      <c r="P23" s="1228">
        <v>20</v>
      </c>
      <c r="Q23" s="1228">
        <v>1</v>
      </c>
      <c r="R23" s="1580">
        <v>33</v>
      </c>
      <c r="T23" s="1580">
        <v>23</v>
      </c>
      <c r="U23" s="1580"/>
      <c r="V23" s="1580"/>
      <c r="X23" s="1580"/>
      <c r="Y23" s="1580"/>
      <c r="Z23" s="1580"/>
    </row>
    <row r="24" spans="1:26" s="1579" customFormat="1" ht="4.5" customHeight="1">
      <c r="A24" s="1581"/>
      <c r="L24" s="1580"/>
      <c r="M24" s="1580"/>
      <c r="N24" s="1580"/>
      <c r="P24" s="1580"/>
      <c r="Q24" s="1580"/>
      <c r="R24" s="1580"/>
      <c r="T24" s="1580"/>
      <c r="U24" s="1580"/>
      <c r="V24" s="1580"/>
      <c r="X24" s="1580"/>
      <c r="Y24" s="1580"/>
      <c r="Z24" s="1580"/>
    </row>
    <row r="25" spans="1:26" s="1579" customFormat="1">
      <c r="A25" s="1593" t="s">
        <v>1415</v>
      </c>
      <c r="L25" s="1580"/>
      <c r="M25" s="1580"/>
      <c r="N25" s="1580"/>
      <c r="P25" s="1580"/>
      <c r="Q25" s="1580"/>
      <c r="R25" s="1580"/>
      <c r="T25" s="1580"/>
      <c r="U25" s="1580"/>
      <c r="V25" s="1580"/>
      <c r="X25" s="1580"/>
      <c r="Y25" s="1580"/>
      <c r="Z25" s="1580"/>
    </row>
    <row r="26" spans="1:26" s="1579" customFormat="1" ht="4.5" customHeight="1">
      <c r="A26" s="1581"/>
      <c r="L26" s="1580"/>
      <c r="M26" s="1580"/>
      <c r="N26" s="1580"/>
      <c r="P26" s="1580"/>
      <c r="Q26" s="1580"/>
      <c r="R26" s="1580"/>
      <c r="T26" s="1580"/>
      <c r="U26" s="1580"/>
      <c r="V26" s="1580"/>
      <c r="X26" s="1580"/>
      <c r="Y26" s="1580"/>
      <c r="Z26" s="1580"/>
    </row>
    <row r="27" spans="1:26" s="1579" customFormat="1">
      <c r="A27" s="1581">
        <v>1979</v>
      </c>
      <c r="C27" s="1582">
        <v>0.1</v>
      </c>
      <c r="D27" s="1582">
        <v>0.23529411764705882</v>
      </c>
      <c r="E27" s="1595" t="s">
        <v>103</v>
      </c>
      <c r="F27" s="1582">
        <v>0.25</v>
      </c>
      <c r="H27" s="1582">
        <v>0.13580246913580246</v>
      </c>
      <c r="I27" s="1582"/>
      <c r="L27" s="1580"/>
      <c r="M27" s="1580"/>
      <c r="N27" s="1580"/>
      <c r="P27" s="1580"/>
      <c r="Q27" s="1580"/>
      <c r="R27" s="1580"/>
      <c r="T27" s="1580"/>
      <c r="U27" s="1580"/>
      <c r="V27" s="1580"/>
      <c r="X27" s="1580"/>
      <c r="Y27" s="1580"/>
      <c r="Z27" s="1580"/>
    </row>
    <row r="28" spans="1:26" s="1579" customFormat="1">
      <c r="A28" s="1581">
        <v>1984</v>
      </c>
      <c r="C28" s="1582">
        <v>0.13333333333333333</v>
      </c>
      <c r="D28" s="1582">
        <v>0.15625</v>
      </c>
      <c r="E28" s="1595" t="s">
        <v>103</v>
      </c>
      <c r="F28" s="1582">
        <v>0.25</v>
      </c>
      <c r="H28" s="1582">
        <v>0.14814814814814814</v>
      </c>
      <c r="I28" s="1582"/>
      <c r="L28" s="1580"/>
      <c r="M28" s="1580"/>
      <c r="N28" s="1580"/>
      <c r="P28" s="1580"/>
      <c r="Q28" s="1580"/>
      <c r="R28" s="1580"/>
      <c r="T28" s="1580"/>
      <c r="U28" s="1580"/>
      <c r="V28" s="1580"/>
      <c r="X28" s="1580"/>
      <c r="Y28" s="1580"/>
      <c r="Z28" s="1580"/>
    </row>
    <row r="29" spans="1:26" s="1579" customFormat="1">
      <c r="A29" s="1581">
        <v>1989</v>
      </c>
      <c r="C29" s="1582">
        <v>0.125</v>
      </c>
      <c r="D29" s="1582">
        <v>0.15555555555555556</v>
      </c>
      <c r="E29" s="1595" t="s">
        <v>103</v>
      </c>
      <c r="F29" s="1582">
        <v>0.25</v>
      </c>
      <c r="H29" s="1582">
        <v>0.14814814814814814</v>
      </c>
      <c r="I29" s="1582"/>
      <c r="L29" s="1580"/>
      <c r="M29" s="1580"/>
      <c r="N29" s="1580"/>
      <c r="P29" s="1580"/>
      <c r="Q29" s="1580"/>
      <c r="R29" s="1580"/>
      <c r="T29" s="1580"/>
      <c r="U29" s="1580"/>
      <c r="V29" s="1580"/>
      <c r="X29" s="1580"/>
      <c r="Y29" s="1580"/>
      <c r="Z29" s="1580"/>
    </row>
    <row r="30" spans="1:26" s="1579" customFormat="1">
      <c r="A30" s="1581">
        <v>1994</v>
      </c>
      <c r="C30" s="1582">
        <v>0.1111111111111111</v>
      </c>
      <c r="D30" s="1582">
        <v>0.20967741935483872</v>
      </c>
      <c r="E30" s="1582">
        <v>0</v>
      </c>
      <c r="F30" s="1582">
        <v>0.2</v>
      </c>
      <c r="H30" s="1582">
        <v>0.18390804597701149</v>
      </c>
      <c r="I30" s="1582"/>
      <c r="L30" s="1580"/>
      <c r="M30" s="1580"/>
      <c r="N30" s="1580"/>
      <c r="P30" s="1580"/>
      <c r="Q30" s="1580"/>
      <c r="R30" s="1580"/>
      <c r="T30" s="1580"/>
      <c r="U30" s="1580"/>
      <c r="V30" s="1580"/>
      <c r="X30" s="1580"/>
      <c r="Y30" s="1580"/>
      <c r="Z30" s="1580"/>
    </row>
    <row r="31" spans="1:26" s="1579" customFormat="1">
      <c r="A31" s="1581">
        <v>1999</v>
      </c>
      <c r="C31" s="1582">
        <v>8.3333333333333329E-2</v>
      </c>
      <c r="D31" s="1582">
        <v>0.34482758620689657</v>
      </c>
      <c r="E31" s="1582">
        <v>0.5</v>
      </c>
      <c r="F31" s="1582">
        <v>0.25</v>
      </c>
      <c r="H31" s="1582">
        <v>0.2413793103448276</v>
      </c>
      <c r="I31" s="1582"/>
      <c r="L31" s="1580"/>
      <c r="M31" s="1580"/>
      <c r="N31" s="1580"/>
      <c r="P31" s="1580"/>
      <c r="Q31" s="1580"/>
      <c r="R31" s="1580"/>
      <c r="T31" s="1580"/>
      <c r="U31" s="1580"/>
      <c r="V31" s="1580"/>
      <c r="X31" s="1580"/>
      <c r="Y31" s="1580"/>
      <c r="Z31" s="1580"/>
    </row>
    <row r="32" spans="1:26" s="1579" customFormat="1">
      <c r="A32" s="1581">
        <v>2004</v>
      </c>
      <c r="C32" s="1582">
        <v>7.407407407407407E-2</v>
      </c>
      <c r="D32" s="1582">
        <v>0.36842105263157893</v>
      </c>
      <c r="E32" s="1582">
        <v>0.5</v>
      </c>
      <c r="F32" s="1582">
        <v>0.2</v>
      </c>
      <c r="H32" s="1582">
        <v>0.24358974358974358</v>
      </c>
      <c r="I32" s="1582"/>
      <c r="L32" s="1580"/>
      <c r="M32" s="1580"/>
      <c r="N32" s="1580"/>
      <c r="P32" s="1580"/>
      <c r="Q32" s="1580"/>
      <c r="R32" s="1580"/>
      <c r="T32" s="1580"/>
      <c r="U32" s="1580"/>
      <c r="V32" s="1580"/>
      <c r="X32" s="1580"/>
      <c r="Y32" s="1580"/>
      <c r="Z32" s="1580"/>
    </row>
    <row r="33" spans="1:26" s="1579" customFormat="1">
      <c r="A33" s="1581">
        <v>2009</v>
      </c>
      <c r="C33" s="1582">
        <v>0.24</v>
      </c>
      <c r="D33" s="1582">
        <v>0.38461538461538464</v>
      </c>
      <c r="E33" s="1582">
        <v>0.54545454545454541</v>
      </c>
      <c r="F33" s="1582">
        <v>0.30434782608695654</v>
      </c>
      <c r="H33" s="1582">
        <v>0.33333333333333331</v>
      </c>
      <c r="I33" s="1582"/>
      <c r="L33" s="1580"/>
      <c r="M33" s="1580"/>
      <c r="N33" s="1580"/>
      <c r="P33" s="1580"/>
      <c r="Q33" s="1580"/>
      <c r="R33" s="1580"/>
      <c r="T33" s="1580"/>
      <c r="U33" s="1580"/>
      <c r="V33" s="1580"/>
      <c r="X33" s="1580"/>
      <c r="Y33" s="1580"/>
      <c r="Z33" s="1580"/>
    </row>
    <row r="34" spans="1:26" s="1579" customFormat="1">
      <c r="A34" s="1581">
        <v>2014</v>
      </c>
      <c r="C34" s="1582">
        <v>0.31578947368421051</v>
      </c>
      <c r="D34" s="1582">
        <v>0.55000000000000004</v>
      </c>
      <c r="E34" s="1582">
        <v>1</v>
      </c>
      <c r="F34" s="1582">
        <v>0.4</v>
      </c>
      <c r="G34" s="1582" t="e">
        <v>#DIV/0!</v>
      </c>
      <c r="H34" s="1582">
        <v>0.42857142857142855</v>
      </c>
      <c r="I34" s="1582"/>
      <c r="L34" s="1580"/>
      <c r="M34" s="1580"/>
      <c r="N34" s="1580"/>
      <c r="P34" s="1580"/>
      <c r="Q34" s="1580"/>
      <c r="R34" s="1580"/>
      <c r="T34" s="1580"/>
      <c r="U34" s="1580"/>
      <c r="V34" s="1580"/>
      <c r="X34" s="1580"/>
      <c r="Y34" s="1580"/>
      <c r="Z34" s="1580"/>
    </row>
    <row r="35" spans="1:26" s="1579" customFormat="1" ht="14" customHeight="1">
      <c r="A35" s="1581">
        <v>2019</v>
      </c>
      <c r="C35" s="1066">
        <v>0.5</v>
      </c>
      <c r="D35" s="1066">
        <v>0.5</v>
      </c>
      <c r="E35" s="1066">
        <f>9/16</f>
        <v>0.5625</v>
      </c>
      <c r="F35" s="1066">
        <f>(1+8+1+2+1+1+1)/ (15+21+5+2)</f>
        <v>0.34883720930232559</v>
      </c>
      <c r="G35" s="1066"/>
      <c r="H35" s="1066">
        <f>31/73</f>
        <v>0.42465753424657532</v>
      </c>
      <c r="I35" s="1066"/>
      <c r="L35" s="1580"/>
      <c r="M35" s="1580"/>
      <c r="N35" s="1580"/>
      <c r="P35" s="1580"/>
      <c r="Q35" s="1580"/>
      <c r="R35" s="1580"/>
      <c r="T35" s="1580"/>
      <c r="U35" s="1580"/>
      <c r="V35" s="1580"/>
      <c r="X35" s="1580"/>
      <c r="Y35" s="1580"/>
      <c r="Z35" s="1580"/>
    </row>
    <row r="36" spans="1:26" s="1579" customFormat="1" ht="4.5" customHeight="1">
      <c r="A36" s="1581"/>
      <c r="L36" s="1580"/>
      <c r="M36" s="1580"/>
      <c r="N36" s="1580"/>
      <c r="P36" s="1580"/>
      <c r="Q36" s="1580"/>
      <c r="R36" s="1580"/>
      <c r="T36" s="1580"/>
      <c r="U36" s="1580"/>
      <c r="V36" s="1580"/>
      <c r="X36" s="1580"/>
      <c r="Y36" s="1580"/>
      <c r="Z36" s="1580"/>
    </row>
    <row r="37" spans="1:26" s="1597" customFormat="1" ht="11">
      <c r="A37" s="1596" t="s">
        <v>21</v>
      </c>
      <c r="L37" s="1598"/>
      <c r="M37" s="1598"/>
      <c r="N37" s="1598"/>
      <c r="P37" s="1598"/>
      <c r="Q37" s="1598"/>
      <c r="R37" s="1598"/>
      <c r="T37" s="1598"/>
      <c r="U37" s="1598"/>
      <c r="V37" s="1598"/>
      <c r="X37" s="1598"/>
      <c r="Y37" s="1598"/>
      <c r="Z37" s="1598"/>
    </row>
    <row r="38" spans="1:26" s="1597" customFormat="1" ht="11">
      <c r="A38" s="1596" t="s">
        <v>2359</v>
      </c>
      <c r="L38" s="1598"/>
      <c r="M38" s="1598"/>
      <c r="N38" s="1598"/>
      <c r="P38" s="1598"/>
      <c r="Q38" s="1598"/>
      <c r="R38" s="1598"/>
      <c r="T38" s="1598"/>
      <c r="U38" s="1598"/>
      <c r="V38" s="1598"/>
      <c r="X38" s="1598"/>
      <c r="Y38" s="1598"/>
      <c r="Z38" s="1598"/>
    </row>
    <row r="39" spans="1:26" s="1600" customFormat="1" ht="11">
      <c r="A39" s="1599" t="s">
        <v>2360</v>
      </c>
      <c r="L39" s="1601"/>
      <c r="M39" s="1601"/>
      <c r="N39" s="1601"/>
      <c r="P39" s="1601"/>
      <c r="Q39" s="1601"/>
      <c r="R39" s="1601"/>
      <c r="T39" s="1601"/>
      <c r="U39" s="1601"/>
      <c r="V39" s="1601"/>
      <c r="X39" s="1601"/>
      <c r="Y39" s="1601"/>
      <c r="Z39" s="1601"/>
    </row>
    <row r="40" spans="1:26" s="1579" customFormat="1" ht="14">
      <c r="A40" s="1592"/>
      <c r="L40" s="1580"/>
      <c r="M40" s="1580"/>
      <c r="N40" s="1580"/>
      <c r="P40" s="1580" t="s">
        <v>1361</v>
      </c>
      <c r="Q40" s="1580"/>
      <c r="R40" s="1580"/>
      <c r="T40" s="1580"/>
      <c r="U40" s="1580"/>
      <c r="V40" s="1580"/>
      <c r="X40" s="1580"/>
      <c r="Y40" s="1580"/>
      <c r="Z40" s="1580"/>
    </row>
    <row r="41" spans="1:26" s="1579" customFormat="1" ht="14">
      <c r="A41" s="1592"/>
      <c r="L41" s="1580"/>
      <c r="M41" s="1580"/>
      <c r="N41" s="1580"/>
      <c r="P41" s="1580"/>
      <c r="Q41" s="1580"/>
      <c r="R41" s="1580"/>
      <c r="T41" s="1580"/>
      <c r="U41" s="1580"/>
      <c r="V41" s="1580"/>
      <c r="X41" s="1580"/>
      <c r="Y41" s="1580"/>
      <c r="Z41" s="1580"/>
    </row>
    <row r="42" spans="1:26" s="1579" customFormat="1" ht="16">
      <c r="A42" s="1620" t="s">
        <v>2705</v>
      </c>
      <c r="B42" s="1619"/>
      <c r="C42" s="1619"/>
      <c r="D42" s="1619"/>
      <c r="E42" s="1619"/>
      <c r="F42" s="1619"/>
      <c r="G42" s="1619"/>
      <c r="H42" s="1619"/>
      <c r="L42" s="1580"/>
      <c r="M42" s="1580"/>
      <c r="P42" s="1580"/>
      <c r="Q42" s="1580"/>
      <c r="R42" s="1580"/>
      <c r="T42" s="1580"/>
      <c r="U42" s="1580"/>
      <c r="V42" s="1580"/>
      <c r="X42" s="1580"/>
      <c r="Y42" s="1580"/>
      <c r="Z42" s="1580"/>
    </row>
    <row r="43" spans="1:26" s="1579" customFormat="1" ht="15">
      <c r="A43" s="1618" t="s">
        <v>2362</v>
      </c>
      <c r="B43" s="1619"/>
      <c r="C43" s="1619"/>
      <c r="D43" s="1619"/>
      <c r="E43" s="1619"/>
      <c r="F43" s="1619"/>
      <c r="G43" s="1619"/>
      <c r="H43" s="1619"/>
      <c r="L43" s="1580"/>
      <c r="M43" s="1580"/>
      <c r="N43" s="1580"/>
      <c r="P43" s="1580"/>
      <c r="Q43" s="1580"/>
      <c r="R43" s="1580"/>
      <c r="T43" s="1580"/>
      <c r="U43" s="1580"/>
      <c r="V43" s="1580"/>
      <c r="X43" s="1580"/>
      <c r="Y43" s="1580"/>
      <c r="Z43" s="1580"/>
    </row>
    <row r="44" spans="1:26" s="1579" customFormat="1" ht="3.75" customHeight="1">
      <c r="A44" s="1621"/>
      <c r="B44" s="1622"/>
      <c r="C44" s="1622"/>
      <c r="D44" s="1622"/>
      <c r="E44" s="1622"/>
      <c r="F44" s="1622"/>
      <c r="G44" s="1622"/>
      <c r="H44" s="1622"/>
      <c r="L44" s="1580"/>
      <c r="M44" s="1580"/>
      <c r="N44" s="1580"/>
      <c r="P44" s="1580"/>
      <c r="Q44" s="1580"/>
      <c r="R44" s="1580"/>
      <c r="T44" s="1580"/>
      <c r="U44" s="1580"/>
      <c r="V44" s="1580"/>
      <c r="X44" s="1580"/>
      <c r="Y44" s="1580"/>
      <c r="Z44" s="1580"/>
    </row>
    <row r="45" spans="1:26" s="1579" customFormat="1">
      <c r="A45" s="1615"/>
      <c r="B45" s="1616"/>
      <c r="C45" s="2243" t="s">
        <v>806</v>
      </c>
      <c r="D45" s="2244" t="s">
        <v>807</v>
      </c>
      <c r="E45" s="2245" t="s">
        <v>808</v>
      </c>
      <c r="F45" s="2246" t="s">
        <v>12</v>
      </c>
      <c r="G45" s="1617"/>
      <c r="H45" s="1617" t="s">
        <v>16</v>
      </c>
      <c r="I45" s="1580"/>
      <c r="L45" s="1580"/>
      <c r="M45" s="1580"/>
      <c r="N45" s="1580" t="s">
        <v>698</v>
      </c>
      <c r="P45" s="1580" t="s">
        <v>699</v>
      </c>
      <c r="Q45" s="1580" t="s">
        <v>827</v>
      </c>
      <c r="R45" s="1580" t="s">
        <v>12</v>
      </c>
      <c r="T45" s="1580" t="s">
        <v>16</v>
      </c>
      <c r="U45" s="1580"/>
      <c r="V45" s="1580"/>
      <c r="X45" s="1580"/>
      <c r="Y45" s="1580"/>
      <c r="Z45" s="1580"/>
    </row>
    <row r="46" spans="1:26" s="1579" customFormat="1" ht="3" customHeight="1">
      <c r="A46" s="1615"/>
      <c r="B46" s="1616"/>
      <c r="C46" s="1616"/>
      <c r="D46" s="1616"/>
      <c r="E46" s="1616"/>
      <c r="F46" s="1616"/>
      <c r="G46" s="1616"/>
      <c r="H46" s="1616"/>
      <c r="L46" s="1580"/>
      <c r="M46" s="1580"/>
      <c r="N46" s="1580"/>
      <c r="P46" s="1580"/>
      <c r="Q46" s="1580"/>
      <c r="R46" s="1580"/>
      <c r="T46" s="1580"/>
      <c r="U46" s="1580"/>
      <c r="V46" s="1580"/>
      <c r="X46" s="1580"/>
      <c r="Y46" s="1580"/>
      <c r="Z46" s="1580"/>
    </row>
    <row r="47" spans="1:26" s="1579" customFormat="1" hidden="1">
      <c r="A47" s="1593" t="s">
        <v>1427</v>
      </c>
      <c r="L47" s="1580"/>
      <c r="M47" s="1580"/>
      <c r="N47" s="1580"/>
      <c r="P47" s="1580"/>
      <c r="Q47" s="1580"/>
      <c r="R47" s="1580"/>
      <c r="T47" s="1580"/>
      <c r="U47" s="1580"/>
      <c r="V47" s="1580"/>
      <c r="X47" s="1580"/>
      <c r="Y47" s="1580"/>
      <c r="Z47" s="1580"/>
    </row>
    <row r="48" spans="1:26" s="1579" customFormat="1" ht="4.5" hidden="1" customHeight="1">
      <c r="A48" s="1581"/>
      <c r="L48" s="1580"/>
      <c r="M48" s="1580"/>
      <c r="N48" s="1580"/>
      <c r="P48" s="1580"/>
      <c r="Q48" s="1580"/>
      <c r="R48" s="1580"/>
      <c r="T48" s="1580"/>
      <c r="U48" s="1580"/>
      <c r="V48" s="1580"/>
      <c r="X48" s="1580"/>
      <c r="Y48" s="1580"/>
      <c r="Z48" s="1580"/>
    </row>
    <row r="49" spans="1:31" s="1579" customFormat="1" hidden="1">
      <c r="A49" s="1581">
        <v>1979</v>
      </c>
      <c r="C49" s="1579">
        <v>6</v>
      </c>
      <c r="D49" s="1579">
        <v>4</v>
      </c>
      <c r="E49" s="1580" t="s">
        <v>103</v>
      </c>
      <c r="F49" s="1579">
        <v>1</v>
      </c>
      <c r="H49" s="1579">
        <v>11</v>
      </c>
      <c r="L49" s="1580"/>
      <c r="M49" s="1580">
        <v>1979</v>
      </c>
      <c r="N49" s="1580">
        <v>60</v>
      </c>
      <c r="P49" s="1580">
        <v>17</v>
      </c>
      <c r="Q49" s="1580">
        <v>0</v>
      </c>
      <c r="R49" s="1580">
        <v>4</v>
      </c>
      <c r="T49" s="1580">
        <f>SUM(N49:R49)</f>
        <v>81</v>
      </c>
      <c r="U49" s="1580"/>
      <c r="V49" s="1580"/>
      <c r="X49" s="1580"/>
      <c r="Y49" s="1580"/>
      <c r="Z49" s="1580"/>
    </row>
    <row r="50" spans="1:31" s="1579" customFormat="1" hidden="1">
      <c r="A50" s="1581">
        <v>1984</v>
      </c>
      <c r="C50" s="1579">
        <v>6</v>
      </c>
      <c r="D50" s="1579">
        <v>5</v>
      </c>
      <c r="E50" s="1580" t="s">
        <v>103</v>
      </c>
      <c r="F50" s="1579">
        <v>1</v>
      </c>
      <c r="H50" s="1579">
        <v>12</v>
      </c>
      <c r="L50" s="1580"/>
      <c r="M50" s="1580">
        <v>1984</v>
      </c>
      <c r="N50" s="1580">
        <v>45</v>
      </c>
      <c r="P50" s="1580">
        <v>32</v>
      </c>
      <c r="Q50" s="1580">
        <v>0</v>
      </c>
      <c r="R50" s="1580">
        <v>4</v>
      </c>
      <c r="T50" s="1580">
        <f t="shared" ref="T50:T55" si="1">SUM(N50:R50)</f>
        <v>81</v>
      </c>
      <c r="U50" s="1580"/>
      <c r="V50" s="1580"/>
      <c r="X50" s="1580"/>
      <c r="Y50" s="1580"/>
      <c r="Z50" s="1580"/>
    </row>
    <row r="51" spans="1:31" s="1579" customFormat="1" hidden="1">
      <c r="A51" s="1581">
        <v>1989</v>
      </c>
      <c r="C51" s="1579">
        <v>4</v>
      </c>
      <c r="D51" s="1579">
        <v>7</v>
      </c>
      <c r="E51" s="1580" t="s">
        <v>103</v>
      </c>
      <c r="F51" s="1579">
        <v>1</v>
      </c>
      <c r="H51" s="1579">
        <v>12</v>
      </c>
      <c r="L51" s="1580"/>
      <c r="M51" s="1580">
        <v>1989</v>
      </c>
      <c r="N51" s="1580">
        <v>32</v>
      </c>
      <c r="P51" s="1580">
        <v>45</v>
      </c>
      <c r="Q51" s="1580">
        <v>0</v>
      </c>
      <c r="R51" s="1580">
        <v>4</v>
      </c>
      <c r="T51" s="1580">
        <f t="shared" si="1"/>
        <v>81</v>
      </c>
      <c r="U51" s="1580"/>
      <c r="V51" s="1580"/>
      <c r="X51" s="1580"/>
      <c r="Y51" s="1580"/>
      <c r="Z51" s="1580"/>
    </row>
    <row r="52" spans="1:31" s="1579" customFormat="1" hidden="1">
      <c r="A52" s="1581">
        <v>1994</v>
      </c>
      <c r="C52" s="1579">
        <v>2</v>
      </c>
      <c r="D52" s="1579">
        <v>13</v>
      </c>
      <c r="E52" s="1579">
        <v>0</v>
      </c>
      <c r="F52" s="1579">
        <v>1</v>
      </c>
      <c r="H52" s="1579">
        <v>16</v>
      </c>
      <c r="L52" s="1580"/>
      <c r="M52" s="1580">
        <v>1994</v>
      </c>
      <c r="N52" s="1580">
        <v>18</v>
      </c>
      <c r="P52" s="1580">
        <v>62</v>
      </c>
      <c r="Q52" s="1580">
        <v>2</v>
      </c>
      <c r="R52" s="1580">
        <v>5</v>
      </c>
      <c r="T52" s="1580">
        <f t="shared" si="1"/>
        <v>87</v>
      </c>
      <c r="U52" s="1580"/>
      <c r="V52" s="1580"/>
      <c r="X52" s="1580"/>
      <c r="Y52" s="1580"/>
      <c r="Z52" s="1580"/>
    </row>
    <row r="53" spans="1:31" s="1579" customFormat="1" hidden="1">
      <c r="A53" s="1581">
        <v>1999</v>
      </c>
      <c r="C53" s="1579">
        <v>3</v>
      </c>
      <c r="D53" s="1579">
        <v>10</v>
      </c>
      <c r="E53" s="1579">
        <v>5</v>
      </c>
      <c r="F53" s="1579">
        <v>3</v>
      </c>
      <c r="H53" s="1579">
        <v>21</v>
      </c>
      <c r="L53" s="1580"/>
      <c r="M53" s="1580">
        <v>1999</v>
      </c>
      <c r="N53" s="1580">
        <v>36</v>
      </c>
      <c r="P53" s="1580">
        <v>29</v>
      </c>
      <c r="Q53" s="1580">
        <v>10</v>
      </c>
      <c r="R53" s="1580">
        <v>12</v>
      </c>
      <c r="T53" s="1580">
        <f t="shared" si="1"/>
        <v>87</v>
      </c>
      <c r="U53" s="1580"/>
      <c r="V53" s="1580"/>
      <c r="X53" s="1580"/>
      <c r="Y53" s="1580"/>
      <c r="Z53" s="1580"/>
    </row>
    <row r="54" spans="1:31" s="1579" customFormat="1" hidden="1">
      <c r="A54" s="1581">
        <v>2004</v>
      </c>
      <c r="C54" s="1579">
        <v>2</v>
      </c>
      <c r="D54" s="1579">
        <v>7</v>
      </c>
      <c r="E54" s="1579">
        <v>6</v>
      </c>
      <c r="F54" s="1579">
        <v>4</v>
      </c>
      <c r="H54" s="1579">
        <v>19</v>
      </c>
      <c r="L54" s="1580"/>
      <c r="M54" s="1580">
        <v>2004</v>
      </c>
      <c r="N54" s="1580">
        <v>27</v>
      </c>
      <c r="P54" s="1580">
        <v>19</v>
      </c>
      <c r="Q54" s="1580">
        <v>12</v>
      </c>
      <c r="R54" s="1580">
        <v>20</v>
      </c>
      <c r="T54" s="1580">
        <f t="shared" si="1"/>
        <v>78</v>
      </c>
      <c r="U54" s="1580"/>
      <c r="V54" s="1580"/>
      <c r="X54" s="1580"/>
      <c r="Y54" s="1580"/>
      <c r="Z54" s="1580"/>
    </row>
    <row r="55" spans="1:31" s="1579" customFormat="1" hidden="1">
      <c r="A55" s="1581">
        <v>2009</v>
      </c>
      <c r="C55" s="1579">
        <v>6</v>
      </c>
      <c r="D55" s="1579">
        <v>5</v>
      </c>
      <c r="E55" s="1579">
        <v>6</v>
      </c>
      <c r="F55" s="1579">
        <f>1+2+1+1+2</f>
        <v>7</v>
      </c>
      <c r="H55" s="1579">
        <v>24</v>
      </c>
      <c r="L55" s="1580"/>
      <c r="M55" s="1580">
        <v>2009</v>
      </c>
      <c r="N55" s="1580">
        <v>25</v>
      </c>
      <c r="P55" s="1580">
        <v>13</v>
      </c>
      <c r="Q55" s="1580">
        <v>11</v>
      </c>
      <c r="R55" s="1580">
        <f>2+1+2+1+1+2+13+1</f>
        <v>23</v>
      </c>
      <c r="T55" s="1580">
        <f t="shared" si="1"/>
        <v>72</v>
      </c>
      <c r="U55" s="1580"/>
      <c r="V55" s="1580"/>
      <c r="X55" s="1580"/>
      <c r="Y55" s="1580"/>
      <c r="Z55" s="1580"/>
    </row>
    <row r="56" spans="1:31" s="1579" customFormat="1" ht="14" hidden="1">
      <c r="A56" s="1581">
        <v>2014</v>
      </c>
      <c r="C56" s="1579">
        <v>6</v>
      </c>
      <c r="D56" s="1579">
        <v>11</v>
      </c>
      <c r="E56" s="1579">
        <v>1</v>
      </c>
      <c r="F56" s="1594">
        <f>H56-SUM(C56:E56)</f>
        <v>12</v>
      </c>
      <c r="H56" s="1227">
        <v>30</v>
      </c>
      <c r="L56" s="1580"/>
      <c r="M56" s="1580">
        <v>2014</v>
      </c>
      <c r="N56" s="1228">
        <v>19</v>
      </c>
      <c r="P56" s="1228">
        <v>20</v>
      </c>
      <c r="Q56" s="1228">
        <v>1</v>
      </c>
      <c r="R56" s="1580">
        <v>33</v>
      </c>
      <c r="T56" s="1580">
        <v>23</v>
      </c>
      <c r="U56" s="1580"/>
      <c r="V56" s="1580"/>
      <c r="X56" s="1580"/>
      <c r="Y56" s="1580"/>
      <c r="Z56" s="1580"/>
    </row>
    <row r="57" spans="1:31" s="1579" customFormat="1" ht="3" customHeight="1">
      <c r="A57" s="1581"/>
      <c r="L57" s="1580"/>
      <c r="M57" s="1580"/>
      <c r="N57" s="1580"/>
      <c r="P57" s="1580"/>
      <c r="Q57" s="1580"/>
      <c r="R57" s="1580"/>
      <c r="T57" s="1580"/>
      <c r="U57" s="1580"/>
      <c r="V57" s="1580"/>
      <c r="X57" s="1580"/>
      <c r="Y57" s="1580"/>
      <c r="Z57" s="1580"/>
    </row>
    <row r="58" spans="1:31" s="1579" customFormat="1">
      <c r="A58" s="1593" t="s">
        <v>1415</v>
      </c>
      <c r="L58" s="1580"/>
      <c r="M58" s="1580"/>
      <c r="N58" s="1580"/>
      <c r="P58" s="1580"/>
      <c r="Q58" s="1580"/>
      <c r="R58" s="1580"/>
      <c r="T58" s="1580"/>
      <c r="U58" s="1580"/>
      <c r="V58" s="1580"/>
      <c r="X58" s="1580"/>
      <c r="Y58" s="1580"/>
      <c r="Z58" s="1580"/>
    </row>
    <row r="59" spans="1:31" s="1579" customFormat="1" ht="4.5" customHeight="1">
      <c r="A59" s="1581"/>
      <c r="L59" s="1580"/>
      <c r="M59" s="1580"/>
      <c r="N59" s="1580"/>
      <c r="P59" s="1580"/>
      <c r="Q59" s="1580"/>
      <c r="R59" s="1580"/>
      <c r="T59" s="1580"/>
      <c r="U59" s="1580"/>
      <c r="V59" s="1580"/>
      <c r="X59" s="1580"/>
      <c r="Y59" s="1580"/>
      <c r="Z59" s="1580"/>
    </row>
    <row r="60" spans="1:31" s="1579" customFormat="1">
      <c r="A60" s="3256">
        <v>1979</v>
      </c>
      <c r="B60" s="3257"/>
      <c r="C60" s="3258">
        <v>0.1</v>
      </c>
      <c r="D60" s="3258">
        <v>0.23529411764705882</v>
      </c>
      <c r="E60" s="3259" t="s">
        <v>103</v>
      </c>
      <c r="F60" s="3258">
        <v>0.25</v>
      </c>
      <c r="G60" s="3257"/>
      <c r="H60" s="3258">
        <v>0.13580246913580246</v>
      </c>
      <c r="I60" s="1582"/>
      <c r="L60" s="1580"/>
      <c r="M60" s="1580"/>
      <c r="N60" s="1580"/>
      <c r="P60" s="1580"/>
      <c r="Q60" s="1580"/>
      <c r="R60" s="1580"/>
      <c r="T60" s="1580"/>
      <c r="U60" s="1580"/>
      <c r="V60" s="1580"/>
      <c r="X60" s="1580"/>
      <c r="Y60" s="1580"/>
      <c r="Z60" s="1580"/>
    </row>
    <row r="61" spans="1:31" s="1579" customFormat="1">
      <c r="A61" s="3256">
        <v>1984</v>
      </c>
      <c r="B61" s="3257"/>
      <c r="C61" s="3258">
        <v>0.13333333333333333</v>
      </c>
      <c r="D61" s="3258">
        <v>0.15625</v>
      </c>
      <c r="E61" s="3259" t="s">
        <v>103</v>
      </c>
      <c r="F61" s="3258">
        <v>0.25</v>
      </c>
      <c r="G61" s="3257"/>
      <c r="H61" s="3258">
        <v>0.14814814814814814</v>
      </c>
      <c r="I61" s="1582"/>
      <c r="L61" s="1580"/>
      <c r="M61" s="1580"/>
      <c r="N61" s="1580"/>
      <c r="P61" s="1580"/>
      <c r="Q61" s="1580"/>
      <c r="R61" s="1580"/>
      <c r="T61" s="1580"/>
      <c r="U61" s="1580"/>
      <c r="V61" s="1580"/>
      <c r="X61" s="1580"/>
      <c r="Y61" s="1580"/>
      <c r="Z61" s="1580"/>
    </row>
    <row r="62" spans="1:31" s="1579" customFormat="1" ht="14" thickBot="1">
      <c r="A62" s="3256">
        <v>1989</v>
      </c>
      <c r="B62" s="3257"/>
      <c r="C62" s="3258">
        <v>0.125</v>
      </c>
      <c r="D62" s="3258">
        <v>0.15555555555555556</v>
      </c>
      <c r="E62" s="3259" t="s">
        <v>103</v>
      </c>
      <c r="F62" s="3258">
        <v>0.25</v>
      </c>
      <c r="G62" s="3257"/>
      <c r="H62" s="3258">
        <v>0.14814814814814814</v>
      </c>
      <c r="I62" s="1582"/>
      <c r="L62" s="1580"/>
      <c r="M62" s="1580"/>
      <c r="N62" s="1580"/>
      <c r="P62" s="1580"/>
      <c r="Q62" s="1580"/>
      <c r="R62" s="1580"/>
      <c r="T62" s="1580"/>
      <c r="U62" s="1580"/>
      <c r="V62" s="1580"/>
      <c r="X62" s="1580"/>
      <c r="Y62" s="1580"/>
      <c r="Z62" s="1580"/>
    </row>
    <row r="63" spans="1:31" s="1579" customFormat="1" ht="14" thickBot="1">
      <c r="A63" s="3256">
        <v>1994</v>
      </c>
      <c r="B63" s="3257"/>
      <c r="C63" s="3258">
        <v>0.1111111111111111</v>
      </c>
      <c r="D63" s="3258">
        <v>0.20967741935483872</v>
      </c>
      <c r="E63" s="3258">
        <v>0</v>
      </c>
      <c r="F63" s="3258">
        <v>0.2</v>
      </c>
      <c r="G63" s="3257"/>
      <c r="H63" s="3258">
        <v>0.18390804597701149</v>
      </c>
      <c r="I63" s="1582"/>
      <c r="L63" s="1580"/>
      <c r="M63" s="1580"/>
      <c r="N63" s="1580"/>
      <c r="P63" s="1580"/>
      <c r="Q63" s="1580"/>
      <c r="R63" s="1580"/>
      <c r="T63" s="1580"/>
      <c r="U63" s="1580"/>
      <c r="V63" s="1580"/>
      <c r="X63" s="1580"/>
      <c r="Y63" s="1580"/>
      <c r="Z63" s="1580"/>
      <c r="AB63" s="1070" t="s">
        <v>806</v>
      </c>
      <c r="AC63" s="1071" t="s">
        <v>807</v>
      </c>
      <c r="AD63" s="1072" t="s">
        <v>808</v>
      </c>
      <c r="AE63" s="1087" t="s">
        <v>12</v>
      </c>
    </row>
    <row r="64" spans="1:31" s="1579" customFormat="1">
      <c r="A64" s="3256">
        <v>1999</v>
      </c>
      <c r="B64" s="3257"/>
      <c r="C64" s="3258">
        <v>8.3333333333333329E-2</v>
      </c>
      <c r="D64" s="3258">
        <v>0.34482758620689657</v>
      </c>
      <c r="E64" s="3258">
        <v>0.5</v>
      </c>
      <c r="F64" s="3258">
        <v>0.25</v>
      </c>
      <c r="G64" s="3257"/>
      <c r="H64" s="3258">
        <v>0.2413793103448276</v>
      </c>
      <c r="I64" s="1582"/>
      <c r="L64" s="1580"/>
      <c r="M64" s="1580"/>
      <c r="N64" s="1580"/>
      <c r="P64" s="1580"/>
      <c r="Q64" s="1580"/>
      <c r="R64" s="1580"/>
      <c r="T64" s="1580"/>
      <c r="U64" s="1580"/>
      <c r="V64" s="1580"/>
      <c r="X64" s="1580"/>
      <c r="Y64" s="1580"/>
      <c r="Z64" s="1580"/>
    </row>
    <row r="65" spans="1:16384" s="1579" customFormat="1">
      <c r="A65" s="3256">
        <v>2004</v>
      </c>
      <c r="B65" s="3257"/>
      <c r="C65" s="3258">
        <v>7.407407407407407E-2</v>
      </c>
      <c r="D65" s="3258">
        <v>0.36842105263157893</v>
      </c>
      <c r="E65" s="3258">
        <v>0.5</v>
      </c>
      <c r="F65" s="3258">
        <v>0.2</v>
      </c>
      <c r="G65" s="3257"/>
      <c r="H65" s="3258">
        <v>0.24358974358974358</v>
      </c>
      <c r="I65" s="1582"/>
      <c r="L65" s="1580"/>
      <c r="M65" s="1580"/>
      <c r="N65" s="1580"/>
      <c r="P65" s="1580"/>
      <c r="Q65" s="1580"/>
      <c r="R65" s="1580"/>
      <c r="T65" s="1580"/>
      <c r="U65" s="1580"/>
      <c r="V65" s="1580"/>
      <c r="X65" s="1580"/>
      <c r="Y65" s="1580"/>
      <c r="Z65" s="1580"/>
    </row>
    <row r="66" spans="1:16384" s="1579" customFormat="1">
      <c r="A66" s="3256">
        <v>2009</v>
      </c>
      <c r="B66" s="3257"/>
      <c r="C66" s="3258">
        <v>0.24</v>
      </c>
      <c r="D66" s="3258">
        <v>0.38461538461538464</v>
      </c>
      <c r="E66" s="3258">
        <v>0.54545454545454541</v>
      </c>
      <c r="F66" s="3258">
        <v>0.30434782608695654</v>
      </c>
      <c r="G66" s="3257"/>
      <c r="H66" s="3258">
        <v>0.33333333333333331</v>
      </c>
      <c r="I66" s="1582"/>
      <c r="L66" s="1580"/>
      <c r="M66" s="1580"/>
      <c r="N66" s="1580"/>
      <c r="P66" s="1580"/>
      <c r="Q66" s="1580"/>
      <c r="R66" s="1580"/>
      <c r="T66" s="1580"/>
      <c r="U66" s="1580"/>
      <c r="V66" s="1580"/>
      <c r="X66" s="1580"/>
      <c r="Y66" s="1580"/>
      <c r="Z66" s="1580"/>
    </row>
    <row r="67" spans="1:16384" s="1579" customFormat="1">
      <c r="A67" s="3256">
        <v>2014</v>
      </c>
      <c r="B67" s="3257"/>
      <c r="C67" s="3258">
        <v>0.31578947368421051</v>
      </c>
      <c r="D67" s="3258">
        <v>0.55000000000000004</v>
      </c>
      <c r="E67" s="3258">
        <v>1</v>
      </c>
      <c r="F67" s="3258">
        <v>0.4</v>
      </c>
      <c r="G67" s="3258" t="e">
        <v>#DIV/0!</v>
      </c>
      <c r="H67" s="3258">
        <v>0.42857142857142855</v>
      </c>
      <c r="I67" s="1582"/>
      <c r="L67" s="1580"/>
      <c r="M67" s="1580"/>
      <c r="N67" s="1580"/>
      <c r="P67" s="1580"/>
      <c r="Q67" s="1580"/>
      <c r="R67" s="1580"/>
      <c r="T67" s="1580"/>
      <c r="U67" s="1580"/>
      <c r="V67" s="1580"/>
      <c r="X67" s="1580"/>
      <c r="Y67" s="1580"/>
      <c r="Z67" s="1580"/>
    </row>
    <row r="68" spans="1:16384" s="1579" customFormat="1" ht="13.25" customHeight="1">
      <c r="A68" s="3260">
        <v>2019</v>
      </c>
      <c r="B68" s="3261"/>
      <c r="C68" s="3262">
        <v>0.5</v>
      </c>
      <c r="D68" s="3262">
        <v>0.5</v>
      </c>
      <c r="E68" s="3262">
        <v>0.56000000000000005</v>
      </c>
      <c r="F68" s="3262">
        <v>0.34</v>
      </c>
      <c r="G68" s="3262"/>
      <c r="H68" s="3262">
        <v>0.42</v>
      </c>
      <c r="I68" s="2553"/>
      <c r="J68" s="2554"/>
      <c r="K68" s="2555">
        <v>0.5</v>
      </c>
      <c r="L68" s="2555">
        <v>0.5</v>
      </c>
      <c r="M68" s="2555">
        <v>0.56000000000000005</v>
      </c>
      <c r="N68" s="2555">
        <v>0.34</v>
      </c>
      <c r="O68" s="2555"/>
      <c r="P68" s="2555">
        <v>0.42</v>
      </c>
      <c r="Q68" s="2553">
        <v>2019</v>
      </c>
      <c r="R68" s="2554"/>
      <c r="S68" s="2555">
        <v>0.5</v>
      </c>
      <c r="T68" s="2555">
        <v>0.5</v>
      </c>
      <c r="U68" s="2555">
        <v>0.56000000000000005</v>
      </c>
      <c r="V68" s="2555">
        <v>0.34</v>
      </c>
      <c r="W68" s="2555"/>
      <c r="X68" s="2555">
        <v>0.42</v>
      </c>
      <c r="Y68" s="2553">
        <v>2019</v>
      </c>
      <c r="Z68" s="2554"/>
      <c r="AA68" s="2555">
        <v>0.5</v>
      </c>
      <c r="AB68" s="2555">
        <v>0.5</v>
      </c>
      <c r="AC68" s="2555">
        <v>0.56000000000000005</v>
      </c>
      <c r="AD68" s="2555">
        <v>0.34</v>
      </c>
      <c r="AE68" s="2555"/>
      <c r="AF68" s="2555">
        <v>0.42</v>
      </c>
      <c r="AG68" s="2553">
        <v>2019</v>
      </c>
      <c r="AH68" s="2554"/>
      <c r="AI68" s="2555">
        <v>0.5</v>
      </c>
      <c r="AJ68" s="2555">
        <v>0.5</v>
      </c>
      <c r="AK68" s="2555">
        <v>0.56000000000000005</v>
      </c>
      <c r="AL68" s="2555">
        <v>0.34</v>
      </c>
      <c r="AM68" s="2555"/>
      <c r="AN68" s="2555">
        <v>0.42</v>
      </c>
      <c r="AO68" s="2553">
        <v>2019</v>
      </c>
      <c r="AP68" s="2554"/>
      <c r="AQ68" s="2555">
        <v>0.5</v>
      </c>
      <c r="AR68" s="2555">
        <v>0.5</v>
      </c>
      <c r="AS68" s="2555">
        <v>0.56000000000000005</v>
      </c>
      <c r="AT68" s="2555">
        <v>0.34</v>
      </c>
      <c r="AU68" s="2555"/>
      <c r="AV68" s="2555">
        <v>0.42</v>
      </c>
      <c r="AW68" s="2553">
        <v>2019</v>
      </c>
      <c r="AX68" s="2554"/>
      <c r="AY68" s="2555">
        <v>0.5</v>
      </c>
      <c r="AZ68" s="2555">
        <v>0.5</v>
      </c>
      <c r="BA68" s="2555">
        <v>0.56000000000000005</v>
      </c>
      <c r="BB68" s="2555">
        <v>0.34</v>
      </c>
      <c r="BC68" s="2555"/>
      <c r="BD68" s="2555">
        <v>0.42</v>
      </c>
      <c r="BE68" s="2553">
        <v>2019</v>
      </c>
      <c r="BF68" s="2554"/>
      <c r="BG68" s="2555">
        <v>0.5</v>
      </c>
      <c r="BH68" s="2555">
        <v>0.5</v>
      </c>
      <c r="BI68" s="2555">
        <v>0.56000000000000005</v>
      </c>
      <c r="BJ68" s="2555">
        <v>0.34</v>
      </c>
      <c r="BK68" s="2555"/>
      <c r="BL68" s="2555">
        <v>0.42</v>
      </c>
      <c r="BM68" s="2553">
        <v>2019</v>
      </c>
      <c r="BN68" s="2554"/>
      <c r="BO68" s="2555">
        <v>0.5</v>
      </c>
      <c r="BP68" s="2555">
        <v>0.5</v>
      </c>
      <c r="BQ68" s="2555">
        <v>0.56000000000000005</v>
      </c>
      <c r="BR68" s="2555">
        <v>0.34</v>
      </c>
      <c r="BS68" s="2555"/>
      <c r="BT68" s="2555">
        <v>0.42</v>
      </c>
      <c r="BU68" s="2553">
        <v>2019</v>
      </c>
      <c r="BV68" s="2554"/>
      <c r="BW68" s="2555">
        <v>0.5</v>
      </c>
      <c r="BX68" s="2555">
        <v>0.5</v>
      </c>
      <c r="BY68" s="2555">
        <v>0.56000000000000005</v>
      </c>
      <c r="BZ68" s="2555">
        <v>0.34</v>
      </c>
      <c r="CA68" s="2555"/>
      <c r="CB68" s="2555">
        <v>0.42</v>
      </c>
      <c r="CC68" s="2553">
        <v>2019</v>
      </c>
      <c r="CD68" s="2554"/>
      <c r="CE68" s="2555">
        <v>0.5</v>
      </c>
      <c r="CF68" s="2555">
        <v>0.5</v>
      </c>
      <c r="CG68" s="2555">
        <v>0.56000000000000005</v>
      </c>
      <c r="CH68" s="2555">
        <v>0.34</v>
      </c>
      <c r="CI68" s="2555"/>
      <c r="CJ68" s="2555">
        <v>0.42</v>
      </c>
      <c r="CK68" s="2553">
        <v>2019</v>
      </c>
      <c r="CL68" s="2554"/>
      <c r="CM68" s="2555">
        <v>0.5</v>
      </c>
      <c r="CN68" s="2555">
        <v>0.5</v>
      </c>
      <c r="CO68" s="2555">
        <v>0.56000000000000005</v>
      </c>
      <c r="CP68" s="2555">
        <v>0.34</v>
      </c>
      <c r="CQ68" s="2555"/>
      <c r="CR68" s="2555">
        <v>0.42</v>
      </c>
      <c r="CS68" s="2553">
        <v>2019</v>
      </c>
      <c r="CT68" s="2554"/>
      <c r="CU68" s="2555">
        <v>0.5</v>
      </c>
      <c r="CV68" s="2555">
        <v>0.5</v>
      </c>
      <c r="CW68" s="2555">
        <v>0.56000000000000005</v>
      </c>
      <c r="CX68" s="2555">
        <v>0.34</v>
      </c>
      <c r="CY68" s="2555"/>
      <c r="CZ68" s="2555">
        <v>0.42</v>
      </c>
      <c r="DA68" s="2553">
        <v>2019</v>
      </c>
      <c r="DB68" s="2554"/>
      <c r="DC68" s="2555">
        <v>0.5</v>
      </c>
      <c r="DD68" s="2555">
        <v>0.5</v>
      </c>
      <c r="DE68" s="2555">
        <v>0.56000000000000005</v>
      </c>
      <c r="DF68" s="2555">
        <v>0.34</v>
      </c>
      <c r="DG68" s="2555"/>
      <c r="DH68" s="2555">
        <v>0.42</v>
      </c>
      <c r="DI68" s="2553">
        <v>2019</v>
      </c>
      <c r="DJ68" s="2554"/>
      <c r="DK68" s="2555">
        <v>0.5</v>
      </c>
      <c r="DL68" s="2555">
        <v>0.5</v>
      </c>
      <c r="DM68" s="2555">
        <v>0.56000000000000005</v>
      </c>
      <c r="DN68" s="2555">
        <v>0.34</v>
      </c>
      <c r="DO68" s="2555"/>
      <c r="DP68" s="2555">
        <v>0.42</v>
      </c>
      <c r="DQ68" s="2553">
        <v>2019</v>
      </c>
      <c r="DR68" s="2554"/>
      <c r="DS68" s="2555">
        <v>0.5</v>
      </c>
      <c r="DT68" s="2555">
        <v>0.5</v>
      </c>
      <c r="DU68" s="2555">
        <v>0.56000000000000005</v>
      </c>
      <c r="DV68" s="2555">
        <v>0.34</v>
      </c>
      <c r="DW68" s="2555"/>
      <c r="DX68" s="2555">
        <v>0.42</v>
      </c>
      <c r="DY68" s="2553">
        <v>2019</v>
      </c>
      <c r="DZ68" s="2554"/>
      <c r="EA68" s="2555">
        <v>0.5</v>
      </c>
      <c r="EB68" s="2555">
        <v>0.5</v>
      </c>
      <c r="EC68" s="2555">
        <v>0.56000000000000005</v>
      </c>
      <c r="ED68" s="2555">
        <v>0.34</v>
      </c>
      <c r="EE68" s="2555"/>
      <c r="EF68" s="2555">
        <v>0.42</v>
      </c>
      <c r="EG68" s="2553">
        <v>2019</v>
      </c>
      <c r="EH68" s="2554"/>
      <c r="EI68" s="2555">
        <v>0.5</v>
      </c>
      <c r="EJ68" s="2555">
        <v>0.5</v>
      </c>
      <c r="EK68" s="2555">
        <v>0.56000000000000005</v>
      </c>
      <c r="EL68" s="2555">
        <v>0.34</v>
      </c>
      <c r="EM68" s="2555"/>
      <c r="EN68" s="2555">
        <v>0.42</v>
      </c>
      <c r="EO68" s="2553">
        <v>2019</v>
      </c>
      <c r="EP68" s="2554"/>
      <c r="EQ68" s="2555">
        <v>0.5</v>
      </c>
      <c r="ER68" s="2555">
        <v>0.5</v>
      </c>
      <c r="ES68" s="2555">
        <v>0.56000000000000005</v>
      </c>
      <c r="ET68" s="2555">
        <v>0.34</v>
      </c>
      <c r="EU68" s="2555"/>
      <c r="EV68" s="2555">
        <v>0.42</v>
      </c>
      <c r="EW68" s="2553">
        <v>2019</v>
      </c>
      <c r="EX68" s="2554"/>
      <c r="EY68" s="2555">
        <v>0.5</v>
      </c>
      <c r="EZ68" s="2555">
        <v>0.5</v>
      </c>
      <c r="FA68" s="2555">
        <v>0.56000000000000005</v>
      </c>
      <c r="FB68" s="2555">
        <v>0.34</v>
      </c>
      <c r="FC68" s="2555"/>
      <c r="FD68" s="2555">
        <v>0.42</v>
      </c>
      <c r="FE68" s="2553">
        <v>2019</v>
      </c>
      <c r="FF68" s="2554"/>
      <c r="FG68" s="2555">
        <v>0.5</v>
      </c>
      <c r="FH68" s="2555">
        <v>0.5</v>
      </c>
      <c r="FI68" s="2555">
        <v>0.56000000000000005</v>
      </c>
      <c r="FJ68" s="2555">
        <v>0.34</v>
      </c>
      <c r="FK68" s="2555"/>
      <c r="FL68" s="2555">
        <v>0.42</v>
      </c>
      <c r="FM68" s="2553">
        <v>2019</v>
      </c>
      <c r="FN68" s="2554"/>
      <c r="FO68" s="2555">
        <v>0.5</v>
      </c>
      <c r="FP68" s="2555">
        <v>0.5</v>
      </c>
      <c r="FQ68" s="2555">
        <v>0.56000000000000005</v>
      </c>
      <c r="FR68" s="2555">
        <v>0.34</v>
      </c>
      <c r="FS68" s="2555"/>
      <c r="FT68" s="2555">
        <v>0.42</v>
      </c>
      <c r="FU68" s="2553">
        <v>2019</v>
      </c>
      <c r="FV68" s="2554"/>
      <c r="FW68" s="2555">
        <v>0.5</v>
      </c>
      <c r="FX68" s="2555">
        <v>0.5</v>
      </c>
      <c r="FY68" s="2555">
        <v>0.56000000000000005</v>
      </c>
      <c r="FZ68" s="2555">
        <v>0.34</v>
      </c>
      <c r="GA68" s="2555"/>
      <c r="GB68" s="2555">
        <v>0.42</v>
      </c>
      <c r="GC68" s="2553">
        <v>2019</v>
      </c>
      <c r="GD68" s="2554"/>
      <c r="GE68" s="2555">
        <v>0.5</v>
      </c>
      <c r="GF68" s="2555">
        <v>0.5</v>
      </c>
      <c r="GG68" s="2555">
        <v>0.56000000000000005</v>
      </c>
      <c r="GH68" s="2555">
        <v>0.34</v>
      </c>
      <c r="GI68" s="2555"/>
      <c r="GJ68" s="2555">
        <v>0.42</v>
      </c>
      <c r="GK68" s="2553">
        <v>2019</v>
      </c>
      <c r="GL68" s="2554"/>
      <c r="GM68" s="2555">
        <v>0.5</v>
      </c>
      <c r="GN68" s="2555">
        <v>0.5</v>
      </c>
      <c r="GO68" s="2555">
        <v>0.56000000000000005</v>
      </c>
      <c r="GP68" s="2555">
        <v>0.34</v>
      </c>
      <c r="GQ68" s="2555"/>
      <c r="GR68" s="2555">
        <v>0.42</v>
      </c>
      <c r="GS68" s="2553">
        <v>2019</v>
      </c>
      <c r="GT68" s="2554"/>
      <c r="GU68" s="2555">
        <v>0.5</v>
      </c>
      <c r="GV68" s="2555">
        <v>0.5</v>
      </c>
      <c r="GW68" s="2555">
        <v>0.56000000000000005</v>
      </c>
      <c r="GX68" s="2555">
        <v>0.34</v>
      </c>
      <c r="GY68" s="2555"/>
      <c r="GZ68" s="2555">
        <v>0.42</v>
      </c>
      <c r="HA68" s="2553">
        <v>2019</v>
      </c>
      <c r="HB68" s="2554"/>
      <c r="HC68" s="2555">
        <v>0.5</v>
      </c>
      <c r="HD68" s="2555">
        <v>0.5</v>
      </c>
      <c r="HE68" s="2555">
        <v>0.56000000000000005</v>
      </c>
      <c r="HF68" s="2555">
        <v>0.34</v>
      </c>
      <c r="HG68" s="2555"/>
      <c r="HH68" s="2555">
        <v>0.42</v>
      </c>
      <c r="HI68" s="2553">
        <v>2019</v>
      </c>
      <c r="HJ68" s="2554"/>
      <c r="HK68" s="2555">
        <v>0.5</v>
      </c>
      <c r="HL68" s="2555">
        <v>0.5</v>
      </c>
      <c r="HM68" s="2555">
        <v>0.56000000000000005</v>
      </c>
      <c r="HN68" s="2555">
        <v>0.34</v>
      </c>
      <c r="HO68" s="2555"/>
      <c r="HP68" s="2555">
        <v>0.42</v>
      </c>
      <c r="HQ68" s="2553">
        <v>2019</v>
      </c>
      <c r="HR68" s="2554"/>
      <c r="HS68" s="2555">
        <v>0.5</v>
      </c>
      <c r="HT68" s="2555">
        <v>0.5</v>
      </c>
      <c r="HU68" s="2555">
        <v>0.56000000000000005</v>
      </c>
      <c r="HV68" s="2555">
        <v>0.34</v>
      </c>
      <c r="HW68" s="2555"/>
      <c r="HX68" s="2555">
        <v>0.42</v>
      </c>
      <c r="HY68" s="2553">
        <v>2019</v>
      </c>
      <c r="HZ68" s="2554"/>
      <c r="IA68" s="2555">
        <v>0.5</v>
      </c>
      <c r="IB68" s="2555">
        <v>0.5</v>
      </c>
      <c r="IC68" s="2555">
        <v>0.56000000000000005</v>
      </c>
      <c r="ID68" s="2555">
        <v>0.34</v>
      </c>
      <c r="IE68" s="2555"/>
      <c r="IF68" s="2555">
        <v>0.42</v>
      </c>
      <c r="IG68" s="2553">
        <v>2019</v>
      </c>
      <c r="IH68" s="2554"/>
      <c r="II68" s="2555">
        <v>0.5</v>
      </c>
      <c r="IJ68" s="2555">
        <v>0.5</v>
      </c>
      <c r="IK68" s="2555">
        <v>0.56000000000000005</v>
      </c>
      <c r="IL68" s="2555">
        <v>0.34</v>
      </c>
      <c r="IM68" s="2555"/>
      <c r="IN68" s="2555">
        <v>0.42</v>
      </c>
      <c r="IO68" s="2553">
        <v>2019</v>
      </c>
      <c r="IP68" s="2554"/>
      <c r="IQ68" s="2555">
        <v>0.5</v>
      </c>
      <c r="IR68" s="2555">
        <v>0.5</v>
      </c>
      <c r="IS68" s="2555">
        <v>0.56000000000000005</v>
      </c>
      <c r="IT68" s="2555">
        <v>0.34</v>
      </c>
      <c r="IU68" s="2555"/>
      <c r="IV68" s="2555">
        <v>0.42</v>
      </c>
      <c r="IW68" s="2553">
        <v>2019</v>
      </c>
      <c r="IX68" s="2554"/>
      <c r="IY68" s="2555">
        <v>0.5</v>
      </c>
      <c r="IZ68" s="2555">
        <v>0.5</v>
      </c>
      <c r="JA68" s="2555">
        <v>0.56000000000000005</v>
      </c>
      <c r="JB68" s="2555">
        <v>0.34</v>
      </c>
      <c r="JC68" s="2555"/>
      <c r="JD68" s="2555">
        <v>0.42</v>
      </c>
      <c r="JE68" s="2553">
        <v>2019</v>
      </c>
      <c r="JF68" s="2554"/>
      <c r="JG68" s="2555">
        <v>0.5</v>
      </c>
      <c r="JH68" s="2555">
        <v>0.5</v>
      </c>
      <c r="JI68" s="2555">
        <v>0.56000000000000005</v>
      </c>
      <c r="JJ68" s="2555">
        <v>0.34</v>
      </c>
      <c r="JK68" s="2555"/>
      <c r="JL68" s="2555">
        <v>0.42</v>
      </c>
      <c r="JM68" s="2553">
        <v>2019</v>
      </c>
      <c r="JN68" s="2554"/>
      <c r="JO68" s="2555">
        <v>0.5</v>
      </c>
      <c r="JP68" s="2555">
        <v>0.5</v>
      </c>
      <c r="JQ68" s="2555">
        <v>0.56000000000000005</v>
      </c>
      <c r="JR68" s="2555">
        <v>0.34</v>
      </c>
      <c r="JS68" s="2555"/>
      <c r="JT68" s="2555">
        <v>0.42</v>
      </c>
      <c r="JU68" s="2553">
        <v>2019</v>
      </c>
      <c r="JV68" s="2554"/>
      <c r="JW68" s="2555">
        <v>0.5</v>
      </c>
      <c r="JX68" s="2555">
        <v>0.5</v>
      </c>
      <c r="JY68" s="2555">
        <v>0.56000000000000005</v>
      </c>
      <c r="JZ68" s="2555">
        <v>0.34</v>
      </c>
      <c r="KA68" s="2555"/>
      <c r="KB68" s="2555">
        <v>0.42</v>
      </c>
      <c r="KC68" s="2553">
        <v>2019</v>
      </c>
      <c r="KD68" s="2554"/>
      <c r="KE68" s="2555">
        <v>0.5</v>
      </c>
      <c r="KF68" s="2555">
        <v>0.5</v>
      </c>
      <c r="KG68" s="2555">
        <v>0.56000000000000005</v>
      </c>
      <c r="KH68" s="2555">
        <v>0.34</v>
      </c>
      <c r="KI68" s="2555"/>
      <c r="KJ68" s="2555">
        <v>0.42</v>
      </c>
      <c r="KK68" s="2553">
        <v>2019</v>
      </c>
      <c r="KL68" s="2554"/>
      <c r="KM68" s="2555">
        <v>0.5</v>
      </c>
      <c r="KN68" s="2555">
        <v>0.5</v>
      </c>
      <c r="KO68" s="2555">
        <v>0.56000000000000005</v>
      </c>
      <c r="KP68" s="2555">
        <v>0.34</v>
      </c>
      <c r="KQ68" s="2555"/>
      <c r="KR68" s="2555">
        <v>0.42</v>
      </c>
      <c r="KS68" s="2553">
        <v>2019</v>
      </c>
      <c r="KT68" s="2554"/>
      <c r="KU68" s="2555">
        <v>0.5</v>
      </c>
      <c r="KV68" s="2555">
        <v>0.5</v>
      </c>
      <c r="KW68" s="2555">
        <v>0.56000000000000005</v>
      </c>
      <c r="KX68" s="2555">
        <v>0.34</v>
      </c>
      <c r="KY68" s="2555"/>
      <c r="KZ68" s="2555">
        <v>0.42</v>
      </c>
      <c r="LA68" s="2553">
        <v>2019</v>
      </c>
      <c r="LB68" s="2554"/>
      <c r="LC68" s="2555">
        <v>0.5</v>
      </c>
      <c r="LD68" s="2555">
        <v>0.5</v>
      </c>
      <c r="LE68" s="2555">
        <v>0.56000000000000005</v>
      </c>
      <c r="LF68" s="2555">
        <v>0.34</v>
      </c>
      <c r="LG68" s="2555"/>
      <c r="LH68" s="2555">
        <v>0.42</v>
      </c>
      <c r="LI68" s="2553">
        <v>2019</v>
      </c>
      <c r="LJ68" s="2554"/>
      <c r="LK68" s="2555">
        <v>0.5</v>
      </c>
      <c r="LL68" s="2555">
        <v>0.5</v>
      </c>
      <c r="LM68" s="2555">
        <v>0.56000000000000005</v>
      </c>
      <c r="LN68" s="2555">
        <v>0.34</v>
      </c>
      <c r="LO68" s="2555"/>
      <c r="LP68" s="2555">
        <v>0.42</v>
      </c>
      <c r="LQ68" s="2553">
        <v>2019</v>
      </c>
      <c r="LR68" s="2554"/>
      <c r="LS68" s="2555">
        <v>0.5</v>
      </c>
      <c r="LT68" s="2555">
        <v>0.5</v>
      </c>
      <c r="LU68" s="2555">
        <v>0.56000000000000005</v>
      </c>
      <c r="LV68" s="2555">
        <v>0.34</v>
      </c>
      <c r="LW68" s="2555"/>
      <c r="LX68" s="2555">
        <v>0.42</v>
      </c>
      <c r="LY68" s="2553">
        <v>2019</v>
      </c>
      <c r="LZ68" s="2554"/>
      <c r="MA68" s="2555">
        <v>0.5</v>
      </c>
      <c r="MB68" s="2555">
        <v>0.5</v>
      </c>
      <c r="MC68" s="2555">
        <v>0.56000000000000005</v>
      </c>
      <c r="MD68" s="2555">
        <v>0.34</v>
      </c>
      <c r="ME68" s="2555"/>
      <c r="MF68" s="2555">
        <v>0.42</v>
      </c>
      <c r="MG68" s="2553">
        <v>2019</v>
      </c>
      <c r="MH68" s="2554"/>
      <c r="MI68" s="2555">
        <v>0.5</v>
      </c>
      <c r="MJ68" s="2555">
        <v>0.5</v>
      </c>
      <c r="MK68" s="2555">
        <v>0.56000000000000005</v>
      </c>
      <c r="ML68" s="2555">
        <v>0.34</v>
      </c>
      <c r="MM68" s="2555"/>
      <c r="MN68" s="2555">
        <v>0.42</v>
      </c>
      <c r="MO68" s="2553">
        <v>2019</v>
      </c>
      <c r="MP68" s="2554"/>
      <c r="MQ68" s="2555">
        <v>0.5</v>
      </c>
      <c r="MR68" s="2555">
        <v>0.5</v>
      </c>
      <c r="MS68" s="2555">
        <v>0.56000000000000005</v>
      </c>
      <c r="MT68" s="2555">
        <v>0.34</v>
      </c>
      <c r="MU68" s="2555"/>
      <c r="MV68" s="2555">
        <v>0.42</v>
      </c>
      <c r="MW68" s="2553">
        <v>2019</v>
      </c>
      <c r="MX68" s="2554"/>
      <c r="MY68" s="2555">
        <v>0.5</v>
      </c>
      <c r="MZ68" s="2555">
        <v>0.5</v>
      </c>
      <c r="NA68" s="2555">
        <v>0.56000000000000005</v>
      </c>
      <c r="NB68" s="2555">
        <v>0.34</v>
      </c>
      <c r="NC68" s="2555"/>
      <c r="ND68" s="2555">
        <v>0.42</v>
      </c>
      <c r="NE68" s="2553">
        <v>2019</v>
      </c>
      <c r="NF68" s="2554"/>
      <c r="NG68" s="2555">
        <v>0.5</v>
      </c>
      <c r="NH68" s="2555">
        <v>0.5</v>
      </c>
      <c r="NI68" s="2555">
        <v>0.56000000000000005</v>
      </c>
      <c r="NJ68" s="2555">
        <v>0.34</v>
      </c>
      <c r="NK68" s="2555"/>
      <c r="NL68" s="2555">
        <v>0.42</v>
      </c>
      <c r="NM68" s="2553">
        <v>2019</v>
      </c>
      <c r="NN68" s="2554"/>
      <c r="NO68" s="2555">
        <v>0.5</v>
      </c>
      <c r="NP68" s="2555">
        <v>0.5</v>
      </c>
      <c r="NQ68" s="2555">
        <v>0.56000000000000005</v>
      </c>
      <c r="NR68" s="2555">
        <v>0.34</v>
      </c>
      <c r="NS68" s="2555"/>
      <c r="NT68" s="2555">
        <v>0.42</v>
      </c>
      <c r="NU68" s="2553">
        <v>2019</v>
      </c>
      <c r="NV68" s="2554"/>
      <c r="NW68" s="2555">
        <v>0.5</v>
      </c>
      <c r="NX68" s="2555">
        <v>0.5</v>
      </c>
      <c r="NY68" s="2555">
        <v>0.56000000000000005</v>
      </c>
      <c r="NZ68" s="2555">
        <v>0.34</v>
      </c>
      <c r="OA68" s="2555"/>
      <c r="OB68" s="2555">
        <v>0.42</v>
      </c>
      <c r="OC68" s="2553">
        <v>2019</v>
      </c>
      <c r="OD68" s="2554"/>
      <c r="OE68" s="2555">
        <v>0.5</v>
      </c>
      <c r="OF68" s="2555">
        <v>0.5</v>
      </c>
      <c r="OG68" s="2555">
        <v>0.56000000000000005</v>
      </c>
      <c r="OH68" s="2555">
        <v>0.34</v>
      </c>
      <c r="OI68" s="2555"/>
      <c r="OJ68" s="2555">
        <v>0.42</v>
      </c>
      <c r="OK68" s="2553">
        <v>2019</v>
      </c>
      <c r="OL68" s="2554"/>
      <c r="OM68" s="2555">
        <v>0.5</v>
      </c>
      <c r="ON68" s="2555">
        <v>0.5</v>
      </c>
      <c r="OO68" s="2555">
        <v>0.56000000000000005</v>
      </c>
      <c r="OP68" s="2555">
        <v>0.34</v>
      </c>
      <c r="OQ68" s="2555"/>
      <c r="OR68" s="2555">
        <v>0.42</v>
      </c>
      <c r="OS68" s="2553">
        <v>2019</v>
      </c>
      <c r="OT68" s="2554"/>
      <c r="OU68" s="2555">
        <v>0.5</v>
      </c>
      <c r="OV68" s="2555">
        <v>0.5</v>
      </c>
      <c r="OW68" s="2555">
        <v>0.56000000000000005</v>
      </c>
      <c r="OX68" s="2555">
        <v>0.34</v>
      </c>
      <c r="OY68" s="2555"/>
      <c r="OZ68" s="2555">
        <v>0.42</v>
      </c>
      <c r="PA68" s="2553">
        <v>2019</v>
      </c>
      <c r="PB68" s="2554"/>
      <c r="PC68" s="2555">
        <v>0.5</v>
      </c>
      <c r="PD68" s="2555">
        <v>0.5</v>
      </c>
      <c r="PE68" s="2555">
        <v>0.56000000000000005</v>
      </c>
      <c r="PF68" s="2555">
        <v>0.34</v>
      </c>
      <c r="PG68" s="2555"/>
      <c r="PH68" s="2555">
        <v>0.42</v>
      </c>
      <c r="PI68" s="2553">
        <v>2019</v>
      </c>
      <c r="PJ68" s="2554"/>
      <c r="PK68" s="2555">
        <v>0.5</v>
      </c>
      <c r="PL68" s="2555">
        <v>0.5</v>
      </c>
      <c r="PM68" s="2555">
        <v>0.56000000000000005</v>
      </c>
      <c r="PN68" s="2555">
        <v>0.34</v>
      </c>
      <c r="PO68" s="2555"/>
      <c r="PP68" s="2555">
        <v>0.42</v>
      </c>
      <c r="PQ68" s="2553">
        <v>2019</v>
      </c>
      <c r="PR68" s="2554"/>
      <c r="PS68" s="2555">
        <v>0.5</v>
      </c>
      <c r="PT68" s="2555">
        <v>0.5</v>
      </c>
      <c r="PU68" s="2555">
        <v>0.56000000000000005</v>
      </c>
      <c r="PV68" s="2555">
        <v>0.34</v>
      </c>
      <c r="PW68" s="2555"/>
      <c r="PX68" s="2555">
        <v>0.42</v>
      </c>
      <c r="PY68" s="2553">
        <v>2019</v>
      </c>
      <c r="PZ68" s="2554"/>
      <c r="QA68" s="2555">
        <v>0.5</v>
      </c>
      <c r="QB68" s="2555">
        <v>0.5</v>
      </c>
      <c r="QC68" s="2555">
        <v>0.56000000000000005</v>
      </c>
      <c r="QD68" s="2555">
        <v>0.34</v>
      </c>
      <c r="QE68" s="2555"/>
      <c r="QF68" s="2555">
        <v>0.42</v>
      </c>
      <c r="QG68" s="2553">
        <v>2019</v>
      </c>
      <c r="QH68" s="2554"/>
      <c r="QI68" s="2555">
        <v>0.5</v>
      </c>
      <c r="QJ68" s="2555">
        <v>0.5</v>
      </c>
      <c r="QK68" s="2555">
        <v>0.56000000000000005</v>
      </c>
      <c r="QL68" s="2555">
        <v>0.34</v>
      </c>
      <c r="QM68" s="2555"/>
      <c r="QN68" s="2555">
        <v>0.42</v>
      </c>
      <c r="QO68" s="2553">
        <v>2019</v>
      </c>
      <c r="QP68" s="2554"/>
      <c r="QQ68" s="2555">
        <v>0.5</v>
      </c>
      <c r="QR68" s="2555">
        <v>0.5</v>
      </c>
      <c r="QS68" s="2555">
        <v>0.56000000000000005</v>
      </c>
      <c r="QT68" s="2555">
        <v>0.34</v>
      </c>
      <c r="QU68" s="2555"/>
      <c r="QV68" s="2555">
        <v>0.42</v>
      </c>
      <c r="QW68" s="2553">
        <v>2019</v>
      </c>
      <c r="QX68" s="2554"/>
      <c r="QY68" s="2555">
        <v>0.5</v>
      </c>
      <c r="QZ68" s="2555">
        <v>0.5</v>
      </c>
      <c r="RA68" s="2555">
        <v>0.56000000000000005</v>
      </c>
      <c r="RB68" s="2555">
        <v>0.34</v>
      </c>
      <c r="RC68" s="2555"/>
      <c r="RD68" s="2555">
        <v>0.42</v>
      </c>
      <c r="RE68" s="2553">
        <v>2019</v>
      </c>
      <c r="RF68" s="2554"/>
      <c r="RG68" s="2555">
        <v>0.5</v>
      </c>
      <c r="RH68" s="2555">
        <v>0.5</v>
      </c>
      <c r="RI68" s="2555">
        <v>0.56000000000000005</v>
      </c>
      <c r="RJ68" s="2555">
        <v>0.34</v>
      </c>
      <c r="RK68" s="2555"/>
      <c r="RL68" s="2555">
        <v>0.42</v>
      </c>
      <c r="RM68" s="2553">
        <v>2019</v>
      </c>
      <c r="RN68" s="2554"/>
      <c r="RO68" s="2555">
        <v>0.5</v>
      </c>
      <c r="RP68" s="2555">
        <v>0.5</v>
      </c>
      <c r="RQ68" s="2555">
        <v>0.56000000000000005</v>
      </c>
      <c r="RR68" s="2555">
        <v>0.34</v>
      </c>
      <c r="RS68" s="2555"/>
      <c r="RT68" s="2555">
        <v>0.42</v>
      </c>
      <c r="RU68" s="2553">
        <v>2019</v>
      </c>
      <c r="RV68" s="2554"/>
      <c r="RW68" s="2555">
        <v>0.5</v>
      </c>
      <c r="RX68" s="2555">
        <v>0.5</v>
      </c>
      <c r="RY68" s="2555">
        <v>0.56000000000000005</v>
      </c>
      <c r="RZ68" s="2555">
        <v>0.34</v>
      </c>
      <c r="SA68" s="2555"/>
      <c r="SB68" s="2555">
        <v>0.42</v>
      </c>
      <c r="SC68" s="2553">
        <v>2019</v>
      </c>
      <c r="SD68" s="2554"/>
      <c r="SE68" s="2555">
        <v>0.5</v>
      </c>
      <c r="SF68" s="2555">
        <v>0.5</v>
      </c>
      <c r="SG68" s="2555">
        <v>0.56000000000000005</v>
      </c>
      <c r="SH68" s="2555">
        <v>0.34</v>
      </c>
      <c r="SI68" s="2555"/>
      <c r="SJ68" s="2555">
        <v>0.42</v>
      </c>
      <c r="SK68" s="2553">
        <v>2019</v>
      </c>
      <c r="SL68" s="2554"/>
      <c r="SM68" s="2555">
        <v>0.5</v>
      </c>
      <c r="SN68" s="2555">
        <v>0.5</v>
      </c>
      <c r="SO68" s="2555">
        <v>0.56000000000000005</v>
      </c>
      <c r="SP68" s="2555">
        <v>0.34</v>
      </c>
      <c r="SQ68" s="2555"/>
      <c r="SR68" s="2555">
        <v>0.42</v>
      </c>
      <c r="SS68" s="2553">
        <v>2019</v>
      </c>
      <c r="ST68" s="2554"/>
      <c r="SU68" s="2555">
        <v>0.5</v>
      </c>
      <c r="SV68" s="2555">
        <v>0.5</v>
      </c>
      <c r="SW68" s="2555">
        <v>0.56000000000000005</v>
      </c>
      <c r="SX68" s="2555">
        <v>0.34</v>
      </c>
      <c r="SY68" s="2555"/>
      <c r="SZ68" s="2555">
        <v>0.42</v>
      </c>
      <c r="TA68" s="2553">
        <v>2019</v>
      </c>
      <c r="TB68" s="2554"/>
      <c r="TC68" s="2555">
        <v>0.5</v>
      </c>
      <c r="TD68" s="2555">
        <v>0.5</v>
      </c>
      <c r="TE68" s="2555">
        <v>0.56000000000000005</v>
      </c>
      <c r="TF68" s="2555">
        <v>0.34</v>
      </c>
      <c r="TG68" s="2555"/>
      <c r="TH68" s="2555">
        <v>0.42</v>
      </c>
      <c r="TI68" s="2553">
        <v>2019</v>
      </c>
      <c r="TJ68" s="2554"/>
      <c r="TK68" s="2555">
        <v>0.5</v>
      </c>
      <c r="TL68" s="2555">
        <v>0.5</v>
      </c>
      <c r="TM68" s="2555">
        <v>0.56000000000000005</v>
      </c>
      <c r="TN68" s="2555">
        <v>0.34</v>
      </c>
      <c r="TO68" s="2555"/>
      <c r="TP68" s="2555">
        <v>0.42</v>
      </c>
      <c r="TQ68" s="2553">
        <v>2019</v>
      </c>
      <c r="TR68" s="2554"/>
      <c r="TS68" s="2555">
        <v>0.5</v>
      </c>
      <c r="TT68" s="2555">
        <v>0.5</v>
      </c>
      <c r="TU68" s="2555">
        <v>0.56000000000000005</v>
      </c>
      <c r="TV68" s="2555">
        <v>0.34</v>
      </c>
      <c r="TW68" s="2555"/>
      <c r="TX68" s="2555">
        <v>0.42</v>
      </c>
      <c r="TY68" s="2553">
        <v>2019</v>
      </c>
      <c r="TZ68" s="2554"/>
      <c r="UA68" s="2555">
        <v>0.5</v>
      </c>
      <c r="UB68" s="2555">
        <v>0.5</v>
      </c>
      <c r="UC68" s="2555">
        <v>0.56000000000000005</v>
      </c>
      <c r="UD68" s="2555">
        <v>0.34</v>
      </c>
      <c r="UE68" s="2555"/>
      <c r="UF68" s="2555">
        <v>0.42</v>
      </c>
      <c r="UG68" s="2553">
        <v>2019</v>
      </c>
      <c r="UH68" s="2554"/>
      <c r="UI68" s="2555">
        <v>0.5</v>
      </c>
      <c r="UJ68" s="2555">
        <v>0.5</v>
      </c>
      <c r="UK68" s="2555">
        <v>0.56000000000000005</v>
      </c>
      <c r="UL68" s="2555">
        <v>0.34</v>
      </c>
      <c r="UM68" s="2555"/>
      <c r="UN68" s="2555">
        <v>0.42</v>
      </c>
      <c r="UO68" s="2553">
        <v>2019</v>
      </c>
      <c r="UP68" s="2554"/>
      <c r="UQ68" s="2555">
        <v>0.5</v>
      </c>
      <c r="UR68" s="2555">
        <v>0.5</v>
      </c>
      <c r="US68" s="2555">
        <v>0.56000000000000005</v>
      </c>
      <c r="UT68" s="2555">
        <v>0.34</v>
      </c>
      <c r="UU68" s="2555"/>
      <c r="UV68" s="2555">
        <v>0.42</v>
      </c>
      <c r="UW68" s="2553">
        <v>2019</v>
      </c>
      <c r="UX68" s="2554"/>
      <c r="UY68" s="2555">
        <v>0.5</v>
      </c>
      <c r="UZ68" s="2555">
        <v>0.5</v>
      </c>
      <c r="VA68" s="2555">
        <v>0.56000000000000005</v>
      </c>
      <c r="VB68" s="2555">
        <v>0.34</v>
      </c>
      <c r="VC68" s="2555"/>
      <c r="VD68" s="2555">
        <v>0.42</v>
      </c>
      <c r="VE68" s="2553">
        <v>2019</v>
      </c>
      <c r="VF68" s="2554"/>
      <c r="VG68" s="2555">
        <v>0.5</v>
      </c>
      <c r="VH68" s="2555">
        <v>0.5</v>
      </c>
      <c r="VI68" s="2555">
        <v>0.56000000000000005</v>
      </c>
      <c r="VJ68" s="2555">
        <v>0.34</v>
      </c>
      <c r="VK68" s="2555"/>
      <c r="VL68" s="2555">
        <v>0.42</v>
      </c>
      <c r="VM68" s="2553">
        <v>2019</v>
      </c>
      <c r="VN68" s="2554"/>
      <c r="VO68" s="2555">
        <v>0.5</v>
      </c>
      <c r="VP68" s="2555">
        <v>0.5</v>
      </c>
      <c r="VQ68" s="2555">
        <v>0.56000000000000005</v>
      </c>
      <c r="VR68" s="2555">
        <v>0.34</v>
      </c>
      <c r="VS68" s="2555"/>
      <c r="VT68" s="2555">
        <v>0.42</v>
      </c>
      <c r="VU68" s="2553">
        <v>2019</v>
      </c>
      <c r="VV68" s="2554"/>
      <c r="VW68" s="2555">
        <v>0.5</v>
      </c>
      <c r="VX68" s="2555">
        <v>0.5</v>
      </c>
      <c r="VY68" s="2555">
        <v>0.56000000000000005</v>
      </c>
      <c r="VZ68" s="2555">
        <v>0.34</v>
      </c>
      <c r="WA68" s="2555"/>
      <c r="WB68" s="2555">
        <v>0.42</v>
      </c>
      <c r="WC68" s="2553">
        <v>2019</v>
      </c>
      <c r="WD68" s="2554"/>
      <c r="WE68" s="2555">
        <v>0.5</v>
      </c>
      <c r="WF68" s="2555">
        <v>0.5</v>
      </c>
      <c r="WG68" s="2555">
        <v>0.56000000000000005</v>
      </c>
      <c r="WH68" s="2555">
        <v>0.34</v>
      </c>
      <c r="WI68" s="2555"/>
      <c r="WJ68" s="2555">
        <v>0.42</v>
      </c>
      <c r="WK68" s="2553">
        <v>2019</v>
      </c>
      <c r="WL68" s="2554"/>
      <c r="WM68" s="2555">
        <v>0.5</v>
      </c>
      <c r="WN68" s="2555">
        <v>0.5</v>
      </c>
      <c r="WO68" s="2555">
        <v>0.56000000000000005</v>
      </c>
      <c r="WP68" s="2555">
        <v>0.34</v>
      </c>
      <c r="WQ68" s="2555"/>
      <c r="WR68" s="2555">
        <v>0.42</v>
      </c>
      <c r="WS68" s="2553">
        <v>2019</v>
      </c>
      <c r="WT68" s="2554"/>
      <c r="WU68" s="2555">
        <v>0.5</v>
      </c>
      <c r="WV68" s="2555">
        <v>0.5</v>
      </c>
      <c r="WW68" s="2555">
        <v>0.56000000000000005</v>
      </c>
      <c r="WX68" s="2555">
        <v>0.34</v>
      </c>
      <c r="WY68" s="2555"/>
      <c r="WZ68" s="2555">
        <v>0.42</v>
      </c>
      <c r="XA68" s="2553">
        <v>2019</v>
      </c>
      <c r="XB68" s="2554"/>
      <c r="XC68" s="2555">
        <v>0.5</v>
      </c>
      <c r="XD68" s="2555">
        <v>0.5</v>
      </c>
      <c r="XE68" s="2555">
        <v>0.56000000000000005</v>
      </c>
      <c r="XF68" s="2555">
        <v>0.34</v>
      </c>
      <c r="XG68" s="2555"/>
      <c r="XH68" s="2555">
        <v>0.42</v>
      </c>
      <c r="XI68" s="2553">
        <v>2019</v>
      </c>
      <c r="XJ68" s="2554"/>
      <c r="XK68" s="2555">
        <v>0.5</v>
      </c>
      <c r="XL68" s="2555">
        <v>0.5</v>
      </c>
      <c r="XM68" s="2555">
        <v>0.56000000000000005</v>
      </c>
      <c r="XN68" s="2555">
        <v>0.34</v>
      </c>
      <c r="XO68" s="2555"/>
      <c r="XP68" s="2555">
        <v>0.42</v>
      </c>
      <c r="XQ68" s="2553">
        <v>2019</v>
      </c>
      <c r="XR68" s="2554"/>
      <c r="XS68" s="2555">
        <v>0.5</v>
      </c>
      <c r="XT68" s="2555">
        <v>0.5</v>
      </c>
      <c r="XU68" s="2555">
        <v>0.56000000000000005</v>
      </c>
      <c r="XV68" s="2555">
        <v>0.34</v>
      </c>
      <c r="XW68" s="2555"/>
      <c r="XX68" s="2555">
        <v>0.42</v>
      </c>
      <c r="XY68" s="2553">
        <v>2019</v>
      </c>
      <c r="XZ68" s="2554"/>
      <c r="YA68" s="2555">
        <v>0.5</v>
      </c>
      <c r="YB68" s="2555">
        <v>0.5</v>
      </c>
      <c r="YC68" s="2555">
        <v>0.56000000000000005</v>
      </c>
      <c r="YD68" s="2555">
        <v>0.34</v>
      </c>
      <c r="YE68" s="2555"/>
      <c r="YF68" s="2555">
        <v>0.42</v>
      </c>
      <c r="YG68" s="2553">
        <v>2019</v>
      </c>
      <c r="YH68" s="2554"/>
      <c r="YI68" s="2555">
        <v>0.5</v>
      </c>
      <c r="YJ68" s="2555">
        <v>0.5</v>
      </c>
      <c r="YK68" s="2555">
        <v>0.56000000000000005</v>
      </c>
      <c r="YL68" s="2555">
        <v>0.34</v>
      </c>
      <c r="YM68" s="2555"/>
      <c r="YN68" s="2555">
        <v>0.42</v>
      </c>
      <c r="YO68" s="2553">
        <v>2019</v>
      </c>
      <c r="YP68" s="2554"/>
      <c r="YQ68" s="2555">
        <v>0.5</v>
      </c>
      <c r="YR68" s="2555">
        <v>0.5</v>
      </c>
      <c r="YS68" s="2555">
        <v>0.56000000000000005</v>
      </c>
      <c r="YT68" s="2555">
        <v>0.34</v>
      </c>
      <c r="YU68" s="2555"/>
      <c r="YV68" s="2555">
        <v>0.42</v>
      </c>
      <c r="YW68" s="2553">
        <v>2019</v>
      </c>
      <c r="YX68" s="2554"/>
      <c r="YY68" s="2555">
        <v>0.5</v>
      </c>
      <c r="YZ68" s="2555">
        <v>0.5</v>
      </c>
      <c r="ZA68" s="2555">
        <v>0.56000000000000005</v>
      </c>
      <c r="ZB68" s="2555">
        <v>0.34</v>
      </c>
      <c r="ZC68" s="2555"/>
      <c r="ZD68" s="2555">
        <v>0.42</v>
      </c>
      <c r="ZE68" s="2553">
        <v>2019</v>
      </c>
      <c r="ZF68" s="2554"/>
      <c r="ZG68" s="2555">
        <v>0.5</v>
      </c>
      <c r="ZH68" s="2555">
        <v>0.5</v>
      </c>
      <c r="ZI68" s="2555">
        <v>0.56000000000000005</v>
      </c>
      <c r="ZJ68" s="2555">
        <v>0.34</v>
      </c>
      <c r="ZK68" s="2555"/>
      <c r="ZL68" s="2555">
        <v>0.42</v>
      </c>
      <c r="ZM68" s="2553">
        <v>2019</v>
      </c>
      <c r="ZN68" s="2554"/>
      <c r="ZO68" s="2555">
        <v>0.5</v>
      </c>
      <c r="ZP68" s="2555">
        <v>0.5</v>
      </c>
      <c r="ZQ68" s="2555">
        <v>0.56000000000000005</v>
      </c>
      <c r="ZR68" s="2555">
        <v>0.34</v>
      </c>
      <c r="ZS68" s="2555"/>
      <c r="ZT68" s="2555">
        <v>0.42</v>
      </c>
      <c r="ZU68" s="2553">
        <v>2019</v>
      </c>
      <c r="ZV68" s="2554"/>
      <c r="ZW68" s="2555">
        <v>0.5</v>
      </c>
      <c r="ZX68" s="2555">
        <v>0.5</v>
      </c>
      <c r="ZY68" s="2555">
        <v>0.56000000000000005</v>
      </c>
      <c r="ZZ68" s="2555">
        <v>0.34</v>
      </c>
      <c r="AAA68" s="2555"/>
      <c r="AAB68" s="2555">
        <v>0.42</v>
      </c>
      <c r="AAC68" s="2553">
        <v>2019</v>
      </c>
      <c r="AAD68" s="2554"/>
      <c r="AAE68" s="2555">
        <v>0.5</v>
      </c>
      <c r="AAF68" s="2555">
        <v>0.5</v>
      </c>
      <c r="AAG68" s="2555">
        <v>0.56000000000000005</v>
      </c>
      <c r="AAH68" s="2555">
        <v>0.34</v>
      </c>
      <c r="AAI68" s="2555"/>
      <c r="AAJ68" s="2555">
        <v>0.42</v>
      </c>
      <c r="AAK68" s="2553">
        <v>2019</v>
      </c>
      <c r="AAL68" s="2554"/>
      <c r="AAM68" s="2555">
        <v>0.5</v>
      </c>
      <c r="AAN68" s="2555">
        <v>0.5</v>
      </c>
      <c r="AAO68" s="2555">
        <v>0.56000000000000005</v>
      </c>
      <c r="AAP68" s="2555">
        <v>0.34</v>
      </c>
      <c r="AAQ68" s="2555"/>
      <c r="AAR68" s="2555">
        <v>0.42</v>
      </c>
      <c r="AAS68" s="2553">
        <v>2019</v>
      </c>
      <c r="AAT68" s="2554"/>
      <c r="AAU68" s="2555">
        <v>0.5</v>
      </c>
      <c r="AAV68" s="2555">
        <v>0.5</v>
      </c>
      <c r="AAW68" s="2555">
        <v>0.56000000000000005</v>
      </c>
      <c r="AAX68" s="2555">
        <v>0.34</v>
      </c>
      <c r="AAY68" s="2555"/>
      <c r="AAZ68" s="2555">
        <v>0.42</v>
      </c>
      <c r="ABA68" s="2553">
        <v>2019</v>
      </c>
      <c r="ABB68" s="2554"/>
      <c r="ABC68" s="2555">
        <v>0.5</v>
      </c>
      <c r="ABD68" s="2555">
        <v>0.5</v>
      </c>
      <c r="ABE68" s="2555">
        <v>0.56000000000000005</v>
      </c>
      <c r="ABF68" s="2555">
        <v>0.34</v>
      </c>
      <c r="ABG68" s="2555"/>
      <c r="ABH68" s="2555">
        <v>0.42</v>
      </c>
      <c r="ABI68" s="2553">
        <v>2019</v>
      </c>
      <c r="ABJ68" s="2554"/>
      <c r="ABK68" s="2555">
        <v>0.5</v>
      </c>
      <c r="ABL68" s="2555">
        <v>0.5</v>
      </c>
      <c r="ABM68" s="2555">
        <v>0.56000000000000005</v>
      </c>
      <c r="ABN68" s="2555">
        <v>0.34</v>
      </c>
      <c r="ABO68" s="2555"/>
      <c r="ABP68" s="2555">
        <v>0.42</v>
      </c>
      <c r="ABQ68" s="2553">
        <v>2019</v>
      </c>
      <c r="ABR68" s="2554"/>
      <c r="ABS68" s="2555">
        <v>0.5</v>
      </c>
      <c r="ABT68" s="2555">
        <v>0.5</v>
      </c>
      <c r="ABU68" s="2555">
        <v>0.56000000000000005</v>
      </c>
      <c r="ABV68" s="2555">
        <v>0.34</v>
      </c>
      <c r="ABW68" s="2555"/>
      <c r="ABX68" s="2555">
        <v>0.42</v>
      </c>
      <c r="ABY68" s="2553">
        <v>2019</v>
      </c>
      <c r="ABZ68" s="2554"/>
      <c r="ACA68" s="2555">
        <v>0.5</v>
      </c>
      <c r="ACB68" s="2555">
        <v>0.5</v>
      </c>
      <c r="ACC68" s="2555">
        <v>0.56000000000000005</v>
      </c>
      <c r="ACD68" s="2555">
        <v>0.34</v>
      </c>
      <c r="ACE68" s="2555"/>
      <c r="ACF68" s="2555">
        <v>0.42</v>
      </c>
      <c r="ACG68" s="2553">
        <v>2019</v>
      </c>
      <c r="ACH68" s="2554"/>
      <c r="ACI68" s="2555">
        <v>0.5</v>
      </c>
      <c r="ACJ68" s="2555">
        <v>0.5</v>
      </c>
      <c r="ACK68" s="2555">
        <v>0.56000000000000005</v>
      </c>
      <c r="ACL68" s="2555">
        <v>0.34</v>
      </c>
      <c r="ACM68" s="2555"/>
      <c r="ACN68" s="2555">
        <v>0.42</v>
      </c>
      <c r="ACO68" s="2553">
        <v>2019</v>
      </c>
      <c r="ACP68" s="2554"/>
      <c r="ACQ68" s="2555">
        <v>0.5</v>
      </c>
      <c r="ACR68" s="2555">
        <v>0.5</v>
      </c>
      <c r="ACS68" s="2555">
        <v>0.56000000000000005</v>
      </c>
      <c r="ACT68" s="2555">
        <v>0.34</v>
      </c>
      <c r="ACU68" s="2555"/>
      <c r="ACV68" s="2555">
        <v>0.42</v>
      </c>
      <c r="ACW68" s="2553">
        <v>2019</v>
      </c>
      <c r="ACX68" s="2554"/>
      <c r="ACY68" s="2555">
        <v>0.5</v>
      </c>
      <c r="ACZ68" s="2555">
        <v>0.5</v>
      </c>
      <c r="ADA68" s="2555">
        <v>0.56000000000000005</v>
      </c>
      <c r="ADB68" s="2555">
        <v>0.34</v>
      </c>
      <c r="ADC68" s="2555"/>
      <c r="ADD68" s="2555">
        <v>0.42</v>
      </c>
      <c r="ADE68" s="2553">
        <v>2019</v>
      </c>
      <c r="ADF68" s="2554"/>
      <c r="ADG68" s="2555">
        <v>0.5</v>
      </c>
      <c r="ADH68" s="2555">
        <v>0.5</v>
      </c>
      <c r="ADI68" s="2555">
        <v>0.56000000000000005</v>
      </c>
      <c r="ADJ68" s="2555">
        <v>0.34</v>
      </c>
      <c r="ADK68" s="2555"/>
      <c r="ADL68" s="2555">
        <v>0.42</v>
      </c>
      <c r="ADM68" s="2553">
        <v>2019</v>
      </c>
      <c r="ADN68" s="2554"/>
      <c r="ADO68" s="2555">
        <v>0.5</v>
      </c>
      <c r="ADP68" s="2555">
        <v>0.5</v>
      </c>
      <c r="ADQ68" s="2555">
        <v>0.56000000000000005</v>
      </c>
      <c r="ADR68" s="2555">
        <v>0.34</v>
      </c>
      <c r="ADS68" s="2555"/>
      <c r="ADT68" s="2555">
        <v>0.42</v>
      </c>
      <c r="ADU68" s="2553">
        <v>2019</v>
      </c>
      <c r="ADV68" s="2554"/>
      <c r="ADW68" s="2555">
        <v>0.5</v>
      </c>
      <c r="ADX68" s="2555">
        <v>0.5</v>
      </c>
      <c r="ADY68" s="2555">
        <v>0.56000000000000005</v>
      </c>
      <c r="ADZ68" s="2555">
        <v>0.34</v>
      </c>
      <c r="AEA68" s="2555"/>
      <c r="AEB68" s="2555">
        <v>0.42</v>
      </c>
      <c r="AEC68" s="2553">
        <v>2019</v>
      </c>
      <c r="AED68" s="2554"/>
      <c r="AEE68" s="2555">
        <v>0.5</v>
      </c>
      <c r="AEF68" s="2555">
        <v>0.5</v>
      </c>
      <c r="AEG68" s="2555">
        <v>0.56000000000000005</v>
      </c>
      <c r="AEH68" s="2555">
        <v>0.34</v>
      </c>
      <c r="AEI68" s="2555"/>
      <c r="AEJ68" s="2555">
        <v>0.42</v>
      </c>
      <c r="AEK68" s="2553">
        <v>2019</v>
      </c>
      <c r="AEL68" s="2554"/>
      <c r="AEM68" s="2555">
        <v>0.5</v>
      </c>
      <c r="AEN68" s="2555">
        <v>0.5</v>
      </c>
      <c r="AEO68" s="2555">
        <v>0.56000000000000005</v>
      </c>
      <c r="AEP68" s="2555">
        <v>0.34</v>
      </c>
      <c r="AEQ68" s="2555"/>
      <c r="AER68" s="2555">
        <v>0.42</v>
      </c>
      <c r="AES68" s="2553">
        <v>2019</v>
      </c>
      <c r="AET68" s="2554"/>
      <c r="AEU68" s="2555">
        <v>0.5</v>
      </c>
      <c r="AEV68" s="2555">
        <v>0.5</v>
      </c>
      <c r="AEW68" s="2555">
        <v>0.56000000000000005</v>
      </c>
      <c r="AEX68" s="2555">
        <v>0.34</v>
      </c>
      <c r="AEY68" s="2555"/>
      <c r="AEZ68" s="2555">
        <v>0.42</v>
      </c>
      <c r="AFA68" s="2553">
        <v>2019</v>
      </c>
      <c r="AFB68" s="2554"/>
      <c r="AFC68" s="2555">
        <v>0.5</v>
      </c>
      <c r="AFD68" s="2555">
        <v>0.5</v>
      </c>
      <c r="AFE68" s="2555">
        <v>0.56000000000000005</v>
      </c>
      <c r="AFF68" s="2555">
        <v>0.34</v>
      </c>
      <c r="AFG68" s="2555"/>
      <c r="AFH68" s="2555">
        <v>0.42</v>
      </c>
      <c r="AFI68" s="2553">
        <v>2019</v>
      </c>
      <c r="AFJ68" s="2554"/>
      <c r="AFK68" s="2555">
        <v>0.5</v>
      </c>
      <c r="AFL68" s="2555">
        <v>0.5</v>
      </c>
      <c r="AFM68" s="2555">
        <v>0.56000000000000005</v>
      </c>
      <c r="AFN68" s="2555">
        <v>0.34</v>
      </c>
      <c r="AFO68" s="2555"/>
      <c r="AFP68" s="2555">
        <v>0.42</v>
      </c>
      <c r="AFQ68" s="2553">
        <v>2019</v>
      </c>
      <c r="AFR68" s="2554"/>
      <c r="AFS68" s="2555">
        <v>0.5</v>
      </c>
      <c r="AFT68" s="2555">
        <v>0.5</v>
      </c>
      <c r="AFU68" s="2555">
        <v>0.56000000000000005</v>
      </c>
      <c r="AFV68" s="2555">
        <v>0.34</v>
      </c>
      <c r="AFW68" s="2555"/>
      <c r="AFX68" s="2555">
        <v>0.42</v>
      </c>
      <c r="AFY68" s="2553">
        <v>2019</v>
      </c>
      <c r="AFZ68" s="2554"/>
      <c r="AGA68" s="2555">
        <v>0.5</v>
      </c>
      <c r="AGB68" s="2555">
        <v>0.5</v>
      </c>
      <c r="AGC68" s="2555">
        <v>0.56000000000000005</v>
      </c>
      <c r="AGD68" s="2555">
        <v>0.34</v>
      </c>
      <c r="AGE68" s="2555"/>
      <c r="AGF68" s="2555">
        <v>0.42</v>
      </c>
      <c r="AGG68" s="2553">
        <v>2019</v>
      </c>
      <c r="AGH68" s="2554"/>
      <c r="AGI68" s="2555">
        <v>0.5</v>
      </c>
      <c r="AGJ68" s="2555">
        <v>0.5</v>
      </c>
      <c r="AGK68" s="2555">
        <v>0.56000000000000005</v>
      </c>
      <c r="AGL68" s="2555">
        <v>0.34</v>
      </c>
      <c r="AGM68" s="2555"/>
      <c r="AGN68" s="2555">
        <v>0.42</v>
      </c>
      <c r="AGO68" s="2553">
        <v>2019</v>
      </c>
      <c r="AGP68" s="2554"/>
      <c r="AGQ68" s="2555">
        <v>0.5</v>
      </c>
      <c r="AGR68" s="2555">
        <v>0.5</v>
      </c>
      <c r="AGS68" s="2555">
        <v>0.56000000000000005</v>
      </c>
      <c r="AGT68" s="2555">
        <v>0.34</v>
      </c>
      <c r="AGU68" s="2555"/>
      <c r="AGV68" s="2555">
        <v>0.42</v>
      </c>
      <c r="AGW68" s="2553">
        <v>2019</v>
      </c>
      <c r="AGX68" s="2554"/>
      <c r="AGY68" s="2555">
        <v>0.5</v>
      </c>
      <c r="AGZ68" s="2555">
        <v>0.5</v>
      </c>
      <c r="AHA68" s="2555">
        <v>0.56000000000000005</v>
      </c>
      <c r="AHB68" s="2555">
        <v>0.34</v>
      </c>
      <c r="AHC68" s="2555"/>
      <c r="AHD68" s="2555">
        <v>0.42</v>
      </c>
      <c r="AHE68" s="2553">
        <v>2019</v>
      </c>
      <c r="AHF68" s="2554"/>
      <c r="AHG68" s="2555">
        <v>0.5</v>
      </c>
      <c r="AHH68" s="2555">
        <v>0.5</v>
      </c>
      <c r="AHI68" s="2555">
        <v>0.56000000000000005</v>
      </c>
      <c r="AHJ68" s="2555">
        <v>0.34</v>
      </c>
      <c r="AHK68" s="2555"/>
      <c r="AHL68" s="2555">
        <v>0.42</v>
      </c>
      <c r="AHM68" s="2553">
        <v>2019</v>
      </c>
      <c r="AHN68" s="2554"/>
      <c r="AHO68" s="2555">
        <v>0.5</v>
      </c>
      <c r="AHP68" s="2555">
        <v>0.5</v>
      </c>
      <c r="AHQ68" s="2555">
        <v>0.56000000000000005</v>
      </c>
      <c r="AHR68" s="2555">
        <v>0.34</v>
      </c>
      <c r="AHS68" s="2555"/>
      <c r="AHT68" s="2555">
        <v>0.42</v>
      </c>
      <c r="AHU68" s="2553">
        <v>2019</v>
      </c>
      <c r="AHV68" s="2554"/>
      <c r="AHW68" s="2555">
        <v>0.5</v>
      </c>
      <c r="AHX68" s="2555">
        <v>0.5</v>
      </c>
      <c r="AHY68" s="2555">
        <v>0.56000000000000005</v>
      </c>
      <c r="AHZ68" s="2555">
        <v>0.34</v>
      </c>
      <c r="AIA68" s="2555"/>
      <c r="AIB68" s="2555">
        <v>0.42</v>
      </c>
      <c r="AIC68" s="2553">
        <v>2019</v>
      </c>
      <c r="AID68" s="2554"/>
      <c r="AIE68" s="2555">
        <v>0.5</v>
      </c>
      <c r="AIF68" s="2555">
        <v>0.5</v>
      </c>
      <c r="AIG68" s="2555">
        <v>0.56000000000000005</v>
      </c>
      <c r="AIH68" s="2555">
        <v>0.34</v>
      </c>
      <c r="AII68" s="2555"/>
      <c r="AIJ68" s="2555">
        <v>0.42</v>
      </c>
      <c r="AIK68" s="2553">
        <v>2019</v>
      </c>
      <c r="AIL68" s="2554"/>
      <c r="AIM68" s="2555">
        <v>0.5</v>
      </c>
      <c r="AIN68" s="2555">
        <v>0.5</v>
      </c>
      <c r="AIO68" s="2555">
        <v>0.56000000000000005</v>
      </c>
      <c r="AIP68" s="2555">
        <v>0.34</v>
      </c>
      <c r="AIQ68" s="2555"/>
      <c r="AIR68" s="2555">
        <v>0.42</v>
      </c>
      <c r="AIS68" s="2553">
        <v>2019</v>
      </c>
      <c r="AIT68" s="2554"/>
      <c r="AIU68" s="2555">
        <v>0.5</v>
      </c>
      <c r="AIV68" s="2555">
        <v>0.5</v>
      </c>
      <c r="AIW68" s="2555">
        <v>0.56000000000000005</v>
      </c>
      <c r="AIX68" s="2555">
        <v>0.34</v>
      </c>
      <c r="AIY68" s="2555"/>
      <c r="AIZ68" s="2555">
        <v>0.42</v>
      </c>
      <c r="AJA68" s="2553">
        <v>2019</v>
      </c>
      <c r="AJB68" s="2554"/>
      <c r="AJC68" s="2555">
        <v>0.5</v>
      </c>
      <c r="AJD68" s="2555">
        <v>0.5</v>
      </c>
      <c r="AJE68" s="2555">
        <v>0.56000000000000005</v>
      </c>
      <c r="AJF68" s="2555">
        <v>0.34</v>
      </c>
      <c r="AJG68" s="2555"/>
      <c r="AJH68" s="2555">
        <v>0.42</v>
      </c>
      <c r="AJI68" s="2553">
        <v>2019</v>
      </c>
      <c r="AJJ68" s="2554"/>
      <c r="AJK68" s="2555">
        <v>0.5</v>
      </c>
      <c r="AJL68" s="2555">
        <v>0.5</v>
      </c>
      <c r="AJM68" s="2555">
        <v>0.56000000000000005</v>
      </c>
      <c r="AJN68" s="2555">
        <v>0.34</v>
      </c>
      <c r="AJO68" s="2555"/>
      <c r="AJP68" s="2555">
        <v>0.42</v>
      </c>
      <c r="AJQ68" s="2553">
        <v>2019</v>
      </c>
      <c r="AJR68" s="2554"/>
      <c r="AJS68" s="2555">
        <v>0.5</v>
      </c>
      <c r="AJT68" s="2555">
        <v>0.5</v>
      </c>
      <c r="AJU68" s="2555">
        <v>0.56000000000000005</v>
      </c>
      <c r="AJV68" s="2555">
        <v>0.34</v>
      </c>
      <c r="AJW68" s="2555"/>
      <c r="AJX68" s="2555">
        <v>0.42</v>
      </c>
      <c r="AJY68" s="2553">
        <v>2019</v>
      </c>
      <c r="AJZ68" s="2554"/>
      <c r="AKA68" s="2555">
        <v>0.5</v>
      </c>
      <c r="AKB68" s="2555">
        <v>0.5</v>
      </c>
      <c r="AKC68" s="2555">
        <v>0.56000000000000005</v>
      </c>
      <c r="AKD68" s="2555">
        <v>0.34</v>
      </c>
      <c r="AKE68" s="2555"/>
      <c r="AKF68" s="2555">
        <v>0.42</v>
      </c>
      <c r="AKG68" s="2553">
        <v>2019</v>
      </c>
      <c r="AKH68" s="2554"/>
      <c r="AKI68" s="2555">
        <v>0.5</v>
      </c>
      <c r="AKJ68" s="2555">
        <v>0.5</v>
      </c>
      <c r="AKK68" s="2555">
        <v>0.56000000000000005</v>
      </c>
      <c r="AKL68" s="2555">
        <v>0.34</v>
      </c>
      <c r="AKM68" s="2555"/>
      <c r="AKN68" s="2555">
        <v>0.42</v>
      </c>
      <c r="AKO68" s="2553">
        <v>2019</v>
      </c>
      <c r="AKP68" s="2554"/>
      <c r="AKQ68" s="2555">
        <v>0.5</v>
      </c>
      <c r="AKR68" s="2555">
        <v>0.5</v>
      </c>
      <c r="AKS68" s="2555">
        <v>0.56000000000000005</v>
      </c>
      <c r="AKT68" s="2555">
        <v>0.34</v>
      </c>
      <c r="AKU68" s="2555"/>
      <c r="AKV68" s="2555">
        <v>0.42</v>
      </c>
      <c r="AKW68" s="2553">
        <v>2019</v>
      </c>
      <c r="AKX68" s="2554"/>
      <c r="AKY68" s="2555">
        <v>0.5</v>
      </c>
      <c r="AKZ68" s="2555">
        <v>0.5</v>
      </c>
      <c r="ALA68" s="2555">
        <v>0.56000000000000005</v>
      </c>
      <c r="ALB68" s="2555">
        <v>0.34</v>
      </c>
      <c r="ALC68" s="2555"/>
      <c r="ALD68" s="2555">
        <v>0.42</v>
      </c>
      <c r="ALE68" s="2553">
        <v>2019</v>
      </c>
      <c r="ALF68" s="2554"/>
      <c r="ALG68" s="2555">
        <v>0.5</v>
      </c>
      <c r="ALH68" s="2555">
        <v>0.5</v>
      </c>
      <c r="ALI68" s="2555">
        <v>0.56000000000000005</v>
      </c>
      <c r="ALJ68" s="2555">
        <v>0.34</v>
      </c>
      <c r="ALK68" s="2555"/>
      <c r="ALL68" s="2555">
        <v>0.42</v>
      </c>
      <c r="ALM68" s="2553">
        <v>2019</v>
      </c>
      <c r="ALN68" s="2554"/>
      <c r="ALO68" s="2555">
        <v>0.5</v>
      </c>
      <c r="ALP68" s="2555">
        <v>0.5</v>
      </c>
      <c r="ALQ68" s="2555">
        <v>0.56000000000000005</v>
      </c>
      <c r="ALR68" s="2555">
        <v>0.34</v>
      </c>
      <c r="ALS68" s="2555"/>
      <c r="ALT68" s="2555">
        <v>0.42</v>
      </c>
      <c r="ALU68" s="2553">
        <v>2019</v>
      </c>
      <c r="ALV68" s="2554"/>
      <c r="ALW68" s="2555">
        <v>0.5</v>
      </c>
      <c r="ALX68" s="2555">
        <v>0.5</v>
      </c>
      <c r="ALY68" s="2555">
        <v>0.56000000000000005</v>
      </c>
      <c r="ALZ68" s="2555">
        <v>0.34</v>
      </c>
      <c r="AMA68" s="2555"/>
      <c r="AMB68" s="2555">
        <v>0.42</v>
      </c>
      <c r="AMC68" s="2553">
        <v>2019</v>
      </c>
      <c r="AMD68" s="2554"/>
      <c r="AME68" s="2555">
        <v>0.5</v>
      </c>
      <c r="AMF68" s="2555">
        <v>0.5</v>
      </c>
      <c r="AMG68" s="2555">
        <v>0.56000000000000005</v>
      </c>
      <c r="AMH68" s="2555">
        <v>0.34</v>
      </c>
      <c r="AMI68" s="2555"/>
      <c r="AMJ68" s="2555">
        <v>0.42</v>
      </c>
      <c r="AMK68" s="2553">
        <v>2019</v>
      </c>
      <c r="AML68" s="2554"/>
      <c r="AMM68" s="2555">
        <v>0.5</v>
      </c>
      <c r="AMN68" s="2555">
        <v>0.5</v>
      </c>
      <c r="AMO68" s="2555">
        <v>0.56000000000000005</v>
      </c>
      <c r="AMP68" s="2555">
        <v>0.34</v>
      </c>
      <c r="AMQ68" s="2555"/>
      <c r="AMR68" s="2555">
        <v>0.42</v>
      </c>
      <c r="AMS68" s="2553">
        <v>2019</v>
      </c>
      <c r="AMT68" s="2554"/>
      <c r="AMU68" s="2555">
        <v>0.5</v>
      </c>
      <c r="AMV68" s="2555">
        <v>0.5</v>
      </c>
      <c r="AMW68" s="2555">
        <v>0.56000000000000005</v>
      </c>
      <c r="AMX68" s="2555">
        <v>0.34</v>
      </c>
      <c r="AMY68" s="2555"/>
      <c r="AMZ68" s="2555">
        <v>0.42</v>
      </c>
      <c r="ANA68" s="2553">
        <v>2019</v>
      </c>
      <c r="ANB68" s="2554"/>
      <c r="ANC68" s="2555">
        <v>0.5</v>
      </c>
      <c r="AND68" s="2555">
        <v>0.5</v>
      </c>
      <c r="ANE68" s="2555">
        <v>0.56000000000000005</v>
      </c>
      <c r="ANF68" s="2555">
        <v>0.34</v>
      </c>
      <c r="ANG68" s="2555"/>
      <c r="ANH68" s="2555">
        <v>0.42</v>
      </c>
      <c r="ANI68" s="2553">
        <v>2019</v>
      </c>
      <c r="ANJ68" s="2554"/>
      <c r="ANK68" s="2555">
        <v>0.5</v>
      </c>
      <c r="ANL68" s="2555">
        <v>0.5</v>
      </c>
      <c r="ANM68" s="2555">
        <v>0.56000000000000005</v>
      </c>
      <c r="ANN68" s="2555">
        <v>0.34</v>
      </c>
      <c r="ANO68" s="2555"/>
      <c r="ANP68" s="2555">
        <v>0.42</v>
      </c>
      <c r="ANQ68" s="2553">
        <v>2019</v>
      </c>
      <c r="ANR68" s="2554"/>
      <c r="ANS68" s="2555">
        <v>0.5</v>
      </c>
      <c r="ANT68" s="2555">
        <v>0.5</v>
      </c>
      <c r="ANU68" s="2555">
        <v>0.56000000000000005</v>
      </c>
      <c r="ANV68" s="2555">
        <v>0.34</v>
      </c>
      <c r="ANW68" s="2555"/>
      <c r="ANX68" s="2555">
        <v>0.42</v>
      </c>
      <c r="ANY68" s="2553">
        <v>2019</v>
      </c>
      <c r="ANZ68" s="2554"/>
      <c r="AOA68" s="2555">
        <v>0.5</v>
      </c>
      <c r="AOB68" s="2555">
        <v>0.5</v>
      </c>
      <c r="AOC68" s="2555">
        <v>0.56000000000000005</v>
      </c>
      <c r="AOD68" s="2555">
        <v>0.34</v>
      </c>
      <c r="AOE68" s="2555"/>
      <c r="AOF68" s="2555">
        <v>0.42</v>
      </c>
      <c r="AOG68" s="2553">
        <v>2019</v>
      </c>
      <c r="AOH68" s="2554"/>
      <c r="AOI68" s="2555">
        <v>0.5</v>
      </c>
      <c r="AOJ68" s="2555">
        <v>0.5</v>
      </c>
      <c r="AOK68" s="2555">
        <v>0.56000000000000005</v>
      </c>
      <c r="AOL68" s="2555">
        <v>0.34</v>
      </c>
      <c r="AOM68" s="2555"/>
      <c r="AON68" s="2555">
        <v>0.42</v>
      </c>
      <c r="AOO68" s="2553">
        <v>2019</v>
      </c>
      <c r="AOP68" s="2554"/>
      <c r="AOQ68" s="2555">
        <v>0.5</v>
      </c>
      <c r="AOR68" s="2555">
        <v>0.5</v>
      </c>
      <c r="AOS68" s="2555">
        <v>0.56000000000000005</v>
      </c>
      <c r="AOT68" s="2555">
        <v>0.34</v>
      </c>
      <c r="AOU68" s="2555"/>
      <c r="AOV68" s="2555">
        <v>0.42</v>
      </c>
      <c r="AOW68" s="2553">
        <v>2019</v>
      </c>
      <c r="AOX68" s="2554"/>
      <c r="AOY68" s="2555">
        <v>0.5</v>
      </c>
      <c r="AOZ68" s="2555">
        <v>0.5</v>
      </c>
      <c r="APA68" s="2555">
        <v>0.56000000000000005</v>
      </c>
      <c r="APB68" s="2555">
        <v>0.34</v>
      </c>
      <c r="APC68" s="2555"/>
      <c r="APD68" s="2555">
        <v>0.42</v>
      </c>
      <c r="APE68" s="2553">
        <v>2019</v>
      </c>
      <c r="APF68" s="2554"/>
      <c r="APG68" s="2555">
        <v>0.5</v>
      </c>
      <c r="APH68" s="2555">
        <v>0.5</v>
      </c>
      <c r="API68" s="2555">
        <v>0.56000000000000005</v>
      </c>
      <c r="APJ68" s="2555">
        <v>0.34</v>
      </c>
      <c r="APK68" s="2555"/>
      <c r="APL68" s="2555">
        <v>0.42</v>
      </c>
      <c r="APM68" s="2553">
        <v>2019</v>
      </c>
      <c r="APN68" s="2554"/>
      <c r="APO68" s="2555">
        <v>0.5</v>
      </c>
      <c r="APP68" s="2555">
        <v>0.5</v>
      </c>
      <c r="APQ68" s="2555">
        <v>0.56000000000000005</v>
      </c>
      <c r="APR68" s="2555">
        <v>0.34</v>
      </c>
      <c r="APS68" s="2555"/>
      <c r="APT68" s="2555">
        <v>0.42</v>
      </c>
      <c r="APU68" s="2553">
        <v>2019</v>
      </c>
      <c r="APV68" s="2554"/>
      <c r="APW68" s="2555">
        <v>0.5</v>
      </c>
      <c r="APX68" s="2555">
        <v>0.5</v>
      </c>
      <c r="APY68" s="2555">
        <v>0.56000000000000005</v>
      </c>
      <c r="APZ68" s="2555">
        <v>0.34</v>
      </c>
      <c r="AQA68" s="2555"/>
      <c r="AQB68" s="2555">
        <v>0.42</v>
      </c>
      <c r="AQC68" s="2553">
        <v>2019</v>
      </c>
      <c r="AQD68" s="2554"/>
      <c r="AQE68" s="2555">
        <v>0.5</v>
      </c>
      <c r="AQF68" s="2555">
        <v>0.5</v>
      </c>
      <c r="AQG68" s="2555">
        <v>0.56000000000000005</v>
      </c>
      <c r="AQH68" s="2555">
        <v>0.34</v>
      </c>
      <c r="AQI68" s="2555"/>
      <c r="AQJ68" s="2555">
        <v>0.42</v>
      </c>
      <c r="AQK68" s="2553">
        <v>2019</v>
      </c>
      <c r="AQL68" s="2554"/>
      <c r="AQM68" s="2555">
        <v>0.5</v>
      </c>
      <c r="AQN68" s="2555">
        <v>0.5</v>
      </c>
      <c r="AQO68" s="2555">
        <v>0.56000000000000005</v>
      </c>
      <c r="AQP68" s="2555">
        <v>0.34</v>
      </c>
      <c r="AQQ68" s="2555"/>
      <c r="AQR68" s="2555">
        <v>0.42</v>
      </c>
      <c r="AQS68" s="2553">
        <v>2019</v>
      </c>
      <c r="AQT68" s="2554"/>
      <c r="AQU68" s="2555">
        <v>0.5</v>
      </c>
      <c r="AQV68" s="2555">
        <v>0.5</v>
      </c>
      <c r="AQW68" s="2555">
        <v>0.56000000000000005</v>
      </c>
      <c r="AQX68" s="2555">
        <v>0.34</v>
      </c>
      <c r="AQY68" s="2555"/>
      <c r="AQZ68" s="2555">
        <v>0.42</v>
      </c>
      <c r="ARA68" s="2553">
        <v>2019</v>
      </c>
      <c r="ARB68" s="2554"/>
      <c r="ARC68" s="2555">
        <v>0.5</v>
      </c>
      <c r="ARD68" s="2555">
        <v>0.5</v>
      </c>
      <c r="ARE68" s="2555">
        <v>0.56000000000000005</v>
      </c>
      <c r="ARF68" s="2555">
        <v>0.34</v>
      </c>
      <c r="ARG68" s="2555"/>
      <c r="ARH68" s="2555">
        <v>0.42</v>
      </c>
      <c r="ARI68" s="2553">
        <v>2019</v>
      </c>
      <c r="ARJ68" s="2554"/>
      <c r="ARK68" s="2555">
        <v>0.5</v>
      </c>
      <c r="ARL68" s="2555">
        <v>0.5</v>
      </c>
      <c r="ARM68" s="2555">
        <v>0.56000000000000005</v>
      </c>
      <c r="ARN68" s="2555">
        <v>0.34</v>
      </c>
      <c r="ARO68" s="2555"/>
      <c r="ARP68" s="2555">
        <v>0.42</v>
      </c>
      <c r="ARQ68" s="2553">
        <v>2019</v>
      </c>
      <c r="ARR68" s="2554"/>
      <c r="ARS68" s="2555">
        <v>0.5</v>
      </c>
      <c r="ART68" s="2555">
        <v>0.5</v>
      </c>
      <c r="ARU68" s="2555">
        <v>0.56000000000000005</v>
      </c>
      <c r="ARV68" s="2555">
        <v>0.34</v>
      </c>
      <c r="ARW68" s="2555"/>
      <c r="ARX68" s="2555">
        <v>0.42</v>
      </c>
      <c r="ARY68" s="2553">
        <v>2019</v>
      </c>
      <c r="ARZ68" s="2554"/>
      <c r="ASA68" s="2555">
        <v>0.5</v>
      </c>
      <c r="ASB68" s="2555">
        <v>0.5</v>
      </c>
      <c r="ASC68" s="2555">
        <v>0.56000000000000005</v>
      </c>
      <c r="ASD68" s="2555">
        <v>0.34</v>
      </c>
      <c r="ASE68" s="2555"/>
      <c r="ASF68" s="2555">
        <v>0.42</v>
      </c>
      <c r="ASG68" s="2553">
        <v>2019</v>
      </c>
      <c r="ASH68" s="2554"/>
      <c r="ASI68" s="2555">
        <v>0.5</v>
      </c>
      <c r="ASJ68" s="2555">
        <v>0.5</v>
      </c>
      <c r="ASK68" s="2555">
        <v>0.56000000000000005</v>
      </c>
      <c r="ASL68" s="2555">
        <v>0.34</v>
      </c>
      <c r="ASM68" s="2555"/>
      <c r="ASN68" s="2555">
        <v>0.42</v>
      </c>
      <c r="ASO68" s="2553">
        <v>2019</v>
      </c>
      <c r="ASP68" s="2554"/>
      <c r="ASQ68" s="2555">
        <v>0.5</v>
      </c>
      <c r="ASR68" s="2555">
        <v>0.5</v>
      </c>
      <c r="ASS68" s="2555">
        <v>0.56000000000000005</v>
      </c>
      <c r="AST68" s="2555">
        <v>0.34</v>
      </c>
      <c r="ASU68" s="2555"/>
      <c r="ASV68" s="2555">
        <v>0.42</v>
      </c>
      <c r="ASW68" s="2553">
        <v>2019</v>
      </c>
      <c r="ASX68" s="2554"/>
      <c r="ASY68" s="2555">
        <v>0.5</v>
      </c>
      <c r="ASZ68" s="2555">
        <v>0.5</v>
      </c>
      <c r="ATA68" s="2555">
        <v>0.56000000000000005</v>
      </c>
      <c r="ATB68" s="2555">
        <v>0.34</v>
      </c>
      <c r="ATC68" s="2555"/>
      <c r="ATD68" s="2555">
        <v>0.42</v>
      </c>
      <c r="ATE68" s="2553">
        <v>2019</v>
      </c>
      <c r="ATF68" s="2554"/>
      <c r="ATG68" s="2555">
        <v>0.5</v>
      </c>
      <c r="ATH68" s="2555">
        <v>0.5</v>
      </c>
      <c r="ATI68" s="2555">
        <v>0.56000000000000005</v>
      </c>
      <c r="ATJ68" s="2555">
        <v>0.34</v>
      </c>
      <c r="ATK68" s="2555"/>
      <c r="ATL68" s="2555">
        <v>0.42</v>
      </c>
      <c r="ATM68" s="2553">
        <v>2019</v>
      </c>
      <c r="ATN68" s="2554"/>
      <c r="ATO68" s="2555">
        <v>0.5</v>
      </c>
      <c r="ATP68" s="2555">
        <v>0.5</v>
      </c>
      <c r="ATQ68" s="2555">
        <v>0.56000000000000005</v>
      </c>
      <c r="ATR68" s="2555">
        <v>0.34</v>
      </c>
      <c r="ATS68" s="2555"/>
      <c r="ATT68" s="2555">
        <v>0.42</v>
      </c>
      <c r="ATU68" s="2553">
        <v>2019</v>
      </c>
      <c r="ATV68" s="2554"/>
      <c r="ATW68" s="2555">
        <v>0.5</v>
      </c>
      <c r="ATX68" s="2555">
        <v>0.5</v>
      </c>
      <c r="ATY68" s="2555">
        <v>0.56000000000000005</v>
      </c>
      <c r="ATZ68" s="2555">
        <v>0.34</v>
      </c>
      <c r="AUA68" s="2555"/>
      <c r="AUB68" s="2555">
        <v>0.42</v>
      </c>
      <c r="AUC68" s="2553">
        <v>2019</v>
      </c>
      <c r="AUD68" s="2554"/>
      <c r="AUE68" s="2555">
        <v>0.5</v>
      </c>
      <c r="AUF68" s="2555">
        <v>0.5</v>
      </c>
      <c r="AUG68" s="2555">
        <v>0.56000000000000005</v>
      </c>
      <c r="AUH68" s="2555">
        <v>0.34</v>
      </c>
      <c r="AUI68" s="2555"/>
      <c r="AUJ68" s="2555">
        <v>0.42</v>
      </c>
      <c r="AUK68" s="2553">
        <v>2019</v>
      </c>
      <c r="AUL68" s="2554"/>
      <c r="AUM68" s="2555">
        <v>0.5</v>
      </c>
      <c r="AUN68" s="2555">
        <v>0.5</v>
      </c>
      <c r="AUO68" s="2555">
        <v>0.56000000000000005</v>
      </c>
      <c r="AUP68" s="2555">
        <v>0.34</v>
      </c>
      <c r="AUQ68" s="2555"/>
      <c r="AUR68" s="2555">
        <v>0.42</v>
      </c>
      <c r="AUS68" s="2553">
        <v>2019</v>
      </c>
      <c r="AUT68" s="2554"/>
      <c r="AUU68" s="2555">
        <v>0.5</v>
      </c>
      <c r="AUV68" s="2555">
        <v>0.5</v>
      </c>
      <c r="AUW68" s="2555">
        <v>0.56000000000000005</v>
      </c>
      <c r="AUX68" s="2555">
        <v>0.34</v>
      </c>
      <c r="AUY68" s="2555"/>
      <c r="AUZ68" s="2555">
        <v>0.42</v>
      </c>
      <c r="AVA68" s="2553">
        <v>2019</v>
      </c>
      <c r="AVB68" s="2554"/>
      <c r="AVC68" s="2555">
        <v>0.5</v>
      </c>
      <c r="AVD68" s="2555">
        <v>0.5</v>
      </c>
      <c r="AVE68" s="2555">
        <v>0.56000000000000005</v>
      </c>
      <c r="AVF68" s="2555">
        <v>0.34</v>
      </c>
      <c r="AVG68" s="2555"/>
      <c r="AVH68" s="2555">
        <v>0.42</v>
      </c>
      <c r="AVI68" s="2553">
        <v>2019</v>
      </c>
      <c r="AVJ68" s="2554"/>
      <c r="AVK68" s="2555">
        <v>0.5</v>
      </c>
      <c r="AVL68" s="2555">
        <v>0.5</v>
      </c>
      <c r="AVM68" s="2555">
        <v>0.56000000000000005</v>
      </c>
      <c r="AVN68" s="2555">
        <v>0.34</v>
      </c>
      <c r="AVO68" s="2555"/>
      <c r="AVP68" s="2555">
        <v>0.42</v>
      </c>
      <c r="AVQ68" s="2553">
        <v>2019</v>
      </c>
      <c r="AVR68" s="2554"/>
      <c r="AVS68" s="2555">
        <v>0.5</v>
      </c>
      <c r="AVT68" s="2555">
        <v>0.5</v>
      </c>
      <c r="AVU68" s="2555">
        <v>0.56000000000000005</v>
      </c>
      <c r="AVV68" s="2555">
        <v>0.34</v>
      </c>
      <c r="AVW68" s="2555"/>
      <c r="AVX68" s="2555">
        <v>0.42</v>
      </c>
      <c r="AVY68" s="2553">
        <v>2019</v>
      </c>
      <c r="AVZ68" s="2554"/>
      <c r="AWA68" s="2555">
        <v>0.5</v>
      </c>
      <c r="AWB68" s="2555">
        <v>0.5</v>
      </c>
      <c r="AWC68" s="2555">
        <v>0.56000000000000005</v>
      </c>
      <c r="AWD68" s="2555">
        <v>0.34</v>
      </c>
      <c r="AWE68" s="2555"/>
      <c r="AWF68" s="2555">
        <v>0.42</v>
      </c>
      <c r="AWG68" s="2553">
        <v>2019</v>
      </c>
      <c r="AWH68" s="2554"/>
      <c r="AWI68" s="2555">
        <v>0.5</v>
      </c>
      <c r="AWJ68" s="2555">
        <v>0.5</v>
      </c>
      <c r="AWK68" s="2555">
        <v>0.56000000000000005</v>
      </c>
      <c r="AWL68" s="2555">
        <v>0.34</v>
      </c>
      <c r="AWM68" s="2555"/>
      <c r="AWN68" s="2555">
        <v>0.42</v>
      </c>
      <c r="AWO68" s="2553">
        <v>2019</v>
      </c>
      <c r="AWP68" s="2554"/>
      <c r="AWQ68" s="2555">
        <v>0.5</v>
      </c>
      <c r="AWR68" s="2555">
        <v>0.5</v>
      </c>
      <c r="AWS68" s="2555">
        <v>0.56000000000000005</v>
      </c>
      <c r="AWT68" s="2555">
        <v>0.34</v>
      </c>
      <c r="AWU68" s="2555"/>
      <c r="AWV68" s="2555">
        <v>0.42</v>
      </c>
      <c r="AWW68" s="2553">
        <v>2019</v>
      </c>
      <c r="AWX68" s="2554"/>
      <c r="AWY68" s="2555">
        <v>0.5</v>
      </c>
      <c r="AWZ68" s="2555">
        <v>0.5</v>
      </c>
      <c r="AXA68" s="2555">
        <v>0.56000000000000005</v>
      </c>
      <c r="AXB68" s="2555">
        <v>0.34</v>
      </c>
      <c r="AXC68" s="2555"/>
      <c r="AXD68" s="2555">
        <v>0.42</v>
      </c>
      <c r="AXE68" s="2553">
        <v>2019</v>
      </c>
      <c r="AXF68" s="2554"/>
      <c r="AXG68" s="2555">
        <v>0.5</v>
      </c>
      <c r="AXH68" s="2555">
        <v>0.5</v>
      </c>
      <c r="AXI68" s="2555">
        <v>0.56000000000000005</v>
      </c>
      <c r="AXJ68" s="2555">
        <v>0.34</v>
      </c>
      <c r="AXK68" s="2555"/>
      <c r="AXL68" s="2555">
        <v>0.42</v>
      </c>
      <c r="AXM68" s="2553">
        <v>2019</v>
      </c>
      <c r="AXN68" s="2554"/>
      <c r="AXO68" s="2555">
        <v>0.5</v>
      </c>
      <c r="AXP68" s="2555">
        <v>0.5</v>
      </c>
      <c r="AXQ68" s="2555">
        <v>0.56000000000000005</v>
      </c>
      <c r="AXR68" s="2555">
        <v>0.34</v>
      </c>
      <c r="AXS68" s="2555"/>
      <c r="AXT68" s="2555">
        <v>0.42</v>
      </c>
      <c r="AXU68" s="2553">
        <v>2019</v>
      </c>
      <c r="AXV68" s="2554"/>
      <c r="AXW68" s="2555">
        <v>0.5</v>
      </c>
      <c r="AXX68" s="2555">
        <v>0.5</v>
      </c>
      <c r="AXY68" s="2555">
        <v>0.56000000000000005</v>
      </c>
      <c r="AXZ68" s="2555">
        <v>0.34</v>
      </c>
      <c r="AYA68" s="2555"/>
      <c r="AYB68" s="2555">
        <v>0.42</v>
      </c>
      <c r="AYC68" s="2553">
        <v>2019</v>
      </c>
      <c r="AYD68" s="2554"/>
      <c r="AYE68" s="2555">
        <v>0.5</v>
      </c>
      <c r="AYF68" s="2555">
        <v>0.5</v>
      </c>
      <c r="AYG68" s="2555">
        <v>0.56000000000000005</v>
      </c>
      <c r="AYH68" s="2555">
        <v>0.34</v>
      </c>
      <c r="AYI68" s="2555"/>
      <c r="AYJ68" s="2555">
        <v>0.42</v>
      </c>
      <c r="AYK68" s="2553">
        <v>2019</v>
      </c>
      <c r="AYL68" s="2554"/>
      <c r="AYM68" s="2555">
        <v>0.5</v>
      </c>
      <c r="AYN68" s="2555">
        <v>0.5</v>
      </c>
      <c r="AYO68" s="2555">
        <v>0.56000000000000005</v>
      </c>
      <c r="AYP68" s="2555">
        <v>0.34</v>
      </c>
      <c r="AYQ68" s="2555"/>
      <c r="AYR68" s="2555">
        <v>0.42</v>
      </c>
      <c r="AYS68" s="2553">
        <v>2019</v>
      </c>
      <c r="AYT68" s="2554"/>
      <c r="AYU68" s="2555">
        <v>0.5</v>
      </c>
      <c r="AYV68" s="2555">
        <v>0.5</v>
      </c>
      <c r="AYW68" s="2555">
        <v>0.56000000000000005</v>
      </c>
      <c r="AYX68" s="2555">
        <v>0.34</v>
      </c>
      <c r="AYY68" s="2555"/>
      <c r="AYZ68" s="2555">
        <v>0.42</v>
      </c>
      <c r="AZA68" s="2553">
        <v>2019</v>
      </c>
      <c r="AZB68" s="2554"/>
      <c r="AZC68" s="2555">
        <v>0.5</v>
      </c>
      <c r="AZD68" s="2555">
        <v>0.5</v>
      </c>
      <c r="AZE68" s="2555">
        <v>0.56000000000000005</v>
      </c>
      <c r="AZF68" s="2555">
        <v>0.34</v>
      </c>
      <c r="AZG68" s="2555"/>
      <c r="AZH68" s="2555">
        <v>0.42</v>
      </c>
      <c r="AZI68" s="2553">
        <v>2019</v>
      </c>
      <c r="AZJ68" s="2554"/>
      <c r="AZK68" s="2555">
        <v>0.5</v>
      </c>
      <c r="AZL68" s="2555">
        <v>0.5</v>
      </c>
      <c r="AZM68" s="2555">
        <v>0.56000000000000005</v>
      </c>
      <c r="AZN68" s="2555">
        <v>0.34</v>
      </c>
      <c r="AZO68" s="2555"/>
      <c r="AZP68" s="2555">
        <v>0.42</v>
      </c>
      <c r="AZQ68" s="2553">
        <v>2019</v>
      </c>
      <c r="AZR68" s="2554"/>
      <c r="AZS68" s="2555">
        <v>0.5</v>
      </c>
      <c r="AZT68" s="2555">
        <v>0.5</v>
      </c>
      <c r="AZU68" s="2555">
        <v>0.56000000000000005</v>
      </c>
      <c r="AZV68" s="2555">
        <v>0.34</v>
      </c>
      <c r="AZW68" s="2555"/>
      <c r="AZX68" s="2555">
        <v>0.42</v>
      </c>
      <c r="AZY68" s="2553">
        <v>2019</v>
      </c>
      <c r="AZZ68" s="2554"/>
      <c r="BAA68" s="2555">
        <v>0.5</v>
      </c>
      <c r="BAB68" s="2555">
        <v>0.5</v>
      </c>
      <c r="BAC68" s="2555">
        <v>0.56000000000000005</v>
      </c>
      <c r="BAD68" s="2555">
        <v>0.34</v>
      </c>
      <c r="BAE68" s="2555"/>
      <c r="BAF68" s="2555">
        <v>0.42</v>
      </c>
      <c r="BAG68" s="2553">
        <v>2019</v>
      </c>
      <c r="BAH68" s="2554"/>
      <c r="BAI68" s="2555">
        <v>0.5</v>
      </c>
      <c r="BAJ68" s="2555">
        <v>0.5</v>
      </c>
      <c r="BAK68" s="2555">
        <v>0.56000000000000005</v>
      </c>
      <c r="BAL68" s="2555">
        <v>0.34</v>
      </c>
      <c r="BAM68" s="2555"/>
      <c r="BAN68" s="2555">
        <v>0.42</v>
      </c>
      <c r="BAO68" s="2553">
        <v>2019</v>
      </c>
      <c r="BAP68" s="2554"/>
      <c r="BAQ68" s="2555">
        <v>0.5</v>
      </c>
      <c r="BAR68" s="2555">
        <v>0.5</v>
      </c>
      <c r="BAS68" s="2555">
        <v>0.56000000000000005</v>
      </c>
      <c r="BAT68" s="2555">
        <v>0.34</v>
      </c>
      <c r="BAU68" s="2555"/>
      <c r="BAV68" s="2555">
        <v>0.42</v>
      </c>
      <c r="BAW68" s="2553">
        <v>2019</v>
      </c>
      <c r="BAX68" s="2554"/>
      <c r="BAY68" s="2555">
        <v>0.5</v>
      </c>
      <c r="BAZ68" s="2555">
        <v>0.5</v>
      </c>
      <c r="BBA68" s="2555">
        <v>0.56000000000000005</v>
      </c>
      <c r="BBB68" s="2555">
        <v>0.34</v>
      </c>
      <c r="BBC68" s="2555"/>
      <c r="BBD68" s="2555">
        <v>0.42</v>
      </c>
      <c r="BBE68" s="2553">
        <v>2019</v>
      </c>
      <c r="BBF68" s="2554"/>
      <c r="BBG68" s="2555">
        <v>0.5</v>
      </c>
      <c r="BBH68" s="2555">
        <v>0.5</v>
      </c>
      <c r="BBI68" s="2555">
        <v>0.56000000000000005</v>
      </c>
      <c r="BBJ68" s="2555">
        <v>0.34</v>
      </c>
      <c r="BBK68" s="2555"/>
      <c r="BBL68" s="2555">
        <v>0.42</v>
      </c>
      <c r="BBM68" s="2553">
        <v>2019</v>
      </c>
      <c r="BBN68" s="2554"/>
      <c r="BBO68" s="2555">
        <v>0.5</v>
      </c>
      <c r="BBP68" s="2555">
        <v>0.5</v>
      </c>
      <c r="BBQ68" s="2555">
        <v>0.56000000000000005</v>
      </c>
      <c r="BBR68" s="2555">
        <v>0.34</v>
      </c>
      <c r="BBS68" s="2555"/>
      <c r="BBT68" s="2555">
        <v>0.42</v>
      </c>
      <c r="BBU68" s="2553">
        <v>2019</v>
      </c>
      <c r="BBV68" s="2554"/>
      <c r="BBW68" s="2555">
        <v>0.5</v>
      </c>
      <c r="BBX68" s="2555">
        <v>0.5</v>
      </c>
      <c r="BBY68" s="2555">
        <v>0.56000000000000005</v>
      </c>
      <c r="BBZ68" s="2555">
        <v>0.34</v>
      </c>
      <c r="BCA68" s="2555"/>
      <c r="BCB68" s="2555">
        <v>0.42</v>
      </c>
      <c r="BCC68" s="2553">
        <v>2019</v>
      </c>
      <c r="BCD68" s="2554"/>
      <c r="BCE68" s="2555">
        <v>0.5</v>
      </c>
      <c r="BCF68" s="2555">
        <v>0.5</v>
      </c>
      <c r="BCG68" s="2555">
        <v>0.56000000000000005</v>
      </c>
      <c r="BCH68" s="2555">
        <v>0.34</v>
      </c>
      <c r="BCI68" s="2555"/>
      <c r="BCJ68" s="2555">
        <v>0.42</v>
      </c>
      <c r="BCK68" s="2553">
        <v>2019</v>
      </c>
      <c r="BCL68" s="2554"/>
      <c r="BCM68" s="2555">
        <v>0.5</v>
      </c>
      <c r="BCN68" s="2555">
        <v>0.5</v>
      </c>
      <c r="BCO68" s="2555">
        <v>0.56000000000000005</v>
      </c>
      <c r="BCP68" s="2555">
        <v>0.34</v>
      </c>
      <c r="BCQ68" s="2555"/>
      <c r="BCR68" s="2555">
        <v>0.42</v>
      </c>
      <c r="BCS68" s="2553">
        <v>2019</v>
      </c>
      <c r="BCT68" s="2554"/>
      <c r="BCU68" s="2555">
        <v>0.5</v>
      </c>
      <c r="BCV68" s="2555">
        <v>0.5</v>
      </c>
      <c r="BCW68" s="2555">
        <v>0.56000000000000005</v>
      </c>
      <c r="BCX68" s="2555">
        <v>0.34</v>
      </c>
      <c r="BCY68" s="2555"/>
      <c r="BCZ68" s="2555">
        <v>0.42</v>
      </c>
      <c r="BDA68" s="2553">
        <v>2019</v>
      </c>
      <c r="BDB68" s="2554"/>
      <c r="BDC68" s="2555">
        <v>0.5</v>
      </c>
      <c r="BDD68" s="2555">
        <v>0.5</v>
      </c>
      <c r="BDE68" s="2555">
        <v>0.56000000000000005</v>
      </c>
      <c r="BDF68" s="2555">
        <v>0.34</v>
      </c>
      <c r="BDG68" s="2555"/>
      <c r="BDH68" s="2555">
        <v>0.42</v>
      </c>
      <c r="BDI68" s="2553">
        <v>2019</v>
      </c>
      <c r="BDJ68" s="2554"/>
      <c r="BDK68" s="2555">
        <v>0.5</v>
      </c>
      <c r="BDL68" s="2555">
        <v>0.5</v>
      </c>
      <c r="BDM68" s="2555">
        <v>0.56000000000000005</v>
      </c>
      <c r="BDN68" s="2555">
        <v>0.34</v>
      </c>
      <c r="BDO68" s="2555"/>
      <c r="BDP68" s="2555">
        <v>0.42</v>
      </c>
      <c r="BDQ68" s="2553">
        <v>2019</v>
      </c>
      <c r="BDR68" s="2554"/>
      <c r="BDS68" s="2555">
        <v>0.5</v>
      </c>
      <c r="BDT68" s="2555">
        <v>0.5</v>
      </c>
      <c r="BDU68" s="2555">
        <v>0.56000000000000005</v>
      </c>
      <c r="BDV68" s="2555">
        <v>0.34</v>
      </c>
      <c r="BDW68" s="2555"/>
      <c r="BDX68" s="2555">
        <v>0.42</v>
      </c>
      <c r="BDY68" s="2553">
        <v>2019</v>
      </c>
      <c r="BDZ68" s="2554"/>
      <c r="BEA68" s="2555">
        <v>0.5</v>
      </c>
      <c r="BEB68" s="2555">
        <v>0.5</v>
      </c>
      <c r="BEC68" s="2555">
        <v>0.56000000000000005</v>
      </c>
      <c r="BED68" s="2555">
        <v>0.34</v>
      </c>
      <c r="BEE68" s="2555"/>
      <c r="BEF68" s="2555">
        <v>0.42</v>
      </c>
      <c r="BEG68" s="2553">
        <v>2019</v>
      </c>
      <c r="BEH68" s="2554"/>
      <c r="BEI68" s="2555">
        <v>0.5</v>
      </c>
      <c r="BEJ68" s="2555">
        <v>0.5</v>
      </c>
      <c r="BEK68" s="2555">
        <v>0.56000000000000005</v>
      </c>
      <c r="BEL68" s="2555">
        <v>0.34</v>
      </c>
      <c r="BEM68" s="2555"/>
      <c r="BEN68" s="2555">
        <v>0.42</v>
      </c>
      <c r="BEO68" s="2553">
        <v>2019</v>
      </c>
      <c r="BEP68" s="2554"/>
      <c r="BEQ68" s="2555">
        <v>0.5</v>
      </c>
      <c r="BER68" s="2555">
        <v>0.5</v>
      </c>
      <c r="BES68" s="2555">
        <v>0.56000000000000005</v>
      </c>
      <c r="BET68" s="2555">
        <v>0.34</v>
      </c>
      <c r="BEU68" s="2555"/>
      <c r="BEV68" s="2555">
        <v>0.42</v>
      </c>
      <c r="BEW68" s="2553">
        <v>2019</v>
      </c>
      <c r="BEX68" s="2554"/>
      <c r="BEY68" s="2555">
        <v>0.5</v>
      </c>
      <c r="BEZ68" s="2555">
        <v>0.5</v>
      </c>
      <c r="BFA68" s="2555">
        <v>0.56000000000000005</v>
      </c>
      <c r="BFB68" s="2555">
        <v>0.34</v>
      </c>
      <c r="BFC68" s="2555"/>
      <c r="BFD68" s="2555">
        <v>0.42</v>
      </c>
      <c r="BFE68" s="2553">
        <v>2019</v>
      </c>
      <c r="BFF68" s="2554"/>
      <c r="BFG68" s="2555">
        <v>0.5</v>
      </c>
      <c r="BFH68" s="2555">
        <v>0.5</v>
      </c>
      <c r="BFI68" s="2555">
        <v>0.56000000000000005</v>
      </c>
      <c r="BFJ68" s="2555">
        <v>0.34</v>
      </c>
      <c r="BFK68" s="2555"/>
      <c r="BFL68" s="2555">
        <v>0.42</v>
      </c>
      <c r="BFM68" s="2553">
        <v>2019</v>
      </c>
      <c r="BFN68" s="2554"/>
      <c r="BFO68" s="2555">
        <v>0.5</v>
      </c>
      <c r="BFP68" s="2555">
        <v>0.5</v>
      </c>
      <c r="BFQ68" s="2555">
        <v>0.56000000000000005</v>
      </c>
      <c r="BFR68" s="2555">
        <v>0.34</v>
      </c>
      <c r="BFS68" s="2555"/>
      <c r="BFT68" s="2555">
        <v>0.42</v>
      </c>
      <c r="BFU68" s="2553">
        <v>2019</v>
      </c>
      <c r="BFV68" s="2554"/>
      <c r="BFW68" s="2555">
        <v>0.5</v>
      </c>
      <c r="BFX68" s="2555">
        <v>0.5</v>
      </c>
      <c r="BFY68" s="2555">
        <v>0.56000000000000005</v>
      </c>
      <c r="BFZ68" s="2555">
        <v>0.34</v>
      </c>
      <c r="BGA68" s="2555"/>
      <c r="BGB68" s="2555">
        <v>0.42</v>
      </c>
      <c r="BGC68" s="2553">
        <v>2019</v>
      </c>
      <c r="BGD68" s="2554"/>
      <c r="BGE68" s="2555">
        <v>0.5</v>
      </c>
      <c r="BGF68" s="2555">
        <v>0.5</v>
      </c>
      <c r="BGG68" s="2555">
        <v>0.56000000000000005</v>
      </c>
      <c r="BGH68" s="2555">
        <v>0.34</v>
      </c>
      <c r="BGI68" s="2555"/>
      <c r="BGJ68" s="2555">
        <v>0.42</v>
      </c>
      <c r="BGK68" s="2553">
        <v>2019</v>
      </c>
      <c r="BGL68" s="2554"/>
      <c r="BGM68" s="2555">
        <v>0.5</v>
      </c>
      <c r="BGN68" s="2555">
        <v>0.5</v>
      </c>
      <c r="BGO68" s="2555">
        <v>0.56000000000000005</v>
      </c>
      <c r="BGP68" s="2555">
        <v>0.34</v>
      </c>
      <c r="BGQ68" s="2555"/>
      <c r="BGR68" s="2555">
        <v>0.42</v>
      </c>
      <c r="BGS68" s="2553">
        <v>2019</v>
      </c>
      <c r="BGT68" s="2554"/>
      <c r="BGU68" s="2555">
        <v>0.5</v>
      </c>
      <c r="BGV68" s="2555">
        <v>0.5</v>
      </c>
      <c r="BGW68" s="2555">
        <v>0.56000000000000005</v>
      </c>
      <c r="BGX68" s="2555">
        <v>0.34</v>
      </c>
      <c r="BGY68" s="2555"/>
      <c r="BGZ68" s="2555">
        <v>0.42</v>
      </c>
      <c r="BHA68" s="2553">
        <v>2019</v>
      </c>
      <c r="BHB68" s="2554"/>
      <c r="BHC68" s="2555">
        <v>0.5</v>
      </c>
      <c r="BHD68" s="2555">
        <v>0.5</v>
      </c>
      <c r="BHE68" s="2555">
        <v>0.56000000000000005</v>
      </c>
      <c r="BHF68" s="2555">
        <v>0.34</v>
      </c>
      <c r="BHG68" s="2555"/>
      <c r="BHH68" s="2555">
        <v>0.42</v>
      </c>
      <c r="BHI68" s="2553">
        <v>2019</v>
      </c>
      <c r="BHJ68" s="2554"/>
      <c r="BHK68" s="2555">
        <v>0.5</v>
      </c>
      <c r="BHL68" s="2555">
        <v>0.5</v>
      </c>
      <c r="BHM68" s="2555">
        <v>0.56000000000000005</v>
      </c>
      <c r="BHN68" s="2555">
        <v>0.34</v>
      </c>
      <c r="BHO68" s="2555"/>
      <c r="BHP68" s="2555">
        <v>0.42</v>
      </c>
      <c r="BHQ68" s="2553">
        <v>2019</v>
      </c>
      <c r="BHR68" s="2554"/>
      <c r="BHS68" s="2555">
        <v>0.5</v>
      </c>
      <c r="BHT68" s="2555">
        <v>0.5</v>
      </c>
      <c r="BHU68" s="2555">
        <v>0.56000000000000005</v>
      </c>
      <c r="BHV68" s="2555">
        <v>0.34</v>
      </c>
      <c r="BHW68" s="2555"/>
      <c r="BHX68" s="2555">
        <v>0.42</v>
      </c>
      <c r="BHY68" s="2553">
        <v>2019</v>
      </c>
      <c r="BHZ68" s="2554"/>
      <c r="BIA68" s="2555">
        <v>0.5</v>
      </c>
      <c r="BIB68" s="2555">
        <v>0.5</v>
      </c>
      <c r="BIC68" s="2555">
        <v>0.56000000000000005</v>
      </c>
      <c r="BID68" s="2555">
        <v>0.34</v>
      </c>
      <c r="BIE68" s="2555"/>
      <c r="BIF68" s="2555">
        <v>0.42</v>
      </c>
      <c r="BIG68" s="2553">
        <v>2019</v>
      </c>
      <c r="BIH68" s="2554"/>
      <c r="BII68" s="2555">
        <v>0.5</v>
      </c>
      <c r="BIJ68" s="2555">
        <v>0.5</v>
      </c>
      <c r="BIK68" s="2555">
        <v>0.56000000000000005</v>
      </c>
      <c r="BIL68" s="2555">
        <v>0.34</v>
      </c>
      <c r="BIM68" s="2555"/>
      <c r="BIN68" s="2555">
        <v>0.42</v>
      </c>
      <c r="BIO68" s="2553">
        <v>2019</v>
      </c>
      <c r="BIP68" s="2554"/>
      <c r="BIQ68" s="2555">
        <v>0.5</v>
      </c>
      <c r="BIR68" s="2555">
        <v>0.5</v>
      </c>
      <c r="BIS68" s="2555">
        <v>0.56000000000000005</v>
      </c>
      <c r="BIT68" s="2555">
        <v>0.34</v>
      </c>
      <c r="BIU68" s="2555"/>
      <c r="BIV68" s="2555">
        <v>0.42</v>
      </c>
      <c r="BIW68" s="2553">
        <v>2019</v>
      </c>
      <c r="BIX68" s="2554"/>
      <c r="BIY68" s="2555">
        <v>0.5</v>
      </c>
      <c r="BIZ68" s="2555">
        <v>0.5</v>
      </c>
      <c r="BJA68" s="2555">
        <v>0.56000000000000005</v>
      </c>
      <c r="BJB68" s="2555">
        <v>0.34</v>
      </c>
      <c r="BJC68" s="2555"/>
      <c r="BJD68" s="2555">
        <v>0.42</v>
      </c>
      <c r="BJE68" s="2553">
        <v>2019</v>
      </c>
      <c r="BJF68" s="2554"/>
      <c r="BJG68" s="2555">
        <v>0.5</v>
      </c>
      <c r="BJH68" s="2555">
        <v>0.5</v>
      </c>
      <c r="BJI68" s="2555">
        <v>0.56000000000000005</v>
      </c>
      <c r="BJJ68" s="2555">
        <v>0.34</v>
      </c>
      <c r="BJK68" s="2555"/>
      <c r="BJL68" s="2555">
        <v>0.42</v>
      </c>
      <c r="BJM68" s="2553">
        <v>2019</v>
      </c>
      <c r="BJN68" s="2554"/>
      <c r="BJO68" s="2555">
        <v>0.5</v>
      </c>
      <c r="BJP68" s="2555">
        <v>0.5</v>
      </c>
      <c r="BJQ68" s="2555">
        <v>0.56000000000000005</v>
      </c>
      <c r="BJR68" s="2555">
        <v>0.34</v>
      </c>
      <c r="BJS68" s="2555"/>
      <c r="BJT68" s="2555">
        <v>0.42</v>
      </c>
      <c r="BJU68" s="2553">
        <v>2019</v>
      </c>
      <c r="BJV68" s="2554"/>
      <c r="BJW68" s="2555">
        <v>0.5</v>
      </c>
      <c r="BJX68" s="2555">
        <v>0.5</v>
      </c>
      <c r="BJY68" s="2555">
        <v>0.56000000000000005</v>
      </c>
      <c r="BJZ68" s="2555">
        <v>0.34</v>
      </c>
      <c r="BKA68" s="2555"/>
      <c r="BKB68" s="2555">
        <v>0.42</v>
      </c>
      <c r="BKC68" s="2553">
        <v>2019</v>
      </c>
      <c r="BKD68" s="2554"/>
      <c r="BKE68" s="2555">
        <v>0.5</v>
      </c>
      <c r="BKF68" s="2555">
        <v>0.5</v>
      </c>
      <c r="BKG68" s="2555">
        <v>0.56000000000000005</v>
      </c>
      <c r="BKH68" s="2555">
        <v>0.34</v>
      </c>
      <c r="BKI68" s="2555"/>
      <c r="BKJ68" s="2555">
        <v>0.42</v>
      </c>
      <c r="BKK68" s="2553">
        <v>2019</v>
      </c>
      <c r="BKL68" s="2554"/>
      <c r="BKM68" s="2555">
        <v>0.5</v>
      </c>
      <c r="BKN68" s="2555">
        <v>0.5</v>
      </c>
      <c r="BKO68" s="2555">
        <v>0.56000000000000005</v>
      </c>
      <c r="BKP68" s="2555">
        <v>0.34</v>
      </c>
      <c r="BKQ68" s="2555"/>
      <c r="BKR68" s="2555">
        <v>0.42</v>
      </c>
      <c r="BKS68" s="2553">
        <v>2019</v>
      </c>
      <c r="BKT68" s="2554"/>
      <c r="BKU68" s="2555">
        <v>0.5</v>
      </c>
      <c r="BKV68" s="2555">
        <v>0.5</v>
      </c>
      <c r="BKW68" s="2555">
        <v>0.56000000000000005</v>
      </c>
      <c r="BKX68" s="2555">
        <v>0.34</v>
      </c>
      <c r="BKY68" s="2555"/>
      <c r="BKZ68" s="2555">
        <v>0.42</v>
      </c>
      <c r="BLA68" s="2553">
        <v>2019</v>
      </c>
      <c r="BLB68" s="2554"/>
      <c r="BLC68" s="2555">
        <v>0.5</v>
      </c>
      <c r="BLD68" s="2555">
        <v>0.5</v>
      </c>
      <c r="BLE68" s="2555">
        <v>0.56000000000000005</v>
      </c>
      <c r="BLF68" s="2555">
        <v>0.34</v>
      </c>
      <c r="BLG68" s="2555"/>
      <c r="BLH68" s="2555">
        <v>0.42</v>
      </c>
      <c r="BLI68" s="2553">
        <v>2019</v>
      </c>
      <c r="BLJ68" s="2554"/>
      <c r="BLK68" s="2555">
        <v>0.5</v>
      </c>
      <c r="BLL68" s="2555">
        <v>0.5</v>
      </c>
      <c r="BLM68" s="2555">
        <v>0.56000000000000005</v>
      </c>
      <c r="BLN68" s="2555">
        <v>0.34</v>
      </c>
      <c r="BLO68" s="2555"/>
      <c r="BLP68" s="2555">
        <v>0.42</v>
      </c>
      <c r="BLQ68" s="2553">
        <v>2019</v>
      </c>
      <c r="BLR68" s="2554"/>
      <c r="BLS68" s="2555">
        <v>0.5</v>
      </c>
      <c r="BLT68" s="2555">
        <v>0.5</v>
      </c>
      <c r="BLU68" s="2555">
        <v>0.56000000000000005</v>
      </c>
      <c r="BLV68" s="2555">
        <v>0.34</v>
      </c>
      <c r="BLW68" s="2555"/>
      <c r="BLX68" s="2555">
        <v>0.42</v>
      </c>
      <c r="BLY68" s="2553">
        <v>2019</v>
      </c>
      <c r="BLZ68" s="2554"/>
      <c r="BMA68" s="2555">
        <v>0.5</v>
      </c>
      <c r="BMB68" s="2555">
        <v>0.5</v>
      </c>
      <c r="BMC68" s="2555">
        <v>0.56000000000000005</v>
      </c>
      <c r="BMD68" s="2555">
        <v>0.34</v>
      </c>
      <c r="BME68" s="2555"/>
      <c r="BMF68" s="2555">
        <v>0.42</v>
      </c>
      <c r="BMG68" s="2553">
        <v>2019</v>
      </c>
      <c r="BMH68" s="2554"/>
      <c r="BMI68" s="2555">
        <v>0.5</v>
      </c>
      <c r="BMJ68" s="2555">
        <v>0.5</v>
      </c>
      <c r="BMK68" s="2555">
        <v>0.56000000000000005</v>
      </c>
      <c r="BML68" s="2555">
        <v>0.34</v>
      </c>
      <c r="BMM68" s="2555"/>
      <c r="BMN68" s="2555">
        <v>0.42</v>
      </c>
      <c r="BMO68" s="2553">
        <v>2019</v>
      </c>
      <c r="BMP68" s="2554"/>
      <c r="BMQ68" s="2555">
        <v>0.5</v>
      </c>
      <c r="BMR68" s="2555">
        <v>0.5</v>
      </c>
      <c r="BMS68" s="2555">
        <v>0.56000000000000005</v>
      </c>
      <c r="BMT68" s="2555">
        <v>0.34</v>
      </c>
      <c r="BMU68" s="2555"/>
      <c r="BMV68" s="2555">
        <v>0.42</v>
      </c>
      <c r="BMW68" s="2553">
        <v>2019</v>
      </c>
      <c r="BMX68" s="2554"/>
      <c r="BMY68" s="2555">
        <v>0.5</v>
      </c>
      <c r="BMZ68" s="2555">
        <v>0.5</v>
      </c>
      <c r="BNA68" s="2555">
        <v>0.56000000000000005</v>
      </c>
      <c r="BNB68" s="2555">
        <v>0.34</v>
      </c>
      <c r="BNC68" s="2555"/>
      <c r="BND68" s="2555">
        <v>0.42</v>
      </c>
      <c r="BNE68" s="2553">
        <v>2019</v>
      </c>
      <c r="BNF68" s="2554"/>
      <c r="BNG68" s="2555">
        <v>0.5</v>
      </c>
      <c r="BNH68" s="2555">
        <v>0.5</v>
      </c>
      <c r="BNI68" s="2555">
        <v>0.56000000000000005</v>
      </c>
      <c r="BNJ68" s="2555">
        <v>0.34</v>
      </c>
      <c r="BNK68" s="2555"/>
      <c r="BNL68" s="2555">
        <v>0.42</v>
      </c>
      <c r="BNM68" s="2553">
        <v>2019</v>
      </c>
      <c r="BNN68" s="2554"/>
      <c r="BNO68" s="2555">
        <v>0.5</v>
      </c>
      <c r="BNP68" s="2555">
        <v>0.5</v>
      </c>
      <c r="BNQ68" s="2555">
        <v>0.56000000000000005</v>
      </c>
      <c r="BNR68" s="2555">
        <v>0.34</v>
      </c>
      <c r="BNS68" s="2555"/>
      <c r="BNT68" s="2555">
        <v>0.42</v>
      </c>
      <c r="BNU68" s="2553">
        <v>2019</v>
      </c>
      <c r="BNV68" s="2554"/>
      <c r="BNW68" s="2555">
        <v>0.5</v>
      </c>
      <c r="BNX68" s="2555">
        <v>0.5</v>
      </c>
      <c r="BNY68" s="2555">
        <v>0.56000000000000005</v>
      </c>
      <c r="BNZ68" s="2555">
        <v>0.34</v>
      </c>
      <c r="BOA68" s="2555"/>
      <c r="BOB68" s="2555">
        <v>0.42</v>
      </c>
      <c r="BOC68" s="2553">
        <v>2019</v>
      </c>
      <c r="BOD68" s="2554"/>
      <c r="BOE68" s="2555">
        <v>0.5</v>
      </c>
      <c r="BOF68" s="2555">
        <v>0.5</v>
      </c>
      <c r="BOG68" s="2555">
        <v>0.56000000000000005</v>
      </c>
      <c r="BOH68" s="2555">
        <v>0.34</v>
      </c>
      <c r="BOI68" s="2555"/>
      <c r="BOJ68" s="2555">
        <v>0.42</v>
      </c>
      <c r="BOK68" s="2553">
        <v>2019</v>
      </c>
      <c r="BOL68" s="2554"/>
      <c r="BOM68" s="2555">
        <v>0.5</v>
      </c>
      <c r="BON68" s="2555">
        <v>0.5</v>
      </c>
      <c r="BOO68" s="2555">
        <v>0.56000000000000005</v>
      </c>
      <c r="BOP68" s="2555">
        <v>0.34</v>
      </c>
      <c r="BOQ68" s="2555"/>
      <c r="BOR68" s="2555">
        <v>0.42</v>
      </c>
      <c r="BOS68" s="2553">
        <v>2019</v>
      </c>
      <c r="BOT68" s="2554"/>
      <c r="BOU68" s="2555">
        <v>0.5</v>
      </c>
      <c r="BOV68" s="2555">
        <v>0.5</v>
      </c>
      <c r="BOW68" s="2555">
        <v>0.56000000000000005</v>
      </c>
      <c r="BOX68" s="2555">
        <v>0.34</v>
      </c>
      <c r="BOY68" s="2555"/>
      <c r="BOZ68" s="2555">
        <v>0.42</v>
      </c>
      <c r="BPA68" s="2553">
        <v>2019</v>
      </c>
      <c r="BPB68" s="2554"/>
      <c r="BPC68" s="2555">
        <v>0.5</v>
      </c>
      <c r="BPD68" s="2555">
        <v>0.5</v>
      </c>
      <c r="BPE68" s="2555">
        <v>0.56000000000000005</v>
      </c>
      <c r="BPF68" s="2555">
        <v>0.34</v>
      </c>
      <c r="BPG68" s="2555"/>
      <c r="BPH68" s="2555">
        <v>0.42</v>
      </c>
      <c r="BPI68" s="2553">
        <v>2019</v>
      </c>
      <c r="BPJ68" s="2554"/>
      <c r="BPK68" s="2555">
        <v>0.5</v>
      </c>
      <c r="BPL68" s="2555">
        <v>0.5</v>
      </c>
      <c r="BPM68" s="2555">
        <v>0.56000000000000005</v>
      </c>
      <c r="BPN68" s="2555">
        <v>0.34</v>
      </c>
      <c r="BPO68" s="2555"/>
      <c r="BPP68" s="2555">
        <v>0.42</v>
      </c>
      <c r="BPQ68" s="2553">
        <v>2019</v>
      </c>
      <c r="BPR68" s="2554"/>
      <c r="BPS68" s="2555">
        <v>0.5</v>
      </c>
      <c r="BPT68" s="2555">
        <v>0.5</v>
      </c>
      <c r="BPU68" s="2555">
        <v>0.56000000000000005</v>
      </c>
      <c r="BPV68" s="2555">
        <v>0.34</v>
      </c>
      <c r="BPW68" s="2555"/>
      <c r="BPX68" s="2555">
        <v>0.42</v>
      </c>
      <c r="BPY68" s="2553">
        <v>2019</v>
      </c>
      <c r="BPZ68" s="2554"/>
      <c r="BQA68" s="2555">
        <v>0.5</v>
      </c>
      <c r="BQB68" s="2555">
        <v>0.5</v>
      </c>
      <c r="BQC68" s="2555">
        <v>0.56000000000000005</v>
      </c>
      <c r="BQD68" s="2555">
        <v>0.34</v>
      </c>
      <c r="BQE68" s="2555"/>
      <c r="BQF68" s="2555">
        <v>0.42</v>
      </c>
      <c r="BQG68" s="2553">
        <v>2019</v>
      </c>
      <c r="BQH68" s="2554"/>
      <c r="BQI68" s="2555">
        <v>0.5</v>
      </c>
      <c r="BQJ68" s="2555">
        <v>0.5</v>
      </c>
      <c r="BQK68" s="2555">
        <v>0.56000000000000005</v>
      </c>
      <c r="BQL68" s="2555">
        <v>0.34</v>
      </c>
      <c r="BQM68" s="2555"/>
      <c r="BQN68" s="2555">
        <v>0.42</v>
      </c>
      <c r="BQO68" s="2553">
        <v>2019</v>
      </c>
      <c r="BQP68" s="2554"/>
      <c r="BQQ68" s="2555">
        <v>0.5</v>
      </c>
      <c r="BQR68" s="2555">
        <v>0.5</v>
      </c>
      <c r="BQS68" s="2555">
        <v>0.56000000000000005</v>
      </c>
      <c r="BQT68" s="2555">
        <v>0.34</v>
      </c>
      <c r="BQU68" s="2555"/>
      <c r="BQV68" s="2555">
        <v>0.42</v>
      </c>
      <c r="BQW68" s="2553">
        <v>2019</v>
      </c>
      <c r="BQX68" s="2554"/>
      <c r="BQY68" s="2555">
        <v>0.5</v>
      </c>
      <c r="BQZ68" s="2555">
        <v>0.5</v>
      </c>
      <c r="BRA68" s="2555">
        <v>0.56000000000000005</v>
      </c>
      <c r="BRB68" s="2555">
        <v>0.34</v>
      </c>
      <c r="BRC68" s="2555"/>
      <c r="BRD68" s="2555">
        <v>0.42</v>
      </c>
      <c r="BRE68" s="2553">
        <v>2019</v>
      </c>
      <c r="BRF68" s="2554"/>
      <c r="BRG68" s="2555">
        <v>0.5</v>
      </c>
      <c r="BRH68" s="2555">
        <v>0.5</v>
      </c>
      <c r="BRI68" s="2555">
        <v>0.56000000000000005</v>
      </c>
      <c r="BRJ68" s="2555">
        <v>0.34</v>
      </c>
      <c r="BRK68" s="2555"/>
      <c r="BRL68" s="2555">
        <v>0.42</v>
      </c>
      <c r="BRM68" s="2553">
        <v>2019</v>
      </c>
      <c r="BRN68" s="2554"/>
      <c r="BRO68" s="2555">
        <v>0.5</v>
      </c>
      <c r="BRP68" s="2555">
        <v>0.5</v>
      </c>
      <c r="BRQ68" s="2555">
        <v>0.56000000000000005</v>
      </c>
      <c r="BRR68" s="2555">
        <v>0.34</v>
      </c>
      <c r="BRS68" s="2555"/>
      <c r="BRT68" s="2555">
        <v>0.42</v>
      </c>
      <c r="BRU68" s="2553">
        <v>2019</v>
      </c>
      <c r="BRV68" s="2554"/>
      <c r="BRW68" s="2555">
        <v>0.5</v>
      </c>
      <c r="BRX68" s="2555">
        <v>0.5</v>
      </c>
      <c r="BRY68" s="2555">
        <v>0.56000000000000005</v>
      </c>
      <c r="BRZ68" s="2555">
        <v>0.34</v>
      </c>
      <c r="BSA68" s="2555"/>
      <c r="BSB68" s="2555">
        <v>0.42</v>
      </c>
      <c r="BSC68" s="2553">
        <v>2019</v>
      </c>
      <c r="BSD68" s="2554"/>
      <c r="BSE68" s="2555">
        <v>0.5</v>
      </c>
      <c r="BSF68" s="2555">
        <v>0.5</v>
      </c>
      <c r="BSG68" s="2555">
        <v>0.56000000000000005</v>
      </c>
      <c r="BSH68" s="2555">
        <v>0.34</v>
      </c>
      <c r="BSI68" s="2555"/>
      <c r="BSJ68" s="2555">
        <v>0.42</v>
      </c>
      <c r="BSK68" s="2553">
        <v>2019</v>
      </c>
      <c r="BSL68" s="2554"/>
      <c r="BSM68" s="2555">
        <v>0.5</v>
      </c>
      <c r="BSN68" s="2555">
        <v>0.5</v>
      </c>
      <c r="BSO68" s="2555">
        <v>0.56000000000000005</v>
      </c>
      <c r="BSP68" s="2555">
        <v>0.34</v>
      </c>
      <c r="BSQ68" s="2555"/>
      <c r="BSR68" s="2555">
        <v>0.42</v>
      </c>
      <c r="BSS68" s="2553">
        <v>2019</v>
      </c>
      <c r="BST68" s="2554"/>
      <c r="BSU68" s="2555">
        <v>0.5</v>
      </c>
      <c r="BSV68" s="2555">
        <v>0.5</v>
      </c>
      <c r="BSW68" s="2555">
        <v>0.56000000000000005</v>
      </c>
      <c r="BSX68" s="2555">
        <v>0.34</v>
      </c>
      <c r="BSY68" s="2555"/>
      <c r="BSZ68" s="2555">
        <v>0.42</v>
      </c>
      <c r="BTA68" s="2553">
        <v>2019</v>
      </c>
      <c r="BTB68" s="2554"/>
      <c r="BTC68" s="2555">
        <v>0.5</v>
      </c>
      <c r="BTD68" s="2555">
        <v>0.5</v>
      </c>
      <c r="BTE68" s="2555">
        <v>0.56000000000000005</v>
      </c>
      <c r="BTF68" s="2555">
        <v>0.34</v>
      </c>
      <c r="BTG68" s="2555"/>
      <c r="BTH68" s="2555">
        <v>0.42</v>
      </c>
      <c r="BTI68" s="2553">
        <v>2019</v>
      </c>
      <c r="BTJ68" s="2554"/>
      <c r="BTK68" s="2555">
        <v>0.5</v>
      </c>
      <c r="BTL68" s="2555">
        <v>0.5</v>
      </c>
      <c r="BTM68" s="2555">
        <v>0.56000000000000005</v>
      </c>
      <c r="BTN68" s="2555">
        <v>0.34</v>
      </c>
      <c r="BTO68" s="2555"/>
      <c r="BTP68" s="2555">
        <v>0.42</v>
      </c>
      <c r="BTQ68" s="2553">
        <v>2019</v>
      </c>
      <c r="BTR68" s="2554"/>
      <c r="BTS68" s="2555">
        <v>0.5</v>
      </c>
      <c r="BTT68" s="2555">
        <v>0.5</v>
      </c>
      <c r="BTU68" s="2555">
        <v>0.56000000000000005</v>
      </c>
      <c r="BTV68" s="2555">
        <v>0.34</v>
      </c>
      <c r="BTW68" s="2555"/>
      <c r="BTX68" s="2555">
        <v>0.42</v>
      </c>
      <c r="BTY68" s="2553">
        <v>2019</v>
      </c>
      <c r="BTZ68" s="2554"/>
      <c r="BUA68" s="2555">
        <v>0.5</v>
      </c>
      <c r="BUB68" s="2555">
        <v>0.5</v>
      </c>
      <c r="BUC68" s="2555">
        <v>0.56000000000000005</v>
      </c>
      <c r="BUD68" s="2555">
        <v>0.34</v>
      </c>
      <c r="BUE68" s="2555"/>
      <c r="BUF68" s="2555">
        <v>0.42</v>
      </c>
      <c r="BUG68" s="2553">
        <v>2019</v>
      </c>
      <c r="BUH68" s="2554"/>
      <c r="BUI68" s="2555">
        <v>0.5</v>
      </c>
      <c r="BUJ68" s="2555">
        <v>0.5</v>
      </c>
      <c r="BUK68" s="2555">
        <v>0.56000000000000005</v>
      </c>
      <c r="BUL68" s="2555">
        <v>0.34</v>
      </c>
      <c r="BUM68" s="2555"/>
      <c r="BUN68" s="2555">
        <v>0.42</v>
      </c>
      <c r="BUO68" s="2553">
        <v>2019</v>
      </c>
      <c r="BUP68" s="2554"/>
      <c r="BUQ68" s="2555">
        <v>0.5</v>
      </c>
      <c r="BUR68" s="2555">
        <v>0.5</v>
      </c>
      <c r="BUS68" s="2555">
        <v>0.56000000000000005</v>
      </c>
      <c r="BUT68" s="2555">
        <v>0.34</v>
      </c>
      <c r="BUU68" s="2555"/>
      <c r="BUV68" s="2555">
        <v>0.42</v>
      </c>
      <c r="BUW68" s="2553">
        <v>2019</v>
      </c>
      <c r="BUX68" s="2554"/>
      <c r="BUY68" s="2555">
        <v>0.5</v>
      </c>
      <c r="BUZ68" s="2555">
        <v>0.5</v>
      </c>
      <c r="BVA68" s="2555">
        <v>0.56000000000000005</v>
      </c>
      <c r="BVB68" s="2555">
        <v>0.34</v>
      </c>
      <c r="BVC68" s="2555"/>
      <c r="BVD68" s="2555">
        <v>0.42</v>
      </c>
      <c r="BVE68" s="2553">
        <v>2019</v>
      </c>
      <c r="BVF68" s="2554"/>
      <c r="BVG68" s="2555">
        <v>0.5</v>
      </c>
      <c r="BVH68" s="2555">
        <v>0.5</v>
      </c>
      <c r="BVI68" s="2555">
        <v>0.56000000000000005</v>
      </c>
      <c r="BVJ68" s="2555">
        <v>0.34</v>
      </c>
      <c r="BVK68" s="2555"/>
      <c r="BVL68" s="2555">
        <v>0.42</v>
      </c>
      <c r="BVM68" s="2553">
        <v>2019</v>
      </c>
      <c r="BVN68" s="2554"/>
      <c r="BVO68" s="2555">
        <v>0.5</v>
      </c>
      <c r="BVP68" s="2555">
        <v>0.5</v>
      </c>
      <c r="BVQ68" s="2555">
        <v>0.56000000000000005</v>
      </c>
      <c r="BVR68" s="2555">
        <v>0.34</v>
      </c>
      <c r="BVS68" s="2555"/>
      <c r="BVT68" s="2555">
        <v>0.42</v>
      </c>
      <c r="BVU68" s="2553">
        <v>2019</v>
      </c>
      <c r="BVV68" s="2554"/>
      <c r="BVW68" s="2555">
        <v>0.5</v>
      </c>
      <c r="BVX68" s="2555">
        <v>0.5</v>
      </c>
      <c r="BVY68" s="2555">
        <v>0.56000000000000005</v>
      </c>
      <c r="BVZ68" s="2555">
        <v>0.34</v>
      </c>
      <c r="BWA68" s="2555"/>
      <c r="BWB68" s="2555">
        <v>0.42</v>
      </c>
      <c r="BWC68" s="2553">
        <v>2019</v>
      </c>
      <c r="BWD68" s="2554"/>
      <c r="BWE68" s="2555">
        <v>0.5</v>
      </c>
      <c r="BWF68" s="2555">
        <v>0.5</v>
      </c>
      <c r="BWG68" s="2555">
        <v>0.56000000000000005</v>
      </c>
      <c r="BWH68" s="2555">
        <v>0.34</v>
      </c>
      <c r="BWI68" s="2555"/>
      <c r="BWJ68" s="2555">
        <v>0.42</v>
      </c>
      <c r="BWK68" s="2553">
        <v>2019</v>
      </c>
      <c r="BWL68" s="2554"/>
      <c r="BWM68" s="2555">
        <v>0.5</v>
      </c>
      <c r="BWN68" s="2555">
        <v>0.5</v>
      </c>
      <c r="BWO68" s="2555">
        <v>0.56000000000000005</v>
      </c>
      <c r="BWP68" s="2555">
        <v>0.34</v>
      </c>
      <c r="BWQ68" s="2555"/>
      <c r="BWR68" s="2555">
        <v>0.42</v>
      </c>
      <c r="BWS68" s="2553">
        <v>2019</v>
      </c>
      <c r="BWT68" s="2554"/>
      <c r="BWU68" s="2555">
        <v>0.5</v>
      </c>
      <c r="BWV68" s="2555">
        <v>0.5</v>
      </c>
      <c r="BWW68" s="2555">
        <v>0.56000000000000005</v>
      </c>
      <c r="BWX68" s="2555">
        <v>0.34</v>
      </c>
      <c r="BWY68" s="2555"/>
      <c r="BWZ68" s="2555">
        <v>0.42</v>
      </c>
      <c r="BXA68" s="2553">
        <v>2019</v>
      </c>
      <c r="BXB68" s="2554"/>
      <c r="BXC68" s="2555">
        <v>0.5</v>
      </c>
      <c r="BXD68" s="2555">
        <v>0.5</v>
      </c>
      <c r="BXE68" s="2555">
        <v>0.56000000000000005</v>
      </c>
      <c r="BXF68" s="2555">
        <v>0.34</v>
      </c>
      <c r="BXG68" s="2555"/>
      <c r="BXH68" s="2555">
        <v>0.42</v>
      </c>
      <c r="BXI68" s="2553">
        <v>2019</v>
      </c>
      <c r="BXJ68" s="2554"/>
      <c r="BXK68" s="2555">
        <v>0.5</v>
      </c>
      <c r="BXL68" s="2555">
        <v>0.5</v>
      </c>
      <c r="BXM68" s="2555">
        <v>0.56000000000000005</v>
      </c>
      <c r="BXN68" s="2555">
        <v>0.34</v>
      </c>
      <c r="BXO68" s="2555"/>
      <c r="BXP68" s="2555">
        <v>0.42</v>
      </c>
      <c r="BXQ68" s="2553">
        <v>2019</v>
      </c>
      <c r="BXR68" s="2554"/>
      <c r="BXS68" s="2555">
        <v>0.5</v>
      </c>
      <c r="BXT68" s="2555">
        <v>0.5</v>
      </c>
      <c r="BXU68" s="2555">
        <v>0.56000000000000005</v>
      </c>
      <c r="BXV68" s="2555">
        <v>0.34</v>
      </c>
      <c r="BXW68" s="2555"/>
      <c r="BXX68" s="2555">
        <v>0.42</v>
      </c>
      <c r="BXY68" s="2553">
        <v>2019</v>
      </c>
      <c r="BXZ68" s="2554"/>
      <c r="BYA68" s="2555">
        <v>0.5</v>
      </c>
      <c r="BYB68" s="2555">
        <v>0.5</v>
      </c>
      <c r="BYC68" s="2555">
        <v>0.56000000000000005</v>
      </c>
      <c r="BYD68" s="2555">
        <v>0.34</v>
      </c>
      <c r="BYE68" s="2555"/>
      <c r="BYF68" s="2555">
        <v>0.42</v>
      </c>
      <c r="BYG68" s="2553">
        <v>2019</v>
      </c>
      <c r="BYH68" s="2554"/>
      <c r="BYI68" s="2555">
        <v>0.5</v>
      </c>
      <c r="BYJ68" s="2555">
        <v>0.5</v>
      </c>
      <c r="BYK68" s="2555">
        <v>0.56000000000000005</v>
      </c>
      <c r="BYL68" s="2555">
        <v>0.34</v>
      </c>
      <c r="BYM68" s="2555"/>
      <c r="BYN68" s="2555">
        <v>0.42</v>
      </c>
      <c r="BYO68" s="2553">
        <v>2019</v>
      </c>
      <c r="BYP68" s="2554"/>
      <c r="BYQ68" s="2555">
        <v>0.5</v>
      </c>
      <c r="BYR68" s="2555">
        <v>0.5</v>
      </c>
      <c r="BYS68" s="2555">
        <v>0.56000000000000005</v>
      </c>
      <c r="BYT68" s="2555">
        <v>0.34</v>
      </c>
      <c r="BYU68" s="2555"/>
      <c r="BYV68" s="2555">
        <v>0.42</v>
      </c>
      <c r="BYW68" s="2553">
        <v>2019</v>
      </c>
      <c r="BYX68" s="2554"/>
      <c r="BYY68" s="2555">
        <v>0.5</v>
      </c>
      <c r="BYZ68" s="2555">
        <v>0.5</v>
      </c>
      <c r="BZA68" s="2555">
        <v>0.56000000000000005</v>
      </c>
      <c r="BZB68" s="2555">
        <v>0.34</v>
      </c>
      <c r="BZC68" s="2555"/>
      <c r="BZD68" s="2555">
        <v>0.42</v>
      </c>
      <c r="BZE68" s="2553">
        <v>2019</v>
      </c>
      <c r="BZF68" s="2554"/>
      <c r="BZG68" s="2555">
        <v>0.5</v>
      </c>
      <c r="BZH68" s="2555">
        <v>0.5</v>
      </c>
      <c r="BZI68" s="2555">
        <v>0.56000000000000005</v>
      </c>
      <c r="BZJ68" s="2555">
        <v>0.34</v>
      </c>
      <c r="BZK68" s="2555"/>
      <c r="BZL68" s="2555">
        <v>0.42</v>
      </c>
      <c r="BZM68" s="2553">
        <v>2019</v>
      </c>
      <c r="BZN68" s="2554"/>
      <c r="BZO68" s="2555">
        <v>0.5</v>
      </c>
      <c r="BZP68" s="2555">
        <v>0.5</v>
      </c>
      <c r="BZQ68" s="2555">
        <v>0.56000000000000005</v>
      </c>
      <c r="BZR68" s="2555">
        <v>0.34</v>
      </c>
      <c r="BZS68" s="2555"/>
      <c r="BZT68" s="2555">
        <v>0.42</v>
      </c>
      <c r="BZU68" s="2553">
        <v>2019</v>
      </c>
      <c r="BZV68" s="2554"/>
      <c r="BZW68" s="2555">
        <v>0.5</v>
      </c>
      <c r="BZX68" s="2555">
        <v>0.5</v>
      </c>
      <c r="BZY68" s="2555">
        <v>0.56000000000000005</v>
      </c>
      <c r="BZZ68" s="2555">
        <v>0.34</v>
      </c>
      <c r="CAA68" s="2555"/>
      <c r="CAB68" s="2555">
        <v>0.42</v>
      </c>
      <c r="CAC68" s="2553">
        <v>2019</v>
      </c>
      <c r="CAD68" s="2554"/>
      <c r="CAE68" s="2555">
        <v>0.5</v>
      </c>
      <c r="CAF68" s="2555">
        <v>0.5</v>
      </c>
      <c r="CAG68" s="2555">
        <v>0.56000000000000005</v>
      </c>
      <c r="CAH68" s="2555">
        <v>0.34</v>
      </c>
      <c r="CAI68" s="2555"/>
      <c r="CAJ68" s="2555">
        <v>0.42</v>
      </c>
      <c r="CAK68" s="2553">
        <v>2019</v>
      </c>
      <c r="CAL68" s="2554"/>
      <c r="CAM68" s="2555">
        <v>0.5</v>
      </c>
      <c r="CAN68" s="2555">
        <v>0.5</v>
      </c>
      <c r="CAO68" s="2555">
        <v>0.56000000000000005</v>
      </c>
      <c r="CAP68" s="2555">
        <v>0.34</v>
      </c>
      <c r="CAQ68" s="2555"/>
      <c r="CAR68" s="2555">
        <v>0.42</v>
      </c>
      <c r="CAS68" s="2553">
        <v>2019</v>
      </c>
      <c r="CAT68" s="2554"/>
      <c r="CAU68" s="2555">
        <v>0.5</v>
      </c>
      <c r="CAV68" s="2555">
        <v>0.5</v>
      </c>
      <c r="CAW68" s="2555">
        <v>0.56000000000000005</v>
      </c>
      <c r="CAX68" s="2555">
        <v>0.34</v>
      </c>
      <c r="CAY68" s="2555"/>
      <c r="CAZ68" s="2555">
        <v>0.42</v>
      </c>
      <c r="CBA68" s="2553">
        <v>2019</v>
      </c>
      <c r="CBB68" s="2554"/>
      <c r="CBC68" s="2555">
        <v>0.5</v>
      </c>
      <c r="CBD68" s="2555">
        <v>0.5</v>
      </c>
      <c r="CBE68" s="2555">
        <v>0.56000000000000005</v>
      </c>
      <c r="CBF68" s="2555">
        <v>0.34</v>
      </c>
      <c r="CBG68" s="2555"/>
      <c r="CBH68" s="2555">
        <v>0.42</v>
      </c>
      <c r="CBI68" s="2553">
        <v>2019</v>
      </c>
      <c r="CBJ68" s="2554"/>
      <c r="CBK68" s="2555">
        <v>0.5</v>
      </c>
      <c r="CBL68" s="2555">
        <v>0.5</v>
      </c>
      <c r="CBM68" s="2555">
        <v>0.56000000000000005</v>
      </c>
      <c r="CBN68" s="2555">
        <v>0.34</v>
      </c>
      <c r="CBO68" s="2555"/>
      <c r="CBP68" s="2555">
        <v>0.42</v>
      </c>
      <c r="CBQ68" s="2553">
        <v>2019</v>
      </c>
      <c r="CBR68" s="2554"/>
      <c r="CBS68" s="2555">
        <v>0.5</v>
      </c>
      <c r="CBT68" s="2555">
        <v>0.5</v>
      </c>
      <c r="CBU68" s="2555">
        <v>0.56000000000000005</v>
      </c>
      <c r="CBV68" s="2555">
        <v>0.34</v>
      </c>
      <c r="CBW68" s="2555"/>
      <c r="CBX68" s="2555">
        <v>0.42</v>
      </c>
      <c r="CBY68" s="2553">
        <v>2019</v>
      </c>
      <c r="CBZ68" s="2554"/>
      <c r="CCA68" s="2555">
        <v>0.5</v>
      </c>
      <c r="CCB68" s="2555">
        <v>0.5</v>
      </c>
      <c r="CCC68" s="2555">
        <v>0.56000000000000005</v>
      </c>
      <c r="CCD68" s="2555">
        <v>0.34</v>
      </c>
      <c r="CCE68" s="2555"/>
      <c r="CCF68" s="2555">
        <v>0.42</v>
      </c>
      <c r="CCG68" s="2553">
        <v>2019</v>
      </c>
      <c r="CCH68" s="2554"/>
      <c r="CCI68" s="2555">
        <v>0.5</v>
      </c>
      <c r="CCJ68" s="2555">
        <v>0.5</v>
      </c>
      <c r="CCK68" s="2555">
        <v>0.56000000000000005</v>
      </c>
      <c r="CCL68" s="2555">
        <v>0.34</v>
      </c>
      <c r="CCM68" s="2555"/>
      <c r="CCN68" s="2555">
        <v>0.42</v>
      </c>
      <c r="CCO68" s="2553">
        <v>2019</v>
      </c>
      <c r="CCP68" s="2554"/>
      <c r="CCQ68" s="2555">
        <v>0.5</v>
      </c>
      <c r="CCR68" s="2555">
        <v>0.5</v>
      </c>
      <c r="CCS68" s="2555">
        <v>0.56000000000000005</v>
      </c>
      <c r="CCT68" s="2555">
        <v>0.34</v>
      </c>
      <c r="CCU68" s="2555"/>
      <c r="CCV68" s="2555">
        <v>0.42</v>
      </c>
      <c r="CCW68" s="2553">
        <v>2019</v>
      </c>
      <c r="CCX68" s="2554"/>
      <c r="CCY68" s="2555">
        <v>0.5</v>
      </c>
      <c r="CCZ68" s="2555">
        <v>0.5</v>
      </c>
      <c r="CDA68" s="2555">
        <v>0.56000000000000005</v>
      </c>
      <c r="CDB68" s="2555">
        <v>0.34</v>
      </c>
      <c r="CDC68" s="2555"/>
      <c r="CDD68" s="2555">
        <v>0.42</v>
      </c>
      <c r="CDE68" s="2553">
        <v>2019</v>
      </c>
      <c r="CDF68" s="2554"/>
      <c r="CDG68" s="2555">
        <v>0.5</v>
      </c>
      <c r="CDH68" s="2555">
        <v>0.5</v>
      </c>
      <c r="CDI68" s="2555">
        <v>0.56000000000000005</v>
      </c>
      <c r="CDJ68" s="2555">
        <v>0.34</v>
      </c>
      <c r="CDK68" s="2555"/>
      <c r="CDL68" s="2555">
        <v>0.42</v>
      </c>
      <c r="CDM68" s="2553">
        <v>2019</v>
      </c>
      <c r="CDN68" s="2554"/>
      <c r="CDO68" s="2555">
        <v>0.5</v>
      </c>
      <c r="CDP68" s="2555">
        <v>0.5</v>
      </c>
      <c r="CDQ68" s="2555">
        <v>0.56000000000000005</v>
      </c>
      <c r="CDR68" s="2555">
        <v>0.34</v>
      </c>
      <c r="CDS68" s="2555"/>
      <c r="CDT68" s="2555">
        <v>0.42</v>
      </c>
      <c r="CDU68" s="2553">
        <v>2019</v>
      </c>
      <c r="CDV68" s="2554"/>
      <c r="CDW68" s="2555">
        <v>0.5</v>
      </c>
      <c r="CDX68" s="2555">
        <v>0.5</v>
      </c>
      <c r="CDY68" s="2555">
        <v>0.56000000000000005</v>
      </c>
      <c r="CDZ68" s="2555">
        <v>0.34</v>
      </c>
      <c r="CEA68" s="2555"/>
      <c r="CEB68" s="2555">
        <v>0.42</v>
      </c>
      <c r="CEC68" s="2553">
        <v>2019</v>
      </c>
      <c r="CED68" s="2554"/>
      <c r="CEE68" s="2555">
        <v>0.5</v>
      </c>
      <c r="CEF68" s="2555">
        <v>0.5</v>
      </c>
      <c r="CEG68" s="2555">
        <v>0.56000000000000005</v>
      </c>
      <c r="CEH68" s="2555">
        <v>0.34</v>
      </c>
      <c r="CEI68" s="2555"/>
      <c r="CEJ68" s="2555">
        <v>0.42</v>
      </c>
      <c r="CEK68" s="2553">
        <v>2019</v>
      </c>
      <c r="CEL68" s="2554"/>
      <c r="CEM68" s="2555">
        <v>0.5</v>
      </c>
      <c r="CEN68" s="2555">
        <v>0.5</v>
      </c>
      <c r="CEO68" s="2555">
        <v>0.56000000000000005</v>
      </c>
      <c r="CEP68" s="2555">
        <v>0.34</v>
      </c>
      <c r="CEQ68" s="2555"/>
      <c r="CER68" s="2555">
        <v>0.42</v>
      </c>
      <c r="CES68" s="2553">
        <v>2019</v>
      </c>
      <c r="CET68" s="2554"/>
      <c r="CEU68" s="2555">
        <v>0.5</v>
      </c>
      <c r="CEV68" s="2555">
        <v>0.5</v>
      </c>
      <c r="CEW68" s="2555">
        <v>0.56000000000000005</v>
      </c>
      <c r="CEX68" s="2555">
        <v>0.34</v>
      </c>
      <c r="CEY68" s="2555"/>
      <c r="CEZ68" s="2555">
        <v>0.42</v>
      </c>
      <c r="CFA68" s="2553">
        <v>2019</v>
      </c>
      <c r="CFB68" s="2554"/>
      <c r="CFC68" s="2555">
        <v>0.5</v>
      </c>
      <c r="CFD68" s="2555">
        <v>0.5</v>
      </c>
      <c r="CFE68" s="2555">
        <v>0.56000000000000005</v>
      </c>
      <c r="CFF68" s="2555">
        <v>0.34</v>
      </c>
      <c r="CFG68" s="2555"/>
      <c r="CFH68" s="2555">
        <v>0.42</v>
      </c>
      <c r="CFI68" s="2553">
        <v>2019</v>
      </c>
      <c r="CFJ68" s="2554"/>
      <c r="CFK68" s="2555">
        <v>0.5</v>
      </c>
      <c r="CFL68" s="2555">
        <v>0.5</v>
      </c>
      <c r="CFM68" s="2555">
        <v>0.56000000000000005</v>
      </c>
      <c r="CFN68" s="2555">
        <v>0.34</v>
      </c>
      <c r="CFO68" s="2555"/>
      <c r="CFP68" s="2555">
        <v>0.42</v>
      </c>
      <c r="CFQ68" s="2553">
        <v>2019</v>
      </c>
      <c r="CFR68" s="2554"/>
      <c r="CFS68" s="2555">
        <v>0.5</v>
      </c>
      <c r="CFT68" s="2555">
        <v>0.5</v>
      </c>
      <c r="CFU68" s="2555">
        <v>0.56000000000000005</v>
      </c>
      <c r="CFV68" s="2555">
        <v>0.34</v>
      </c>
      <c r="CFW68" s="2555"/>
      <c r="CFX68" s="2555">
        <v>0.42</v>
      </c>
      <c r="CFY68" s="2553">
        <v>2019</v>
      </c>
      <c r="CFZ68" s="2554"/>
      <c r="CGA68" s="2555">
        <v>0.5</v>
      </c>
      <c r="CGB68" s="2555">
        <v>0.5</v>
      </c>
      <c r="CGC68" s="2555">
        <v>0.56000000000000005</v>
      </c>
      <c r="CGD68" s="2555">
        <v>0.34</v>
      </c>
      <c r="CGE68" s="2555"/>
      <c r="CGF68" s="2555">
        <v>0.42</v>
      </c>
      <c r="CGG68" s="2553">
        <v>2019</v>
      </c>
      <c r="CGH68" s="2554"/>
      <c r="CGI68" s="2555">
        <v>0.5</v>
      </c>
      <c r="CGJ68" s="2555">
        <v>0.5</v>
      </c>
      <c r="CGK68" s="2555">
        <v>0.56000000000000005</v>
      </c>
      <c r="CGL68" s="2555">
        <v>0.34</v>
      </c>
      <c r="CGM68" s="2555"/>
      <c r="CGN68" s="2555">
        <v>0.42</v>
      </c>
      <c r="CGO68" s="2553">
        <v>2019</v>
      </c>
      <c r="CGP68" s="2554"/>
      <c r="CGQ68" s="2555">
        <v>0.5</v>
      </c>
      <c r="CGR68" s="2555">
        <v>0.5</v>
      </c>
      <c r="CGS68" s="2555">
        <v>0.56000000000000005</v>
      </c>
      <c r="CGT68" s="2555">
        <v>0.34</v>
      </c>
      <c r="CGU68" s="2555"/>
      <c r="CGV68" s="2555">
        <v>0.42</v>
      </c>
      <c r="CGW68" s="2553">
        <v>2019</v>
      </c>
      <c r="CGX68" s="2554"/>
      <c r="CGY68" s="2555">
        <v>0.5</v>
      </c>
      <c r="CGZ68" s="2555">
        <v>0.5</v>
      </c>
      <c r="CHA68" s="2555">
        <v>0.56000000000000005</v>
      </c>
      <c r="CHB68" s="2555">
        <v>0.34</v>
      </c>
      <c r="CHC68" s="2555"/>
      <c r="CHD68" s="2555">
        <v>0.42</v>
      </c>
      <c r="CHE68" s="2553">
        <v>2019</v>
      </c>
      <c r="CHF68" s="2554"/>
      <c r="CHG68" s="2555">
        <v>0.5</v>
      </c>
      <c r="CHH68" s="2555">
        <v>0.5</v>
      </c>
      <c r="CHI68" s="2555">
        <v>0.56000000000000005</v>
      </c>
      <c r="CHJ68" s="2555">
        <v>0.34</v>
      </c>
      <c r="CHK68" s="2555"/>
      <c r="CHL68" s="2555">
        <v>0.42</v>
      </c>
      <c r="CHM68" s="2553">
        <v>2019</v>
      </c>
      <c r="CHN68" s="2554"/>
      <c r="CHO68" s="2555">
        <v>0.5</v>
      </c>
      <c r="CHP68" s="2555">
        <v>0.5</v>
      </c>
      <c r="CHQ68" s="2555">
        <v>0.56000000000000005</v>
      </c>
      <c r="CHR68" s="2555">
        <v>0.34</v>
      </c>
      <c r="CHS68" s="2555"/>
      <c r="CHT68" s="2555">
        <v>0.42</v>
      </c>
      <c r="CHU68" s="2553">
        <v>2019</v>
      </c>
      <c r="CHV68" s="2554"/>
      <c r="CHW68" s="2555">
        <v>0.5</v>
      </c>
      <c r="CHX68" s="2555">
        <v>0.5</v>
      </c>
      <c r="CHY68" s="2555">
        <v>0.56000000000000005</v>
      </c>
      <c r="CHZ68" s="2555">
        <v>0.34</v>
      </c>
      <c r="CIA68" s="2555"/>
      <c r="CIB68" s="2555">
        <v>0.42</v>
      </c>
      <c r="CIC68" s="2553">
        <v>2019</v>
      </c>
      <c r="CID68" s="2554"/>
      <c r="CIE68" s="2555">
        <v>0.5</v>
      </c>
      <c r="CIF68" s="2555">
        <v>0.5</v>
      </c>
      <c r="CIG68" s="2555">
        <v>0.56000000000000005</v>
      </c>
      <c r="CIH68" s="2555">
        <v>0.34</v>
      </c>
      <c r="CII68" s="2555"/>
      <c r="CIJ68" s="2555">
        <v>0.42</v>
      </c>
      <c r="CIK68" s="2553">
        <v>2019</v>
      </c>
      <c r="CIL68" s="2554"/>
      <c r="CIM68" s="2555">
        <v>0.5</v>
      </c>
      <c r="CIN68" s="2555">
        <v>0.5</v>
      </c>
      <c r="CIO68" s="2555">
        <v>0.56000000000000005</v>
      </c>
      <c r="CIP68" s="2555">
        <v>0.34</v>
      </c>
      <c r="CIQ68" s="2555"/>
      <c r="CIR68" s="2555">
        <v>0.42</v>
      </c>
      <c r="CIS68" s="2553">
        <v>2019</v>
      </c>
      <c r="CIT68" s="2554"/>
      <c r="CIU68" s="2555">
        <v>0.5</v>
      </c>
      <c r="CIV68" s="2555">
        <v>0.5</v>
      </c>
      <c r="CIW68" s="2555">
        <v>0.56000000000000005</v>
      </c>
      <c r="CIX68" s="2555">
        <v>0.34</v>
      </c>
      <c r="CIY68" s="2555"/>
      <c r="CIZ68" s="2555">
        <v>0.42</v>
      </c>
      <c r="CJA68" s="2553">
        <v>2019</v>
      </c>
      <c r="CJB68" s="2554"/>
      <c r="CJC68" s="2555">
        <v>0.5</v>
      </c>
      <c r="CJD68" s="2555">
        <v>0.5</v>
      </c>
      <c r="CJE68" s="2555">
        <v>0.56000000000000005</v>
      </c>
      <c r="CJF68" s="2555">
        <v>0.34</v>
      </c>
      <c r="CJG68" s="2555"/>
      <c r="CJH68" s="2555">
        <v>0.42</v>
      </c>
      <c r="CJI68" s="2553">
        <v>2019</v>
      </c>
      <c r="CJJ68" s="2554"/>
      <c r="CJK68" s="2555">
        <v>0.5</v>
      </c>
      <c r="CJL68" s="2555">
        <v>0.5</v>
      </c>
      <c r="CJM68" s="2555">
        <v>0.56000000000000005</v>
      </c>
      <c r="CJN68" s="2555">
        <v>0.34</v>
      </c>
      <c r="CJO68" s="2555"/>
      <c r="CJP68" s="2555">
        <v>0.42</v>
      </c>
      <c r="CJQ68" s="2553">
        <v>2019</v>
      </c>
      <c r="CJR68" s="2554"/>
      <c r="CJS68" s="2555">
        <v>0.5</v>
      </c>
      <c r="CJT68" s="2555">
        <v>0.5</v>
      </c>
      <c r="CJU68" s="2555">
        <v>0.56000000000000005</v>
      </c>
      <c r="CJV68" s="2555">
        <v>0.34</v>
      </c>
      <c r="CJW68" s="2555"/>
      <c r="CJX68" s="2555">
        <v>0.42</v>
      </c>
      <c r="CJY68" s="2553">
        <v>2019</v>
      </c>
      <c r="CJZ68" s="2554"/>
      <c r="CKA68" s="2555">
        <v>0.5</v>
      </c>
      <c r="CKB68" s="2555">
        <v>0.5</v>
      </c>
      <c r="CKC68" s="2555">
        <v>0.56000000000000005</v>
      </c>
      <c r="CKD68" s="2555">
        <v>0.34</v>
      </c>
      <c r="CKE68" s="2555"/>
      <c r="CKF68" s="2555">
        <v>0.42</v>
      </c>
      <c r="CKG68" s="2553">
        <v>2019</v>
      </c>
      <c r="CKH68" s="2554"/>
      <c r="CKI68" s="2555">
        <v>0.5</v>
      </c>
      <c r="CKJ68" s="2555">
        <v>0.5</v>
      </c>
      <c r="CKK68" s="2555">
        <v>0.56000000000000005</v>
      </c>
      <c r="CKL68" s="2555">
        <v>0.34</v>
      </c>
      <c r="CKM68" s="2555"/>
      <c r="CKN68" s="2555">
        <v>0.42</v>
      </c>
      <c r="CKO68" s="2553">
        <v>2019</v>
      </c>
      <c r="CKP68" s="2554"/>
      <c r="CKQ68" s="2555">
        <v>0.5</v>
      </c>
      <c r="CKR68" s="2555">
        <v>0.5</v>
      </c>
      <c r="CKS68" s="2555">
        <v>0.56000000000000005</v>
      </c>
      <c r="CKT68" s="2555">
        <v>0.34</v>
      </c>
      <c r="CKU68" s="2555"/>
      <c r="CKV68" s="2555">
        <v>0.42</v>
      </c>
      <c r="CKW68" s="2553">
        <v>2019</v>
      </c>
      <c r="CKX68" s="2554"/>
      <c r="CKY68" s="2555">
        <v>0.5</v>
      </c>
      <c r="CKZ68" s="2555">
        <v>0.5</v>
      </c>
      <c r="CLA68" s="2555">
        <v>0.56000000000000005</v>
      </c>
      <c r="CLB68" s="2555">
        <v>0.34</v>
      </c>
      <c r="CLC68" s="2555"/>
      <c r="CLD68" s="2555">
        <v>0.42</v>
      </c>
      <c r="CLE68" s="2553">
        <v>2019</v>
      </c>
      <c r="CLF68" s="2554"/>
      <c r="CLG68" s="2555">
        <v>0.5</v>
      </c>
      <c r="CLH68" s="2555">
        <v>0.5</v>
      </c>
      <c r="CLI68" s="2555">
        <v>0.56000000000000005</v>
      </c>
      <c r="CLJ68" s="2555">
        <v>0.34</v>
      </c>
      <c r="CLK68" s="2555"/>
      <c r="CLL68" s="2555">
        <v>0.42</v>
      </c>
      <c r="CLM68" s="2553">
        <v>2019</v>
      </c>
      <c r="CLN68" s="2554"/>
      <c r="CLO68" s="2555">
        <v>0.5</v>
      </c>
      <c r="CLP68" s="2555">
        <v>0.5</v>
      </c>
      <c r="CLQ68" s="2555">
        <v>0.56000000000000005</v>
      </c>
      <c r="CLR68" s="2555">
        <v>0.34</v>
      </c>
      <c r="CLS68" s="2555"/>
      <c r="CLT68" s="2555">
        <v>0.42</v>
      </c>
      <c r="CLU68" s="2553">
        <v>2019</v>
      </c>
      <c r="CLV68" s="2554"/>
      <c r="CLW68" s="2555">
        <v>0.5</v>
      </c>
      <c r="CLX68" s="2555">
        <v>0.5</v>
      </c>
      <c r="CLY68" s="2555">
        <v>0.56000000000000005</v>
      </c>
      <c r="CLZ68" s="2555">
        <v>0.34</v>
      </c>
      <c r="CMA68" s="2555"/>
      <c r="CMB68" s="2555">
        <v>0.42</v>
      </c>
      <c r="CMC68" s="2553">
        <v>2019</v>
      </c>
      <c r="CMD68" s="2554"/>
      <c r="CME68" s="2555">
        <v>0.5</v>
      </c>
      <c r="CMF68" s="2555">
        <v>0.5</v>
      </c>
      <c r="CMG68" s="2555">
        <v>0.56000000000000005</v>
      </c>
      <c r="CMH68" s="2555">
        <v>0.34</v>
      </c>
      <c r="CMI68" s="2555"/>
      <c r="CMJ68" s="2555">
        <v>0.42</v>
      </c>
      <c r="CMK68" s="2553">
        <v>2019</v>
      </c>
      <c r="CML68" s="2554"/>
      <c r="CMM68" s="2555">
        <v>0.5</v>
      </c>
      <c r="CMN68" s="2555">
        <v>0.5</v>
      </c>
      <c r="CMO68" s="2555">
        <v>0.56000000000000005</v>
      </c>
      <c r="CMP68" s="2555">
        <v>0.34</v>
      </c>
      <c r="CMQ68" s="2555"/>
      <c r="CMR68" s="2555">
        <v>0.42</v>
      </c>
      <c r="CMS68" s="2553">
        <v>2019</v>
      </c>
      <c r="CMT68" s="2554"/>
      <c r="CMU68" s="2555">
        <v>0.5</v>
      </c>
      <c r="CMV68" s="2555">
        <v>0.5</v>
      </c>
      <c r="CMW68" s="2555">
        <v>0.56000000000000005</v>
      </c>
      <c r="CMX68" s="2555">
        <v>0.34</v>
      </c>
      <c r="CMY68" s="2555"/>
      <c r="CMZ68" s="2555">
        <v>0.42</v>
      </c>
      <c r="CNA68" s="2553">
        <v>2019</v>
      </c>
      <c r="CNB68" s="2554"/>
      <c r="CNC68" s="2555">
        <v>0.5</v>
      </c>
      <c r="CND68" s="2555">
        <v>0.5</v>
      </c>
      <c r="CNE68" s="2555">
        <v>0.56000000000000005</v>
      </c>
      <c r="CNF68" s="2555">
        <v>0.34</v>
      </c>
      <c r="CNG68" s="2555"/>
      <c r="CNH68" s="2555">
        <v>0.42</v>
      </c>
      <c r="CNI68" s="2553">
        <v>2019</v>
      </c>
      <c r="CNJ68" s="2554"/>
      <c r="CNK68" s="2555">
        <v>0.5</v>
      </c>
      <c r="CNL68" s="2555">
        <v>0.5</v>
      </c>
      <c r="CNM68" s="2555">
        <v>0.56000000000000005</v>
      </c>
      <c r="CNN68" s="2555">
        <v>0.34</v>
      </c>
      <c r="CNO68" s="2555"/>
      <c r="CNP68" s="2555">
        <v>0.42</v>
      </c>
      <c r="CNQ68" s="2553">
        <v>2019</v>
      </c>
      <c r="CNR68" s="2554"/>
      <c r="CNS68" s="2555">
        <v>0.5</v>
      </c>
      <c r="CNT68" s="2555">
        <v>0.5</v>
      </c>
      <c r="CNU68" s="2555">
        <v>0.56000000000000005</v>
      </c>
      <c r="CNV68" s="2555">
        <v>0.34</v>
      </c>
      <c r="CNW68" s="2555"/>
      <c r="CNX68" s="2555">
        <v>0.42</v>
      </c>
      <c r="CNY68" s="2553">
        <v>2019</v>
      </c>
      <c r="CNZ68" s="2554"/>
      <c r="COA68" s="2555">
        <v>0.5</v>
      </c>
      <c r="COB68" s="2555">
        <v>0.5</v>
      </c>
      <c r="COC68" s="2555">
        <v>0.56000000000000005</v>
      </c>
      <c r="COD68" s="2555">
        <v>0.34</v>
      </c>
      <c r="COE68" s="2555"/>
      <c r="COF68" s="2555">
        <v>0.42</v>
      </c>
      <c r="COG68" s="2553">
        <v>2019</v>
      </c>
      <c r="COH68" s="2554"/>
      <c r="COI68" s="2555">
        <v>0.5</v>
      </c>
      <c r="COJ68" s="2555">
        <v>0.5</v>
      </c>
      <c r="COK68" s="2555">
        <v>0.56000000000000005</v>
      </c>
      <c r="COL68" s="2555">
        <v>0.34</v>
      </c>
      <c r="COM68" s="2555"/>
      <c r="CON68" s="2555">
        <v>0.42</v>
      </c>
      <c r="COO68" s="2553">
        <v>2019</v>
      </c>
      <c r="COP68" s="2554"/>
      <c r="COQ68" s="2555">
        <v>0.5</v>
      </c>
      <c r="COR68" s="2555">
        <v>0.5</v>
      </c>
      <c r="COS68" s="2555">
        <v>0.56000000000000005</v>
      </c>
      <c r="COT68" s="2555">
        <v>0.34</v>
      </c>
      <c r="COU68" s="2555"/>
      <c r="COV68" s="2555">
        <v>0.42</v>
      </c>
      <c r="COW68" s="2553">
        <v>2019</v>
      </c>
      <c r="COX68" s="2554"/>
      <c r="COY68" s="2555">
        <v>0.5</v>
      </c>
      <c r="COZ68" s="2555">
        <v>0.5</v>
      </c>
      <c r="CPA68" s="2555">
        <v>0.56000000000000005</v>
      </c>
      <c r="CPB68" s="2555">
        <v>0.34</v>
      </c>
      <c r="CPC68" s="2555"/>
      <c r="CPD68" s="2555">
        <v>0.42</v>
      </c>
      <c r="CPE68" s="2553">
        <v>2019</v>
      </c>
      <c r="CPF68" s="2554"/>
      <c r="CPG68" s="2555">
        <v>0.5</v>
      </c>
      <c r="CPH68" s="2555">
        <v>0.5</v>
      </c>
      <c r="CPI68" s="2555">
        <v>0.56000000000000005</v>
      </c>
      <c r="CPJ68" s="2555">
        <v>0.34</v>
      </c>
      <c r="CPK68" s="2555"/>
      <c r="CPL68" s="2555">
        <v>0.42</v>
      </c>
      <c r="CPM68" s="2553">
        <v>2019</v>
      </c>
      <c r="CPN68" s="2554"/>
      <c r="CPO68" s="2555">
        <v>0.5</v>
      </c>
      <c r="CPP68" s="2555">
        <v>0.5</v>
      </c>
      <c r="CPQ68" s="2555">
        <v>0.56000000000000005</v>
      </c>
      <c r="CPR68" s="2555">
        <v>0.34</v>
      </c>
      <c r="CPS68" s="2555"/>
      <c r="CPT68" s="2555">
        <v>0.42</v>
      </c>
      <c r="CPU68" s="2553">
        <v>2019</v>
      </c>
      <c r="CPV68" s="2554"/>
      <c r="CPW68" s="2555">
        <v>0.5</v>
      </c>
      <c r="CPX68" s="2555">
        <v>0.5</v>
      </c>
      <c r="CPY68" s="2555">
        <v>0.56000000000000005</v>
      </c>
      <c r="CPZ68" s="2555">
        <v>0.34</v>
      </c>
      <c r="CQA68" s="2555"/>
      <c r="CQB68" s="2555">
        <v>0.42</v>
      </c>
      <c r="CQC68" s="2553">
        <v>2019</v>
      </c>
      <c r="CQD68" s="2554"/>
      <c r="CQE68" s="2555">
        <v>0.5</v>
      </c>
      <c r="CQF68" s="2555">
        <v>0.5</v>
      </c>
      <c r="CQG68" s="2555">
        <v>0.56000000000000005</v>
      </c>
      <c r="CQH68" s="2555">
        <v>0.34</v>
      </c>
      <c r="CQI68" s="2555"/>
      <c r="CQJ68" s="2555">
        <v>0.42</v>
      </c>
      <c r="CQK68" s="2553">
        <v>2019</v>
      </c>
      <c r="CQL68" s="2554"/>
      <c r="CQM68" s="2555">
        <v>0.5</v>
      </c>
      <c r="CQN68" s="2555">
        <v>0.5</v>
      </c>
      <c r="CQO68" s="2555">
        <v>0.56000000000000005</v>
      </c>
      <c r="CQP68" s="2555">
        <v>0.34</v>
      </c>
      <c r="CQQ68" s="2555"/>
      <c r="CQR68" s="2555">
        <v>0.42</v>
      </c>
      <c r="CQS68" s="2553">
        <v>2019</v>
      </c>
      <c r="CQT68" s="2554"/>
      <c r="CQU68" s="2555">
        <v>0.5</v>
      </c>
      <c r="CQV68" s="2555">
        <v>0.5</v>
      </c>
      <c r="CQW68" s="2555">
        <v>0.56000000000000005</v>
      </c>
      <c r="CQX68" s="2555">
        <v>0.34</v>
      </c>
      <c r="CQY68" s="2555"/>
      <c r="CQZ68" s="2555">
        <v>0.42</v>
      </c>
      <c r="CRA68" s="2553">
        <v>2019</v>
      </c>
      <c r="CRB68" s="2554"/>
      <c r="CRC68" s="2555">
        <v>0.5</v>
      </c>
      <c r="CRD68" s="2555">
        <v>0.5</v>
      </c>
      <c r="CRE68" s="2555">
        <v>0.56000000000000005</v>
      </c>
      <c r="CRF68" s="2555">
        <v>0.34</v>
      </c>
      <c r="CRG68" s="2555"/>
      <c r="CRH68" s="2555">
        <v>0.42</v>
      </c>
      <c r="CRI68" s="2553">
        <v>2019</v>
      </c>
      <c r="CRJ68" s="2554"/>
      <c r="CRK68" s="2555">
        <v>0.5</v>
      </c>
      <c r="CRL68" s="2555">
        <v>0.5</v>
      </c>
      <c r="CRM68" s="2555">
        <v>0.56000000000000005</v>
      </c>
      <c r="CRN68" s="2555">
        <v>0.34</v>
      </c>
      <c r="CRO68" s="2555"/>
      <c r="CRP68" s="2555">
        <v>0.42</v>
      </c>
      <c r="CRQ68" s="2553">
        <v>2019</v>
      </c>
      <c r="CRR68" s="2554"/>
      <c r="CRS68" s="2555">
        <v>0.5</v>
      </c>
      <c r="CRT68" s="2555">
        <v>0.5</v>
      </c>
      <c r="CRU68" s="2555">
        <v>0.56000000000000005</v>
      </c>
      <c r="CRV68" s="2555">
        <v>0.34</v>
      </c>
      <c r="CRW68" s="2555"/>
      <c r="CRX68" s="2555">
        <v>0.42</v>
      </c>
      <c r="CRY68" s="2553">
        <v>2019</v>
      </c>
      <c r="CRZ68" s="2554"/>
      <c r="CSA68" s="2555">
        <v>0.5</v>
      </c>
      <c r="CSB68" s="2555">
        <v>0.5</v>
      </c>
      <c r="CSC68" s="2555">
        <v>0.56000000000000005</v>
      </c>
      <c r="CSD68" s="2555">
        <v>0.34</v>
      </c>
      <c r="CSE68" s="2555"/>
      <c r="CSF68" s="2555">
        <v>0.42</v>
      </c>
      <c r="CSG68" s="2553">
        <v>2019</v>
      </c>
      <c r="CSH68" s="2554"/>
      <c r="CSI68" s="2555">
        <v>0.5</v>
      </c>
      <c r="CSJ68" s="2555">
        <v>0.5</v>
      </c>
      <c r="CSK68" s="2555">
        <v>0.56000000000000005</v>
      </c>
      <c r="CSL68" s="2555">
        <v>0.34</v>
      </c>
      <c r="CSM68" s="2555"/>
      <c r="CSN68" s="2555">
        <v>0.42</v>
      </c>
      <c r="CSO68" s="2553">
        <v>2019</v>
      </c>
      <c r="CSP68" s="2554"/>
      <c r="CSQ68" s="2555">
        <v>0.5</v>
      </c>
      <c r="CSR68" s="2555">
        <v>0.5</v>
      </c>
      <c r="CSS68" s="2555">
        <v>0.56000000000000005</v>
      </c>
      <c r="CST68" s="2555">
        <v>0.34</v>
      </c>
      <c r="CSU68" s="2555"/>
      <c r="CSV68" s="2555">
        <v>0.42</v>
      </c>
      <c r="CSW68" s="2553">
        <v>2019</v>
      </c>
      <c r="CSX68" s="2554"/>
      <c r="CSY68" s="2555">
        <v>0.5</v>
      </c>
      <c r="CSZ68" s="2555">
        <v>0.5</v>
      </c>
      <c r="CTA68" s="2555">
        <v>0.56000000000000005</v>
      </c>
      <c r="CTB68" s="2555">
        <v>0.34</v>
      </c>
      <c r="CTC68" s="2555"/>
      <c r="CTD68" s="2555">
        <v>0.42</v>
      </c>
      <c r="CTE68" s="2553">
        <v>2019</v>
      </c>
      <c r="CTF68" s="2554"/>
      <c r="CTG68" s="2555">
        <v>0.5</v>
      </c>
      <c r="CTH68" s="2555">
        <v>0.5</v>
      </c>
      <c r="CTI68" s="2555">
        <v>0.56000000000000005</v>
      </c>
      <c r="CTJ68" s="2555">
        <v>0.34</v>
      </c>
      <c r="CTK68" s="2555"/>
      <c r="CTL68" s="2555">
        <v>0.42</v>
      </c>
      <c r="CTM68" s="2553">
        <v>2019</v>
      </c>
      <c r="CTN68" s="2554"/>
      <c r="CTO68" s="2555">
        <v>0.5</v>
      </c>
      <c r="CTP68" s="2555">
        <v>0.5</v>
      </c>
      <c r="CTQ68" s="2555">
        <v>0.56000000000000005</v>
      </c>
      <c r="CTR68" s="2555">
        <v>0.34</v>
      </c>
      <c r="CTS68" s="2555"/>
      <c r="CTT68" s="2555">
        <v>0.42</v>
      </c>
      <c r="CTU68" s="2553">
        <v>2019</v>
      </c>
      <c r="CTV68" s="2554"/>
      <c r="CTW68" s="2555">
        <v>0.5</v>
      </c>
      <c r="CTX68" s="2555">
        <v>0.5</v>
      </c>
      <c r="CTY68" s="2555">
        <v>0.56000000000000005</v>
      </c>
      <c r="CTZ68" s="2555">
        <v>0.34</v>
      </c>
      <c r="CUA68" s="2555"/>
      <c r="CUB68" s="2555">
        <v>0.42</v>
      </c>
      <c r="CUC68" s="2553">
        <v>2019</v>
      </c>
      <c r="CUD68" s="2554"/>
      <c r="CUE68" s="2555">
        <v>0.5</v>
      </c>
      <c r="CUF68" s="2555">
        <v>0.5</v>
      </c>
      <c r="CUG68" s="2555">
        <v>0.56000000000000005</v>
      </c>
      <c r="CUH68" s="2555">
        <v>0.34</v>
      </c>
      <c r="CUI68" s="2555"/>
      <c r="CUJ68" s="2555">
        <v>0.42</v>
      </c>
      <c r="CUK68" s="2553">
        <v>2019</v>
      </c>
      <c r="CUL68" s="2554"/>
      <c r="CUM68" s="2555">
        <v>0.5</v>
      </c>
      <c r="CUN68" s="2555">
        <v>0.5</v>
      </c>
      <c r="CUO68" s="2555">
        <v>0.56000000000000005</v>
      </c>
      <c r="CUP68" s="2555">
        <v>0.34</v>
      </c>
      <c r="CUQ68" s="2555"/>
      <c r="CUR68" s="2555">
        <v>0.42</v>
      </c>
      <c r="CUS68" s="2553">
        <v>2019</v>
      </c>
      <c r="CUT68" s="2554"/>
      <c r="CUU68" s="2555">
        <v>0.5</v>
      </c>
      <c r="CUV68" s="2555">
        <v>0.5</v>
      </c>
      <c r="CUW68" s="2555">
        <v>0.56000000000000005</v>
      </c>
      <c r="CUX68" s="2555">
        <v>0.34</v>
      </c>
      <c r="CUY68" s="2555"/>
      <c r="CUZ68" s="2555">
        <v>0.42</v>
      </c>
      <c r="CVA68" s="2553">
        <v>2019</v>
      </c>
      <c r="CVB68" s="2554"/>
      <c r="CVC68" s="2555">
        <v>0.5</v>
      </c>
      <c r="CVD68" s="2555">
        <v>0.5</v>
      </c>
      <c r="CVE68" s="2555">
        <v>0.56000000000000005</v>
      </c>
      <c r="CVF68" s="2555">
        <v>0.34</v>
      </c>
      <c r="CVG68" s="2555"/>
      <c r="CVH68" s="2555">
        <v>0.42</v>
      </c>
      <c r="CVI68" s="2553">
        <v>2019</v>
      </c>
      <c r="CVJ68" s="2554"/>
      <c r="CVK68" s="2555">
        <v>0.5</v>
      </c>
      <c r="CVL68" s="2555">
        <v>0.5</v>
      </c>
      <c r="CVM68" s="2555">
        <v>0.56000000000000005</v>
      </c>
      <c r="CVN68" s="2555">
        <v>0.34</v>
      </c>
      <c r="CVO68" s="2555"/>
      <c r="CVP68" s="2555">
        <v>0.42</v>
      </c>
      <c r="CVQ68" s="2553">
        <v>2019</v>
      </c>
      <c r="CVR68" s="2554"/>
      <c r="CVS68" s="2555">
        <v>0.5</v>
      </c>
      <c r="CVT68" s="2555">
        <v>0.5</v>
      </c>
      <c r="CVU68" s="2555">
        <v>0.56000000000000005</v>
      </c>
      <c r="CVV68" s="2555">
        <v>0.34</v>
      </c>
      <c r="CVW68" s="2555"/>
      <c r="CVX68" s="2555">
        <v>0.42</v>
      </c>
      <c r="CVY68" s="2553">
        <v>2019</v>
      </c>
      <c r="CVZ68" s="2554"/>
      <c r="CWA68" s="2555">
        <v>0.5</v>
      </c>
      <c r="CWB68" s="2555">
        <v>0.5</v>
      </c>
      <c r="CWC68" s="2555">
        <v>0.56000000000000005</v>
      </c>
      <c r="CWD68" s="2555">
        <v>0.34</v>
      </c>
      <c r="CWE68" s="2555"/>
      <c r="CWF68" s="2555">
        <v>0.42</v>
      </c>
      <c r="CWG68" s="2553">
        <v>2019</v>
      </c>
      <c r="CWH68" s="2554"/>
      <c r="CWI68" s="2555">
        <v>0.5</v>
      </c>
      <c r="CWJ68" s="2555">
        <v>0.5</v>
      </c>
      <c r="CWK68" s="2555">
        <v>0.56000000000000005</v>
      </c>
      <c r="CWL68" s="2555">
        <v>0.34</v>
      </c>
      <c r="CWM68" s="2555"/>
      <c r="CWN68" s="2555">
        <v>0.42</v>
      </c>
      <c r="CWO68" s="2553">
        <v>2019</v>
      </c>
      <c r="CWP68" s="2554"/>
      <c r="CWQ68" s="2555">
        <v>0.5</v>
      </c>
      <c r="CWR68" s="2555">
        <v>0.5</v>
      </c>
      <c r="CWS68" s="2555">
        <v>0.56000000000000005</v>
      </c>
      <c r="CWT68" s="2555">
        <v>0.34</v>
      </c>
      <c r="CWU68" s="2555"/>
      <c r="CWV68" s="2555">
        <v>0.42</v>
      </c>
      <c r="CWW68" s="2553">
        <v>2019</v>
      </c>
      <c r="CWX68" s="2554"/>
      <c r="CWY68" s="2555">
        <v>0.5</v>
      </c>
      <c r="CWZ68" s="2555">
        <v>0.5</v>
      </c>
      <c r="CXA68" s="2555">
        <v>0.56000000000000005</v>
      </c>
      <c r="CXB68" s="2555">
        <v>0.34</v>
      </c>
      <c r="CXC68" s="2555"/>
      <c r="CXD68" s="2555">
        <v>0.42</v>
      </c>
      <c r="CXE68" s="2553">
        <v>2019</v>
      </c>
      <c r="CXF68" s="2554"/>
      <c r="CXG68" s="2555">
        <v>0.5</v>
      </c>
      <c r="CXH68" s="2555">
        <v>0.5</v>
      </c>
      <c r="CXI68" s="2555">
        <v>0.56000000000000005</v>
      </c>
      <c r="CXJ68" s="2555">
        <v>0.34</v>
      </c>
      <c r="CXK68" s="2555"/>
      <c r="CXL68" s="2555">
        <v>0.42</v>
      </c>
      <c r="CXM68" s="2553">
        <v>2019</v>
      </c>
      <c r="CXN68" s="2554"/>
      <c r="CXO68" s="2555">
        <v>0.5</v>
      </c>
      <c r="CXP68" s="2555">
        <v>0.5</v>
      </c>
      <c r="CXQ68" s="2555">
        <v>0.56000000000000005</v>
      </c>
      <c r="CXR68" s="2555">
        <v>0.34</v>
      </c>
      <c r="CXS68" s="2555"/>
      <c r="CXT68" s="2555">
        <v>0.42</v>
      </c>
      <c r="CXU68" s="2553">
        <v>2019</v>
      </c>
      <c r="CXV68" s="2554"/>
      <c r="CXW68" s="2555">
        <v>0.5</v>
      </c>
      <c r="CXX68" s="2555">
        <v>0.5</v>
      </c>
      <c r="CXY68" s="2555">
        <v>0.56000000000000005</v>
      </c>
      <c r="CXZ68" s="2555">
        <v>0.34</v>
      </c>
      <c r="CYA68" s="2555"/>
      <c r="CYB68" s="2555">
        <v>0.42</v>
      </c>
      <c r="CYC68" s="2553">
        <v>2019</v>
      </c>
      <c r="CYD68" s="2554"/>
      <c r="CYE68" s="2555">
        <v>0.5</v>
      </c>
      <c r="CYF68" s="2555">
        <v>0.5</v>
      </c>
      <c r="CYG68" s="2555">
        <v>0.56000000000000005</v>
      </c>
      <c r="CYH68" s="2555">
        <v>0.34</v>
      </c>
      <c r="CYI68" s="2555"/>
      <c r="CYJ68" s="2555">
        <v>0.42</v>
      </c>
      <c r="CYK68" s="2553">
        <v>2019</v>
      </c>
      <c r="CYL68" s="2554"/>
      <c r="CYM68" s="2555">
        <v>0.5</v>
      </c>
      <c r="CYN68" s="2555">
        <v>0.5</v>
      </c>
      <c r="CYO68" s="2555">
        <v>0.56000000000000005</v>
      </c>
      <c r="CYP68" s="2555">
        <v>0.34</v>
      </c>
      <c r="CYQ68" s="2555"/>
      <c r="CYR68" s="2555">
        <v>0.42</v>
      </c>
      <c r="CYS68" s="2553">
        <v>2019</v>
      </c>
      <c r="CYT68" s="2554"/>
      <c r="CYU68" s="2555">
        <v>0.5</v>
      </c>
      <c r="CYV68" s="2555">
        <v>0.5</v>
      </c>
      <c r="CYW68" s="2555">
        <v>0.56000000000000005</v>
      </c>
      <c r="CYX68" s="2555">
        <v>0.34</v>
      </c>
      <c r="CYY68" s="2555"/>
      <c r="CYZ68" s="2555">
        <v>0.42</v>
      </c>
      <c r="CZA68" s="2553">
        <v>2019</v>
      </c>
      <c r="CZB68" s="2554"/>
      <c r="CZC68" s="2555">
        <v>0.5</v>
      </c>
      <c r="CZD68" s="2555">
        <v>0.5</v>
      </c>
      <c r="CZE68" s="2555">
        <v>0.56000000000000005</v>
      </c>
      <c r="CZF68" s="2555">
        <v>0.34</v>
      </c>
      <c r="CZG68" s="2555"/>
      <c r="CZH68" s="2555">
        <v>0.42</v>
      </c>
      <c r="CZI68" s="2553">
        <v>2019</v>
      </c>
      <c r="CZJ68" s="2554"/>
      <c r="CZK68" s="2555">
        <v>0.5</v>
      </c>
      <c r="CZL68" s="2555">
        <v>0.5</v>
      </c>
      <c r="CZM68" s="2555">
        <v>0.56000000000000005</v>
      </c>
      <c r="CZN68" s="2555">
        <v>0.34</v>
      </c>
      <c r="CZO68" s="2555"/>
      <c r="CZP68" s="2555">
        <v>0.42</v>
      </c>
      <c r="CZQ68" s="2553">
        <v>2019</v>
      </c>
      <c r="CZR68" s="2554"/>
      <c r="CZS68" s="2555">
        <v>0.5</v>
      </c>
      <c r="CZT68" s="2555">
        <v>0.5</v>
      </c>
      <c r="CZU68" s="2555">
        <v>0.56000000000000005</v>
      </c>
      <c r="CZV68" s="2555">
        <v>0.34</v>
      </c>
      <c r="CZW68" s="2555"/>
      <c r="CZX68" s="2555">
        <v>0.42</v>
      </c>
      <c r="CZY68" s="2553">
        <v>2019</v>
      </c>
      <c r="CZZ68" s="2554"/>
      <c r="DAA68" s="2555">
        <v>0.5</v>
      </c>
      <c r="DAB68" s="2555">
        <v>0.5</v>
      </c>
      <c r="DAC68" s="2555">
        <v>0.56000000000000005</v>
      </c>
      <c r="DAD68" s="2555">
        <v>0.34</v>
      </c>
      <c r="DAE68" s="2555"/>
      <c r="DAF68" s="2555">
        <v>0.42</v>
      </c>
      <c r="DAG68" s="2553">
        <v>2019</v>
      </c>
      <c r="DAH68" s="2554"/>
      <c r="DAI68" s="2555">
        <v>0.5</v>
      </c>
      <c r="DAJ68" s="2555">
        <v>0.5</v>
      </c>
      <c r="DAK68" s="2555">
        <v>0.56000000000000005</v>
      </c>
      <c r="DAL68" s="2555">
        <v>0.34</v>
      </c>
      <c r="DAM68" s="2555"/>
      <c r="DAN68" s="2555">
        <v>0.42</v>
      </c>
      <c r="DAO68" s="2553">
        <v>2019</v>
      </c>
      <c r="DAP68" s="2554"/>
      <c r="DAQ68" s="2555">
        <v>0.5</v>
      </c>
      <c r="DAR68" s="2555">
        <v>0.5</v>
      </c>
      <c r="DAS68" s="2555">
        <v>0.56000000000000005</v>
      </c>
      <c r="DAT68" s="2555">
        <v>0.34</v>
      </c>
      <c r="DAU68" s="2555"/>
      <c r="DAV68" s="2555">
        <v>0.42</v>
      </c>
      <c r="DAW68" s="2553">
        <v>2019</v>
      </c>
      <c r="DAX68" s="2554"/>
      <c r="DAY68" s="2555">
        <v>0.5</v>
      </c>
      <c r="DAZ68" s="2555">
        <v>0.5</v>
      </c>
      <c r="DBA68" s="2555">
        <v>0.56000000000000005</v>
      </c>
      <c r="DBB68" s="2555">
        <v>0.34</v>
      </c>
      <c r="DBC68" s="2555"/>
      <c r="DBD68" s="2555">
        <v>0.42</v>
      </c>
      <c r="DBE68" s="2553">
        <v>2019</v>
      </c>
      <c r="DBF68" s="2554"/>
      <c r="DBG68" s="2555">
        <v>0.5</v>
      </c>
      <c r="DBH68" s="2555">
        <v>0.5</v>
      </c>
      <c r="DBI68" s="2555">
        <v>0.56000000000000005</v>
      </c>
      <c r="DBJ68" s="2555">
        <v>0.34</v>
      </c>
      <c r="DBK68" s="2555"/>
      <c r="DBL68" s="2555">
        <v>0.42</v>
      </c>
      <c r="DBM68" s="2553">
        <v>2019</v>
      </c>
      <c r="DBN68" s="2554"/>
      <c r="DBO68" s="2555">
        <v>0.5</v>
      </c>
      <c r="DBP68" s="2555">
        <v>0.5</v>
      </c>
      <c r="DBQ68" s="2555">
        <v>0.56000000000000005</v>
      </c>
      <c r="DBR68" s="2555">
        <v>0.34</v>
      </c>
      <c r="DBS68" s="2555"/>
      <c r="DBT68" s="2555">
        <v>0.42</v>
      </c>
      <c r="DBU68" s="2553">
        <v>2019</v>
      </c>
      <c r="DBV68" s="2554"/>
      <c r="DBW68" s="2555">
        <v>0.5</v>
      </c>
      <c r="DBX68" s="2555">
        <v>0.5</v>
      </c>
      <c r="DBY68" s="2555">
        <v>0.56000000000000005</v>
      </c>
      <c r="DBZ68" s="2555">
        <v>0.34</v>
      </c>
      <c r="DCA68" s="2555"/>
      <c r="DCB68" s="2555">
        <v>0.42</v>
      </c>
      <c r="DCC68" s="2553">
        <v>2019</v>
      </c>
      <c r="DCD68" s="2554"/>
      <c r="DCE68" s="2555">
        <v>0.5</v>
      </c>
      <c r="DCF68" s="2555">
        <v>0.5</v>
      </c>
      <c r="DCG68" s="2555">
        <v>0.56000000000000005</v>
      </c>
      <c r="DCH68" s="2555">
        <v>0.34</v>
      </c>
      <c r="DCI68" s="2555"/>
      <c r="DCJ68" s="2555">
        <v>0.42</v>
      </c>
      <c r="DCK68" s="2553">
        <v>2019</v>
      </c>
      <c r="DCL68" s="2554"/>
      <c r="DCM68" s="2555">
        <v>0.5</v>
      </c>
      <c r="DCN68" s="2555">
        <v>0.5</v>
      </c>
      <c r="DCO68" s="2555">
        <v>0.56000000000000005</v>
      </c>
      <c r="DCP68" s="2555">
        <v>0.34</v>
      </c>
      <c r="DCQ68" s="2555"/>
      <c r="DCR68" s="2555">
        <v>0.42</v>
      </c>
      <c r="DCS68" s="2553">
        <v>2019</v>
      </c>
      <c r="DCT68" s="2554"/>
      <c r="DCU68" s="2555">
        <v>0.5</v>
      </c>
      <c r="DCV68" s="2555">
        <v>0.5</v>
      </c>
      <c r="DCW68" s="2555">
        <v>0.56000000000000005</v>
      </c>
      <c r="DCX68" s="2555">
        <v>0.34</v>
      </c>
      <c r="DCY68" s="2555"/>
      <c r="DCZ68" s="2555">
        <v>0.42</v>
      </c>
      <c r="DDA68" s="2553">
        <v>2019</v>
      </c>
      <c r="DDB68" s="2554"/>
      <c r="DDC68" s="2555">
        <v>0.5</v>
      </c>
      <c r="DDD68" s="2555">
        <v>0.5</v>
      </c>
      <c r="DDE68" s="2555">
        <v>0.56000000000000005</v>
      </c>
      <c r="DDF68" s="2555">
        <v>0.34</v>
      </c>
      <c r="DDG68" s="2555"/>
      <c r="DDH68" s="2555">
        <v>0.42</v>
      </c>
      <c r="DDI68" s="2553">
        <v>2019</v>
      </c>
      <c r="DDJ68" s="2554"/>
      <c r="DDK68" s="2555">
        <v>0.5</v>
      </c>
      <c r="DDL68" s="2555">
        <v>0.5</v>
      </c>
      <c r="DDM68" s="2555">
        <v>0.56000000000000005</v>
      </c>
      <c r="DDN68" s="2555">
        <v>0.34</v>
      </c>
      <c r="DDO68" s="2555"/>
      <c r="DDP68" s="2555">
        <v>0.42</v>
      </c>
      <c r="DDQ68" s="2553">
        <v>2019</v>
      </c>
      <c r="DDR68" s="2554"/>
      <c r="DDS68" s="2555">
        <v>0.5</v>
      </c>
      <c r="DDT68" s="2555">
        <v>0.5</v>
      </c>
      <c r="DDU68" s="2555">
        <v>0.56000000000000005</v>
      </c>
      <c r="DDV68" s="2555">
        <v>0.34</v>
      </c>
      <c r="DDW68" s="2555"/>
      <c r="DDX68" s="2555">
        <v>0.42</v>
      </c>
      <c r="DDY68" s="2553">
        <v>2019</v>
      </c>
      <c r="DDZ68" s="2554"/>
      <c r="DEA68" s="2555">
        <v>0.5</v>
      </c>
      <c r="DEB68" s="2555">
        <v>0.5</v>
      </c>
      <c r="DEC68" s="2555">
        <v>0.56000000000000005</v>
      </c>
      <c r="DED68" s="2555">
        <v>0.34</v>
      </c>
      <c r="DEE68" s="2555"/>
      <c r="DEF68" s="2555">
        <v>0.42</v>
      </c>
      <c r="DEG68" s="2553">
        <v>2019</v>
      </c>
      <c r="DEH68" s="2554"/>
      <c r="DEI68" s="2555">
        <v>0.5</v>
      </c>
      <c r="DEJ68" s="2555">
        <v>0.5</v>
      </c>
      <c r="DEK68" s="2555">
        <v>0.56000000000000005</v>
      </c>
      <c r="DEL68" s="2555">
        <v>0.34</v>
      </c>
      <c r="DEM68" s="2555"/>
      <c r="DEN68" s="2555">
        <v>0.42</v>
      </c>
      <c r="DEO68" s="2553">
        <v>2019</v>
      </c>
      <c r="DEP68" s="2554"/>
      <c r="DEQ68" s="2555">
        <v>0.5</v>
      </c>
      <c r="DER68" s="2555">
        <v>0.5</v>
      </c>
      <c r="DES68" s="2555">
        <v>0.56000000000000005</v>
      </c>
      <c r="DET68" s="2555">
        <v>0.34</v>
      </c>
      <c r="DEU68" s="2555"/>
      <c r="DEV68" s="2555">
        <v>0.42</v>
      </c>
      <c r="DEW68" s="2553">
        <v>2019</v>
      </c>
      <c r="DEX68" s="2554"/>
      <c r="DEY68" s="2555">
        <v>0.5</v>
      </c>
      <c r="DEZ68" s="2555">
        <v>0.5</v>
      </c>
      <c r="DFA68" s="2555">
        <v>0.56000000000000005</v>
      </c>
      <c r="DFB68" s="2555">
        <v>0.34</v>
      </c>
      <c r="DFC68" s="2555"/>
      <c r="DFD68" s="2555">
        <v>0.42</v>
      </c>
      <c r="DFE68" s="2553">
        <v>2019</v>
      </c>
      <c r="DFF68" s="2554"/>
      <c r="DFG68" s="2555">
        <v>0.5</v>
      </c>
      <c r="DFH68" s="2555">
        <v>0.5</v>
      </c>
      <c r="DFI68" s="2555">
        <v>0.56000000000000005</v>
      </c>
      <c r="DFJ68" s="2555">
        <v>0.34</v>
      </c>
      <c r="DFK68" s="2555"/>
      <c r="DFL68" s="2555">
        <v>0.42</v>
      </c>
      <c r="DFM68" s="2553">
        <v>2019</v>
      </c>
      <c r="DFN68" s="2554"/>
      <c r="DFO68" s="2555">
        <v>0.5</v>
      </c>
      <c r="DFP68" s="2555">
        <v>0.5</v>
      </c>
      <c r="DFQ68" s="2555">
        <v>0.56000000000000005</v>
      </c>
      <c r="DFR68" s="2555">
        <v>0.34</v>
      </c>
      <c r="DFS68" s="2555"/>
      <c r="DFT68" s="2555">
        <v>0.42</v>
      </c>
      <c r="DFU68" s="2553">
        <v>2019</v>
      </c>
      <c r="DFV68" s="2554"/>
      <c r="DFW68" s="2555">
        <v>0.5</v>
      </c>
      <c r="DFX68" s="2555">
        <v>0.5</v>
      </c>
      <c r="DFY68" s="2555">
        <v>0.56000000000000005</v>
      </c>
      <c r="DFZ68" s="2555">
        <v>0.34</v>
      </c>
      <c r="DGA68" s="2555"/>
      <c r="DGB68" s="2555">
        <v>0.42</v>
      </c>
      <c r="DGC68" s="2553">
        <v>2019</v>
      </c>
      <c r="DGD68" s="2554"/>
      <c r="DGE68" s="2555">
        <v>0.5</v>
      </c>
      <c r="DGF68" s="2555">
        <v>0.5</v>
      </c>
      <c r="DGG68" s="2555">
        <v>0.56000000000000005</v>
      </c>
      <c r="DGH68" s="2555">
        <v>0.34</v>
      </c>
      <c r="DGI68" s="2555"/>
      <c r="DGJ68" s="2555">
        <v>0.42</v>
      </c>
      <c r="DGK68" s="2553">
        <v>2019</v>
      </c>
      <c r="DGL68" s="2554"/>
      <c r="DGM68" s="2555">
        <v>0.5</v>
      </c>
      <c r="DGN68" s="2555">
        <v>0.5</v>
      </c>
      <c r="DGO68" s="2555">
        <v>0.56000000000000005</v>
      </c>
      <c r="DGP68" s="2555">
        <v>0.34</v>
      </c>
      <c r="DGQ68" s="2555"/>
      <c r="DGR68" s="2555">
        <v>0.42</v>
      </c>
      <c r="DGS68" s="2553">
        <v>2019</v>
      </c>
      <c r="DGT68" s="2554"/>
      <c r="DGU68" s="2555">
        <v>0.5</v>
      </c>
      <c r="DGV68" s="2555">
        <v>0.5</v>
      </c>
      <c r="DGW68" s="2555">
        <v>0.56000000000000005</v>
      </c>
      <c r="DGX68" s="2555">
        <v>0.34</v>
      </c>
      <c r="DGY68" s="2555"/>
      <c r="DGZ68" s="2555">
        <v>0.42</v>
      </c>
      <c r="DHA68" s="2553">
        <v>2019</v>
      </c>
      <c r="DHB68" s="2554"/>
      <c r="DHC68" s="2555">
        <v>0.5</v>
      </c>
      <c r="DHD68" s="2555">
        <v>0.5</v>
      </c>
      <c r="DHE68" s="2555">
        <v>0.56000000000000005</v>
      </c>
      <c r="DHF68" s="2555">
        <v>0.34</v>
      </c>
      <c r="DHG68" s="2555"/>
      <c r="DHH68" s="2555">
        <v>0.42</v>
      </c>
      <c r="DHI68" s="2553">
        <v>2019</v>
      </c>
      <c r="DHJ68" s="2554"/>
      <c r="DHK68" s="2555">
        <v>0.5</v>
      </c>
      <c r="DHL68" s="2555">
        <v>0.5</v>
      </c>
      <c r="DHM68" s="2555">
        <v>0.56000000000000005</v>
      </c>
      <c r="DHN68" s="2555">
        <v>0.34</v>
      </c>
      <c r="DHO68" s="2555"/>
      <c r="DHP68" s="2555">
        <v>0.42</v>
      </c>
      <c r="DHQ68" s="2553">
        <v>2019</v>
      </c>
      <c r="DHR68" s="2554"/>
      <c r="DHS68" s="2555">
        <v>0.5</v>
      </c>
      <c r="DHT68" s="2555">
        <v>0.5</v>
      </c>
      <c r="DHU68" s="2555">
        <v>0.56000000000000005</v>
      </c>
      <c r="DHV68" s="2555">
        <v>0.34</v>
      </c>
      <c r="DHW68" s="2555"/>
      <c r="DHX68" s="2555">
        <v>0.42</v>
      </c>
      <c r="DHY68" s="2553">
        <v>2019</v>
      </c>
      <c r="DHZ68" s="2554"/>
      <c r="DIA68" s="2555">
        <v>0.5</v>
      </c>
      <c r="DIB68" s="2555">
        <v>0.5</v>
      </c>
      <c r="DIC68" s="2555">
        <v>0.56000000000000005</v>
      </c>
      <c r="DID68" s="2555">
        <v>0.34</v>
      </c>
      <c r="DIE68" s="2555"/>
      <c r="DIF68" s="2555">
        <v>0.42</v>
      </c>
      <c r="DIG68" s="2553">
        <v>2019</v>
      </c>
      <c r="DIH68" s="2554"/>
      <c r="DII68" s="2555">
        <v>0.5</v>
      </c>
      <c r="DIJ68" s="2555">
        <v>0.5</v>
      </c>
      <c r="DIK68" s="2555">
        <v>0.56000000000000005</v>
      </c>
      <c r="DIL68" s="2555">
        <v>0.34</v>
      </c>
      <c r="DIM68" s="2555"/>
      <c r="DIN68" s="2555">
        <v>0.42</v>
      </c>
      <c r="DIO68" s="2553">
        <v>2019</v>
      </c>
      <c r="DIP68" s="2554"/>
      <c r="DIQ68" s="2555">
        <v>0.5</v>
      </c>
      <c r="DIR68" s="2555">
        <v>0.5</v>
      </c>
      <c r="DIS68" s="2555">
        <v>0.56000000000000005</v>
      </c>
      <c r="DIT68" s="2555">
        <v>0.34</v>
      </c>
      <c r="DIU68" s="2555"/>
      <c r="DIV68" s="2555">
        <v>0.42</v>
      </c>
      <c r="DIW68" s="2553">
        <v>2019</v>
      </c>
      <c r="DIX68" s="2554"/>
      <c r="DIY68" s="2555">
        <v>0.5</v>
      </c>
      <c r="DIZ68" s="2555">
        <v>0.5</v>
      </c>
      <c r="DJA68" s="2555">
        <v>0.56000000000000005</v>
      </c>
      <c r="DJB68" s="2555">
        <v>0.34</v>
      </c>
      <c r="DJC68" s="2555"/>
      <c r="DJD68" s="2555">
        <v>0.42</v>
      </c>
      <c r="DJE68" s="2553">
        <v>2019</v>
      </c>
      <c r="DJF68" s="2554"/>
      <c r="DJG68" s="2555">
        <v>0.5</v>
      </c>
      <c r="DJH68" s="2555">
        <v>0.5</v>
      </c>
      <c r="DJI68" s="2555">
        <v>0.56000000000000005</v>
      </c>
      <c r="DJJ68" s="2555">
        <v>0.34</v>
      </c>
      <c r="DJK68" s="2555"/>
      <c r="DJL68" s="2555">
        <v>0.42</v>
      </c>
      <c r="DJM68" s="2553">
        <v>2019</v>
      </c>
      <c r="DJN68" s="2554"/>
      <c r="DJO68" s="2555">
        <v>0.5</v>
      </c>
      <c r="DJP68" s="2555">
        <v>0.5</v>
      </c>
      <c r="DJQ68" s="2555">
        <v>0.56000000000000005</v>
      </c>
      <c r="DJR68" s="2555">
        <v>0.34</v>
      </c>
      <c r="DJS68" s="2555"/>
      <c r="DJT68" s="2555">
        <v>0.42</v>
      </c>
      <c r="DJU68" s="2553">
        <v>2019</v>
      </c>
      <c r="DJV68" s="2554"/>
      <c r="DJW68" s="2555">
        <v>0.5</v>
      </c>
      <c r="DJX68" s="2555">
        <v>0.5</v>
      </c>
      <c r="DJY68" s="2555">
        <v>0.56000000000000005</v>
      </c>
      <c r="DJZ68" s="2555">
        <v>0.34</v>
      </c>
      <c r="DKA68" s="2555"/>
      <c r="DKB68" s="2555">
        <v>0.42</v>
      </c>
      <c r="DKC68" s="2553">
        <v>2019</v>
      </c>
      <c r="DKD68" s="2554"/>
      <c r="DKE68" s="2555">
        <v>0.5</v>
      </c>
      <c r="DKF68" s="2555">
        <v>0.5</v>
      </c>
      <c r="DKG68" s="2555">
        <v>0.56000000000000005</v>
      </c>
      <c r="DKH68" s="2555">
        <v>0.34</v>
      </c>
      <c r="DKI68" s="2555"/>
      <c r="DKJ68" s="2555">
        <v>0.42</v>
      </c>
      <c r="DKK68" s="2553">
        <v>2019</v>
      </c>
      <c r="DKL68" s="2554"/>
      <c r="DKM68" s="2555">
        <v>0.5</v>
      </c>
      <c r="DKN68" s="2555">
        <v>0.5</v>
      </c>
      <c r="DKO68" s="2555">
        <v>0.56000000000000005</v>
      </c>
      <c r="DKP68" s="2555">
        <v>0.34</v>
      </c>
      <c r="DKQ68" s="2555"/>
      <c r="DKR68" s="2555">
        <v>0.42</v>
      </c>
      <c r="DKS68" s="2553">
        <v>2019</v>
      </c>
      <c r="DKT68" s="2554"/>
      <c r="DKU68" s="2555">
        <v>0.5</v>
      </c>
      <c r="DKV68" s="2555">
        <v>0.5</v>
      </c>
      <c r="DKW68" s="2555">
        <v>0.56000000000000005</v>
      </c>
      <c r="DKX68" s="2555">
        <v>0.34</v>
      </c>
      <c r="DKY68" s="2555"/>
      <c r="DKZ68" s="2555">
        <v>0.42</v>
      </c>
      <c r="DLA68" s="2553">
        <v>2019</v>
      </c>
      <c r="DLB68" s="2554"/>
      <c r="DLC68" s="2555">
        <v>0.5</v>
      </c>
      <c r="DLD68" s="2555">
        <v>0.5</v>
      </c>
      <c r="DLE68" s="2555">
        <v>0.56000000000000005</v>
      </c>
      <c r="DLF68" s="2555">
        <v>0.34</v>
      </c>
      <c r="DLG68" s="2555"/>
      <c r="DLH68" s="2555">
        <v>0.42</v>
      </c>
      <c r="DLI68" s="2553">
        <v>2019</v>
      </c>
      <c r="DLJ68" s="2554"/>
      <c r="DLK68" s="2555">
        <v>0.5</v>
      </c>
      <c r="DLL68" s="2555">
        <v>0.5</v>
      </c>
      <c r="DLM68" s="2555">
        <v>0.56000000000000005</v>
      </c>
      <c r="DLN68" s="2555">
        <v>0.34</v>
      </c>
      <c r="DLO68" s="2555"/>
      <c r="DLP68" s="2555">
        <v>0.42</v>
      </c>
      <c r="DLQ68" s="2553">
        <v>2019</v>
      </c>
      <c r="DLR68" s="2554"/>
      <c r="DLS68" s="2555">
        <v>0.5</v>
      </c>
      <c r="DLT68" s="2555">
        <v>0.5</v>
      </c>
      <c r="DLU68" s="2555">
        <v>0.56000000000000005</v>
      </c>
      <c r="DLV68" s="2555">
        <v>0.34</v>
      </c>
      <c r="DLW68" s="2555"/>
      <c r="DLX68" s="2555">
        <v>0.42</v>
      </c>
      <c r="DLY68" s="2553">
        <v>2019</v>
      </c>
      <c r="DLZ68" s="2554"/>
      <c r="DMA68" s="2555">
        <v>0.5</v>
      </c>
      <c r="DMB68" s="2555">
        <v>0.5</v>
      </c>
      <c r="DMC68" s="2555">
        <v>0.56000000000000005</v>
      </c>
      <c r="DMD68" s="2555">
        <v>0.34</v>
      </c>
      <c r="DME68" s="2555"/>
      <c r="DMF68" s="2555">
        <v>0.42</v>
      </c>
      <c r="DMG68" s="2553">
        <v>2019</v>
      </c>
      <c r="DMH68" s="2554"/>
      <c r="DMI68" s="2555">
        <v>0.5</v>
      </c>
      <c r="DMJ68" s="2555">
        <v>0.5</v>
      </c>
      <c r="DMK68" s="2555">
        <v>0.56000000000000005</v>
      </c>
      <c r="DML68" s="2555">
        <v>0.34</v>
      </c>
      <c r="DMM68" s="2555"/>
      <c r="DMN68" s="2555">
        <v>0.42</v>
      </c>
      <c r="DMO68" s="2553">
        <v>2019</v>
      </c>
      <c r="DMP68" s="2554"/>
      <c r="DMQ68" s="2555">
        <v>0.5</v>
      </c>
      <c r="DMR68" s="2555">
        <v>0.5</v>
      </c>
      <c r="DMS68" s="2555">
        <v>0.56000000000000005</v>
      </c>
      <c r="DMT68" s="2555">
        <v>0.34</v>
      </c>
      <c r="DMU68" s="2555"/>
      <c r="DMV68" s="2555">
        <v>0.42</v>
      </c>
      <c r="DMW68" s="2553">
        <v>2019</v>
      </c>
      <c r="DMX68" s="2554"/>
      <c r="DMY68" s="2555">
        <v>0.5</v>
      </c>
      <c r="DMZ68" s="2555">
        <v>0.5</v>
      </c>
      <c r="DNA68" s="2555">
        <v>0.56000000000000005</v>
      </c>
      <c r="DNB68" s="2555">
        <v>0.34</v>
      </c>
      <c r="DNC68" s="2555"/>
      <c r="DND68" s="2555">
        <v>0.42</v>
      </c>
      <c r="DNE68" s="2553">
        <v>2019</v>
      </c>
      <c r="DNF68" s="2554"/>
      <c r="DNG68" s="2555">
        <v>0.5</v>
      </c>
      <c r="DNH68" s="2555">
        <v>0.5</v>
      </c>
      <c r="DNI68" s="2555">
        <v>0.56000000000000005</v>
      </c>
      <c r="DNJ68" s="2555">
        <v>0.34</v>
      </c>
      <c r="DNK68" s="2555"/>
      <c r="DNL68" s="2555">
        <v>0.42</v>
      </c>
      <c r="DNM68" s="2553">
        <v>2019</v>
      </c>
      <c r="DNN68" s="2554"/>
      <c r="DNO68" s="2555">
        <v>0.5</v>
      </c>
      <c r="DNP68" s="2555">
        <v>0.5</v>
      </c>
      <c r="DNQ68" s="2555">
        <v>0.56000000000000005</v>
      </c>
      <c r="DNR68" s="2555">
        <v>0.34</v>
      </c>
      <c r="DNS68" s="2555"/>
      <c r="DNT68" s="2555">
        <v>0.42</v>
      </c>
      <c r="DNU68" s="2553">
        <v>2019</v>
      </c>
      <c r="DNV68" s="2554"/>
      <c r="DNW68" s="2555">
        <v>0.5</v>
      </c>
      <c r="DNX68" s="2555">
        <v>0.5</v>
      </c>
      <c r="DNY68" s="2555">
        <v>0.56000000000000005</v>
      </c>
      <c r="DNZ68" s="2555">
        <v>0.34</v>
      </c>
      <c r="DOA68" s="2555"/>
      <c r="DOB68" s="2555">
        <v>0.42</v>
      </c>
      <c r="DOC68" s="2553">
        <v>2019</v>
      </c>
      <c r="DOD68" s="2554"/>
      <c r="DOE68" s="2555">
        <v>0.5</v>
      </c>
      <c r="DOF68" s="2555">
        <v>0.5</v>
      </c>
      <c r="DOG68" s="2555">
        <v>0.56000000000000005</v>
      </c>
      <c r="DOH68" s="2555">
        <v>0.34</v>
      </c>
      <c r="DOI68" s="2555"/>
      <c r="DOJ68" s="2555">
        <v>0.42</v>
      </c>
      <c r="DOK68" s="2553">
        <v>2019</v>
      </c>
      <c r="DOL68" s="2554"/>
      <c r="DOM68" s="2555">
        <v>0.5</v>
      </c>
      <c r="DON68" s="2555">
        <v>0.5</v>
      </c>
      <c r="DOO68" s="2555">
        <v>0.56000000000000005</v>
      </c>
      <c r="DOP68" s="2555">
        <v>0.34</v>
      </c>
      <c r="DOQ68" s="2555"/>
      <c r="DOR68" s="2555">
        <v>0.42</v>
      </c>
      <c r="DOS68" s="2553">
        <v>2019</v>
      </c>
      <c r="DOT68" s="2554"/>
      <c r="DOU68" s="2555">
        <v>0.5</v>
      </c>
      <c r="DOV68" s="2555">
        <v>0.5</v>
      </c>
      <c r="DOW68" s="2555">
        <v>0.56000000000000005</v>
      </c>
      <c r="DOX68" s="2555">
        <v>0.34</v>
      </c>
      <c r="DOY68" s="2555"/>
      <c r="DOZ68" s="2555">
        <v>0.42</v>
      </c>
      <c r="DPA68" s="2553">
        <v>2019</v>
      </c>
      <c r="DPB68" s="2554"/>
      <c r="DPC68" s="2555">
        <v>0.5</v>
      </c>
      <c r="DPD68" s="2555">
        <v>0.5</v>
      </c>
      <c r="DPE68" s="2555">
        <v>0.56000000000000005</v>
      </c>
      <c r="DPF68" s="2555">
        <v>0.34</v>
      </c>
      <c r="DPG68" s="2555"/>
      <c r="DPH68" s="2555">
        <v>0.42</v>
      </c>
      <c r="DPI68" s="2553">
        <v>2019</v>
      </c>
      <c r="DPJ68" s="2554"/>
      <c r="DPK68" s="2555">
        <v>0.5</v>
      </c>
      <c r="DPL68" s="2555">
        <v>0.5</v>
      </c>
      <c r="DPM68" s="2555">
        <v>0.56000000000000005</v>
      </c>
      <c r="DPN68" s="2555">
        <v>0.34</v>
      </c>
      <c r="DPO68" s="2555"/>
      <c r="DPP68" s="2555">
        <v>0.42</v>
      </c>
      <c r="DPQ68" s="2553">
        <v>2019</v>
      </c>
      <c r="DPR68" s="2554"/>
      <c r="DPS68" s="2555">
        <v>0.5</v>
      </c>
      <c r="DPT68" s="2555">
        <v>0.5</v>
      </c>
      <c r="DPU68" s="2555">
        <v>0.56000000000000005</v>
      </c>
      <c r="DPV68" s="2555">
        <v>0.34</v>
      </c>
      <c r="DPW68" s="2555"/>
      <c r="DPX68" s="2555">
        <v>0.42</v>
      </c>
      <c r="DPY68" s="2553">
        <v>2019</v>
      </c>
      <c r="DPZ68" s="2554"/>
      <c r="DQA68" s="2555">
        <v>0.5</v>
      </c>
      <c r="DQB68" s="2555">
        <v>0.5</v>
      </c>
      <c r="DQC68" s="2555">
        <v>0.56000000000000005</v>
      </c>
      <c r="DQD68" s="2555">
        <v>0.34</v>
      </c>
      <c r="DQE68" s="2555"/>
      <c r="DQF68" s="2555">
        <v>0.42</v>
      </c>
      <c r="DQG68" s="2553">
        <v>2019</v>
      </c>
      <c r="DQH68" s="2554"/>
      <c r="DQI68" s="2555">
        <v>0.5</v>
      </c>
      <c r="DQJ68" s="2555">
        <v>0.5</v>
      </c>
      <c r="DQK68" s="2555">
        <v>0.56000000000000005</v>
      </c>
      <c r="DQL68" s="2555">
        <v>0.34</v>
      </c>
      <c r="DQM68" s="2555"/>
      <c r="DQN68" s="2555">
        <v>0.42</v>
      </c>
      <c r="DQO68" s="2553">
        <v>2019</v>
      </c>
      <c r="DQP68" s="2554"/>
      <c r="DQQ68" s="2555">
        <v>0.5</v>
      </c>
      <c r="DQR68" s="2555">
        <v>0.5</v>
      </c>
      <c r="DQS68" s="2555">
        <v>0.56000000000000005</v>
      </c>
      <c r="DQT68" s="2555">
        <v>0.34</v>
      </c>
      <c r="DQU68" s="2555"/>
      <c r="DQV68" s="2555">
        <v>0.42</v>
      </c>
      <c r="DQW68" s="2553">
        <v>2019</v>
      </c>
      <c r="DQX68" s="2554"/>
      <c r="DQY68" s="2555">
        <v>0.5</v>
      </c>
      <c r="DQZ68" s="2555">
        <v>0.5</v>
      </c>
      <c r="DRA68" s="2555">
        <v>0.56000000000000005</v>
      </c>
      <c r="DRB68" s="2555">
        <v>0.34</v>
      </c>
      <c r="DRC68" s="2555"/>
      <c r="DRD68" s="2555">
        <v>0.42</v>
      </c>
      <c r="DRE68" s="2553">
        <v>2019</v>
      </c>
      <c r="DRF68" s="2554"/>
      <c r="DRG68" s="2555">
        <v>0.5</v>
      </c>
      <c r="DRH68" s="2555">
        <v>0.5</v>
      </c>
      <c r="DRI68" s="2555">
        <v>0.56000000000000005</v>
      </c>
      <c r="DRJ68" s="2555">
        <v>0.34</v>
      </c>
      <c r="DRK68" s="2555"/>
      <c r="DRL68" s="2555">
        <v>0.42</v>
      </c>
      <c r="DRM68" s="2553">
        <v>2019</v>
      </c>
      <c r="DRN68" s="2554"/>
      <c r="DRO68" s="2555">
        <v>0.5</v>
      </c>
      <c r="DRP68" s="2555">
        <v>0.5</v>
      </c>
      <c r="DRQ68" s="2555">
        <v>0.56000000000000005</v>
      </c>
      <c r="DRR68" s="2555">
        <v>0.34</v>
      </c>
      <c r="DRS68" s="2555"/>
      <c r="DRT68" s="2555">
        <v>0.42</v>
      </c>
      <c r="DRU68" s="2553">
        <v>2019</v>
      </c>
      <c r="DRV68" s="2554"/>
      <c r="DRW68" s="2555">
        <v>0.5</v>
      </c>
      <c r="DRX68" s="2555">
        <v>0.5</v>
      </c>
      <c r="DRY68" s="2555">
        <v>0.56000000000000005</v>
      </c>
      <c r="DRZ68" s="2555">
        <v>0.34</v>
      </c>
      <c r="DSA68" s="2555"/>
      <c r="DSB68" s="2555">
        <v>0.42</v>
      </c>
      <c r="DSC68" s="2553">
        <v>2019</v>
      </c>
      <c r="DSD68" s="2554"/>
      <c r="DSE68" s="2555">
        <v>0.5</v>
      </c>
      <c r="DSF68" s="2555">
        <v>0.5</v>
      </c>
      <c r="DSG68" s="2555">
        <v>0.56000000000000005</v>
      </c>
      <c r="DSH68" s="2555">
        <v>0.34</v>
      </c>
      <c r="DSI68" s="2555"/>
      <c r="DSJ68" s="2555">
        <v>0.42</v>
      </c>
      <c r="DSK68" s="2553">
        <v>2019</v>
      </c>
      <c r="DSL68" s="2554"/>
      <c r="DSM68" s="2555">
        <v>0.5</v>
      </c>
      <c r="DSN68" s="2555">
        <v>0.5</v>
      </c>
      <c r="DSO68" s="2555">
        <v>0.56000000000000005</v>
      </c>
      <c r="DSP68" s="2555">
        <v>0.34</v>
      </c>
      <c r="DSQ68" s="2555"/>
      <c r="DSR68" s="2555">
        <v>0.42</v>
      </c>
      <c r="DSS68" s="2553">
        <v>2019</v>
      </c>
      <c r="DST68" s="2554"/>
      <c r="DSU68" s="2555">
        <v>0.5</v>
      </c>
      <c r="DSV68" s="2555">
        <v>0.5</v>
      </c>
      <c r="DSW68" s="2555">
        <v>0.56000000000000005</v>
      </c>
      <c r="DSX68" s="2555">
        <v>0.34</v>
      </c>
      <c r="DSY68" s="2555"/>
      <c r="DSZ68" s="2555">
        <v>0.42</v>
      </c>
      <c r="DTA68" s="2553">
        <v>2019</v>
      </c>
      <c r="DTB68" s="2554"/>
      <c r="DTC68" s="2555">
        <v>0.5</v>
      </c>
      <c r="DTD68" s="2555">
        <v>0.5</v>
      </c>
      <c r="DTE68" s="2555">
        <v>0.56000000000000005</v>
      </c>
      <c r="DTF68" s="2555">
        <v>0.34</v>
      </c>
      <c r="DTG68" s="2555"/>
      <c r="DTH68" s="2555">
        <v>0.42</v>
      </c>
      <c r="DTI68" s="2553">
        <v>2019</v>
      </c>
      <c r="DTJ68" s="2554"/>
      <c r="DTK68" s="2555">
        <v>0.5</v>
      </c>
      <c r="DTL68" s="2555">
        <v>0.5</v>
      </c>
      <c r="DTM68" s="2555">
        <v>0.56000000000000005</v>
      </c>
      <c r="DTN68" s="2555">
        <v>0.34</v>
      </c>
      <c r="DTO68" s="2555"/>
      <c r="DTP68" s="2555">
        <v>0.42</v>
      </c>
      <c r="DTQ68" s="2553">
        <v>2019</v>
      </c>
      <c r="DTR68" s="2554"/>
      <c r="DTS68" s="2555">
        <v>0.5</v>
      </c>
      <c r="DTT68" s="2555">
        <v>0.5</v>
      </c>
      <c r="DTU68" s="2555">
        <v>0.56000000000000005</v>
      </c>
      <c r="DTV68" s="2555">
        <v>0.34</v>
      </c>
      <c r="DTW68" s="2555"/>
      <c r="DTX68" s="2555">
        <v>0.42</v>
      </c>
      <c r="DTY68" s="2553">
        <v>2019</v>
      </c>
      <c r="DTZ68" s="2554"/>
      <c r="DUA68" s="2555">
        <v>0.5</v>
      </c>
      <c r="DUB68" s="2555">
        <v>0.5</v>
      </c>
      <c r="DUC68" s="2555">
        <v>0.56000000000000005</v>
      </c>
      <c r="DUD68" s="2555">
        <v>0.34</v>
      </c>
      <c r="DUE68" s="2555"/>
      <c r="DUF68" s="2555">
        <v>0.42</v>
      </c>
      <c r="DUG68" s="2553">
        <v>2019</v>
      </c>
      <c r="DUH68" s="2554"/>
      <c r="DUI68" s="2555">
        <v>0.5</v>
      </c>
      <c r="DUJ68" s="2555">
        <v>0.5</v>
      </c>
      <c r="DUK68" s="2555">
        <v>0.56000000000000005</v>
      </c>
      <c r="DUL68" s="2555">
        <v>0.34</v>
      </c>
      <c r="DUM68" s="2555"/>
      <c r="DUN68" s="2555">
        <v>0.42</v>
      </c>
      <c r="DUO68" s="2553">
        <v>2019</v>
      </c>
      <c r="DUP68" s="2554"/>
      <c r="DUQ68" s="2555">
        <v>0.5</v>
      </c>
      <c r="DUR68" s="2555">
        <v>0.5</v>
      </c>
      <c r="DUS68" s="2555">
        <v>0.56000000000000005</v>
      </c>
      <c r="DUT68" s="2555">
        <v>0.34</v>
      </c>
      <c r="DUU68" s="2555"/>
      <c r="DUV68" s="2555">
        <v>0.42</v>
      </c>
      <c r="DUW68" s="2553">
        <v>2019</v>
      </c>
      <c r="DUX68" s="2554"/>
      <c r="DUY68" s="2555">
        <v>0.5</v>
      </c>
      <c r="DUZ68" s="2555">
        <v>0.5</v>
      </c>
      <c r="DVA68" s="2555">
        <v>0.56000000000000005</v>
      </c>
      <c r="DVB68" s="2555">
        <v>0.34</v>
      </c>
      <c r="DVC68" s="2555"/>
      <c r="DVD68" s="2555">
        <v>0.42</v>
      </c>
      <c r="DVE68" s="2553">
        <v>2019</v>
      </c>
      <c r="DVF68" s="2554"/>
      <c r="DVG68" s="2555">
        <v>0.5</v>
      </c>
      <c r="DVH68" s="2555">
        <v>0.5</v>
      </c>
      <c r="DVI68" s="2555">
        <v>0.56000000000000005</v>
      </c>
      <c r="DVJ68" s="2555">
        <v>0.34</v>
      </c>
      <c r="DVK68" s="2555"/>
      <c r="DVL68" s="2555">
        <v>0.42</v>
      </c>
      <c r="DVM68" s="2553">
        <v>2019</v>
      </c>
      <c r="DVN68" s="2554"/>
      <c r="DVO68" s="2555">
        <v>0.5</v>
      </c>
      <c r="DVP68" s="2555">
        <v>0.5</v>
      </c>
      <c r="DVQ68" s="2555">
        <v>0.56000000000000005</v>
      </c>
      <c r="DVR68" s="2555">
        <v>0.34</v>
      </c>
      <c r="DVS68" s="2555"/>
      <c r="DVT68" s="2555">
        <v>0.42</v>
      </c>
      <c r="DVU68" s="2553">
        <v>2019</v>
      </c>
      <c r="DVV68" s="2554"/>
      <c r="DVW68" s="2555">
        <v>0.5</v>
      </c>
      <c r="DVX68" s="2555">
        <v>0.5</v>
      </c>
      <c r="DVY68" s="2555">
        <v>0.56000000000000005</v>
      </c>
      <c r="DVZ68" s="2555">
        <v>0.34</v>
      </c>
      <c r="DWA68" s="2555"/>
      <c r="DWB68" s="2555">
        <v>0.42</v>
      </c>
      <c r="DWC68" s="2553">
        <v>2019</v>
      </c>
      <c r="DWD68" s="2554"/>
      <c r="DWE68" s="2555">
        <v>0.5</v>
      </c>
      <c r="DWF68" s="2555">
        <v>0.5</v>
      </c>
      <c r="DWG68" s="2555">
        <v>0.56000000000000005</v>
      </c>
      <c r="DWH68" s="2555">
        <v>0.34</v>
      </c>
      <c r="DWI68" s="2555"/>
      <c r="DWJ68" s="2555">
        <v>0.42</v>
      </c>
      <c r="DWK68" s="2553">
        <v>2019</v>
      </c>
      <c r="DWL68" s="2554"/>
      <c r="DWM68" s="2555">
        <v>0.5</v>
      </c>
      <c r="DWN68" s="2555">
        <v>0.5</v>
      </c>
      <c r="DWO68" s="2555">
        <v>0.56000000000000005</v>
      </c>
      <c r="DWP68" s="2555">
        <v>0.34</v>
      </c>
      <c r="DWQ68" s="2555"/>
      <c r="DWR68" s="2555">
        <v>0.42</v>
      </c>
      <c r="DWS68" s="2553">
        <v>2019</v>
      </c>
      <c r="DWT68" s="2554"/>
      <c r="DWU68" s="2555">
        <v>0.5</v>
      </c>
      <c r="DWV68" s="2555">
        <v>0.5</v>
      </c>
      <c r="DWW68" s="2555">
        <v>0.56000000000000005</v>
      </c>
      <c r="DWX68" s="2555">
        <v>0.34</v>
      </c>
      <c r="DWY68" s="2555"/>
      <c r="DWZ68" s="2555">
        <v>0.42</v>
      </c>
      <c r="DXA68" s="2553">
        <v>2019</v>
      </c>
      <c r="DXB68" s="2554"/>
      <c r="DXC68" s="2555">
        <v>0.5</v>
      </c>
      <c r="DXD68" s="2555">
        <v>0.5</v>
      </c>
      <c r="DXE68" s="2555">
        <v>0.56000000000000005</v>
      </c>
      <c r="DXF68" s="2555">
        <v>0.34</v>
      </c>
      <c r="DXG68" s="2555"/>
      <c r="DXH68" s="2555">
        <v>0.42</v>
      </c>
      <c r="DXI68" s="2553">
        <v>2019</v>
      </c>
      <c r="DXJ68" s="2554"/>
      <c r="DXK68" s="2555">
        <v>0.5</v>
      </c>
      <c r="DXL68" s="2555">
        <v>0.5</v>
      </c>
      <c r="DXM68" s="2555">
        <v>0.56000000000000005</v>
      </c>
      <c r="DXN68" s="2555">
        <v>0.34</v>
      </c>
      <c r="DXO68" s="2555"/>
      <c r="DXP68" s="2555">
        <v>0.42</v>
      </c>
      <c r="DXQ68" s="2553">
        <v>2019</v>
      </c>
      <c r="DXR68" s="2554"/>
      <c r="DXS68" s="2555">
        <v>0.5</v>
      </c>
      <c r="DXT68" s="2555">
        <v>0.5</v>
      </c>
      <c r="DXU68" s="2555">
        <v>0.56000000000000005</v>
      </c>
      <c r="DXV68" s="2555">
        <v>0.34</v>
      </c>
      <c r="DXW68" s="2555"/>
      <c r="DXX68" s="2555">
        <v>0.42</v>
      </c>
      <c r="DXY68" s="2553">
        <v>2019</v>
      </c>
      <c r="DXZ68" s="2554"/>
      <c r="DYA68" s="2555">
        <v>0.5</v>
      </c>
      <c r="DYB68" s="2555">
        <v>0.5</v>
      </c>
      <c r="DYC68" s="2555">
        <v>0.56000000000000005</v>
      </c>
      <c r="DYD68" s="2555">
        <v>0.34</v>
      </c>
      <c r="DYE68" s="2555"/>
      <c r="DYF68" s="2555">
        <v>0.42</v>
      </c>
      <c r="DYG68" s="2553">
        <v>2019</v>
      </c>
      <c r="DYH68" s="2554"/>
      <c r="DYI68" s="2555">
        <v>0.5</v>
      </c>
      <c r="DYJ68" s="2555">
        <v>0.5</v>
      </c>
      <c r="DYK68" s="2555">
        <v>0.56000000000000005</v>
      </c>
      <c r="DYL68" s="2555">
        <v>0.34</v>
      </c>
      <c r="DYM68" s="2555"/>
      <c r="DYN68" s="2555">
        <v>0.42</v>
      </c>
      <c r="DYO68" s="2553">
        <v>2019</v>
      </c>
      <c r="DYP68" s="2554"/>
      <c r="DYQ68" s="2555">
        <v>0.5</v>
      </c>
      <c r="DYR68" s="2555">
        <v>0.5</v>
      </c>
      <c r="DYS68" s="2555">
        <v>0.56000000000000005</v>
      </c>
      <c r="DYT68" s="2555">
        <v>0.34</v>
      </c>
      <c r="DYU68" s="2555"/>
      <c r="DYV68" s="2555">
        <v>0.42</v>
      </c>
      <c r="DYW68" s="2553">
        <v>2019</v>
      </c>
      <c r="DYX68" s="2554"/>
      <c r="DYY68" s="2555">
        <v>0.5</v>
      </c>
      <c r="DYZ68" s="2555">
        <v>0.5</v>
      </c>
      <c r="DZA68" s="2555">
        <v>0.56000000000000005</v>
      </c>
      <c r="DZB68" s="2555">
        <v>0.34</v>
      </c>
      <c r="DZC68" s="2555"/>
      <c r="DZD68" s="2555">
        <v>0.42</v>
      </c>
      <c r="DZE68" s="2553">
        <v>2019</v>
      </c>
      <c r="DZF68" s="2554"/>
      <c r="DZG68" s="2555">
        <v>0.5</v>
      </c>
      <c r="DZH68" s="2555">
        <v>0.5</v>
      </c>
      <c r="DZI68" s="2555">
        <v>0.56000000000000005</v>
      </c>
      <c r="DZJ68" s="2555">
        <v>0.34</v>
      </c>
      <c r="DZK68" s="2555"/>
      <c r="DZL68" s="2555">
        <v>0.42</v>
      </c>
      <c r="DZM68" s="2553">
        <v>2019</v>
      </c>
      <c r="DZN68" s="2554"/>
      <c r="DZO68" s="2555">
        <v>0.5</v>
      </c>
      <c r="DZP68" s="2555">
        <v>0.5</v>
      </c>
      <c r="DZQ68" s="2555">
        <v>0.56000000000000005</v>
      </c>
      <c r="DZR68" s="2555">
        <v>0.34</v>
      </c>
      <c r="DZS68" s="2555"/>
      <c r="DZT68" s="2555">
        <v>0.42</v>
      </c>
      <c r="DZU68" s="2553">
        <v>2019</v>
      </c>
      <c r="DZV68" s="2554"/>
      <c r="DZW68" s="2555">
        <v>0.5</v>
      </c>
      <c r="DZX68" s="2555">
        <v>0.5</v>
      </c>
      <c r="DZY68" s="2555">
        <v>0.56000000000000005</v>
      </c>
      <c r="DZZ68" s="2555">
        <v>0.34</v>
      </c>
      <c r="EAA68" s="2555"/>
      <c r="EAB68" s="2555">
        <v>0.42</v>
      </c>
      <c r="EAC68" s="2553">
        <v>2019</v>
      </c>
      <c r="EAD68" s="2554"/>
      <c r="EAE68" s="2555">
        <v>0.5</v>
      </c>
      <c r="EAF68" s="2555">
        <v>0.5</v>
      </c>
      <c r="EAG68" s="2555">
        <v>0.56000000000000005</v>
      </c>
      <c r="EAH68" s="2555">
        <v>0.34</v>
      </c>
      <c r="EAI68" s="2555"/>
      <c r="EAJ68" s="2555">
        <v>0.42</v>
      </c>
      <c r="EAK68" s="2553">
        <v>2019</v>
      </c>
      <c r="EAL68" s="2554"/>
      <c r="EAM68" s="2555">
        <v>0.5</v>
      </c>
      <c r="EAN68" s="2555">
        <v>0.5</v>
      </c>
      <c r="EAO68" s="2555">
        <v>0.56000000000000005</v>
      </c>
      <c r="EAP68" s="2555">
        <v>0.34</v>
      </c>
      <c r="EAQ68" s="2555"/>
      <c r="EAR68" s="2555">
        <v>0.42</v>
      </c>
      <c r="EAS68" s="2553">
        <v>2019</v>
      </c>
      <c r="EAT68" s="2554"/>
      <c r="EAU68" s="2555">
        <v>0.5</v>
      </c>
      <c r="EAV68" s="2555">
        <v>0.5</v>
      </c>
      <c r="EAW68" s="2555">
        <v>0.56000000000000005</v>
      </c>
      <c r="EAX68" s="2555">
        <v>0.34</v>
      </c>
      <c r="EAY68" s="2555"/>
      <c r="EAZ68" s="2555">
        <v>0.42</v>
      </c>
      <c r="EBA68" s="2553">
        <v>2019</v>
      </c>
      <c r="EBB68" s="2554"/>
      <c r="EBC68" s="2555">
        <v>0.5</v>
      </c>
      <c r="EBD68" s="2555">
        <v>0.5</v>
      </c>
      <c r="EBE68" s="2555">
        <v>0.56000000000000005</v>
      </c>
      <c r="EBF68" s="2555">
        <v>0.34</v>
      </c>
      <c r="EBG68" s="2555"/>
      <c r="EBH68" s="2555">
        <v>0.42</v>
      </c>
      <c r="EBI68" s="2553">
        <v>2019</v>
      </c>
      <c r="EBJ68" s="2554"/>
      <c r="EBK68" s="2555">
        <v>0.5</v>
      </c>
      <c r="EBL68" s="2555">
        <v>0.5</v>
      </c>
      <c r="EBM68" s="2555">
        <v>0.56000000000000005</v>
      </c>
      <c r="EBN68" s="2555">
        <v>0.34</v>
      </c>
      <c r="EBO68" s="2555"/>
      <c r="EBP68" s="2555">
        <v>0.42</v>
      </c>
      <c r="EBQ68" s="2553">
        <v>2019</v>
      </c>
      <c r="EBR68" s="2554"/>
      <c r="EBS68" s="2555">
        <v>0.5</v>
      </c>
      <c r="EBT68" s="2555">
        <v>0.5</v>
      </c>
      <c r="EBU68" s="2555">
        <v>0.56000000000000005</v>
      </c>
      <c r="EBV68" s="2555">
        <v>0.34</v>
      </c>
      <c r="EBW68" s="2555"/>
      <c r="EBX68" s="2555">
        <v>0.42</v>
      </c>
      <c r="EBY68" s="2553">
        <v>2019</v>
      </c>
      <c r="EBZ68" s="2554"/>
      <c r="ECA68" s="2555">
        <v>0.5</v>
      </c>
      <c r="ECB68" s="2555">
        <v>0.5</v>
      </c>
      <c r="ECC68" s="2555">
        <v>0.56000000000000005</v>
      </c>
      <c r="ECD68" s="2555">
        <v>0.34</v>
      </c>
      <c r="ECE68" s="2555"/>
      <c r="ECF68" s="2555">
        <v>0.42</v>
      </c>
      <c r="ECG68" s="2553">
        <v>2019</v>
      </c>
      <c r="ECH68" s="2554"/>
      <c r="ECI68" s="2555">
        <v>0.5</v>
      </c>
      <c r="ECJ68" s="2555">
        <v>0.5</v>
      </c>
      <c r="ECK68" s="2555">
        <v>0.56000000000000005</v>
      </c>
      <c r="ECL68" s="2555">
        <v>0.34</v>
      </c>
      <c r="ECM68" s="2555"/>
      <c r="ECN68" s="2555">
        <v>0.42</v>
      </c>
      <c r="ECO68" s="2553">
        <v>2019</v>
      </c>
      <c r="ECP68" s="2554"/>
      <c r="ECQ68" s="2555">
        <v>0.5</v>
      </c>
      <c r="ECR68" s="2555">
        <v>0.5</v>
      </c>
      <c r="ECS68" s="2555">
        <v>0.56000000000000005</v>
      </c>
      <c r="ECT68" s="2555">
        <v>0.34</v>
      </c>
      <c r="ECU68" s="2555"/>
      <c r="ECV68" s="2555">
        <v>0.42</v>
      </c>
      <c r="ECW68" s="2553">
        <v>2019</v>
      </c>
      <c r="ECX68" s="2554"/>
      <c r="ECY68" s="2555">
        <v>0.5</v>
      </c>
      <c r="ECZ68" s="2555">
        <v>0.5</v>
      </c>
      <c r="EDA68" s="2555">
        <v>0.56000000000000005</v>
      </c>
      <c r="EDB68" s="2555">
        <v>0.34</v>
      </c>
      <c r="EDC68" s="2555"/>
      <c r="EDD68" s="2555">
        <v>0.42</v>
      </c>
      <c r="EDE68" s="2553">
        <v>2019</v>
      </c>
      <c r="EDF68" s="2554"/>
      <c r="EDG68" s="2555">
        <v>0.5</v>
      </c>
      <c r="EDH68" s="2555">
        <v>0.5</v>
      </c>
      <c r="EDI68" s="2555">
        <v>0.56000000000000005</v>
      </c>
      <c r="EDJ68" s="2555">
        <v>0.34</v>
      </c>
      <c r="EDK68" s="2555"/>
      <c r="EDL68" s="2555">
        <v>0.42</v>
      </c>
      <c r="EDM68" s="2553">
        <v>2019</v>
      </c>
      <c r="EDN68" s="2554"/>
      <c r="EDO68" s="2555">
        <v>0.5</v>
      </c>
      <c r="EDP68" s="2555">
        <v>0.5</v>
      </c>
      <c r="EDQ68" s="2555">
        <v>0.56000000000000005</v>
      </c>
      <c r="EDR68" s="2555">
        <v>0.34</v>
      </c>
      <c r="EDS68" s="2555"/>
      <c r="EDT68" s="2555">
        <v>0.42</v>
      </c>
      <c r="EDU68" s="2553">
        <v>2019</v>
      </c>
      <c r="EDV68" s="2554"/>
      <c r="EDW68" s="2555">
        <v>0.5</v>
      </c>
      <c r="EDX68" s="2555">
        <v>0.5</v>
      </c>
      <c r="EDY68" s="2555">
        <v>0.56000000000000005</v>
      </c>
      <c r="EDZ68" s="2555">
        <v>0.34</v>
      </c>
      <c r="EEA68" s="2555"/>
      <c r="EEB68" s="2555">
        <v>0.42</v>
      </c>
      <c r="EEC68" s="2553">
        <v>2019</v>
      </c>
      <c r="EED68" s="2554"/>
      <c r="EEE68" s="2555">
        <v>0.5</v>
      </c>
      <c r="EEF68" s="2555">
        <v>0.5</v>
      </c>
      <c r="EEG68" s="2555">
        <v>0.56000000000000005</v>
      </c>
      <c r="EEH68" s="2555">
        <v>0.34</v>
      </c>
      <c r="EEI68" s="2555"/>
      <c r="EEJ68" s="2555">
        <v>0.42</v>
      </c>
      <c r="EEK68" s="2553">
        <v>2019</v>
      </c>
      <c r="EEL68" s="2554"/>
      <c r="EEM68" s="2555">
        <v>0.5</v>
      </c>
      <c r="EEN68" s="2555">
        <v>0.5</v>
      </c>
      <c r="EEO68" s="2555">
        <v>0.56000000000000005</v>
      </c>
      <c r="EEP68" s="2555">
        <v>0.34</v>
      </c>
      <c r="EEQ68" s="2555"/>
      <c r="EER68" s="2555">
        <v>0.42</v>
      </c>
      <c r="EES68" s="2553">
        <v>2019</v>
      </c>
      <c r="EET68" s="2554"/>
      <c r="EEU68" s="2555">
        <v>0.5</v>
      </c>
      <c r="EEV68" s="2555">
        <v>0.5</v>
      </c>
      <c r="EEW68" s="2555">
        <v>0.56000000000000005</v>
      </c>
      <c r="EEX68" s="2555">
        <v>0.34</v>
      </c>
      <c r="EEY68" s="2555"/>
      <c r="EEZ68" s="2555">
        <v>0.42</v>
      </c>
      <c r="EFA68" s="2553">
        <v>2019</v>
      </c>
      <c r="EFB68" s="2554"/>
      <c r="EFC68" s="2555">
        <v>0.5</v>
      </c>
      <c r="EFD68" s="2555">
        <v>0.5</v>
      </c>
      <c r="EFE68" s="2555">
        <v>0.56000000000000005</v>
      </c>
      <c r="EFF68" s="2555">
        <v>0.34</v>
      </c>
      <c r="EFG68" s="2555"/>
      <c r="EFH68" s="2555">
        <v>0.42</v>
      </c>
      <c r="EFI68" s="2553">
        <v>2019</v>
      </c>
      <c r="EFJ68" s="2554"/>
      <c r="EFK68" s="2555">
        <v>0.5</v>
      </c>
      <c r="EFL68" s="2555">
        <v>0.5</v>
      </c>
      <c r="EFM68" s="2555">
        <v>0.56000000000000005</v>
      </c>
      <c r="EFN68" s="2555">
        <v>0.34</v>
      </c>
      <c r="EFO68" s="2555"/>
      <c r="EFP68" s="2555">
        <v>0.42</v>
      </c>
      <c r="EFQ68" s="2553">
        <v>2019</v>
      </c>
      <c r="EFR68" s="2554"/>
      <c r="EFS68" s="2555">
        <v>0.5</v>
      </c>
      <c r="EFT68" s="2555">
        <v>0.5</v>
      </c>
      <c r="EFU68" s="2555">
        <v>0.56000000000000005</v>
      </c>
      <c r="EFV68" s="2555">
        <v>0.34</v>
      </c>
      <c r="EFW68" s="2555"/>
      <c r="EFX68" s="2555">
        <v>0.42</v>
      </c>
      <c r="EFY68" s="2553">
        <v>2019</v>
      </c>
      <c r="EFZ68" s="2554"/>
      <c r="EGA68" s="2555">
        <v>0.5</v>
      </c>
      <c r="EGB68" s="2555">
        <v>0.5</v>
      </c>
      <c r="EGC68" s="2555">
        <v>0.56000000000000005</v>
      </c>
      <c r="EGD68" s="2555">
        <v>0.34</v>
      </c>
      <c r="EGE68" s="2555"/>
      <c r="EGF68" s="2555">
        <v>0.42</v>
      </c>
      <c r="EGG68" s="2553">
        <v>2019</v>
      </c>
      <c r="EGH68" s="2554"/>
      <c r="EGI68" s="2555">
        <v>0.5</v>
      </c>
      <c r="EGJ68" s="2555">
        <v>0.5</v>
      </c>
      <c r="EGK68" s="2555">
        <v>0.56000000000000005</v>
      </c>
      <c r="EGL68" s="2555">
        <v>0.34</v>
      </c>
      <c r="EGM68" s="2555"/>
      <c r="EGN68" s="2555">
        <v>0.42</v>
      </c>
      <c r="EGO68" s="2553">
        <v>2019</v>
      </c>
      <c r="EGP68" s="2554"/>
      <c r="EGQ68" s="2555">
        <v>0.5</v>
      </c>
      <c r="EGR68" s="2555">
        <v>0.5</v>
      </c>
      <c r="EGS68" s="2555">
        <v>0.56000000000000005</v>
      </c>
      <c r="EGT68" s="2555">
        <v>0.34</v>
      </c>
      <c r="EGU68" s="2555"/>
      <c r="EGV68" s="2555">
        <v>0.42</v>
      </c>
      <c r="EGW68" s="2553">
        <v>2019</v>
      </c>
      <c r="EGX68" s="2554"/>
      <c r="EGY68" s="2555">
        <v>0.5</v>
      </c>
      <c r="EGZ68" s="2555">
        <v>0.5</v>
      </c>
      <c r="EHA68" s="2555">
        <v>0.56000000000000005</v>
      </c>
      <c r="EHB68" s="2555">
        <v>0.34</v>
      </c>
      <c r="EHC68" s="2555"/>
      <c r="EHD68" s="2555">
        <v>0.42</v>
      </c>
      <c r="EHE68" s="2553">
        <v>2019</v>
      </c>
      <c r="EHF68" s="2554"/>
      <c r="EHG68" s="2555">
        <v>0.5</v>
      </c>
      <c r="EHH68" s="2555">
        <v>0.5</v>
      </c>
      <c r="EHI68" s="2555">
        <v>0.56000000000000005</v>
      </c>
      <c r="EHJ68" s="2555">
        <v>0.34</v>
      </c>
      <c r="EHK68" s="2555"/>
      <c r="EHL68" s="2555">
        <v>0.42</v>
      </c>
      <c r="EHM68" s="2553">
        <v>2019</v>
      </c>
      <c r="EHN68" s="2554"/>
      <c r="EHO68" s="2555">
        <v>0.5</v>
      </c>
      <c r="EHP68" s="2555">
        <v>0.5</v>
      </c>
      <c r="EHQ68" s="2555">
        <v>0.56000000000000005</v>
      </c>
      <c r="EHR68" s="2555">
        <v>0.34</v>
      </c>
      <c r="EHS68" s="2555"/>
      <c r="EHT68" s="2555">
        <v>0.42</v>
      </c>
      <c r="EHU68" s="2553">
        <v>2019</v>
      </c>
      <c r="EHV68" s="2554"/>
      <c r="EHW68" s="2555">
        <v>0.5</v>
      </c>
      <c r="EHX68" s="2555">
        <v>0.5</v>
      </c>
      <c r="EHY68" s="2555">
        <v>0.56000000000000005</v>
      </c>
      <c r="EHZ68" s="2555">
        <v>0.34</v>
      </c>
      <c r="EIA68" s="2555"/>
      <c r="EIB68" s="2555">
        <v>0.42</v>
      </c>
      <c r="EIC68" s="2553">
        <v>2019</v>
      </c>
      <c r="EID68" s="2554"/>
      <c r="EIE68" s="2555">
        <v>0.5</v>
      </c>
      <c r="EIF68" s="2555">
        <v>0.5</v>
      </c>
      <c r="EIG68" s="2555">
        <v>0.56000000000000005</v>
      </c>
      <c r="EIH68" s="2555">
        <v>0.34</v>
      </c>
      <c r="EII68" s="2555"/>
      <c r="EIJ68" s="2555">
        <v>0.42</v>
      </c>
      <c r="EIK68" s="2553">
        <v>2019</v>
      </c>
      <c r="EIL68" s="2554"/>
      <c r="EIM68" s="2555">
        <v>0.5</v>
      </c>
      <c r="EIN68" s="2555">
        <v>0.5</v>
      </c>
      <c r="EIO68" s="2555">
        <v>0.56000000000000005</v>
      </c>
      <c r="EIP68" s="2555">
        <v>0.34</v>
      </c>
      <c r="EIQ68" s="2555"/>
      <c r="EIR68" s="2555">
        <v>0.42</v>
      </c>
      <c r="EIS68" s="2553">
        <v>2019</v>
      </c>
      <c r="EIT68" s="2554"/>
      <c r="EIU68" s="2555">
        <v>0.5</v>
      </c>
      <c r="EIV68" s="2555">
        <v>0.5</v>
      </c>
      <c r="EIW68" s="2555">
        <v>0.56000000000000005</v>
      </c>
      <c r="EIX68" s="2555">
        <v>0.34</v>
      </c>
      <c r="EIY68" s="2555"/>
      <c r="EIZ68" s="2555">
        <v>0.42</v>
      </c>
      <c r="EJA68" s="2553">
        <v>2019</v>
      </c>
      <c r="EJB68" s="2554"/>
      <c r="EJC68" s="2555">
        <v>0.5</v>
      </c>
      <c r="EJD68" s="2555">
        <v>0.5</v>
      </c>
      <c r="EJE68" s="2555">
        <v>0.56000000000000005</v>
      </c>
      <c r="EJF68" s="2555">
        <v>0.34</v>
      </c>
      <c r="EJG68" s="2555"/>
      <c r="EJH68" s="2555">
        <v>0.42</v>
      </c>
      <c r="EJI68" s="2553">
        <v>2019</v>
      </c>
      <c r="EJJ68" s="2554"/>
      <c r="EJK68" s="2555">
        <v>0.5</v>
      </c>
      <c r="EJL68" s="2555">
        <v>0.5</v>
      </c>
      <c r="EJM68" s="2555">
        <v>0.56000000000000005</v>
      </c>
      <c r="EJN68" s="2555">
        <v>0.34</v>
      </c>
      <c r="EJO68" s="2555"/>
      <c r="EJP68" s="2555">
        <v>0.42</v>
      </c>
      <c r="EJQ68" s="2553">
        <v>2019</v>
      </c>
      <c r="EJR68" s="2554"/>
      <c r="EJS68" s="2555">
        <v>0.5</v>
      </c>
      <c r="EJT68" s="2555">
        <v>0.5</v>
      </c>
      <c r="EJU68" s="2555">
        <v>0.56000000000000005</v>
      </c>
      <c r="EJV68" s="2555">
        <v>0.34</v>
      </c>
      <c r="EJW68" s="2555"/>
      <c r="EJX68" s="2555">
        <v>0.42</v>
      </c>
      <c r="EJY68" s="2553">
        <v>2019</v>
      </c>
      <c r="EJZ68" s="2554"/>
      <c r="EKA68" s="2555">
        <v>0.5</v>
      </c>
      <c r="EKB68" s="2555">
        <v>0.5</v>
      </c>
      <c r="EKC68" s="2555">
        <v>0.56000000000000005</v>
      </c>
      <c r="EKD68" s="2555">
        <v>0.34</v>
      </c>
      <c r="EKE68" s="2555"/>
      <c r="EKF68" s="2555">
        <v>0.42</v>
      </c>
      <c r="EKG68" s="2553">
        <v>2019</v>
      </c>
      <c r="EKH68" s="2554"/>
      <c r="EKI68" s="2555">
        <v>0.5</v>
      </c>
      <c r="EKJ68" s="2555">
        <v>0.5</v>
      </c>
      <c r="EKK68" s="2555">
        <v>0.56000000000000005</v>
      </c>
      <c r="EKL68" s="2555">
        <v>0.34</v>
      </c>
      <c r="EKM68" s="2555"/>
      <c r="EKN68" s="2555">
        <v>0.42</v>
      </c>
      <c r="EKO68" s="2553">
        <v>2019</v>
      </c>
      <c r="EKP68" s="2554"/>
      <c r="EKQ68" s="2555">
        <v>0.5</v>
      </c>
      <c r="EKR68" s="2555">
        <v>0.5</v>
      </c>
      <c r="EKS68" s="2555">
        <v>0.56000000000000005</v>
      </c>
      <c r="EKT68" s="2555">
        <v>0.34</v>
      </c>
      <c r="EKU68" s="2555"/>
      <c r="EKV68" s="2555">
        <v>0.42</v>
      </c>
      <c r="EKW68" s="2553">
        <v>2019</v>
      </c>
      <c r="EKX68" s="2554"/>
      <c r="EKY68" s="2555">
        <v>0.5</v>
      </c>
      <c r="EKZ68" s="2555">
        <v>0.5</v>
      </c>
      <c r="ELA68" s="2555">
        <v>0.56000000000000005</v>
      </c>
      <c r="ELB68" s="2555">
        <v>0.34</v>
      </c>
      <c r="ELC68" s="2555"/>
      <c r="ELD68" s="2555">
        <v>0.42</v>
      </c>
      <c r="ELE68" s="2553">
        <v>2019</v>
      </c>
      <c r="ELF68" s="2554"/>
      <c r="ELG68" s="2555">
        <v>0.5</v>
      </c>
      <c r="ELH68" s="2555">
        <v>0.5</v>
      </c>
      <c r="ELI68" s="2555">
        <v>0.56000000000000005</v>
      </c>
      <c r="ELJ68" s="2555">
        <v>0.34</v>
      </c>
      <c r="ELK68" s="2555"/>
      <c r="ELL68" s="2555">
        <v>0.42</v>
      </c>
      <c r="ELM68" s="2553">
        <v>2019</v>
      </c>
      <c r="ELN68" s="2554"/>
      <c r="ELO68" s="2555">
        <v>0.5</v>
      </c>
      <c r="ELP68" s="2555">
        <v>0.5</v>
      </c>
      <c r="ELQ68" s="2555">
        <v>0.56000000000000005</v>
      </c>
      <c r="ELR68" s="2555">
        <v>0.34</v>
      </c>
      <c r="ELS68" s="2555"/>
      <c r="ELT68" s="2555">
        <v>0.42</v>
      </c>
      <c r="ELU68" s="2553">
        <v>2019</v>
      </c>
      <c r="ELV68" s="2554"/>
      <c r="ELW68" s="2555">
        <v>0.5</v>
      </c>
      <c r="ELX68" s="2555">
        <v>0.5</v>
      </c>
      <c r="ELY68" s="2555">
        <v>0.56000000000000005</v>
      </c>
      <c r="ELZ68" s="2555">
        <v>0.34</v>
      </c>
      <c r="EMA68" s="2555"/>
      <c r="EMB68" s="2555">
        <v>0.42</v>
      </c>
      <c r="EMC68" s="2553">
        <v>2019</v>
      </c>
      <c r="EMD68" s="2554"/>
      <c r="EME68" s="2555">
        <v>0.5</v>
      </c>
      <c r="EMF68" s="2555">
        <v>0.5</v>
      </c>
      <c r="EMG68" s="2555">
        <v>0.56000000000000005</v>
      </c>
      <c r="EMH68" s="2555">
        <v>0.34</v>
      </c>
      <c r="EMI68" s="2555"/>
      <c r="EMJ68" s="2555">
        <v>0.42</v>
      </c>
      <c r="EMK68" s="2553">
        <v>2019</v>
      </c>
      <c r="EML68" s="2554"/>
      <c r="EMM68" s="2555">
        <v>0.5</v>
      </c>
      <c r="EMN68" s="2555">
        <v>0.5</v>
      </c>
      <c r="EMO68" s="2555">
        <v>0.56000000000000005</v>
      </c>
      <c r="EMP68" s="2555">
        <v>0.34</v>
      </c>
      <c r="EMQ68" s="2555"/>
      <c r="EMR68" s="2555">
        <v>0.42</v>
      </c>
      <c r="EMS68" s="2553">
        <v>2019</v>
      </c>
      <c r="EMT68" s="2554"/>
      <c r="EMU68" s="2555">
        <v>0.5</v>
      </c>
      <c r="EMV68" s="2555">
        <v>0.5</v>
      </c>
      <c r="EMW68" s="2555">
        <v>0.56000000000000005</v>
      </c>
      <c r="EMX68" s="2555">
        <v>0.34</v>
      </c>
      <c r="EMY68" s="2555"/>
      <c r="EMZ68" s="2555">
        <v>0.42</v>
      </c>
      <c r="ENA68" s="2553">
        <v>2019</v>
      </c>
      <c r="ENB68" s="2554"/>
      <c r="ENC68" s="2555">
        <v>0.5</v>
      </c>
      <c r="END68" s="2555">
        <v>0.5</v>
      </c>
      <c r="ENE68" s="2555">
        <v>0.56000000000000005</v>
      </c>
      <c r="ENF68" s="2555">
        <v>0.34</v>
      </c>
      <c r="ENG68" s="2555"/>
      <c r="ENH68" s="2555">
        <v>0.42</v>
      </c>
      <c r="ENI68" s="2553">
        <v>2019</v>
      </c>
      <c r="ENJ68" s="2554"/>
      <c r="ENK68" s="2555">
        <v>0.5</v>
      </c>
      <c r="ENL68" s="2555">
        <v>0.5</v>
      </c>
      <c r="ENM68" s="2555">
        <v>0.56000000000000005</v>
      </c>
      <c r="ENN68" s="2555">
        <v>0.34</v>
      </c>
      <c r="ENO68" s="2555"/>
      <c r="ENP68" s="2555">
        <v>0.42</v>
      </c>
      <c r="ENQ68" s="2553">
        <v>2019</v>
      </c>
      <c r="ENR68" s="2554"/>
      <c r="ENS68" s="2555">
        <v>0.5</v>
      </c>
      <c r="ENT68" s="2555">
        <v>0.5</v>
      </c>
      <c r="ENU68" s="2555">
        <v>0.56000000000000005</v>
      </c>
      <c r="ENV68" s="2555">
        <v>0.34</v>
      </c>
      <c r="ENW68" s="2555"/>
      <c r="ENX68" s="2555">
        <v>0.42</v>
      </c>
      <c r="ENY68" s="2553">
        <v>2019</v>
      </c>
      <c r="ENZ68" s="2554"/>
      <c r="EOA68" s="2555">
        <v>0.5</v>
      </c>
      <c r="EOB68" s="2555">
        <v>0.5</v>
      </c>
      <c r="EOC68" s="2555">
        <v>0.56000000000000005</v>
      </c>
      <c r="EOD68" s="2555">
        <v>0.34</v>
      </c>
      <c r="EOE68" s="2555"/>
      <c r="EOF68" s="2555">
        <v>0.42</v>
      </c>
      <c r="EOG68" s="2553">
        <v>2019</v>
      </c>
      <c r="EOH68" s="2554"/>
      <c r="EOI68" s="2555">
        <v>0.5</v>
      </c>
      <c r="EOJ68" s="2555">
        <v>0.5</v>
      </c>
      <c r="EOK68" s="2555">
        <v>0.56000000000000005</v>
      </c>
      <c r="EOL68" s="2555">
        <v>0.34</v>
      </c>
      <c r="EOM68" s="2555"/>
      <c r="EON68" s="2555">
        <v>0.42</v>
      </c>
      <c r="EOO68" s="2553">
        <v>2019</v>
      </c>
      <c r="EOP68" s="2554"/>
      <c r="EOQ68" s="2555">
        <v>0.5</v>
      </c>
      <c r="EOR68" s="2555">
        <v>0.5</v>
      </c>
      <c r="EOS68" s="2555">
        <v>0.56000000000000005</v>
      </c>
      <c r="EOT68" s="2555">
        <v>0.34</v>
      </c>
      <c r="EOU68" s="2555"/>
      <c r="EOV68" s="2555">
        <v>0.42</v>
      </c>
      <c r="EOW68" s="2553">
        <v>2019</v>
      </c>
      <c r="EOX68" s="2554"/>
      <c r="EOY68" s="2555">
        <v>0.5</v>
      </c>
      <c r="EOZ68" s="2555">
        <v>0.5</v>
      </c>
      <c r="EPA68" s="2555">
        <v>0.56000000000000005</v>
      </c>
      <c r="EPB68" s="2555">
        <v>0.34</v>
      </c>
      <c r="EPC68" s="2555"/>
      <c r="EPD68" s="2555">
        <v>0.42</v>
      </c>
      <c r="EPE68" s="2553">
        <v>2019</v>
      </c>
      <c r="EPF68" s="2554"/>
      <c r="EPG68" s="2555">
        <v>0.5</v>
      </c>
      <c r="EPH68" s="2555">
        <v>0.5</v>
      </c>
      <c r="EPI68" s="2555">
        <v>0.56000000000000005</v>
      </c>
      <c r="EPJ68" s="2555">
        <v>0.34</v>
      </c>
      <c r="EPK68" s="2555"/>
      <c r="EPL68" s="2555">
        <v>0.42</v>
      </c>
      <c r="EPM68" s="2553">
        <v>2019</v>
      </c>
      <c r="EPN68" s="2554"/>
      <c r="EPO68" s="2555">
        <v>0.5</v>
      </c>
      <c r="EPP68" s="2555">
        <v>0.5</v>
      </c>
      <c r="EPQ68" s="2555">
        <v>0.56000000000000005</v>
      </c>
      <c r="EPR68" s="2555">
        <v>0.34</v>
      </c>
      <c r="EPS68" s="2555"/>
      <c r="EPT68" s="2555">
        <v>0.42</v>
      </c>
      <c r="EPU68" s="2553">
        <v>2019</v>
      </c>
      <c r="EPV68" s="2554"/>
      <c r="EPW68" s="2555">
        <v>0.5</v>
      </c>
      <c r="EPX68" s="2555">
        <v>0.5</v>
      </c>
      <c r="EPY68" s="2555">
        <v>0.56000000000000005</v>
      </c>
      <c r="EPZ68" s="2555">
        <v>0.34</v>
      </c>
      <c r="EQA68" s="2555"/>
      <c r="EQB68" s="2555">
        <v>0.42</v>
      </c>
      <c r="EQC68" s="2553">
        <v>2019</v>
      </c>
      <c r="EQD68" s="2554"/>
      <c r="EQE68" s="2555">
        <v>0.5</v>
      </c>
      <c r="EQF68" s="2555">
        <v>0.5</v>
      </c>
      <c r="EQG68" s="2555">
        <v>0.56000000000000005</v>
      </c>
      <c r="EQH68" s="2555">
        <v>0.34</v>
      </c>
      <c r="EQI68" s="2555"/>
      <c r="EQJ68" s="2555">
        <v>0.42</v>
      </c>
      <c r="EQK68" s="2553">
        <v>2019</v>
      </c>
      <c r="EQL68" s="2554"/>
      <c r="EQM68" s="2555">
        <v>0.5</v>
      </c>
      <c r="EQN68" s="2555">
        <v>0.5</v>
      </c>
      <c r="EQO68" s="2555">
        <v>0.56000000000000005</v>
      </c>
      <c r="EQP68" s="2555">
        <v>0.34</v>
      </c>
      <c r="EQQ68" s="2555"/>
      <c r="EQR68" s="2555">
        <v>0.42</v>
      </c>
      <c r="EQS68" s="2553">
        <v>2019</v>
      </c>
      <c r="EQT68" s="2554"/>
      <c r="EQU68" s="2555">
        <v>0.5</v>
      </c>
      <c r="EQV68" s="2555">
        <v>0.5</v>
      </c>
      <c r="EQW68" s="2555">
        <v>0.56000000000000005</v>
      </c>
      <c r="EQX68" s="2555">
        <v>0.34</v>
      </c>
      <c r="EQY68" s="2555"/>
      <c r="EQZ68" s="2555">
        <v>0.42</v>
      </c>
      <c r="ERA68" s="2553">
        <v>2019</v>
      </c>
      <c r="ERB68" s="2554"/>
      <c r="ERC68" s="2555">
        <v>0.5</v>
      </c>
      <c r="ERD68" s="2555">
        <v>0.5</v>
      </c>
      <c r="ERE68" s="2555">
        <v>0.56000000000000005</v>
      </c>
      <c r="ERF68" s="2555">
        <v>0.34</v>
      </c>
      <c r="ERG68" s="2555"/>
      <c r="ERH68" s="2555">
        <v>0.42</v>
      </c>
      <c r="ERI68" s="2553">
        <v>2019</v>
      </c>
      <c r="ERJ68" s="2554"/>
      <c r="ERK68" s="2555">
        <v>0.5</v>
      </c>
      <c r="ERL68" s="2555">
        <v>0.5</v>
      </c>
      <c r="ERM68" s="2555">
        <v>0.56000000000000005</v>
      </c>
      <c r="ERN68" s="2555">
        <v>0.34</v>
      </c>
      <c r="ERO68" s="2555"/>
      <c r="ERP68" s="2555">
        <v>0.42</v>
      </c>
      <c r="ERQ68" s="2553">
        <v>2019</v>
      </c>
      <c r="ERR68" s="2554"/>
      <c r="ERS68" s="2555">
        <v>0.5</v>
      </c>
      <c r="ERT68" s="2555">
        <v>0.5</v>
      </c>
      <c r="ERU68" s="2555">
        <v>0.56000000000000005</v>
      </c>
      <c r="ERV68" s="2555">
        <v>0.34</v>
      </c>
      <c r="ERW68" s="2555"/>
      <c r="ERX68" s="2555">
        <v>0.42</v>
      </c>
      <c r="ERY68" s="2553">
        <v>2019</v>
      </c>
      <c r="ERZ68" s="2554"/>
      <c r="ESA68" s="2555">
        <v>0.5</v>
      </c>
      <c r="ESB68" s="2555">
        <v>0.5</v>
      </c>
      <c r="ESC68" s="2555">
        <v>0.56000000000000005</v>
      </c>
      <c r="ESD68" s="2555">
        <v>0.34</v>
      </c>
      <c r="ESE68" s="2555"/>
      <c r="ESF68" s="2555">
        <v>0.42</v>
      </c>
      <c r="ESG68" s="2553">
        <v>2019</v>
      </c>
      <c r="ESH68" s="2554"/>
      <c r="ESI68" s="2555">
        <v>0.5</v>
      </c>
      <c r="ESJ68" s="2555">
        <v>0.5</v>
      </c>
      <c r="ESK68" s="2555">
        <v>0.56000000000000005</v>
      </c>
      <c r="ESL68" s="2555">
        <v>0.34</v>
      </c>
      <c r="ESM68" s="2555"/>
      <c r="ESN68" s="2555">
        <v>0.42</v>
      </c>
      <c r="ESO68" s="2553">
        <v>2019</v>
      </c>
      <c r="ESP68" s="2554"/>
      <c r="ESQ68" s="2555">
        <v>0.5</v>
      </c>
      <c r="ESR68" s="2555">
        <v>0.5</v>
      </c>
      <c r="ESS68" s="2555">
        <v>0.56000000000000005</v>
      </c>
      <c r="EST68" s="2555">
        <v>0.34</v>
      </c>
      <c r="ESU68" s="2555"/>
      <c r="ESV68" s="2555">
        <v>0.42</v>
      </c>
      <c r="ESW68" s="2553">
        <v>2019</v>
      </c>
      <c r="ESX68" s="2554"/>
      <c r="ESY68" s="2555">
        <v>0.5</v>
      </c>
      <c r="ESZ68" s="2555">
        <v>0.5</v>
      </c>
      <c r="ETA68" s="2555">
        <v>0.56000000000000005</v>
      </c>
      <c r="ETB68" s="2555">
        <v>0.34</v>
      </c>
      <c r="ETC68" s="2555"/>
      <c r="ETD68" s="2555">
        <v>0.42</v>
      </c>
      <c r="ETE68" s="2553">
        <v>2019</v>
      </c>
      <c r="ETF68" s="2554"/>
      <c r="ETG68" s="2555">
        <v>0.5</v>
      </c>
      <c r="ETH68" s="2555">
        <v>0.5</v>
      </c>
      <c r="ETI68" s="2555">
        <v>0.56000000000000005</v>
      </c>
      <c r="ETJ68" s="2555">
        <v>0.34</v>
      </c>
      <c r="ETK68" s="2555"/>
      <c r="ETL68" s="2555">
        <v>0.42</v>
      </c>
      <c r="ETM68" s="2553">
        <v>2019</v>
      </c>
      <c r="ETN68" s="2554"/>
      <c r="ETO68" s="2555">
        <v>0.5</v>
      </c>
      <c r="ETP68" s="2555">
        <v>0.5</v>
      </c>
      <c r="ETQ68" s="2555">
        <v>0.56000000000000005</v>
      </c>
      <c r="ETR68" s="2555">
        <v>0.34</v>
      </c>
      <c r="ETS68" s="2555"/>
      <c r="ETT68" s="2555">
        <v>0.42</v>
      </c>
      <c r="ETU68" s="2553">
        <v>2019</v>
      </c>
      <c r="ETV68" s="2554"/>
      <c r="ETW68" s="2555">
        <v>0.5</v>
      </c>
      <c r="ETX68" s="2555">
        <v>0.5</v>
      </c>
      <c r="ETY68" s="2555">
        <v>0.56000000000000005</v>
      </c>
      <c r="ETZ68" s="2555">
        <v>0.34</v>
      </c>
      <c r="EUA68" s="2555"/>
      <c r="EUB68" s="2555">
        <v>0.42</v>
      </c>
      <c r="EUC68" s="2553">
        <v>2019</v>
      </c>
      <c r="EUD68" s="2554"/>
      <c r="EUE68" s="2555">
        <v>0.5</v>
      </c>
      <c r="EUF68" s="2555">
        <v>0.5</v>
      </c>
      <c r="EUG68" s="2555">
        <v>0.56000000000000005</v>
      </c>
      <c r="EUH68" s="2555">
        <v>0.34</v>
      </c>
      <c r="EUI68" s="2555"/>
      <c r="EUJ68" s="2555">
        <v>0.42</v>
      </c>
      <c r="EUK68" s="2553">
        <v>2019</v>
      </c>
      <c r="EUL68" s="2554"/>
      <c r="EUM68" s="2555">
        <v>0.5</v>
      </c>
      <c r="EUN68" s="2555">
        <v>0.5</v>
      </c>
      <c r="EUO68" s="2555">
        <v>0.56000000000000005</v>
      </c>
      <c r="EUP68" s="2555">
        <v>0.34</v>
      </c>
      <c r="EUQ68" s="2555"/>
      <c r="EUR68" s="2555">
        <v>0.42</v>
      </c>
      <c r="EUS68" s="2553">
        <v>2019</v>
      </c>
      <c r="EUT68" s="2554"/>
      <c r="EUU68" s="2555">
        <v>0.5</v>
      </c>
      <c r="EUV68" s="2555">
        <v>0.5</v>
      </c>
      <c r="EUW68" s="2555">
        <v>0.56000000000000005</v>
      </c>
      <c r="EUX68" s="2555">
        <v>0.34</v>
      </c>
      <c r="EUY68" s="2555"/>
      <c r="EUZ68" s="2555">
        <v>0.42</v>
      </c>
      <c r="EVA68" s="2553">
        <v>2019</v>
      </c>
      <c r="EVB68" s="2554"/>
      <c r="EVC68" s="2555">
        <v>0.5</v>
      </c>
      <c r="EVD68" s="2555">
        <v>0.5</v>
      </c>
      <c r="EVE68" s="2555">
        <v>0.56000000000000005</v>
      </c>
      <c r="EVF68" s="2555">
        <v>0.34</v>
      </c>
      <c r="EVG68" s="2555"/>
      <c r="EVH68" s="2555">
        <v>0.42</v>
      </c>
      <c r="EVI68" s="2553">
        <v>2019</v>
      </c>
      <c r="EVJ68" s="2554"/>
      <c r="EVK68" s="2555">
        <v>0.5</v>
      </c>
      <c r="EVL68" s="2555">
        <v>0.5</v>
      </c>
      <c r="EVM68" s="2555">
        <v>0.56000000000000005</v>
      </c>
      <c r="EVN68" s="2555">
        <v>0.34</v>
      </c>
      <c r="EVO68" s="2555"/>
      <c r="EVP68" s="2555">
        <v>0.42</v>
      </c>
      <c r="EVQ68" s="2553">
        <v>2019</v>
      </c>
      <c r="EVR68" s="2554"/>
      <c r="EVS68" s="2555">
        <v>0.5</v>
      </c>
      <c r="EVT68" s="2555">
        <v>0.5</v>
      </c>
      <c r="EVU68" s="2555">
        <v>0.56000000000000005</v>
      </c>
      <c r="EVV68" s="2555">
        <v>0.34</v>
      </c>
      <c r="EVW68" s="2555"/>
      <c r="EVX68" s="2555">
        <v>0.42</v>
      </c>
      <c r="EVY68" s="2553">
        <v>2019</v>
      </c>
      <c r="EVZ68" s="2554"/>
      <c r="EWA68" s="2555">
        <v>0.5</v>
      </c>
      <c r="EWB68" s="2555">
        <v>0.5</v>
      </c>
      <c r="EWC68" s="2555">
        <v>0.56000000000000005</v>
      </c>
      <c r="EWD68" s="2555">
        <v>0.34</v>
      </c>
      <c r="EWE68" s="2555"/>
      <c r="EWF68" s="2555">
        <v>0.42</v>
      </c>
      <c r="EWG68" s="2553">
        <v>2019</v>
      </c>
      <c r="EWH68" s="2554"/>
      <c r="EWI68" s="2555">
        <v>0.5</v>
      </c>
      <c r="EWJ68" s="2555">
        <v>0.5</v>
      </c>
      <c r="EWK68" s="2555">
        <v>0.56000000000000005</v>
      </c>
      <c r="EWL68" s="2555">
        <v>0.34</v>
      </c>
      <c r="EWM68" s="2555"/>
      <c r="EWN68" s="2555">
        <v>0.42</v>
      </c>
      <c r="EWO68" s="2553">
        <v>2019</v>
      </c>
      <c r="EWP68" s="2554"/>
      <c r="EWQ68" s="2555">
        <v>0.5</v>
      </c>
      <c r="EWR68" s="2555">
        <v>0.5</v>
      </c>
      <c r="EWS68" s="2555">
        <v>0.56000000000000005</v>
      </c>
      <c r="EWT68" s="2555">
        <v>0.34</v>
      </c>
      <c r="EWU68" s="2555"/>
      <c r="EWV68" s="2555">
        <v>0.42</v>
      </c>
      <c r="EWW68" s="2553">
        <v>2019</v>
      </c>
      <c r="EWX68" s="2554"/>
      <c r="EWY68" s="2555">
        <v>0.5</v>
      </c>
      <c r="EWZ68" s="2555">
        <v>0.5</v>
      </c>
      <c r="EXA68" s="2555">
        <v>0.56000000000000005</v>
      </c>
      <c r="EXB68" s="2555">
        <v>0.34</v>
      </c>
      <c r="EXC68" s="2555"/>
      <c r="EXD68" s="2555">
        <v>0.42</v>
      </c>
      <c r="EXE68" s="2553">
        <v>2019</v>
      </c>
      <c r="EXF68" s="2554"/>
      <c r="EXG68" s="2555">
        <v>0.5</v>
      </c>
      <c r="EXH68" s="2555">
        <v>0.5</v>
      </c>
      <c r="EXI68" s="2555">
        <v>0.56000000000000005</v>
      </c>
      <c r="EXJ68" s="2555">
        <v>0.34</v>
      </c>
      <c r="EXK68" s="2555"/>
      <c r="EXL68" s="2555">
        <v>0.42</v>
      </c>
      <c r="EXM68" s="2553">
        <v>2019</v>
      </c>
      <c r="EXN68" s="2554"/>
      <c r="EXO68" s="2555">
        <v>0.5</v>
      </c>
      <c r="EXP68" s="2555">
        <v>0.5</v>
      </c>
      <c r="EXQ68" s="2555">
        <v>0.56000000000000005</v>
      </c>
      <c r="EXR68" s="2555">
        <v>0.34</v>
      </c>
      <c r="EXS68" s="2555"/>
      <c r="EXT68" s="2555">
        <v>0.42</v>
      </c>
      <c r="EXU68" s="2553">
        <v>2019</v>
      </c>
      <c r="EXV68" s="2554"/>
      <c r="EXW68" s="2555">
        <v>0.5</v>
      </c>
      <c r="EXX68" s="2555">
        <v>0.5</v>
      </c>
      <c r="EXY68" s="2555">
        <v>0.56000000000000005</v>
      </c>
      <c r="EXZ68" s="2555">
        <v>0.34</v>
      </c>
      <c r="EYA68" s="2555"/>
      <c r="EYB68" s="2555">
        <v>0.42</v>
      </c>
      <c r="EYC68" s="2553">
        <v>2019</v>
      </c>
      <c r="EYD68" s="2554"/>
      <c r="EYE68" s="2555">
        <v>0.5</v>
      </c>
      <c r="EYF68" s="2555">
        <v>0.5</v>
      </c>
      <c r="EYG68" s="2555">
        <v>0.56000000000000005</v>
      </c>
      <c r="EYH68" s="2555">
        <v>0.34</v>
      </c>
      <c r="EYI68" s="2555"/>
      <c r="EYJ68" s="2555">
        <v>0.42</v>
      </c>
      <c r="EYK68" s="2553">
        <v>2019</v>
      </c>
      <c r="EYL68" s="2554"/>
      <c r="EYM68" s="2555">
        <v>0.5</v>
      </c>
      <c r="EYN68" s="2555">
        <v>0.5</v>
      </c>
      <c r="EYO68" s="2555">
        <v>0.56000000000000005</v>
      </c>
      <c r="EYP68" s="2555">
        <v>0.34</v>
      </c>
      <c r="EYQ68" s="2555"/>
      <c r="EYR68" s="2555">
        <v>0.42</v>
      </c>
      <c r="EYS68" s="2553">
        <v>2019</v>
      </c>
      <c r="EYT68" s="2554"/>
      <c r="EYU68" s="2555">
        <v>0.5</v>
      </c>
      <c r="EYV68" s="2555">
        <v>0.5</v>
      </c>
      <c r="EYW68" s="2555">
        <v>0.56000000000000005</v>
      </c>
      <c r="EYX68" s="2555">
        <v>0.34</v>
      </c>
      <c r="EYY68" s="2555"/>
      <c r="EYZ68" s="2555">
        <v>0.42</v>
      </c>
      <c r="EZA68" s="2553">
        <v>2019</v>
      </c>
      <c r="EZB68" s="2554"/>
      <c r="EZC68" s="2555">
        <v>0.5</v>
      </c>
      <c r="EZD68" s="2555">
        <v>0.5</v>
      </c>
      <c r="EZE68" s="2555">
        <v>0.56000000000000005</v>
      </c>
      <c r="EZF68" s="2555">
        <v>0.34</v>
      </c>
      <c r="EZG68" s="2555"/>
      <c r="EZH68" s="2555">
        <v>0.42</v>
      </c>
      <c r="EZI68" s="2553">
        <v>2019</v>
      </c>
      <c r="EZJ68" s="2554"/>
      <c r="EZK68" s="2555">
        <v>0.5</v>
      </c>
      <c r="EZL68" s="2555">
        <v>0.5</v>
      </c>
      <c r="EZM68" s="2555">
        <v>0.56000000000000005</v>
      </c>
      <c r="EZN68" s="2555">
        <v>0.34</v>
      </c>
      <c r="EZO68" s="2555"/>
      <c r="EZP68" s="2555">
        <v>0.42</v>
      </c>
      <c r="EZQ68" s="2553">
        <v>2019</v>
      </c>
      <c r="EZR68" s="2554"/>
      <c r="EZS68" s="2555">
        <v>0.5</v>
      </c>
      <c r="EZT68" s="2555">
        <v>0.5</v>
      </c>
      <c r="EZU68" s="2555">
        <v>0.56000000000000005</v>
      </c>
      <c r="EZV68" s="2555">
        <v>0.34</v>
      </c>
      <c r="EZW68" s="2555"/>
      <c r="EZX68" s="2555">
        <v>0.42</v>
      </c>
      <c r="EZY68" s="2553">
        <v>2019</v>
      </c>
      <c r="EZZ68" s="2554"/>
      <c r="FAA68" s="2555">
        <v>0.5</v>
      </c>
      <c r="FAB68" s="2555">
        <v>0.5</v>
      </c>
      <c r="FAC68" s="2555">
        <v>0.56000000000000005</v>
      </c>
      <c r="FAD68" s="2555">
        <v>0.34</v>
      </c>
      <c r="FAE68" s="2555"/>
      <c r="FAF68" s="2555">
        <v>0.42</v>
      </c>
      <c r="FAG68" s="2553">
        <v>2019</v>
      </c>
      <c r="FAH68" s="2554"/>
      <c r="FAI68" s="2555">
        <v>0.5</v>
      </c>
      <c r="FAJ68" s="2555">
        <v>0.5</v>
      </c>
      <c r="FAK68" s="2555">
        <v>0.56000000000000005</v>
      </c>
      <c r="FAL68" s="2555">
        <v>0.34</v>
      </c>
      <c r="FAM68" s="2555"/>
      <c r="FAN68" s="2555">
        <v>0.42</v>
      </c>
      <c r="FAO68" s="2553">
        <v>2019</v>
      </c>
      <c r="FAP68" s="2554"/>
      <c r="FAQ68" s="2555">
        <v>0.5</v>
      </c>
      <c r="FAR68" s="2555">
        <v>0.5</v>
      </c>
      <c r="FAS68" s="2555">
        <v>0.56000000000000005</v>
      </c>
      <c r="FAT68" s="2555">
        <v>0.34</v>
      </c>
      <c r="FAU68" s="2555"/>
      <c r="FAV68" s="2555">
        <v>0.42</v>
      </c>
      <c r="FAW68" s="2553">
        <v>2019</v>
      </c>
      <c r="FAX68" s="2554"/>
      <c r="FAY68" s="2555">
        <v>0.5</v>
      </c>
      <c r="FAZ68" s="2555">
        <v>0.5</v>
      </c>
      <c r="FBA68" s="2555">
        <v>0.56000000000000005</v>
      </c>
      <c r="FBB68" s="2555">
        <v>0.34</v>
      </c>
      <c r="FBC68" s="2555"/>
      <c r="FBD68" s="2555">
        <v>0.42</v>
      </c>
      <c r="FBE68" s="2553">
        <v>2019</v>
      </c>
      <c r="FBF68" s="2554"/>
      <c r="FBG68" s="2555">
        <v>0.5</v>
      </c>
      <c r="FBH68" s="2555">
        <v>0.5</v>
      </c>
      <c r="FBI68" s="2555">
        <v>0.56000000000000005</v>
      </c>
      <c r="FBJ68" s="2555">
        <v>0.34</v>
      </c>
      <c r="FBK68" s="2555"/>
      <c r="FBL68" s="2555">
        <v>0.42</v>
      </c>
      <c r="FBM68" s="2553">
        <v>2019</v>
      </c>
      <c r="FBN68" s="2554"/>
      <c r="FBO68" s="2555">
        <v>0.5</v>
      </c>
      <c r="FBP68" s="2555">
        <v>0.5</v>
      </c>
      <c r="FBQ68" s="2555">
        <v>0.56000000000000005</v>
      </c>
      <c r="FBR68" s="2555">
        <v>0.34</v>
      </c>
      <c r="FBS68" s="2555"/>
      <c r="FBT68" s="2555">
        <v>0.42</v>
      </c>
      <c r="FBU68" s="2553">
        <v>2019</v>
      </c>
      <c r="FBV68" s="2554"/>
      <c r="FBW68" s="2555">
        <v>0.5</v>
      </c>
      <c r="FBX68" s="2555">
        <v>0.5</v>
      </c>
      <c r="FBY68" s="2555">
        <v>0.56000000000000005</v>
      </c>
      <c r="FBZ68" s="2555">
        <v>0.34</v>
      </c>
      <c r="FCA68" s="2555"/>
      <c r="FCB68" s="2555">
        <v>0.42</v>
      </c>
      <c r="FCC68" s="2553">
        <v>2019</v>
      </c>
      <c r="FCD68" s="2554"/>
      <c r="FCE68" s="2555">
        <v>0.5</v>
      </c>
      <c r="FCF68" s="2555">
        <v>0.5</v>
      </c>
      <c r="FCG68" s="2555">
        <v>0.56000000000000005</v>
      </c>
      <c r="FCH68" s="2555">
        <v>0.34</v>
      </c>
      <c r="FCI68" s="2555"/>
      <c r="FCJ68" s="2555">
        <v>0.42</v>
      </c>
      <c r="FCK68" s="2553">
        <v>2019</v>
      </c>
      <c r="FCL68" s="2554"/>
      <c r="FCM68" s="2555">
        <v>0.5</v>
      </c>
      <c r="FCN68" s="2555">
        <v>0.5</v>
      </c>
      <c r="FCO68" s="2555">
        <v>0.56000000000000005</v>
      </c>
      <c r="FCP68" s="2555">
        <v>0.34</v>
      </c>
      <c r="FCQ68" s="2555"/>
      <c r="FCR68" s="2555">
        <v>0.42</v>
      </c>
      <c r="FCS68" s="2553">
        <v>2019</v>
      </c>
      <c r="FCT68" s="2554"/>
      <c r="FCU68" s="2555">
        <v>0.5</v>
      </c>
      <c r="FCV68" s="2555">
        <v>0.5</v>
      </c>
      <c r="FCW68" s="2555">
        <v>0.56000000000000005</v>
      </c>
      <c r="FCX68" s="2555">
        <v>0.34</v>
      </c>
      <c r="FCY68" s="2555"/>
      <c r="FCZ68" s="2555">
        <v>0.42</v>
      </c>
      <c r="FDA68" s="2553">
        <v>2019</v>
      </c>
      <c r="FDB68" s="2554"/>
      <c r="FDC68" s="2555">
        <v>0.5</v>
      </c>
      <c r="FDD68" s="2555">
        <v>0.5</v>
      </c>
      <c r="FDE68" s="2555">
        <v>0.56000000000000005</v>
      </c>
      <c r="FDF68" s="2555">
        <v>0.34</v>
      </c>
      <c r="FDG68" s="2555"/>
      <c r="FDH68" s="2555">
        <v>0.42</v>
      </c>
      <c r="FDI68" s="2553">
        <v>2019</v>
      </c>
      <c r="FDJ68" s="2554"/>
      <c r="FDK68" s="2555">
        <v>0.5</v>
      </c>
      <c r="FDL68" s="2555">
        <v>0.5</v>
      </c>
      <c r="FDM68" s="2555">
        <v>0.56000000000000005</v>
      </c>
      <c r="FDN68" s="2555">
        <v>0.34</v>
      </c>
      <c r="FDO68" s="2555"/>
      <c r="FDP68" s="2555">
        <v>0.42</v>
      </c>
      <c r="FDQ68" s="2553">
        <v>2019</v>
      </c>
      <c r="FDR68" s="2554"/>
      <c r="FDS68" s="2555">
        <v>0.5</v>
      </c>
      <c r="FDT68" s="2555">
        <v>0.5</v>
      </c>
      <c r="FDU68" s="2555">
        <v>0.56000000000000005</v>
      </c>
      <c r="FDV68" s="2555">
        <v>0.34</v>
      </c>
      <c r="FDW68" s="2555"/>
      <c r="FDX68" s="2555">
        <v>0.42</v>
      </c>
      <c r="FDY68" s="2553">
        <v>2019</v>
      </c>
      <c r="FDZ68" s="2554"/>
      <c r="FEA68" s="2555">
        <v>0.5</v>
      </c>
      <c r="FEB68" s="2555">
        <v>0.5</v>
      </c>
      <c r="FEC68" s="2555">
        <v>0.56000000000000005</v>
      </c>
      <c r="FED68" s="2555">
        <v>0.34</v>
      </c>
      <c r="FEE68" s="2555"/>
      <c r="FEF68" s="2555">
        <v>0.42</v>
      </c>
      <c r="FEG68" s="2553">
        <v>2019</v>
      </c>
      <c r="FEH68" s="2554"/>
      <c r="FEI68" s="2555">
        <v>0.5</v>
      </c>
      <c r="FEJ68" s="2555">
        <v>0.5</v>
      </c>
      <c r="FEK68" s="2555">
        <v>0.56000000000000005</v>
      </c>
      <c r="FEL68" s="2555">
        <v>0.34</v>
      </c>
      <c r="FEM68" s="2555"/>
      <c r="FEN68" s="2555">
        <v>0.42</v>
      </c>
      <c r="FEO68" s="2553">
        <v>2019</v>
      </c>
      <c r="FEP68" s="2554"/>
      <c r="FEQ68" s="2555">
        <v>0.5</v>
      </c>
      <c r="FER68" s="2555">
        <v>0.5</v>
      </c>
      <c r="FES68" s="2555">
        <v>0.56000000000000005</v>
      </c>
      <c r="FET68" s="2555">
        <v>0.34</v>
      </c>
      <c r="FEU68" s="2555"/>
      <c r="FEV68" s="2555">
        <v>0.42</v>
      </c>
      <c r="FEW68" s="2553">
        <v>2019</v>
      </c>
      <c r="FEX68" s="2554"/>
      <c r="FEY68" s="2555">
        <v>0.5</v>
      </c>
      <c r="FEZ68" s="2555">
        <v>0.5</v>
      </c>
      <c r="FFA68" s="2555">
        <v>0.56000000000000005</v>
      </c>
      <c r="FFB68" s="2555">
        <v>0.34</v>
      </c>
      <c r="FFC68" s="2555"/>
      <c r="FFD68" s="2555">
        <v>0.42</v>
      </c>
      <c r="FFE68" s="2553">
        <v>2019</v>
      </c>
      <c r="FFF68" s="2554"/>
      <c r="FFG68" s="2555">
        <v>0.5</v>
      </c>
      <c r="FFH68" s="2555">
        <v>0.5</v>
      </c>
      <c r="FFI68" s="2555">
        <v>0.56000000000000005</v>
      </c>
      <c r="FFJ68" s="2555">
        <v>0.34</v>
      </c>
      <c r="FFK68" s="2555"/>
      <c r="FFL68" s="2555">
        <v>0.42</v>
      </c>
      <c r="FFM68" s="2553">
        <v>2019</v>
      </c>
      <c r="FFN68" s="2554"/>
      <c r="FFO68" s="2555">
        <v>0.5</v>
      </c>
      <c r="FFP68" s="2555">
        <v>0.5</v>
      </c>
      <c r="FFQ68" s="2555">
        <v>0.56000000000000005</v>
      </c>
      <c r="FFR68" s="2555">
        <v>0.34</v>
      </c>
      <c r="FFS68" s="2555"/>
      <c r="FFT68" s="2555">
        <v>0.42</v>
      </c>
      <c r="FFU68" s="2553">
        <v>2019</v>
      </c>
      <c r="FFV68" s="2554"/>
      <c r="FFW68" s="2555">
        <v>0.5</v>
      </c>
      <c r="FFX68" s="2555">
        <v>0.5</v>
      </c>
      <c r="FFY68" s="2555">
        <v>0.56000000000000005</v>
      </c>
      <c r="FFZ68" s="2555">
        <v>0.34</v>
      </c>
      <c r="FGA68" s="2555"/>
      <c r="FGB68" s="2555">
        <v>0.42</v>
      </c>
      <c r="FGC68" s="2553">
        <v>2019</v>
      </c>
      <c r="FGD68" s="2554"/>
      <c r="FGE68" s="2555">
        <v>0.5</v>
      </c>
      <c r="FGF68" s="2555">
        <v>0.5</v>
      </c>
      <c r="FGG68" s="2555">
        <v>0.56000000000000005</v>
      </c>
      <c r="FGH68" s="2555">
        <v>0.34</v>
      </c>
      <c r="FGI68" s="2555"/>
      <c r="FGJ68" s="2555">
        <v>0.42</v>
      </c>
      <c r="FGK68" s="2553">
        <v>2019</v>
      </c>
      <c r="FGL68" s="2554"/>
      <c r="FGM68" s="2555">
        <v>0.5</v>
      </c>
      <c r="FGN68" s="2555">
        <v>0.5</v>
      </c>
      <c r="FGO68" s="2555">
        <v>0.56000000000000005</v>
      </c>
      <c r="FGP68" s="2555">
        <v>0.34</v>
      </c>
      <c r="FGQ68" s="2555"/>
      <c r="FGR68" s="2555">
        <v>0.42</v>
      </c>
      <c r="FGS68" s="2553">
        <v>2019</v>
      </c>
      <c r="FGT68" s="2554"/>
      <c r="FGU68" s="2555">
        <v>0.5</v>
      </c>
      <c r="FGV68" s="2555">
        <v>0.5</v>
      </c>
      <c r="FGW68" s="2555">
        <v>0.56000000000000005</v>
      </c>
      <c r="FGX68" s="2555">
        <v>0.34</v>
      </c>
      <c r="FGY68" s="2555"/>
      <c r="FGZ68" s="2555">
        <v>0.42</v>
      </c>
      <c r="FHA68" s="2553">
        <v>2019</v>
      </c>
      <c r="FHB68" s="2554"/>
      <c r="FHC68" s="2555">
        <v>0.5</v>
      </c>
      <c r="FHD68" s="2555">
        <v>0.5</v>
      </c>
      <c r="FHE68" s="2555">
        <v>0.56000000000000005</v>
      </c>
      <c r="FHF68" s="2555">
        <v>0.34</v>
      </c>
      <c r="FHG68" s="2555"/>
      <c r="FHH68" s="2555">
        <v>0.42</v>
      </c>
      <c r="FHI68" s="2553">
        <v>2019</v>
      </c>
      <c r="FHJ68" s="2554"/>
      <c r="FHK68" s="2555">
        <v>0.5</v>
      </c>
      <c r="FHL68" s="2555">
        <v>0.5</v>
      </c>
      <c r="FHM68" s="2555">
        <v>0.56000000000000005</v>
      </c>
      <c r="FHN68" s="2555">
        <v>0.34</v>
      </c>
      <c r="FHO68" s="2555"/>
      <c r="FHP68" s="2555">
        <v>0.42</v>
      </c>
      <c r="FHQ68" s="2553">
        <v>2019</v>
      </c>
      <c r="FHR68" s="2554"/>
      <c r="FHS68" s="2555">
        <v>0.5</v>
      </c>
      <c r="FHT68" s="2555">
        <v>0.5</v>
      </c>
      <c r="FHU68" s="2555">
        <v>0.56000000000000005</v>
      </c>
      <c r="FHV68" s="2555">
        <v>0.34</v>
      </c>
      <c r="FHW68" s="2555"/>
      <c r="FHX68" s="2555">
        <v>0.42</v>
      </c>
      <c r="FHY68" s="2553">
        <v>2019</v>
      </c>
      <c r="FHZ68" s="2554"/>
      <c r="FIA68" s="2555">
        <v>0.5</v>
      </c>
      <c r="FIB68" s="2555">
        <v>0.5</v>
      </c>
      <c r="FIC68" s="2555">
        <v>0.56000000000000005</v>
      </c>
      <c r="FID68" s="2555">
        <v>0.34</v>
      </c>
      <c r="FIE68" s="2555"/>
      <c r="FIF68" s="2555">
        <v>0.42</v>
      </c>
      <c r="FIG68" s="2553">
        <v>2019</v>
      </c>
      <c r="FIH68" s="2554"/>
      <c r="FII68" s="2555">
        <v>0.5</v>
      </c>
      <c r="FIJ68" s="2555">
        <v>0.5</v>
      </c>
      <c r="FIK68" s="2555">
        <v>0.56000000000000005</v>
      </c>
      <c r="FIL68" s="2555">
        <v>0.34</v>
      </c>
      <c r="FIM68" s="2555"/>
      <c r="FIN68" s="2555">
        <v>0.42</v>
      </c>
      <c r="FIO68" s="2553">
        <v>2019</v>
      </c>
      <c r="FIP68" s="2554"/>
      <c r="FIQ68" s="2555">
        <v>0.5</v>
      </c>
      <c r="FIR68" s="2555">
        <v>0.5</v>
      </c>
      <c r="FIS68" s="2555">
        <v>0.56000000000000005</v>
      </c>
      <c r="FIT68" s="2555">
        <v>0.34</v>
      </c>
      <c r="FIU68" s="2555"/>
      <c r="FIV68" s="2555">
        <v>0.42</v>
      </c>
      <c r="FIW68" s="2553">
        <v>2019</v>
      </c>
      <c r="FIX68" s="2554"/>
      <c r="FIY68" s="2555">
        <v>0.5</v>
      </c>
      <c r="FIZ68" s="2555">
        <v>0.5</v>
      </c>
      <c r="FJA68" s="2555">
        <v>0.56000000000000005</v>
      </c>
      <c r="FJB68" s="2555">
        <v>0.34</v>
      </c>
      <c r="FJC68" s="2555"/>
      <c r="FJD68" s="2555">
        <v>0.42</v>
      </c>
      <c r="FJE68" s="2553">
        <v>2019</v>
      </c>
      <c r="FJF68" s="2554"/>
      <c r="FJG68" s="2555">
        <v>0.5</v>
      </c>
      <c r="FJH68" s="2555">
        <v>0.5</v>
      </c>
      <c r="FJI68" s="2555">
        <v>0.56000000000000005</v>
      </c>
      <c r="FJJ68" s="2555">
        <v>0.34</v>
      </c>
      <c r="FJK68" s="2555"/>
      <c r="FJL68" s="2555">
        <v>0.42</v>
      </c>
      <c r="FJM68" s="2553">
        <v>2019</v>
      </c>
      <c r="FJN68" s="2554"/>
      <c r="FJO68" s="2555">
        <v>0.5</v>
      </c>
      <c r="FJP68" s="2555">
        <v>0.5</v>
      </c>
      <c r="FJQ68" s="2555">
        <v>0.56000000000000005</v>
      </c>
      <c r="FJR68" s="2555">
        <v>0.34</v>
      </c>
      <c r="FJS68" s="2555"/>
      <c r="FJT68" s="2555">
        <v>0.42</v>
      </c>
      <c r="FJU68" s="2553">
        <v>2019</v>
      </c>
      <c r="FJV68" s="2554"/>
      <c r="FJW68" s="2555">
        <v>0.5</v>
      </c>
      <c r="FJX68" s="2555">
        <v>0.5</v>
      </c>
      <c r="FJY68" s="2555">
        <v>0.56000000000000005</v>
      </c>
      <c r="FJZ68" s="2555">
        <v>0.34</v>
      </c>
      <c r="FKA68" s="2555"/>
      <c r="FKB68" s="2555">
        <v>0.42</v>
      </c>
      <c r="FKC68" s="2553">
        <v>2019</v>
      </c>
      <c r="FKD68" s="2554"/>
      <c r="FKE68" s="2555">
        <v>0.5</v>
      </c>
      <c r="FKF68" s="2555">
        <v>0.5</v>
      </c>
      <c r="FKG68" s="2555">
        <v>0.56000000000000005</v>
      </c>
      <c r="FKH68" s="2555">
        <v>0.34</v>
      </c>
      <c r="FKI68" s="2555"/>
      <c r="FKJ68" s="2555">
        <v>0.42</v>
      </c>
      <c r="FKK68" s="2553">
        <v>2019</v>
      </c>
      <c r="FKL68" s="2554"/>
      <c r="FKM68" s="2555">
        <v>0.5</v>
      </c>
      <c r="FKN68" s="2555">
        <v>0.5</v>
      </c>
      <c r="FKO68" s="2555">
        <v>0.56000000000000005</v>
      </c>
      <c r="FKP68" s="2555">
        <v>0.34</v>
      </c>
      <c r="FKQ68" s="2555"/>
      <c r="FKR68" s="2555">
        <v>0.42</v>
      </c>
      <c r="FKS68" s="2553">
        <v>2019</v>
      </c>
      <c r="FKT68" s="2554"/>
      <c r="FKU68" s="2555">
        <v>0.5</v>
      </c>
      <c r="FKV68" s="2555">
        <v>0.5</v>
      </c>
      <c r="FKW68" s="2555">
        <v>0.56000000000000005</v>
      </c>
      <c r="FKX68" s="2555">
        <v>0.34</v>
      </c>
      <c r="FKY68" s="2555"/>
      <c r="FKZ68" s="2555">
        <v>0.42</v>
      </c>
      <c r="FLA68" s="2553">
        <v>2019</v>
      </c>
      <c r="FLB68" s="2554"/>
      <c r="FLC68" s="2555">
        <v>0.5</v>
      </c>
      <c r="FLD68" s="2555">
        <v>0.5</v>
      </c>
      <c r="FLE68" s="2555">
        <v>0.56000000000000005</v>
      </c>
      <c r="FLF68" s="2555">
        <v>0.34</v>
      </c>
      <c r="FLG68" s="2555"/>
      <c r="FLH68" s="2555">
        <v>0.42</v>
      </c>
      <c r="FLI68" s="2553">
        <v>2019</v>
      </c>
      <c r="FLJ68" s="2554"/>
      <c r="FLK68" s="2555">
        <v>0.5</v>
      </c>
      <c r="FLL68" s="2555">
        <v>0.5</v>
      </c>
      <c r="FLM68" s="2555">
        <v>0.56000000000000005</v>
      </c>
      <c r="FLN68" s="2555">
        <v>0.34</v>
      </c>
      <c r="FLO68" s="2555"/>
      <c r="FLP68" s="2555">
        <v>0.42</v>
      </c>
      <c r="FLQ68" s="2553">
        <v>2019</v>
      </c>
      <c r="FLR68" s="2554"/>
      <c r="FLS68" s="2555">
        <v>0.5</v>
      </c>
      <c r="FLT68" s="2555">
        <v>0.5</v>
      </c>
      <c r="FLU68" s="2555">
        <v>0.56000000000000005</v>
      </c>
      <c r="FLV68" s="2555">
        <v>0.34</v>
      </c>
      <c r="FLW68" s="2555"/>
      <c r="FLX68" s="2555">
        <v>0.42</v>
      </c>
      <c r="FLY68" s="2553">
        <v>2019</v>
      </c>
      <c r="FLZ68" s="2554"/>
      <c r="FMA68" s="2555">
        <v>0.5</v>
      </c>
      <c r="FMB68" s="2555">
        <v>0.5</v>
      </c>
      <c r="FMC68" s="2555">
        <v>0.56000000000000005</v>
      </c>
      <c r="FMD68" s="2555">
        <v>0.34</v>
      </c>
      <c r="FME68" s="2555"/>
      <c r="FMF68" s="2555">
        <v>0.42</v>
      </c>
      <c r="FMG68" s="2553">
        <v>2019</v>
      </c>
      <c r="FMH68" s="2554"/>
      <c r="FMI68" s="2555">
        <v>0.5</v>
      </c>
      <c r="FMJ68" s="2555">
        <v>0.5</v>
      </c>
      <c r="FMK68" s="2555">
        <v>0.56000000000000005</v>
      </c>
      <c r="FML68" s="2555">
        <v>0.34</v>
      </c>
      <c r="FMM68" s="2555"/>
      <c r="FMN68" s="2555">
        <v>0.42</v>
      </c>
      <c r="FMO68" s="2553">
        <v>2019</v>
      </c>
      <c r="FMP68" s="2554"/>
      <c r="FMQ68" s="2555">
        <v>0.5</v>
      </c>
      <c r="FMR68" s="2555">
        <v>0.5</v>
      </c>
      <c r="FMS68" s="2555">
        <v>0.56000000000000005</v>
      </c>
      <c r="FMT68" s="2555">
        <v>0.34</v>
      </c>
      <c r="FMU68" s="2555"/>
      <c r="FMV68" s="2555">
        <v>0.42</v>
      </c>
      <c r="FMW68" s="2553">
        <v>2019</v>
      </c>
      <c r="FMX68" s="2554"/>
      <c r="FMY68" s="2555">
        <v>0.5</v>
      </c>
      <c r="FMZ68" s="2555">
        <v>0.5</v>
      </c>
      <c r="FNA68" s="2555">
        <v>0.56000000000000005</v>
      </c>
      <c r="FNB68" s="2555">
        <v>0.34</v>
      </c>
      <c r="FNC68" s="2555"/>
      <c r="FND68" s="2555">
        <v>0.42</v>
      </c>
      <c r="FNE68" s="2553">
        <v>2019</v>
      </c>
      <c r="FNF68" s="2554"/>
      <c r="FNG68" s="2555">
        <v>0.5</v>
      </c>
      <c r="FNH68" s="2555">
        <v>0.5</v>
      </c>
      <c r="FNI68" s="2555">
        <v>0.56000000000000005</v>
      </c>
      <c r="FNJ68" s="2555">
        <v>0.34</v>
      </c>
      <c r="FNK68" s="2555"/>
      <c r="FNL68" s="2555">
        <v>0.42</v>
      </c>
      <c r="FNM68" s="2553">
        <v>2019</v>
      </c>
      <c r="FNN68" s="2554"/>
      <c r="FNO68" s="2555">
        <v>0.5</v>
      </c>
      <c r="FNP68" s="2555">
        <v>0.5</v>
      </c>
      <c r="FNQ68" s="2555">
        <v>0.56000000000000005</v>
      </c>
      <c r="FNR68" s="2555">
        <v>0.34</v>
      </c>
      <c r="FNS68" s="2555"/>
      <c r="FNT68" s="2555">
        <v>0.42</v>
      </c>
      <c r="FNU68" s="2553">
        <v>2019</v>
      </c>
      <c r="FNV68" s="2554"/>
      <c r="FNW68" s="2555">
        <v>0.5</v>
      </c>
      <c r="FNX68" s="2555">
        <v>0.5</v>
      </c>
      <c r="FNY68" s="2555">
        <v>0.56000000000000005</v>
      </c>
      <c r="FNZ68" s="2555">
        <v>0.34</v>
      </c>
      <c r="FOA68" s="2555"/>
      <c r="FOB68" s="2555">
        <v>0.42</v>
      </c>
      <c r="FOC68" s="2553">
        <v>2019</v>
      </c>
      <c r="FOD68" s="2554"/>
      <c r="FOE68" s="2555">
        <v>0.5</v>
      </c>
      <c r="FOF68" s="2555">
        <v>0.5</v>
      </c>
      <c r="FOG68" s="2555">
        <v>0.56000000000000005</v>
      </c>
      <c r="FOH68" s="2555">
        <v>0.34</v>
      </c>
      <c r="FOI68" s="2555"/>
      <c r="FOJ68" s="2555">
        <v>0.42</v>
      </c>
      <c r="FOK68" s="2553">
        <v>2019</v>
      </c>
      <c r="FOL68" s="2554"/>
      <c r="FOM68" s="2555">
        <v>0.5</v>
      </c>
      <c r="FON68" s="2555">
        <v>0.5</v>
      </c>
      <c r="FOO68" s="2555">
        <v>0.56000000000000005</v>
      </c>
      <c r="FOP68" s="2555">
        <v>0.34</v>
      </c>
      <c r="FOQ68" s="2555"/>
      <c r="FOR68" s="2555">
        <v>0.42</v>
      </c>
      <c r="FOS68" s="2553">
        <v>2019</v>
      </c>
      <c r="FOT68" s="2554"/>
      <c r="FOU68" s="2555">
        <v>0.5</v>
      </c>
      <c r="FOV68" s="2555">
        <v>0.5</v>
      </c>
      <c r="FOW68" s="2555">
        <v>0.56000000000000005</v>
      </c>
      <c r="FOX68" s="2555">
        <v>0.34</v>
      </c>
      <c r="FOY68" s="2555"/>
      <c r="FOZ68" s="2555">
        <v>0.42</v>
      </c>
      <c r="FPA68" s="2553">
        <v>2019</v>
      </c>
      <c r="FPB68" s="2554"/>
      <c r="FPC68" s="2555">
        <v>0.5</v>
      </c>
      <c r="FPD68" s="2555">
        <v>0.5</v>
      </c>
      <c r="FPE68" s="2555">
        <v>0.56000000000000005</v>
      </c>
      <c r="FPF68" s="2555">
        <v>0.34</v>
      </c>
      <c r="FPG68" s="2555"/>
      <c r="FPH68" s="2555">
        <v>0.42</v>
      </c>
      <c r="FPI68" s="2553">
        <v>2019</v>
      </c>
      <c r="FPJ68" s="2554"/>
      <c r="FPK68" s="2555">
        <v>0.5</v>
      </c>
      <c r="FPL68" s="2555">
        <v>0.5</v>
      </c>
      <c r="FPM68" s="2555">
        <v>0.56000000000000005</v>
      </c>
      <c r="FPN68" s="2555">
        <v>0.34</v>
      </c>
      <c r="FPO68" s="2555"/>
      <c r="FPP68" s="2555">
        <v>0.42</v>
      </c>
      <c r="FPQ68" s="2553">
        <v>2019</v>
      </c>
      <c r="FPR68" s="2554"/>
      <c r="FPS68" s="2555">
        <v>0.5</v>
      </c>
      <c r="FPT68" s="2555">
        <v>0.5</v>
      </c>
      <c r="FPU68" s="2555">
        <v>0.56000000000000005</v>
      </c>
      <c r="FPV68" s="2555">
        <v>0.34</v>
      </c>
      <c r="FPW68" s="2555"/>
      <c r="FPX68" s="2555">
        <v>0.42</v>
      </c>
      <c r="FPY68" s="2553">
        <v>2019</v>
      </c>
      <c r="FPZ68" s="2554"/>
      <c r="FQA68" s="2555">
        <v>0.5</v>
      </c>
      <c r="FQB68" s="2555">
        <v>0.5</v>
      </c>
      <c r="FQC68" s="2555">
        <v>0.56000000000000005</v>
      </c>
      <c r="FQD68" s="2555">
        <v>0.34</v>
      </c>
      <c r="FQE68" s="2555"/>
      <c r="FQF68" s="2555">
        <v>0.42</v>
      </c>
      <c r="FQG68" s="2553">
        <v>2019</v>
      </c>
      <c r="FQH68" s="2554"/>
      <c r="FQI68" s="2555">
        <v>0.5</v>
      </c>
      <c r="FQJ68" s="2555">
        <v>0.5</v>
      </c>
      <c r="FQK68" s="2555">
        <v>0.56000000000000005</v>
      </c>
      <c r="FQL68" s="2555">
        <v>0.34</v>
      </c>
      <c r="FQM68" s="2555"/>
      <c r="FQN68" s="2555">
        <v>0.42</v>
      </c>
      <c r="FQO68" s="2553">
        <v>2019</v>
      </c>
      <c r="FQP68" s="2554"/>
      <c r="FQQ68" s="2555">
        <v>0.5</v>
      </c>
      <c r="FQR68" s="2555">
        <v>0.5</v>
      </c>
      <c r="FQS68" s="2555">
        <v>0.56000000000000005</v>
      </c>
      <c r="FQT68" s="2555">
        <v>0.34</v>
      </c>
      <c r="FQU68" s="2555"/>
      <c r="FQV68" s="2555">
        <v>0.42</v>
      </c>
      <c r="FQW68" s="2553">
        <v>2019</v>
      </c>
      <c r="FQX68" s="2554"/>
      <c r="FQY68" s="2555">
        <v>0.5</v>
      </c>
      <c r="FQZ68" s="2555">
        <v>0.5</v>
      </c>
      <c r="FRA68" s="2555">
        <v>0.56000000000000005</v>
      </c>
      <c r="FRB68" s="2555">
        <v>0.34</v>
      </c>
      <c r="FRC68" s="2555"/>
      <c r="FRD68" s="2555">
        <v>0.42</v>
      </c>
      <c r="FRE68" s="2553">
        <v>2019</v>
      </c>
      <c r="FRF68" s="2554"/>
      <c r="FRG68" s="2555">
        <v>0.5</v>
      </c>
      <c r="FRH68" s="2555">
        <v>0.5</v>
      </c>
      <c r="FRI68" s="2555">
        <v>0.56000000000000005</v>
      </c>
      <c r="FRJ68" s="2555">
        <v>0.34</v>
      </c>
      <c r="FRK68" s="2555"/>
      <c r="FRL68" s="2555">
        <v>0.42</v>
      </c>
      <c r="FRM68" s="2553">
        <v>2019</v>
      </c>
      <c r="FRN68" s="2554"/>
      <c r="FRO68" s="2555">
        <v>0.5</v>
      </c>
      <c r="FRP68" s="2555">
        <v>0.5</v>
      </c>
      <c r="FRQ68" s="2555">
        <v>0.56000000000000005</v>
      </c>
      <c r="FRR68" s="2555">
        <v>0.34</v>
      </c>
      <c r="FRS68" s="2555"/>
      <c r="FRT68" s="2555">
        <v>0.42</v>
      </c>
      <c r="FRU68" s="2553">
        <v>2019</v>
      </c>
      <c r="FRV68" s="2554"/>
      <c r="FRW68" s="2555">
        <v>0.5</v>
      </c>
      <c r="FRX68" s="2555">
        <v>0.5</v>
      </c>
      <c r="FRY68" s="2555">
        <v>0.56000000000000005</v>
      </c>
      <c r="FRZ68" s="2555">
        <v>0.34</v>
      </c>
      <c r="FSA68" s="2555"/>
      <c r="FSB68" s="2555">
        <v>0.42</v>
      </c>
      <c r="FSC68" s="2553">
        <v>2019</v>
      </c>
      <c r="FSD68" s="2554"/>
      <c r="FSE68" s="2555">
        <v>0.5</v>
      </c>
      <c r="FSF68" s="2555">
        <v>0.5</v>
      </c>
      <c r="FSG68" s="2555">
        <v>0.56000000000000005</v>
      </c>
      <c r="FSH68" s="2555">
        <v>0.34</v>
      </c>
      <c r="FSI68" s="2555"/>
      <c r="FSJ68" s="2555">
        <v>0.42</v>
      </c>
      <c r="FSK68" s="2553">
        <v>2019</v>
      </c>
      <c r="FSL68" s="2554"/>
      <c r="FSM68" s="2555">
        <v>0.5</v>
      </c>
      <c r="FSN68" s="2555">
        <v>0.5</v>
      </c>
      <c r="FSO68" s="2555">
        <v>0.56000000000000005</v>
      </c>
      <c r="FSP68" s="2555">
        <v>0.34</v>
      </c>
      <c r="FSQ68" s="2555"/>
      <c r="FSR68" s="2555">
        <v>0.42</v>
      </c>
      <c r="FSS68" s="2553">
        <v>2019</v>
      </c>
      <c r="FST68" s="2554"/>
      <c r="FSU68" s="2555">
        <v>0.5</v>
      </c>
      <c r="FSV68" s="2555">
        <v>0.5</v>
      </c>
      <c r="FSW68" s="2555">
        <v>0.56000000000000005</v>
      </c>
      <c r="FSX68" s="2555">
        <v>0.34</v>
      </c>
      <c r="FSY68" s="2555"/>
      <c r="FSZ68" s="2555">
        <v>0.42</v>
      </c>
      <c r="FTA68" s="2553">
        <v>2019</v>
      </c>
      <c r="FTB68" s="2554"/>
      <c r="FTC68" s="2555">
        <v>0.5</v>
      </c>
      <c r="FTD68" s="2555">
        <v>0.5</v>
      </c>
      <c r="FTE68" s="2555">
        <v>0.56000000000000005</v>
      </c>
      <c r="FTF68" s="2555">
        <v>0.34</v>
      </c>
      <c r="FTG68" s="2555"/>
      <c r="FTH68" s="2555">
        <v>0.42</v>
      </c>
      <c r="FTI68" s="2553">
        <v>2019</v>
      </c>
      <c r="FTJ68" s="2554"/>
      <c r="FTK68" s="2555">
        <v>0.5</v>
      </c>
      <c r="FTL68" s="2555">
        <v>0.5</v>
      </c>
      <c r="FTM68" s="2555">
        <v>0.56000000000000005</v>
      </c>
      <c r="FTN68" s="2555">
        <v>0.34</v>
      </c>
      <c r="FTO68" s="2555"/>
      <c r="FTP68" s="2555">
        <v>0.42</v>
      </c>
      <c r="FTQ68" s="2553">
        <v>2019</v>
      </c>
      <c r="FTR68" s="2554"/>
      <c r="FTS68" s="2555">
        <v>0.5</v>
      </c>
      <c r="FTT68" s="2555">
        <v>0.5</v>
      </c>
      <c r="FTU68" s="2555">
        <v>0.56000000000000005</v>
      </c>
      <c r="FTV68" s="2555">
        <v>0.34</v>
      </c>
      <c r="FTW68" s="2555"/>
      <c r="FTX68" s="2555">
        <v>0.42</v>
      </c>
      <c r="FTY68" s="2553">
        <v>2019</v>
      </c>
      <c r="FTZ68" s="2554"/>
      <c r="FUA68" s="2555">
        <v>0.5</v>
      </c>
      <c r="FUB68" s="2555">
        <v>0.5</v>
      </c>
      <c r="FUC68" s="2555">
        <v>0.56000000000000005</v>
      </c>
      <c r="FUD68" s="2555">
        <v>0.34</v>
      </c>
      <c r="FUE68" s="2555"/>
      <c r="FUF68" s="2555">
        <v>0.42</v>
      </c>
      <c r="FUG68" s="2553">
        <v>2019</v>
      </c>
      <c r="FUH68" s="2554"/>
      <c r="FUI68" s="2555">
        <v>0.5</v>
      </c>
      <c r="FUJ68" s="2555">
        <v>0.5</v>
      </c>
      <c r="FUK68" s="2555">
        <v>0.56000000000000005</v>
      </c>
      <c r="FUL68" s="2555">
        <v>0.34</v>
      </c>
      <c r="FUM68" s="2555"/>
      <c r="FUN68" s="2555">
        <v>0.42</v>
      </c>
      <c r="FUO68" s="2553">
        <v>2019</v>
      </c>
      <c r="FUP68" s="2554"/>
      <c r="FUQ68" s="2555">
        <v>0.5</v>
      </c>
      <c r="FUR68" s="2555">
        <v>0.5</v>
      </c>
      <c r="FUS68" s="2555">
        <v>0.56000000000000005</v>
      </c>
      <c r="FUT68" s="2555">
        <v>0.34</v>
      </c>
      <c r="FUU68" s="2555"/>
      <c r="FUV68" s="2555">
        <v>0.42</v>
      </c>
      <c r="FUW68" s="2553">
        <v>2019</v>
      </c>
      <c r="FUX68" s="2554"/>
      <c r="FUY68" s="2555">
        <v>0.5</v>
      </c>
      <c r="FUZ68" s="2555">
        <v>0.5</v>
      </c>
      <c r="FVA68" s="2555">
        <v>0.56000000000000005</v>
      </c>
      <c r="FVB68" s="2555">
        <v>0.34</v>
      </c>
      <c r="FVC68" s="2555"/>
      <c r="FVD68" s="2555">
        <v>0.42</v>
      </c>
      <c r="FVE68" s="2553">
        <v>2019</v>
      </c>
      <c r="FVF68" s="2554"/>
      <c r="FVG68" s="2555">
        <v>0.5</v>
      </c>
      <c r="FVH68" s="2555">
        <v>0.5</v>
      </c>
      <c r="FVI68" s="2555">
        <v>0.56000000000000005</v>
      </c>
      <c r="FVJ68" s="2555">
        <v>0.34</v>
      </c>
      <c r="FVK68" s="2555"/>
      <c r="FVL68" s="2555">
        <v>0.42</v>
      </c>
      <c r="FVM68" s="2553">
        <v>2019</v>
      </c>
      <c r="FVN68" s="2554"/>
      <c r="FVO68" s="2555">
        <v>0.5</v>
      </c>
      <c r="FVP68" s="2555">
        <v>0.5</v>
      </c>
      <c r="FVQ68" s="2555">
        <v>0.56000000000000005</v>
      </c>
      <c r="FVR68" s="2555">
        <v>0.34</v>
      </c>
      <c r="FVS68" s="2555"/>
      <c r="FVT68" s="2555">
        <v>0.42</v>
      </c>
      <c r="FVU68" s="2553">
        <v>2019</v>
      </c>
      <c r="FVV68" s="2554"/>
      <c r="FVW68" s="2555">
        <v>0.5</v>
      </c>
      <c r="FVX68" s="2555">
        <v>0.5</v>
      </c>
      <c r="FVY68" s="2555">
        <v>0.56000000000000005</v>
      </c>
      <c r="FVZ68" s="2555">
        <v>0.34</v>
      </c>
      <c r="FWA68" s="2555"/>
      <c r="FWB68" s="2555">
        <v>0.42</v>
      </c>
      <c r="FWC68" s="2553">
        <v>2019</v>
      </c>
      <c r="FWD68" s="2554"/>
      <c r="FWE68" s="2555">
        <v>0.5</v>
      </c>
      <c r="FWF68" s="2555">
        <v>0.5</v>
      </c>
      <c r="FWG68" s="2555">
        <v>0.56000000000000005</v>
      </c>
      <c r="FWH68" s="2555">
        <v>0.34</v>
      </c>
      <c r="FWI68" s="2555"/>
      <c r="FWJ68" s="2555">
        <v>0.42</v>
      </c>
      <c r="FWK68" s="2553">
        <v>2019</v>
      </c>
      <c r="FWL68" s="2554"/>
      <c r="FWM68" s="2555">
        <v>0.5</v>
      </c>
      <c r="FWN68" s="2555">
        <v>0.5</v>
      </c>
      <c r="FWO68" s="2555">
        <v>0.56000000000000005</v>
      </c>
      <c r="FWP68" s="2555">
        <v>0.34</v>
      </c>
      <c r="FWQ68" s="2555"/>
      <c r="FWR68" s="2555">
        <v>0.42</v>
      </c>
      <c r="FWS68" s="2553">
        <v>2019</v>
      </c>
      <c r="FWT68" s="2554"/>
      <c r="FWU68" s="2555">
        <v>0.5</v>
      </c>
      <c r="FWV68" s="2555">
        <v>0.5</v>
      </c>
      <c r="FWW68" s="2555">
        <v>0.56000000000000005</v>
      </c>
      <c r="FWX68" s="2555">
        <v>0.34</v>
      </c>
      <c r="FWY68" s="2555"/>
      <c r="FWZ68" s="2555">
        <v>0.42</v>
      </c>
      <c r="FXA68" s="2553">
        <v>2019</v>
      </c>
      <c r="FXB68" s="2554"/>
      <c r="FXC68" s="2555">
        <v>0.5</v>
      </c>
      <c r="FXD68" s="2555">
        <v>0.5</v>
      </c>
      <c r="FXE68" s="2555">
        <v>0.56000000000000005</v>
      </c>
      <c r="FXF68" s="2555">
        <v>0.34</v>
      </c>
      <c r="FXG68" s="2555"/>
      <c r="FXH68" s="2555">
        <v>0.42</v>
      </c>
      <c r="FXI68" s="2553">
        <v>2019</v>
      </c>
      <c r="FXJ68" s="2554"/>
      <c r="FXK68" s="2555">
        <v>0.5</v>
      </c>
      <c r="FXL68" s="2555">
        <v>0.5</v>
      </c>
      <c r="FXM68" s="2555">
        <v>0.56000000000000005</v>
      </c>
      <c r="FXN68" s="2555">
        <v>0.34</v>
      </c>
      <c r="FXO68" s="2555"/>
      <c r="FXP68" s="2555">
        <v>0.42</v>
      </c>
      <c r="FXQ68" s="2553">
        <v>2019</v>
      </c>
      <c r="FXR68" s="2554"/>
      <c r="FXS68" s="2555">
        <v>0.5</v>
      </c>
      <c r="FXT68" s="2555">
        <v>0.5</v>
      </c>
      <c r="FXU68" s="2555">
        <v>0.56000000000000005</v>
      </c>
      <c r="FXV68" s="2555">
        <v>0.34</v>
      </c>
      <c r="FXW68" s="2555"/>
      <c r="FXX68" s="2555">
        <v>0.42</v>
      </c>
      <c r="FXY68" s="2553">
        <v>2019</v>
      </c>
      <c r="FXZ68" s="2554"/>
      <c r="FYA68" s="2555">
        <v>0.5</v>
      </c>
      <c r="FYB68" s="2555">
        <v>0.5</v>
      </c>
      <c r="FYC68" s="2555">
        <v>0.56000000000000005</v>
      </c>
      <c r="FYD68" s="2555">
        <v>0.34</v>
      </c>
      <c r="FYE68" s="2555"/>
      <c r="FYF68" s="2555">
        <v>0.42</v>
      </c>
      <c r="FYG68" s="2553">
        <v>2019</v>
      </c>
      <c r="FYH68" s="2554"/>
      <c r="FYI68" s="2555">
        <v>0.5</v>
      </c>
      <c r="FYJ68" s="2555">
        <v>0.5</v>
      </c>
      <c r="FYK68" s="2555">
        <v>0.56000000000000005</v>
      </c>
      <c r="FYL68" s="2555">
        <v>0.34</v>
      </c>
      <c r="FYM68" s="2555"/>
      <c r="FYN68" s="2555">
        <v>0.42</v>
      </c>
      <c r="FYO68" s="2553">
        <v>2019</v>
      </c>
      <c r="FYP68" s="2554"/>
      <c r="FYQ68" s="2555">
        <v>0.5</v>
      </c>
      <c r="FYR68" s="2555">
        <v>0.5</v>
      </c>
      <c r="FYS68" s="2555">
        <v>0.56000000000000005</v>
      </c>
      <c r="FYT68" s="2555">
        <v>0.34</v>
      </c>
      <c r="FYU68" s="2555"/>
      <c r="FYV68" s="2555">
        <v>0.42</v>
      </c>
      <c r="FYW68" s="2553">
        <v>2019</v>
      </c>
      <c r="FYX68" s="2554"/>
      <c r="FYY68" s="2555">
        <v>0.5</v>
      </c>
      <c r="FYZ68" s="2555">
        <v>0.5</v>
      </c>
      <c r="FZA68" s="2555">
        <v>0.56000000000000005</v>
      </c>
      <c r="FZB68" s="2555">
        <v>0.34</v>
      </c>
      <c r="FZC68" s="2555"/>
      <c r="FZD68" s="2555">
        <v>0.42</v>
      </c>
      <c r="FZE68" s="2553">
        <v>2019</v>
      </c>
      <c r="FZF68" s="2554"/>
      <c r="FZG68" s="2555">
        <v>0.5</v>
      </c>
      <c r="FZH68" s="2555">
        <v>0.5</v>
      </c>
      <c r="FZI68" s="2555">
        <v>0.56000000000000005</v>
      </c>
      <c r="FZJ68" s="2555">
        <v>0.34</v>
      </c>
      <c r="FZK68" s="2555"/>
      <c r="FZL68" s="2555">
        <v>0.42</v>
      </c>
      <c r="FZM68" s="2553">
        <v>2019</v>
      </c>
      <c r="FZN68" s="2554"/>
      <c r="FZO68" s="2555">
        <v>0.5</v>
      </c>
      <c r="FZP68" s="2555">
        <v>0.5</v>
      </c>
      <c r="FZQ68" s="2555">
        <v>0.56000000000000005</v>
      </c>
      <c r="FZR68" s="2555">
        <v>0.34</v>
      </c>
      <c r="FZS68" s="2555"/>
      <c r="FZT68" s="2555">
        <v>0.42</v>
      </c>
      <c r="FZU68" s="2553">
        <v>2019</v>
      </c>
      <c r="FZV68" s="2554"/>
      <c r="FZW68" s="2555">
        <v>0.5</v>
      </c>
      <c r="FZX68" s="2555">
        <v>0.5</v>
      </c>
      <c r="FZY68" s="2555">
        <v>0.56000000000000005</v>
      </c>
      <c r="FZZ68" s="2555">
        <v>0.34</v>
      </c>
      <c r="GAA68" s="2555"/>
      <c r="GAB68" s="2555">
        <v>0.42</v>
      </c>
      <c r="GAC68" s="2553">
        <v>2019</v>
      </c>
      <c r="GAD68" s="2554"/>
      <c r="GAE68" s="2555">
        <v>0.5</v>
      </c>
      <c r="GAF68" s="2555">
        <v>0.5</v>
      </c>
      <c r="GAG68" s="2555">
        <v>0.56000000000000005</v>
      </c>
      <c r="GAH68" s="2555">
        <v>0.34</v>
      </c>
      <c r="GAI68" s="2555"/>
      <c r="GAJ68" s="2555">
        <v>0.42</v>
      </c>
      <c r="GAK68" s="2553">
        <v>2019</v>
      </c>
      <c r="GAL68" s="2554"/>
      <c r="GAM68" s="2555">
        <v>0.5</v>
      </c>
      <c r="GAN68" s="2555">
        <v>0.5</v>
      </c>
      <c r="GAO68" s="2555">
        <v>0.56000000000000005</v>
      </c>
      <c r="GAP68" s="2555">
        <v>0.34</v>
      </c>
      <c r="GAQ68" s="2555"/>
      <c r="GAR68" s="2555">
        <v>0.42</v>
      </c>
      <c r="GAS68" s="2553">
        <v>2019</v>
      </c>
      <c r="GAT68" s="2554"/>
      <c r="GAU68" s="2555">
        <v>0.5</v>
      </c>
      <c r="GAV68" s="2555">
        <v>0.5</v>
      </c>
      <c r="GAW68" s="2555">
        <v>0.56000000000000005</v>
      </c>
      <c r="GAX68" s="2555">
        <v>0.34</v>
      </c>
      <c r="GAY68" s="2555"/>
      <c r="GAZ68" s="2555">
        <v>0.42</v>
      </c>
      <c r="GBA68" s="2553">
        <v>2019</v>
      </c>
      <c r="GBB68" s="2554"/>
      <c r="GBC68" s="2555">
        <v>0.5</v>
      </c>
      <c r="GBD68" s="2555">
        <v>0.5</v>
      </c>
      <c r="GBE68" s="2555">
        <v>0.56000000000000005</v>
      </c>
      <c r="GBF68" s="2555">
        <v>0.34</v>
      </c>
      <c r="GBG68" s="2555"/>
      <c r="GBH68" s="2555">
        <v>0.42</v>
      </c>
      <c r="GBI68" s="2553">
        <v>2019</v>
      </c>
      <c r="GBJ68" s="2554"/>
      <c r="GBK68" s="2555">
        <v>0.5</v>
      </c>
      <c r="GBL68" s="2555">
        <v>0.5</v>
      </c>
      <c r="GBM68" s="2555">
        <v>0.56000000000000005</v>
      </c>
      <c r="GBN68" s="2555">
        <v>0.34</v>
      </c>
      <c r="GBO68" s="2555"/>
      <c r="GBP68" s="2555">
        <v>0.42</v>
      </c>
      <c r="GBQ68" s="2553">
        <v>2019</v>
      </c>
      <c r="GBR68" s="2554"/>
      <c r="GBS68" s="2555">
        <v>0.5</v>
      </c>
      <c r="GBT68" s="2555">
        <v>0.5</v>
      </c>
      <c r="GBU68" s="2555">
        <v>0.56000000000000005</v>
      </c>
      <c r="GBV68" s="2555">
        <v>0.34</v>
      </c>
      <c r="GBW68" s="2555"/>
      <c r="GBX68" s="2555">
        <v>0.42</v>
      </c>
      <c r="GBY68" s="2553">
        <v>2019</v>
      </c>
      <c r="GBZ68" s="2554"/>
      <c r="GCA68" s="2555">
        <v>0.5</v>
      </c>
      <c r="GCB68" s="2555">
        <v>0.5</v>
      </c>
      <c r="GCC68" s="2555">
        <v>0.56000000000000005</v>
      </c>
      <c r="GCD68" s="2555">
        <v>0.34</v>
      </c>
      <c r="GCE68" s="2555"/>
      <c r="GCF68" s="2555">
        <v>0.42</v>
      </c>
      <c r="GCG68" s="2553">
        <v>2019</v>
      </c>
      <c r="GCH68" s="2554"/>
      <c r="GCI68" s="2555">
        <v>0.5</v>
      </c>
      <c r="GCJ68" s="2555">
        <v>0.5</v>
      </c>
      <c r="GCK68" s="2555">
        <v>0.56000000000000005</v>
      </c>
      <c r="GCL68" s="2555">
        <v>0.34</v>
      </c>
      <c r="GCM68" s="2555"/>
      <c r="GCN68" s="2555">
        <v>0.42</v>
      </c>
      <c r="GCO68" s="2553">
        <v>2019</v>
      </c>
      <c r="GCP68" s="2554"/>
      <c r="GCQ68" s="2555">
        <v>0.5</v>
      </c>
      <c r="GCR68" s="2555">
        <v>0.5</v>
      </c>
      <c r="GCS68" s="2555">
        <v>0.56000000000000005</v>
      </c>
      <c r="GCT68" s="2555">
        <v>0.34</v>
      </c>
      <c r="GCU68" s="2555"/>
      <c r="GCV68" s="2555">
        <v>0.42</v>
      </c>
      <c r="GCW68" s="2553">
        <v>2019</v>
      </c>
      <c r="GCX68" s="2554"/>
      <c r="GCY68" s="2555">
        <v>0.5</v>
      </c>
      <c r="GCZ68" s="2555">
        <v>0.5</v>
      </c>
      <c r="GDA68" s="2555">
        <v>0.56000000000000005</v>
      </c>
      <c r="GDB68" s="2555">
        <v>0.34</v>
      </c>
      <c r="GDC68" s="2555"/>
      <c r="GDD68" s="2555">
        <v>0.42</v>
      </c>
      <c r="GDE68" s="2553">
        <v>2019</v>
      </c>
      <c r="GDF68" s="2554"/>
      <c r="GDG68" s="2555">
        <v>0.5</v>
      </c>
      <c r="GDH68" s="2555">
        <v>0.5</v>
      </c>
      <c r="GDI68" s="2555">
        <v>0.56000000000000005</v>
      </c>
      <c r="GDJ68" s="2555">
        <v>0.34</v>
      </c>
      <c r="GDK68" s="2555"/>
      <c r="GDL68" s="2555">
        <v>0.42</v>
      </c>
      <c r="GDM68" s="2553">
        <v>2019</v>
      </c>
      <c r="GDN68" s="2554"/>
      <c r="GDO68" s="2555">
        <v>0.5</v>
      </c>
      <c r="GDP68" s="2555">
        <v>0.5</v>
      </c>
      <c r="GDQ68" s="2555">
        <v>0.56000000000000005</v>
      </c>
      <c r="GDR68" s="2555">
        <v>0.34</v>
      </c>
      <c r="GDS68" s="2555"/>
      <c r="GDT68" s="2555">
        <v>0.42</v>
      </c>
      <c r="GDU68" s="2553">
        <v>2019</v>
      </c>
      <c r="GDV68" s="2554"/>
      <c r="GDW68" s="2555">
        <v>0.5</v>
      </c>
      <c r="GDX68" s="2555">
        <v>0.5</v>
      </c>
      <c r="GDY68" s="2555">
        <v>0.56000000000000005</v>
      </c>
      <c r="GDZ68" s="2555">
        <v>0.34</v>
      </c>
      <c r="GEA68" s="2555"/>
      <c r="GEB68" s="2555">
        <v>0.42</v>
      </c>
      <c r="GEC68" s="2553">
        <v>2019</v>
      </c>
      <c r="GED68" s="2554"/>
      <c r="GEE68" s="2555">
        <v>0.5</v>
      </c>
      <c r="GEF68" s="2555">
        <v>0.5</v>
      </c>
      <c r="GEG68" s="2555">
        <v>0.56000000000000005</v>
      </c>
      <c r="GEH68" s="2555">
        <v>0.34</v>
      </c>
      <c r="GEI68" s="2555"/>
      <c r="GEJ68" s="2555">
        <v>0.42</v>
      </c>
      <c r="GEK68" s="2553">
        <v>2019</v>
      </c>
      <c r="GEL68" s="2554"/>
      <c r="GEM68" s="2555">
        <v>0.5</v>
      </c>
      <c r="GEN68" s="2555">
        <v>0.5</v>
      </c>
      <c r="GEO68" s="2555">
        <v>0.56000000000000005</v>
      </c>
      <c r="GEP68" s="2555">
        <v>0.34</v>
      </c>
      <c r="GEQ68" s="2555"/>
      <c r="GER68" s="2555">
        <v>0.42</v>
      </c>
      <c r="GES68" s="2553">
        <v>2019</v>
      </c>
      <c r="GET68" s="2554"/>
      <c r="GEU68" s="2555">
        <v>0.5</v>
      </c>
      <c r="GEV68" s="2555">
        <v>0.5</v>
      </c>
      <c r="GEW68" s="2555">
        <v>0.56000000000000005</v>
      </c>
      <c r="GEX68" s="2555">
        <v>0.34</v>
      </c>
      <c r="GEY68" s="2555"/>
      <c r="GEZ68" s="2555">
        <v>0.42</v>
      </c>
      <c r="GFA68" s="2553">
        <v>2019</v>
      </c>
      <c r="GFB68" s="2554"/>
      <c r="GFC68" s="2555">
        <v>0.5</v>
      </c>
      <c r="GFD68" s="2555">
        <v>0.5</v>
      </c>
      <c r="GFE68" s="2555">
        <v>0.56000000000000005</v>
      </c>
      <c r="GFF68" s="2555">
        <v>0.34</v>
      </c>
      <c r="GFG68" s="2555"/>
      <c r="GFH68" s="2555">
        <v>0.42</v>
      </c>
      <c r="GFI68" s="2553">
        <v>2019</v>
      </c>
      <c r="GFJ68" s="2554"/>
      <c r="GFK68" s="2555">
        <v>0.5</v>
      </c>
      <c r="GFL68" s="2555">
        <v>0.5</v>
      </c>
      <c r="GFM68" s="2555">
        <v>0.56000000000000005</v>
      </c>
      <c r="GFN68" s="2555">
        <v>0.34</v>
      </c>
      <c r="GFO68" s="2555"/>
      <c r="GFP68" s="2555">
        <v>0.42</v>
      </c>
      <c r="GFQ68" s="2553">
        <v>2019</v>
      </c>
      <c r="GFR68" s="2554"/>
      <c r="GFS68" s="2555">
        <v>0.5</v>
      </c>
      <c r="GFT68" s="2555">
        <v>0.5</v>
      </c>
      <c r="GFU68" s="2555">
        <v>0.56000000000000005</v>
      </c>
      <c r="GFV68" s="2555">
        <v>0.34</v>
      </c>
      <c r="GFW68" s="2555"/>
      <c r="GFX68" s="2555">
        <v>0.42</v>
      </c>
      <c r="GFY68" s="2553">
        <v>2019</v>
      </c>
      <c r="GFZ68" s="2554"/>
      <c r="GGA68" s="2555">
        <v>0.5</v>
      </c>
      <c r="GGB68" s="2555">
        <v>0.5</v>
      </c>
      <c r="GGC68" s="2555">
        <v>0.56000000000000005</v>
      </c>
      <c r="GGD68" s="2555">
        <v>0.34</v>
      </c>
      <c r="GGE68" s="2555"/>
      <c r="GGF68" s="2555">
        <v>0.42</v>
      </c>
      <c r="GGG68" s="2553">
        <v>2019</v>
      </c>
      <c r="GGH68" s="2554"/>
      <c r="GGI68" s="2555">
        <v>0.5</v>
      </c>
      <c r="GGJ68" s="2555">
        <v>0.5</v>
      </c>
      <c r="GGK68" s="2555">
        <v>0.56000000000000005</v>
      </c>
      <c r="GGL68" s="2555">
        <v>0.34</v>
      </c>
      <c r="GGM68" s="2555"/>
      <c r="GGN68" s="2555">
        <v>0.42</v>
      </c>
      <c r="GGO68" s="2553">
        <v>2019</v>
      </c>
      <c r="GGP68" s="2554"/>
      <c r="GGQ68" s="2555">
        <v>0.5</v>
      </c>
      <c r="GGR68" s="2555">
        <v>0.5</v>
      </c>
      <c r="GGS68" s="2555">
        <v>0.56000000000000005</v>
      </c>
      <c r="GGT68" s="2555">
        <v>0.34</v>
      </c>
      <c r="GGU68" s="2555"/>
      <c r="GGV68" s="2555">
        <v>0.42</v>
      </c>
      <c r="GGW68" s="2553">
        <v>2019</v>
      </c>
      <c r="GGX68" s="2554"/>
      <c r="GGY68" s="2555">
        <v>0.5</v>
      </c>
      <c r="GGZ68" s="2555">
        <v>0.5</v>
      </c>
      <c r="GHA68" s="2555">
        <v>0.56000000000000005</v>
      </c>
      <c r="GHB68" s="2555">
        <v>0.34</v>
      </c>
      <c r="GHC68" s="2555"/>
      <c r="GHD68" s="2555">
        <v>0.42</v>
      </c>
      <c r="GHE68" s="2553">
        <v>2019</v>
      </c>
      <c r="GHF68" s="2554"/>
      <c r="GHG68" s="2555">
        <v>0.5</v>
      </c>
      <c r="GHH68" s="2555">
        <v>0.5</v>
      </c>
      <c r="GHI68" s="2555">
        <v>0.56000000000000005</v>
      </c>
      <c r="GHJ68" s="2555">
        <v>0.34</v>
      </c>
      <c r="GHK68" s="2555"/>
      <c r="GHL68" s="2555">
        <v>0.42</v>
      </c>
      <c r="GHM68" s="2553">
        <v>2019</v>
      </c>
      <c r="GHN68" s="2554"/>
      <c r="GHO68" s="2555">
        <v>0.5</v>
      </c>
      <c r="GHP68" s="2555">
        <v>0.5</v>
      </c>
      <c r="GHQ68" s="2555">
        <v>0.56000000000000005</v>
      </c>
      <c r="GHR68" s="2555">
        <v>0.34</v>
      </c>
      <c r="GHS68" s="2555"/>
      <c r="GHT68" s="2555">
        <v>0.42</v>
      </c>
      <c r="GHU68" s="2553">
        <v>2019</v>
      </c>
      <c r="GHV68" s="2554"/>
      <c r="GHW68" s="2555">
        <v>0.5</v>
      </c>
      <c r="GHX68" s="2555">
        <v>0.5</v>
      </c>
      <c r="GHY68" s="2555">
        <v>0.56000000000000005</v>
      </c>
      <c r="GHZ68" s="2555">
        <v>0.34</v>
      </c>
      <c r="GIA68" s="2555"/>
      <c r="GIB68" s="2555">
        <v>0.42</v>
      </c>
      <c r="GIC68" s="2553">
        <v>2019</v>
      </c>
      <c r="GID68" s="2554"/>
      <c r="GIE68" s="2555">
        <v>0.5</v>
      </c>
      <c r="GIF68" s="2555">
        <v>0.5</v>
      </c>
      <c r="GIG68" s="2555">
        <v>0.56000000000000005</v>
      </c>
      <c r="GIH68" s="2555">
        <v>0.34</v>
      </c>
      <c r="GII68" s="2555"/>
      <c r="GIJ68" s="2555">
        <v>0.42</v>
      </c>
      <c r="GIK68" s="2553">
        <v>2019</v>
      </c>
      <c r="GIL68" s="2554"/>
      <c r="GIM68" s="2555">
        <v>0.5</v>
      </c>
      <c r="GIN68" s="2555">
        <v>0.5</v>
      </c>
      <c r="GIO68" s="2555">
        <v>0.56000000000000005</v>
      </c>
      <c r="GIP68" s="2555">
        <v>0.34</v>
      </c>
      <c r="GIQ68" s="2555"/>
      <c r="GIR68" s="2555">
        <v>0.42</v>
      </c>
      <c r="GIS68" s="2553">
        <v>2019</v>
      </c>
      <c r="GIT68" s="2554"/>
      <c r="GIU68" s="2555">
        <v>0.5</v>
      </c>
      <c r="GIV68" s="2555">
        <v>0.5</v>
      </c>
      <c r="GIW68" s="2555">
        <v>0.56000000000000005</v>
      </c>
      <c r="GIX68" s="2555">
        <v>0.34</v>
      </c>
      <c r="GIY68" s="2555"/>
      <c r="GIZ68" s="2555">
        <v>0.42</v>
      </c>
      <c r="GJA68" s="2553">
        <v>2019</v>
      </c>
      <c r="GJB68" s="2554"/>
      <c r="GJC68" s="2555">
        <v>0.5</v>
      </c>
      <c r="GJD68" s="2555">
        <v>0.5</v>
      </c>
      <c r="GJE68" s="2555">
        <v>0.56000000000000005</v>
      </c>
      <c r="GJF68" s="2555">
        <v>0.34</v>
      </c>
      <c r="GJG68" s="2555"/>
      <c r="GJH68" s="2555">
        <v>0.42</v>
      </c>
      <c r="GJI68" s="2553">
        <v>2019</v>
      </c>
      <c r="GJJ68" s="2554"/>
      <c r="GJK68" s="2555">
        <v>0.5</v>
      </c>
      <c r="GJL68" s="2555">
        <v>0.5</v>
      </c>
      <c r="GJM68" s="2555">
        <v>0.56000000000000005</v>
      </c>
      <c r="GJN68" s="2555">
        <v>0.34</v>
      </c>
      <c r="GJO68" s="2555"/>
      <c r="GJP68" s="2555">
        <v>0.42</v>
      </c>
      <c r="GJQ68" s="2553">
        <v>2019</v>
      </c>
      <c r="GJR68" s="2554"/>
      <c r="GJS68" s="2555">
        <v>0.5</v>
      </c>
      <c r="GJT68" s="2555">
        <v>0.5</v>
      </c>
      <c r="GJU68" s="2555">
        <v>0.56000000000000005</v>
      </c>
      <c r="GJV68" s="2555">
        <v>0.34</v>
      </c>
      <c r="GJW68" s="2555"/>
      <c r="GJX68" s="2555">
        <v>0.42</v>
      </c>
      <c r="GJY68" s="2553">
        <v>2019</v>
      </c>
      <c r="GJZ68" s="2554"/>
      <c r="GKA68" s="2555">
        <v>0.5</v>
      </c>
      <c r="GKB68" s="2555">
        <v>0.5</v>
      </c>
      <c r="GKC68" s="2555">
        <v>0.56000000000000005</v>
      </c>
      <c r="GKD68" s="2555">
        <v>0.34</v>
      </c>
      <c r="GKE68" s="2555"/>
      <c r="GKF68" s="2555">
        <v>0.42</v>
      </c>
      <c r="GKG68" s="2553">
        <v>2019</v>
      </c>
      <c r="GKH68" s="2554"/>
      <c r="GKI68" s="2555">
        <v>0.5</v>
      </c>
      <c r="GKJ68" s="2555">
        <v>0.5</v>
      </c>
      <c r="GKK68" s="2555">
        <v>0.56000000000000005</v>
      </c>
      <c r="GKL68" s="2555">
        <v>0.34</v>
      </c>
      <c r="GKM68" s="2555"/>
      <c r="GKN68" s="2555">
        <v>0.42</v>
      </c>
      <c r="GKO68" s="2553">
        <v>2019</v>
      </c>
      <c r="GKP68" s="2554"/>
      <c r="GKQ68" s="2555">
        <v>0.5</v>
      </c>
      <c r="GKR68" s="2555">
        <v>0.5</v>
      </c>
      <c r="GKS68" s="2555">
        <v>0.56000000000000005</v>
      </c>
      <c r="GKT68" s="2555">
        <v>0.34</v>
      </c>
      <c r="GKU68" s="2555"/>
      <c r="GKV68" s="2555">
        <v>0.42</v>
      </c>
      <c r="GKW68" s="2553">
        <v>2019</v>
      </c>
      <c r="GKX68" s="2554"/>
      <c r="GKY68" s="2555">
        <v>0.5</v>
      </c>
      <c r="GKZ68" s="2555">
        <v>0.5</v>
      </c>
      <c r="GLA68" s="2555">
        <v>0.56000000000000005</v>
      </c>
      <c r="GLB68" s="2555">
        <v>0.34</v>
      </c>
      <c r="GLC68" s="2555"/>
      <c r="GLD68" s="2555">
        <v>0.42</v>
      </c>
      <c r="GLE68" s="2553">
        <v>2019</v>
      </c>
      <c r="GLF68" s="2554"/>
      <c r="GLG68" s="2555">
        <v>0.5</v>
      </c>
      <c r="GLH68" s="2555">
        <v>0.5</v>
      </c>
      <c r="GLI68" s="2555">
        <v>0.56000000000000005</v>
      </c>
      <c r="GLJ68" s="2555">
        <v>0.34</v>
      </c>
      <c r="GLK68" s="2555"/>
      <c r="GLL68" s="2555">
        <v>0.42</v>
      </c>
      <c r="GLM68" s="2553">
        <v>2019</v>
      </c>
      <c r="GLN68" s="2554"/>
      <c r="GLO68" s="2555">
        <v>0.5</v>
      </c>
      <c r="GLP68" s="2555">
        <v>0.5</v>
      </c>
      <c r="GLQ68" s="2555">
        <v>0.56000000000000005</v>
      </c>
      <c r="GLR68" s="2555">
        <v>0.34</v>
      </c>
      <c r="GLS68" s="2555"/>
      <c r="GLT68" s="2555">
        <v>0.42</v>
      </c>
      <c r="GLU68" s="2553">
        <v>2019</v>
      </c>
      <c r="GLV68" s="2554"/>
      <c r="GLW68" s="2555">
        <v>0.5</v>
      </c>
      <c r="GLX68" s="2555">
        <v>0.5</v>
      </c>
      <c r="GLY68" s="2555">
        <v>0.56000000000000005</v>
      </c>
      <c r="GLZ68" s="2555">
        <v>0.34</v>
      </c>
      <c r="GMA68" s="2555"/>
      <c r="GMB68" s="2555">
        <v>0.42</v>
      </c>
      <c r="GMC68" s="2553">
        <v>2019</v>
      </c>
      <c r="GMD68" s="2554"/>
      <c r="GME68" s="2555">
        <v>0.5</v>
      </c>
      <c r="GMF68" s="2555">
        <v>0.5</v>
      </c>
      <c r="GMG68" s="2555">
        <v>0.56000000000000005</v>
      </c>
      <c r="GMH68" s="2555">
        <v>0.34</v>
      </c>
      <c r="GMI68" s="2555"/>
      <c r="GMJ68" s="2555">
        <v>0.42</v>
      </c>
      <c r="GMK68" s="2553">
        <v>2019</v>
      </c>
      <c r="GML68" s="2554"/>
      <c r="GMM68" s="2555">
        <v>0.5</v>
      </c>
      <c r="GMN68" s="2555">
        <v>0.5</v>
      </c>
      <c r="GMO68" s="2555">
        <v>0.56000000000000005</v>
      </c>
      <c r="GMP68" s="2555">
        <v>0.34</v>
      </c>
      <c r="GMQ68" s="2555"/>
      <c r="GMR68" s="2555">
        <v>0.42</v>
      </c>
      <c r="GMS68" s="2553">
        <v>2019</v>
      </c>
      <c r="GMT68" s="2554"/>
      <c r="GMU68" s="2555">
        <v>0.5</v>
      </c>
      <c r="GMV68" s="2555">
        <v>0.5</v>
      </c>
      <c r="GMW68" s="2555">
        <v>0.56000000000000005</v>
      </c>
      <c r="GMX68" s="2555">
        <v>0.34</v>
      </c>
      <c r="GMY68" s="2555"/>
      <c r="GMZ68" s="2555">
        <v>0.42</v>
      </c>
      <c r="GNA68" s="2553">
        <v>2019</v>
      </c>
      <c r="GNB68" s="2554"/>
      <c r="GNC68" s="2555">
        <v>0.5</v>
      </c>
      <c r="GND68" s="2555">
        <v>0.5</v>
      </c>
      <c r="GNE68" s="2555">
        <v>0.56000000000000005</v>
      </c>
      <c r="GNF68" s="2555">
        <v>0.34</v>
      </c>
      <c r="GNG68" s="2555"/>
      <c r="GNH68" s="2555">
        <v>0.42</v>
      </c>
      <c r="GNI68" s="2553">
        <v>2019</v>
      </c>
      <c r="GNJ68" s="2554"/>
      <c r="GNK68" s="2555">
        <v>0.5</v>
      </c>
      <c r="GNL68" s="2555">
        <v>0.5</v>
      </c>
      <c r="GNM68" s="2555">
        <v>0.56000000000000005</v>
      </c>
      <c r="GNN68" s="2555">
        <v>0.34</v>
      </c>
      <c r="GNO68" s="2555"/>
      <c r="GNP68" s="2555">
        <v>0.42</v>
      </c>
      <c r="GNQ68" s="2553">
        <v>2019</v>
      </c>
      <c r="GNR68" s="2554"/>
      <c r="GNS68" s="2555">
        <v>0.5</v>
      </c>
      <c r="GNT68" s="2555">
        <v>0.5</v>
      </c>
      <c r="GNU68" s="2555">
        <v>0.56000000000000005</v>
      </c>
      <c r="GNV68" s="2555">
        <v>0.34</v>
      </c>
      <c r="GNW68" s="2555"/>
      <c r="GNX68" s="2555">
        <v>0.42</v>
      </c>
      <c r="GNY68" s="2553">
        <v>2019</v>
      </c>
      <c r="GNZ68" s="2554"/>
      <c r="GOA68" s="2555">
        <v>0.5</v>
      </c>
      <c r="GOB68" s="2555">
        <v>0.5</v>
      </c>
      <c r="GOC68" s="2555">
        <v>0.56000000000000005</v>
      </c>
      <c r="GOD68" s="2555">
        <v>0.34</v>
      </c>
      <c r="GOE68" s="2555"/>
      <c r="GOF68" s="2555">
        <v>0.42</v>
      </c>
      <c r="GOG68" s="2553">
        <v>2019</v>
      </c>
      <c r="GOH68" s="2554"/>
      <c r="GOI68" s="2555">
        <v>0.5</v>
      </c>
      <c r="GOJ68" s="2555">
        <v>0.5</v>
      </c>
      <c r="GOK68" s="2555">
        <v>0.56000000000000005</v>
      </c>
      <c r="GOL68" s="2555">
        <v>0.34</v>
      </c>
      <c r="GOM68" s="2555"/>
      <c r="GON68" s="2555">
        <v>0.42</v>
      </c>
      <c r="GOO68" s="2553">
        <v>2019</v>
      </c>
      <c r="GOP68" s="2554"/>
      <c r="GOQ68" s="2555">
        <v>0.5</v>
      </c>
      <c r="GOR68" s="2555">
        <v>0.5</v>
      </c>
      <c r="GOS68" s="2555">
        <v>0.56000000000000005</v>
      </c>
      <c r="GOT68" s="2555">
        <v>0.34</v>
      </c>
      <c r="GOU68" s="2555"/>
      <c r="GOV68" s="2555">
        <v>0.42</v>
      </c>
      <c r="GOW68" s="2553">
        <v>2019</v>
      </c>
      <c r="GOX68" s="2554"/>
      <c r="GOY68" s="2555">
        <v>0.5</v>
      </c>
      <c r="GOZ68" s="2555">
        <v>0.5</v>
      </c>
      <c r="GPA68" s="2555">
        <v>0.56000000000000005</v>
      </c>
      <c r="GPB68" s="2555">
        <v>0.34</v>
      </c>
      <c r="GPC68" s="2555"/>
      <c r="GPD68" s="2555">
        <v>0.42</v>
      </c>
      <c r="GPE68" s="2553">
        <v>2019</v>
      </c>
      <c r="GPF68" s="2554"/>
      <c r="GPG68" s="2555">
        <v>0.5</v>
      </c>
      <c r="GPH68" s="2555">
        <v>0.5</v>
      </c>
      <c r="GPI68" s="2555">
        <v>0.56000000000000005</v>
      </c>
      <c r="GPJ68" s="2555">
        <v>0.34</v>
      </c>
      <c r="GPK68" s="2555"/>
      <c r="GPL68" s="2555">
        <v>0.42</v>
      </c>
      <c r="GPM68" s="2553">
        <v>2019</v>
      </c>
      <c r="GPN68" s="2554"/>
      <c r="GPO68" s="2555">
        <v>0.5</v>
      </c>
      <c r="GPP68" s="2555">
        <v>0.5</v>
      </c>
      <c r="GPQ68" s="2555">
        <v>0.56000000000000005</v>
      </c>
      <c r="GPR68" s="2555">
        <v>0.34</v>
      </c>
      <c r="GPS68" s="2555"/>
      <c r="GPT68" s="2555">
        <v>0.42</v>
      </c>
      <c r="GPU68" s="2553">
        <v>2019</v>
      </c>
      <c r="GPV68" s="2554"/>
      <c r="GPW68" s="2555">
        <v>0.5</v>
      </c>
      <c r="GPX68" s="2555">
        <v>0.5</v>
      </c>
      <c r="GPY68" s="2555">
        <v>0.56000000000000005</v>
      </c>
      <c r="GPZ68" s="2555">
        <v>0.34</v>
      </c>
      <c r="GQA68" s="2555"/>
      <c r="GQB68" s="2555">
        <v>0.42</v>
      </c>
      <c r="GQC68" s="2553">
        <v>2019</v>
      </c>
      <c r="GQD68" s="2554"/>
      <c r="GQE68" s="2555">
        <v>0.5</v>
      </c>
      <c r="GQF68" s="2555">
        <v>0.5</v>
      </c>
      <c r="GQG68" s="2555">
        <v>0.56000000000000005</v>
      </c>
      <c r="GQH68" s="2555">
        <v>0.34</v>
      </c>
      <c r="GQI68" s="2555"/>
      <c r="GQJ68" s="2555">
        <v>0.42</v>
      </c>
      <c r="GQK68" s="2553">
        <v>2019</v>
      </c>
      <c r="GQL68" s="2554"/>
      <c r="GQM68" s="2555">
        <v>0.5</v>
      </c>
      <c r="GQN68" s="2555">
        <v>0.5</v>
      </c>
      <c r="GQO68" s="2555">
        <v>0.56000000000000005</v>
      </c>
      <c r="GQP68" s="2555">
        <v>0.34</v>
      </c>
      <c r="GQQ68" s="2555"/>
      <c r="GQR68" s="2555">
        <v>0.42</v>
      </c>
      <c r="GQS68" s="2553">
        <v>2019</v>
      </c>
      <c r="GQT68" s="2554"/>
      <c r="GQU68" s="2555">
        <v>0.5</v>
      </c>
      <c r="GQV68" s="2555">
        <v>0.5</v>
      </c>
      <c r="GQW68" s="2555">
        <v>0.56000000000000005</v>
      </c>
      <c r="GQX68" s="2555">
        <v>0.34</v>
      </c>
      <c r="GQY68" s="2555"/>
      <c r="GQZ68" s="2555">
        <v>0.42</v>
      </c>
      <c r="GRA68" s="2553">
        <v>2019</v>
      </c>
      <c r="GRB68" s="2554"/>
      <c r="GRC68" s="2555">
        <v>0.5</v>
      </c>
      <c r="GRD68" s="2555">
        <v>0.5</v>
      </c>
      <c r="GRE68" s="2555">
        <v>0.56000000000000005</v>
      </c>
      <c r="GRF68" s="2555">
        <v>0.34</v>
      </c>
      <c r="GRG68" s="2555"/>
      <c r="GRH68" s="2555">
        <v>0.42</v>
      </c>
      <c r="GRI68" s="2553">
        <v>2019</v>
      </c>
      <c r="GRJ68" s="2554"/>
      <c r="GRK68" s="2555">
        <v>0.5</v>
      </c>
      <c r="GRL68" s="2555">
        <v>0.5</v>
      </c>
      <c r="GRM68" s="2555">
        <v>0.56000000000000005</v>
      </c>
      <c r="GRN68" s="2555">
        <v>0.34</v>
      </c>
      <c r="GRO68" s="2555"/>
      <c r="GRP68" s="2555">
        <v>0.42</v>
      </c>
      <c r="GRQ68" s="2553">
        <v>2019</v>
      </c>
      <c r="GRR68" s="2554"/>
      <c r="GRS68" s="2555">
        <v>0.5</v>
      </c>
      <c r="GRT68" s="2555">
        <v>0.5</v>
      </c>
      <c r="GRU68" s="2555">
        <v>0.56000000000000005</v>
      </c>
      <c r="GRV68" s="2555">
        <v>0.34</v>
      </c>
      <c r="GRW68" s="2555"/>
      <c r="GRX68" s="2555">
        <v>0.42</v>
      </c>
      <c r="GRY68" s="2553">
        <v>2019</v>
      </c>
      <c r="GRZ68" s="2554"/>
      <c r="GSA68" s="2555">
        <v>0.5</v>
      </c>
      <c r="GSB68" s="2555">
        <v>0.5</v>
      </c>
      <c r="GSC68" s="2555">
        <v>0.56000000000000005</v>
      </c>
      <c r="GSD68" s="2555">
        <v>0.34</v>
      </c>
      <c r="GSE68" s="2555"/>
      <c r="GSF68" s="2555">
        <v>0.42</v>
      </c>
      <c r="GSG68" s="2553">
        <v>2019</v>
      </c>
      <c r="GSH68" s="2554"/>
      <c r="GSI68" s="2555">
        <v>0.5</v>
      </c>
      <c r="GSJ68" s="2555">
        <v>0.5</v>
      </c>
      <c r="GSK68" s="2555">
        <v>0.56000000000000005</v>
      </c>
      <c r="GSL68" s="2555">
        <v>0.34</v>
      </c>
      <c r="GSM68" s="2555"/>
      <c r="GSN68" s="2555">
        <v>0.42</v>
      </c>
      <c r="GSO68" s="2553">
        <v>2019</v>
      </c>
      <c r="GSP68" s="2554"/>
      <c r="GSQ68" s="2555">
        <v>0.5</v>
      </c>
      <c r="GSR68" s="2555">
        <v>0.5</v>
      </c>
      <c r="GSS68" s="2555">
        <v>0.56000000000000005</v>
      </c>
      <c r="GST68" s="2555">
        <v>0.34</v>
      </c>
      <c r="GSU68" s="2555"/>
      <c r="GSV68" s="2555">
        <v>0.42</v>
      </c>
      <c r="GSW68" s="2553">
        <v>2019</v>
      </c>
      <c r="GSX68" s="2554"/>
      <c r="GSY68" s="2555">
        <v>0.5</v>
      </c>
      <c r="GSZ68" s="2555">
        <v>0.5</v>
      </c>
      <c r="GTA68" s="2555">
        <v>0.56000000000000005</v>
      </c>
      <c r="GTB68" s="2555">
        <v>0.34</v>
      </c>
      <c r="GTC68" s="2555"/>
      <c r="GTD68" s="2555">
        <v>0.42</v>
      </c>
      <c r="GTE68" s="2553">
        <v>2019</v>
      </c>
      <c r="GTF68" s="2554"/>
      <c r="GTG68" s="2555">
        <v>0.5</v>
      </c>
      <c r="GTH68" s="2555">
        <v>0.5</v>
      </c>
      <c r="GTI68" s="2555">
        <v>0.56000000000000005</v>
      </c>
      <c r="GTJ68" s="2555">
        <v>0.34</v>
      </c>
      <c r="GTK68" s="2555"/>
      <c r="GTL68" s="2555">
        <v>0.42</v>
      </c>
      <c r="GTM68" s="2553">
        <v>2019</v>
      </c>
      <c r="GTN68" s="2554"/>
      <c r="GTO68" s="2555">
        <v>0.5</v>
      </c>
      <c r="GTP68" s="2555">
        <v>0.5</v>
      </c>
      <c r="GTQ68" s="2555">
        <v>0.56000000000000005</v>
      </c>
      <c r="GTR68" s="2555">
        <v>0.34</v>
      </c>
      <c r="GTS68" s="2555"/>
      <c r="GTT68" s="2555">
        <v>0.42</v>
      </c>
      <c r="GTU68" s="2553">
        <v>2019</v>
      </c>
      <c r="GTV68" s="2554"/>
      <c r="GTW68" s="2555">
        <v>0.5</v>
      </c>
      <c r="GTX68" s="2555">
        <v>0.5</v>
      </c>
      <c r="GTY68" s="2555">
        <v>0.56000000000000005</v>
      </c>
      <c r="GTZ68" s="2555">
        <v>0.34</v>
      </c>
      <c r="GUA68" s="2555"/>
      <c r="GUB68" s="2555">
        <v>0.42</v>
      </c>
      <c r="GUC68" s="2553">
        <v>2019</v>
      </c>
      <c r="GUD68" s="2554"/>
      <c r="GUE68" s="2555">
        <v>0.5</v>
      </c>
      <c r="GUF68" s="2555">
        <v>0.5</v>
      </c>
      <c r="GUG68" s="2555">
        <v>0.56000000000000005</v>
      </c>
      <c r="GUH68" s="2555">
        <v>0.34</v>
      </c>
      <c r="GUI68" s="2555"/>
      <c r="GUJ68" s="2555">
        <v>0.42</v>
      </c>
      <c r="GUK68" s="2553">
        <v>2019</v>
      </c>
      <c r="GUL68" s="2554"/>
      <c r="GUM68" s="2555">
        <v>0.5</v>
      </c>
      <c r="GUN68" s="2555">
        <v>0.5</v>
      </c>
      <c r="GUO68" s="2555">
        <v>0.56000000000000005</v>
      </c>
      <c r="GUP68" s="2555">
        <v>0.34</v>
      </c>
      <c r="GUQ68" s="2555"/>
      <c r="GUR68" s="2555">
        <v>0.42</v>
      </c>
      <c r="GUS68" s="2553">
        <v>2019</v>
      </c>
      <c r="GUT68" s="2554"/>
      <c r="GUU68" s="2555">
        <v>0.5</v>
      </c>
      <c r="GUV68" s="2555">
        <v>0.5</v>
      </c>
      <c r="GUW68" s="2555">
        <v>0.56000000000000005</v>
      </c>
      <c r="GUX68" s="2555">
        <v>0.34</v>
      </c>
      <c r="GUY68" s="2555"/>
      <c r="GUZ68" s="2555">
        <v>0.42</v>
      </c>
      <c r="GVA68" s="2553">
        <v>2019</v>
      </c>
      <c r="GVB68" s="2554"/>
      <c r="GVC68" s="2555">
        <v>0.5</v>
      </c>
      <c r="GVD68" s="2555">
        <v>0.5</v>
      </c>
      <c r="GVE68" s="2555">
        <v>0.56000000000000005</v>
      </c>
      <c r="GVF68" s="2555">
        <v>0.34</v>
      </c>
      <c r="GVG68" s="2555"/>
      <c r="GVH68" s="2555">
        <v>0.42</v>
      </c>
      <c r="GVI68" s="2553">
        <v>2019</v>
      </c>
      <c r="GVJ68" s="2554"/>
      <c r="GVK68" s="2555">
        <v>0.5</v>
      </c>
      <c r="GVL68" s="2555">
        <v>0.5</v>
      </c>
      <c r="GVM68" s="2555">
        <v>0.56000000000000005</v>
      </c>
      <c r="GVN68" s="2555">
        <v>0.34</v>
      </c>
      <c r="GVO68" s="2555"/>
      <c r="GVP68" s="2555">
        <v>0.42</v>
      </c>
      <c r="GVQ68" s="2553">
        <v>2019</v>
      </c>
      <c r="GVR68" s="2554"/>
      <c r="GVS68" s="2555">
        <v>0.5</v>
      </c>
      <c r="GVT68" s="2555">
        <v>0.5</v>
      </c>
      <c r="GVU68" s="2555">
        <v>0.56000000000000005</v>
      </c>
      <c r="GVV68" s="2555">
        <v>0.34</v>
      </c>
      <c r="GVW68" s="2555"/>
      <c r="GVX68" s="2555">
        <v>0.42</v>
      </c>
      <c r="GVY68" s="2553">
        <v>2019</v>
      </c>
      <c r="GVZ68" s="2554"/>
      <c r="GWA68" s="2555">
        <v>0.5</v>
      </c>
      <c r="GWB68" s="2555">
        <v>0.5</v>
      </c>
      <c r="GWC68" s="2555">
        <v>0.56000000000000005</v>
      </c>
      <c r="GWD68" s="2555">
        <v>0.34</v>
      </c>
      <c r="GWE68" s="2555"/>
      <c r="GWF68" s="2555">
        <v>0.42</v>
      </c>
      <c r="GWG68" s="2553">
        <v>2019</v>
      </c>
      <c r="GWH68" s="2554"/>
      <c r="GWI68" s="2555">
        <v>0.5</v>
      </c>
      <c r="GWJ68" s="2555">
        <v>0.5</v>
      </c>
      <c r="GWK68" s="2555">
        <v>0.56000000000000005</v>
      </c>
      <c r="GWL68" s="2555">
        <v>0.34</v>
      </c>
      <c r="GWM68" s="2555"/>
      <c r="GWN68" s="2555">
        <v>0.42</v>
      </c>
      <c r="GWO68" s="2553">
        <v>2019</v>
      </c>
      <c r="GWP68" s="2554"/>
      <c r="GWQ68" s="2555">
        <v>0.5</v>
      </c>
      <c r="GWR68" s="2555">
        <v>0.5</v>
      </c>
      <c r="GWS68" s="2555">
        <v>0.56000000000000005</v>
      </c>
      <c r="GWT68" s="2555">
        <v>0.34</v>
      </c>
      <c r="GWU68" s="2555"/>
      <c r="GWV68" s="2555">
        <v>0.42</v>
      </c>
      <c r="GWW68" s="2553">
        <v>2019</v>
      </c>
      <c r="GWX68" s="2554"/>
      <c r="GWY68" s="2555">
        <v>0.5</v>
      </c>
      <c r="GWZ68" s="2555">
        <v>0.5</v>
      </c>
      <c r="GXA68" s="2555">
        <v>0.56000000000000005</v>
      </c>
      <c r="GXB68" s="2555">
        <v>0.34</v>
      </c>
      <c r="GXC68" s="2555"/>
      <c r="GXD68" s="2555">
        <v>0.42</v>
      </c>
      <c r="GXE68" s="2553">
        <v>2019</v>
      </c>
      <c r="GXF68" s="2554"/>
      <c r="GXG68" s="2555">
        <v>0.5</v>
      </c>
      <c r="GXH68" s="2555">
        <v>0.5</v>
      </c>
      <c r="GXI68" s="2555">
        <v>0.56000000000000005</v>
      </c>
      <c r="GXJ68" s="2555">
        <v>0.34</v>
      </c>
      <c r="GXK68" s="2555"/>
      <c r="GXL68" s="2555">
        <v>0.42</v>
      </c>
      <c r="GXM68" s="2553">
        <v>2019</v>
      </c>
      <c r="GXN68" s="2554"/>
      <c r="GXO68" s="2555">
        <v>0.5</v>
      </c>
      <c r="GXP68" s="2555">
        <v>0.5</v>
      </c>
      <c r="GXQ68" s="2555">
        <v>0.56000000000000005</v>
      </c>
      <c r="GXR68" s="2555">
        <v>0.34</v>
      </c>
      <c r="GXS68" s="2555"/>
      <c r="GXT68" s="2555">
        <v>0.42</v>
      </c>
      <c r="GXU68" s="2553">
        <v>2019</v>
      </c>
      <c r="GXV68" s="2554"/>
      <c r="GXW68" s="2555">
        <v>0.5</v>
      </c>
      <c r="GXX68" s="2555">
        <v>0.5</v>
      </c>
      <c r="GXY68" s="2555">
        <v>0.56000000000000005</v>
      </c>
      <c r="GXZ68" s="2555">
        <v>0.34</v>
      </c>
      <c r="GYA68" s="2555"/>
      <c r="GYB68" s="2555">
        <v>0.42</v>
      </c>
      <c r="GYC68" s="2553">
        <v>2019</v>
      </c>
      <c r="GYD68" s="2554"/>
      <c r="GYE68" s="2555">
        <v>0.5</v>
      </c>
      <c r="GYF68" s="2555">
        <v>0.5</v>
      </c>
      <c r="GYG68" s="2555">
        <v>0.56000000000000005</v>
      </c>
      <c r="GYH68" s="2555">
        <v>0.34</v>
      </c>
      <c r="GYI68" s="2555"/>
      <c r="GYJ68" s="2555">
        <v>0.42</v>
      </c>
      <c r="GYK68" s="2553">
        <v>2019</v>
      </c>
      <c r="GYL68" s="2554"/>
      <c r="GYM68" s="2555">
        <v>0.5</v>
      </c>
      <c r="GYN68" s="2555">
        <v>0.5</v>
      </c>
      <c r="GYO68" s="2555">
        <v>0.56000000000000005</v>
      </c>
      <c r="GYP68" s="2555">
        <v>0.34</v>
      </c>
      <c r="GYQ68" s="2555"/>
      <c r="GYR68" s="2555">
        <v>0.42</v>
      </c>
      <c r="GYS68" s="2553">
        <v>2019</v>
      </c>
      <c r="GYT68" s="2554"/>
      <c r="GYU68" s="2555">
        <v>0.5</v>
      </c>
      <c r="GYV68" s="2555">
        <v>0.5</v>
      </c>
      <c r="GYW68" s="2555">
        <v>0.56000000000000005</v>
      </c>
      <c r="GYX68" s="2555">
        <v>0.34</v>
      </c>
      <c r="GYY68" s="2555"/>
      <c r="GYZ68" s="2555">
        <v>0.42</v>
      </c>
      <c r="GZA68" s="2553">
        <v>2019</v>
      </c>
      <c r="GZB68" s="2554"/>
      <c r="GZC68" s="2555">
        <v>0.5</v>
      </c>
      <c r="GZD68" s="2555">
        <v>0.5</v>
      </c>
      <c r="GZE68" s="2555">
        <v>0.56000000000000005</v>
      </c>
      <c r="GZF68" s="2555">
        <v>0.34</v>
      </c>
      <c r="GZG68" s="2555"/>
      <c r="GZH68" s="2555">
        <v>0.42</v>
      </c>
      <c r="GZI68" s="2553">
        <v>2019</v>
      </c>
      <c r="GZJ68" s="2554"/>
      <c r="GZK68" s="2555">
        <v>0.5</v>
      </c>
      <c r="GZL68" s="2555">
        <v>0.5</v>
      </c>
      <c r="GZM68" s="2555">
        <v>0.56000000000000005</v>
      </c>
      <c r="GZN68" s="2555">
        <v>0.34</v>
      </c>
      <c r="GZO68" s="2555"/>
      <c r="GZP68" s="2555">
        <v>0.42</v>
      </c>
      <c r="GZQ68" s="2553">
        <v>2019</v>
      </c>
      <c r="GZR68" s="2554"/>
      <c r="GZS68" s="2555">
        <v>0.5</v>
      </c>
      <c r="GZT68" s="2555">
        <v>0.5</v>
      </c>
      <c r="GZU68" s="2555">
        <v>0.56000000000000005</v>
      </c>
      <c r="GZV68" s="2555">
        <v>0.34</v>
      </c>
      <c r="GZW68" s="2555"/>
      <c r="GZX68" s="2555">
        <v>0.42</v>
      </c>
      <c r="GZY68" s="2553">
        <v>2019</v>
      </c>
      <c r="GZZ68" s="2554"/>
      <c r="HAA68" s="2555">
        <v>0.5</v>
      </c>
      <c r="HAB68" s="2555">
        <v>0.5</v>
      </c>
      <c r="HAC68" s="2555">
        <v>0.56000000000000005</v>
      </c>
      <c r="HAD68" s="2555">
        <v>0.34</v>
      </c>
      <c r="HAE68" s="2555"/>
      <c r="HAF68" s="2555">
        <v>0.42</v>
      </c>
      <c r="HAG68" s="2553">
        <v>2019</v>
      </c>
      <c r="HAH68" s="2554"/>
      <c r="HAI68" s="2555">
        <v>0.5</v>
      </c>
      <c r="HAJ68" s="2555">
        <v>0.5</v>
      </c>
      <c r="HAK68" s="2555">
        <v>0.56000000000000005</v>
      </c>
      <c r="HAL68" s="2555">
        <v>0.34</v>
      </c>
      <c r="HAM68" s="2555"/>
      <c r="HAN68" s="2555">
        <v>0.42</v>
      </c>
      <c r="HAO68" s="2553">
        <v>2019</v>
      </c>
      <c r="HAP68" s="2554"/>
      <c r="HAQ68" s="2555">
        <v>0.5</v>
      </c>
      <c r="HAR68" s="2555">
        <v>0.5</v>
      </c>
      <c r="HAS68" s="2555">
        <v>0.56000000000000005</v>
      </c>
      <c r="HAT68" s="2555">
        <v>0.34</v>
      </c>
      <c r="HAU68" s="2555"/>
      <c r="HAV68" s="2555">
        <v>0.42</v>
      </c>
      <c r="HAW68" s="2553">
        <v>2019</v>
      </c>
      <c r="HAX68" s="2554"/>
      <c r="HAY68" s="2555">
        <v>0.5</v>
      </c>
      <c r="HAZ68" s="2555">
        <v>0.5</v>
      </c>
      <c r="HBA68" s="2555">
        <v>0.56000000000000005</v>
      </c>
      <c r="HBB68" s="2555">
        <v>0.34</v>
      </c>
      <c r="HBC68" s="2555"/>
      <c r="HBD68" s="2555">
        <v>0.42</v>
      </c>
      <c r="HBE68" s="2553">
        <v>2019</v>
      </c>
      <c r="HBF68" s="2554"/>
      <c r="HBG68" s="2555">
        <v>0.5</v>
      </c>
      <c r="HBH68" s="2555">
        <v>0.5</v>
      </c>
      <c r="HBI68" s="2555">
        <v>0.56000000000000005</v>
      </c>
      <c r="HBJ68" s="2555">
        <v>0.34</v>
      </c>
      <c r="HBK68" s="2555"/>
      <c r="HBL68" s="2555">
        <v>0.42</v>
      </c>
      <c r="HBM68" s="2553">
        <v>2019</v>
      </c>
      <c r="HBN68" s="2554"/>
      <c r="HBO68" s="2555">
        <v>0.5</v>
      </c>
      <c r="HBP68" s="2555">
        <v>0.5</v>
      </c>
      <c r="HBQ68" s="2555">
        <v>0.56000000000000005</v>
      </c>
      <c r="HBR68" s="2555">
        <v>0.34</v>
      </c>
      <c r="HBS68" s="2555"/>
      <c r="HBT68" s="2555">
        <v>0.42</v>
      </c>
      <c r="HBU68" s="2553">
        <v>2019</v>
      </c>
      <c r="HBV68" s="2554"/>
      <c r="HBW68" s="2555">
        <v>0.5</v>
      </c>
      <c r="HBX68" s="2555">
        <v>0.5</v>
      </c>
      <c r="HBY68" s="2555">
        <v>0.56000000000000005</v>
      </c>
      <c r="HBZ68" s="2555">
        <v>0.34</v>
      </c>
      <c r="HCA68" s="2555"/>
      <c r="HCB68" s="2555">
        <v>0.42</v>
      </c>
      <c r="HCC68" s="2553">
        <v>2019</v>
      </c>
      <c r="HCD68" s="2554"/>
      <c r="HCE68" s="2555">
        <v>0.5</v>
      </c>
      <c r="HCF68" s="2555">
        <v>0.5</v>
      </c>
      <c r="HCG68" s="2555">
        <v>0.56000000000000005</v>
      </c>
      <c r="HCH68" s="2555">
        <v>0.34</v>
      </c>
      <c r="HCI68" s="2555"/>
      <c r="HCJ68" s="2555">
        <v>0.42</v>
      </c>
      <c r="HCK68" s="2553">
        <v>2019</v>
      </c>
      <c r="HCL68" s="2554"/>
      <c r="HCM68" s="2555">
        <v>0.5</v>
      </c>
      <c r="HCN68" s="2555">
        <v>0.5</v>
      </c>
      <c r="HCO68" s="2555">
        <v>0.56000000000000005</v>
      </c>
      <c r="HCP68" s="2555">
        <v>0.34</v>
      </c>
      <c r="HCQ68" s="2555"/>
      <c r="HCR68" s="2555">
        <v>0.42</v>
      </c>
      <c r="HCS68" s="2553">
        <v>2019</v>
      </c>
      <c r="HCT68" s="2554"/>
      <c r="HCU68" s="2555">
        <v>0.5</v>
      </c>
      <c r="HCV68" s="2555">
        <v>0.5</v>
      </c>
      <c r="HCW68" s="2555">
        <v>0.56000000000000005</v>
      </c>
      <c r="HCX68" s="2555">
        <v>0.34</v>
      </c>
      <c r="HCY68" s="2555"/>
      <c r="HCZ68" s="2555">
        <v>0.42</v>
      </c>
      <c r="HDA68" s="2553">
        <v>2019</v>
      </c>
      <c r="HDB68" s="2554"/>
      <c r="HDC68" s="2555">
        <v>0.5</v>
      </c>
      <c r="HDD68" s="2555">
        <v>0.5</v>
      </c>
      <c r="HDE68" s="2555">
        <v>0.56000000000000005</v>
      </c>
      <c r="HDF68" s="2555">
        <v>0.34</v>
      </c>
      <c r="HDG68" s="2555"/>
      <c r="HDH68" s="2555">
        <v>0.42</v>
      </c>
      <c r="HDI68" s="2553">
        <v>2019</v>
      </c>
      <c r="HDJ68" s="2554"/>
      <c r="HDK68" s="2555">
        <v>0.5</v>
      </c>
      <c r="HDL68" s="2555">
        <v>0.5</v>
      </c>
      <c r="HDM68" s="2555">
        <v>0.56000000000000005</v>
      </c>
      <c r="HDN68" s="2555">
        <v>0.34</v>
      </c>
      <c r="HDO68" s="2555"/>
      <c r="HDP68" s="2555">
        <v>0.42</v>
      </c>
      <c r="HDQ68" s="2553">
        <v>2019</v>
      </c>
      <c r="HDR68" s="2554"/>
      <c r="HDS68" s="2555">
        <v>0.5</v>
      </c>
      <c r="HDT68" s="2555">
        <v>0.5</v>
      </c>
      <c r="HDU68" s="2555">
        <v>0.56000000000000005</v>
      </c>
      <c r="HDV68" s="2555">
        <v>0.34</v>
      </c>
      <c r="HDW68" s="2555"/>
      <c r="HDX68" s="2555">
        <v>0.42</v>
      </c>
      <c r="HDY68" s="2553">
        <v>2019</v>
      </c>
      <c r="HDZ68" s="2554"/>
      <c r="HEA68" s="2555">
        <v>0.5</v>
      </c>
      <c r="HEB68" s="2555">
        <v>0.5</v>
      </c>
      <c r="HEC68" s="2555">
        <v>0.56000000000000005</v>
      </c>
      <c r="HED68" s="2555">
        <v>0.34</v>
      </c>
      <c r="HEE68" s="2555"/>
      <c r="HEF68" s="2555">
        <v>0.42</v>
      </c>
      <c r="HEG68" s="2553">
        <v>2019</v>
      </c>
      <c r="HEH68" s="2554"/>
      <c r="HEI68" s="2555">
        <v>0.5</v>
      </c>
      <c r="HEJ68" s="2555">
        <v>0.5</v>
      </c>
      <c r="HEK68" s="2555">
        <v>0.56000000000000005</v>
      </c>
      <c r="HEL68" s="2555">
        <v>0.34</v>
      </c>
      <c r="HEM68" s="2555"/>
      <c r="HEN68" s="2555">
        <v>0.42</v>
      </c>
      <c r="HEO68" s="2553">
        <v>2019</v>
      </c>
      <c r="HEP68" s="2554"/>
      <c r="HEQ68" s="2555">
        <v>0.5</v>
      </c>
      <c r="HER68" s="2555">
        <v>0.5</v>
      </c>
      <c r="HES68" s="2555">
        <v>0.56000000000000005</v>
      </c>
      <c r="HET68" s="2555">
        <v>0.34</v>
      </c>
      <c r="HEU68" s="2555"/>
      <c r="HEV68" s="2555">
        <v>0.42</v>
      </c>
      <c r="HEW68" s="2553">
        <v>2019</v>
      </c>
      <c r="HEX68" s="2554"/>
      <c r="HEY68" s="2555">
        <v>0.5</v>
      </c>
      <c r="HEZ68" s="2555">
        <v>0.5</v>
      </c>
      <c r="HFA68" s="2555">
        <v>0.56000000000000005</v>
      </c>
      <c r="HFB68" s="2555">
        <v>0.34</v>
      </c>
      <c r="HFC68" s="2555"/>
      <c r="HFD68" s="2555">
        <v>0.42</v>
      </c>
      <c r="HFE68" s="2553">
        <v>2019</v>
      </c>
      <c r="HFF68" s="2554"/>
      <c r="HFG68" s="2555">
        <v>0.5</v>
      </c>
      <c r="HFH68" s="2555">
        <v>0.5</v>
      </c>
      <c r="HFI68" s="2555">
        <v>0.56000000000000005</v>
      </c>
      <c r="HFJ68" s="2555">
        <v>0.34</v>
      </c>
      <c r="HFK68" s="2555"/>
      <c r="HFL68" s="2555">
        <v>0.42</v>
      </c>
      <c r="HFM68" s="2553">
        <v>2019</v>
      </c>
      <c r="HFN68" s="2554"/>
      <c r="HFO68" s="2555">
        <v>0.5</v>
      </c>
      <c r="HFP68" s="2555">
        <v>0.5</v>
      </c>
      <c r="HFQ68" s="2555">
        <v>0.56000000000000005</v>
      </c>
      <c r="HFR68" s="2555">
        <v>0.34</v>
      </c>
      <c r="HFS68" s="2555"/>
      <c r="HFT68" s="2555">
        <v>0.42</v>
      </c>
      <c r="HFU68" s="2553">
        <v>2019</v>
      </c>
      <c r="HFV68" s="2554"/>
      <c r="HFW68" s="2555">
        <v>0.5</v>
      </c>
      <c r="HFX68" s="2555">
        <v>0.5</v>
      </c>
      <c r="HFY68" s="2555">
        <v>0.56000000000000005</v>
      </c>
      <c r="HFZ68" s="2555">
        <v>0.34</v>
      </c>
      <c r="HGA68" s="2555"/>
      <c r="HGB68" s="2555">
        <v>0.42</v>
      </c>
      <c r="HGC68" s="2553">
        <v>2019</v>
      </c>
      <c r="HGD68" s="2554"/>
      <c r="HGE68" s="2555">
        <v>0.5</v>
      </c>
      <c r="HGF68" s="2555">
        <v>0.5</v>
      </c>
      <c r="HGG68" s="2555">
        <v>0.56000000000000005</v>
      </c>
      <c r="HGH68" s="2555">
        <v>0.34</v>
      </c>
      <c r="HGI68" s="2555"/>
      <c r="HGJ68" s="2555">
        <v>0.42</v>
      </c>
      <c r="HGK68" s="2553">
        <v>2019</v>
      </c>
      <c r="HGL68" s="2554"/>
      <c r="HGM68" s="2555">
        <v>0.5</v>
      </c>
      <c r="HGN68" s="2555">
        <v>0.5</v>
      </c>
      <c r="HGO68" s="2555">
        <v>0.56000000000000005</v>
      </c>
      <c r="HGP68" s="2555">
        <v>0.34</v>
      </c>
      <c r="HGQ68" s="2555"/>
      <c r="HGR68" s="2555">
        <v>0.42</v>
      </c>
      <c r="HGS68" s="2553">
        <v>2019</v>
      </c>
      <c r="HGT68" s="2554"/>
      <c r="HGU68" s="2555">
        <v>0.5</v>
      </c>
      <c r="HGV68" s="2555">
        <v>0.5</v>
      </c>
      <c r="HGW68" s="2555">
        <v>0.56000000000000005</v>
      </c>
      <c r="HGX68" s="2555">
        <v>0.34</v>
      </c>
      <c r="HGY68" s="2555"/>
      <c r="HGZ68" s="2555">
        <v>0.42</v>
      </c>
      <c r="HHA68" s="2553">
        <v>2019</v>
      </c>
      <c r="HHB68" s="2554"/>
      <c r="HHC68" s="2555">
        <v>0.5</v>
      </c>
      <c r="HHD68" s="2555">
        <v>0.5</v>
      </c>
      <c r="HHE68" s="2555">
        <v>0.56000000000000005</v>
      </c>
      <c r="HHF68" s="2555">
        <v>0.34</v>
      </c>
      <c r="HHG68" s="2555"/>
      <c r="HHH68" s="2555">
        <v>0.42</v>
      </c>
      <c r="HHI68" s="2553">
        <v>2019</v>
      </c>
      <c r="HHJ68" s="2554"/>
      <c r="HHK68" s="2555">
        <v>0.5</v>
      </c>
      <c r="HHL68" s="2555">
        <v>0.5</v>
      </c>
      <c r="HHM68" s="2555">
        <v>0.56000000000000005</v>
      </c>
      <c r="HHN68" s="2555">
        <v>0.34</v>
      </c>
      <c r="HHO68" s="2555"/>
      <c r="HHP68" s="2555">
        <v>0.42</v>
      </c>
      <c r="HHQ68" s="2553">
        <v>2019</v>
      </c>
      <c r="HHR68" s="2554"/>
      <c r="HHS68" s="2555">
        <v>0.5</v>
      </c>
      <c r="HHT68" s="2555">
        <v>0.5</v>
      </c>
      <c r="HHU68" s="2555">
        <v>0.56000000000000005</v>
      </c>
      <c r="HHV68" s="2555">
        <v>0.34</v>
      </c>
      <c r="HHW68" s="2555"/>
      <c r="HHX68" s="2555">
        <v>0.42</v>
      </c>
      <c r="HHY68" s="2553">
        <v>2019</v>
      </c>
      <c r="HHZ68" s="2554"/>
      <c r="HIA68" s="2555">
        <v>0.5</v>
      </c>
      <c r="HIB68" s="2555">
        <v>0.5</v>
      </c>
      <c r="HIC68" s="2555">
        <v>0.56000000000000005</v>
      </c>
      <c r="HID68" s="2555">
        <v>0.34</v>
      </c>
      <c r="HIE68" s="2555"/>
      <c r="HIF68" s="2555">
        <v>0.42</v>
      </c>
      <c r="HIG68" s="2553">
        <v>2019</v>
      </c>
      <c r="HIH68" s="2554"/>
      <c r="HII68" s="2555">
        <v>0.5</v>
      </c>
      <c r="HIJ68" s="2555">
        <v>0.5</v>
      </c>
      <c r="HIK68" s="2555">
        <v>0.56000000000000005</v>
      </c>
      <c r="HIL68" s="2555">
        <v>0.34</v>
      </c>
      <c r="HIM68" s="2555"/>
      <c r="HIN68" s="2555">
        <v>0.42</v>
      </c>
      <c r="HIO68" s="2553">
        <v>2019</v>
      </c>
      <c r="HIP68" s="2554"/>
      <c r="HIQ68" s="2555">
        <v>0.5</v>
      </c>
      <c r="HIR68" s="2555">
        <v>0.5</v>
      </c>
      <c r="HIS68" s="2555">
        <v>0.56000000000000005</v>
      </c>
      <c r="HIT68" s="2555">
        <v>0.34</v>
      </c>
      <c r="HIU68" s="2555"/>
      <c r="HIV68" s="2555">
        <v>0.42</v>
      </c>
      <c r="HIW68" s="2553">
        <v>2019</v>
      </c>
      <c r="HIX68" s="2554"/>
      <c r="HIY68" s="2555">
        <v>0.5</v>
      </c>
      <c r="HIZ68" s="2555">
        <v>0.5</v>
      </c>
      <c r="HJA68" s="2555">
        <v>0.56000000000000005</v>
      </c>
      <c r="HJB68" s="2555">
        <v>0.34</v>
      </c>
      <c r="HJC68" s="2555"/>
      <c r="HJD68" s="2555">
        <v>0.42</v>
      </c>
      <c r="HJE68" s="2553">
        <v>2019</v>
      </c>
      <c r="HJF68" s="2554"/>
      <c r="HJG68" s="2555">
        <v>0.5</v>
      </c>
      <c r="HJH68" s="2555">
        <v>0.5</v>
      </c>
      <c r="HJI68" s="2555">
        <v>0.56000000000000005</v>
      </c>
      <c r="HJJ68" s="2555">
        <v>0.34</v>
      </c>
      <c r="HJK68" s="2555"/>
      <c r="HJL68" s="2555">
        <v>0.42</v>
      </c>
      <c r="HJM68" s="2553">
        <v>2019</v>
      </c>
      <c r="HJN68" s="2554"/>
      <c r="HJO68" s="2555">
        <v>0.5</v>
      </c>
      <c r="HJP68" s="2555">
        <v>0.5</v>
      </c>
      <c r="HJQ68" s="2555">
        <v>0.56000000000000005</v>
      </c>
      <c r="HJR68" s="2555">
        <v>0.34</v>
      </c>
      <c r="HJS68" s="2555"/>
      <c r="HJT68" s="2555">
        <v>0.42</v>
      </c>
      <c r="HJU68" s="2553">
        <v>2019</v>
      </c>
      <c r="HJV68" s="2554"/>
      <c r="HJW68" s="2555">
        <v>0.5</v>
      </c>
      <c r="HJX68" s="2555">
        <v>0.5</v>
      </c>
      <c r="HJY68" s="2555">
        <v>0.56000000000000005</v>
      </c>
      <c r="HJZ68" s="2555">
        <v>0.34</v>
      </c>
      <c r="HKA68" s="2555"/>
      <c r="HKB68" s="2555">
        <v>0.42</v>
      </c>
      <c r="HKC68" s="2553">
        <v>2019</v>
      </c>
      <c r="HKD68" s="2554"/>
      <c r="HKE68" s="2555">
        <v>0.5</v>
      </c>
      <c r="HKF68" s="2555">
        <v>0.5</v>
      </c>
      <c r="HKG68" s="2555">
        <v>0.56000000000000005</v>
      </c>
      <c r="HKH68" s="2555">
        <v>0.34</v>
      </c>
      <c r="HKI68" s="2555"/>
      <c r="HKJ68" s="2555">
        <v>0.42</v>
      </c>
      <c r="HKK68" s="2553">
        <v>2019</v>
      </c>
      <c r="HKL68" s="2554"/>
      <c r="HKM68" s="2555">
        <v>0.5</v>
      </c>
      <c r="HKN68" s="2555">
        <v>0.5</v>
      </c>
      <c r="HKO68" s="2555">
        <v>0.56000000000000005</v>
      </c>
      <c r="HKP68" s="2555">
        <v>0.34</v>
      </c>
      <c r="HKQ68" s="2555"/>
      <c r="HKR68" s="2555">
        <v>0.42</v>
      </c>
      <c r="HKS68" s="2553">
        <v>2019</v>
      </c>
      <c r="HKT68" s="2554"/>
      <c r="HKU68" s="2555">
        <v>0.5</v>
      </c>
      <c r="HKV68" s="2555">
        <v>0.5</v>
      </c>
      <c r="HKW68" s="2555">
        <v>0.56000000000000005</v>
      </c>
      <c r="HKX68" s="2555">
        <v>0.34</v>
      </c>
      <c r="HKY68" s="2555"/>
      <c r="HKZ68" s="2555">
        <v>0.42</v>
      </c>
      <c r="HLA68" s="2553">
        <v>2019</v>
      </c>
      <c r="HLB68" s="2554"/>
      <c r="HLC68" s="2555">
        <v>0.5</v>
      </c>
      <c r="HLD68" s="2555">
        <v>0.5</v>
      </c>
      <c r="HLE68" s="2555">
        <v>0.56000000000000005</v>
      </c>
      <c r="HLF68" s="2555">
        <v>0.34</v>
      </c>
      <c r="HLG68" s="2555"/>
      <c r="HLH68" s="2555">
        <v>0.42</v>
      </c>
      <c r="HLI68" s="2553">
        <v>2019</v>
      </c>
      <c r="HLJ68" s="2554"/>
      <c r="HLK68" s="2555">
        <v>0.5</v>
      </c>
      <c r="HLL68" s="2555">
        <v>0.5</v>
      </c>
      <c r="HLM68" s="2555">
        <v>0.56000000000000005</v>
      </c>
      <c r="HLN68" s="2555">
        <v>0.34</v>
      </c>
      <c r="HLO68" s="2555"/>
      <c r="HLP68" s="2555">
        <v>0.42</v>
      </c>
      <c r="HLQ68" s="2553">
        <v>2019</v>
      </c>
      <c r="HLR68" s="2554"/>
      <c r="HLS68" s="2555">
        <v>0.5</v>
      </c>
      <c r="HLT68" s="2555">
        <v>0.5</v>
      </c>
      <c r="HLU68" s="2555">
        <v>0.56000000000000005</v>
      </c>
      <c r="HLV68" s="2555">
        <v>0.34</v>
      </c>
      <c r="HLW68" s="2555"/>
      <c r="HLX68" s="2555">
        <v>0.42</v>
      </c>
      <c r="HLY68" s="2553">
        <v>2019</v>
      </c>
      <c r="HLZ68" s="2554"/>
      <c r="HMA68" s="2555">
        <v>0.5</v>
      </c>
      <c r="HMB68" s="2555">
        <v>0.5</v>
      </c>
      <c r="HMC68" s="2555">
        <v>0.56000000000000005</v>
      </c>
      <c r="HMD68" s="2555">
        <v>0.34</v>
      </c>
      <c r="HME68" s="2555"/>
      <c r="HMF68" s="2555">
        <v>0.42</v>
      </c>
      <c r="HMG68" s="2553">
        <v>2019</v>
      </c>
      <c r="HMH68" s="2554"/>
      <c r="HMI68" s="2555">
        <v>0.5</v>
      </c>
      <c r="HMJ68" s="2555">
        <v>0.5</v>
      </c>
      <c r="HMK68" s="2555">
        <v>0.56000000000000005</v>
      </c>
      <c r="HML68" s="2555">
        <v>0.34</v>
      </c>
      <c r="HMM68" s="2555"/>
      <c r="HMN68" s="2555">
        <v>0.42</v>
      </c>
      <c r="HMO68" s="2553">
        <v>2019</v>
      </c>
      <c r="HMP68" s="2554"/>
      <c r="HMQ68" s="2555">
        <v>0.5</v>
      </c>
      <c r="HMR68" s="2555">
        <v>0.5</v>
      </c>
      <c r="HMS68" s="2555">
        <v>0.56000000000000005</v>
      </c>
      <c r="HMT68" s="2555">
        <v>0.34</v>
      </c>
      <c r="HMU68" s="2555"/>
      <c r="HMV68" s="2555">
        <v>0.42</v>
      </c>
      <c r="HMW68" s="2553">
        <v>2019</v>
      </c>
      <c r="HMX68" s="2554"/>
      <c r="HMY68" s="2555">
        <v>0.5</v>
      </c>
      <c r="HMZ68" s="2555">
        <v>0.5</v>
      </c>
      <c r="HNA68" s="2555">
        <v>0.56000000000000005</v>
      </c>
      <c r="HNB68" s="2555">
        <v>0.34</v>
      </c>
      <c r="HNC68" s="2555"/>
      <c r="HND68" s="2555">
        <v>0.42</v>
      </c>
      <c r="HNE68" s="2553">
        <v>2019</v>
      </c>
      <c r="HNF68" s="2554"/>
      <c r="HNG68" s="2555">
        <v>0.5</v>
      </c>
      <c r="HNH68" s="2555">
        <v>0.5</v>
      </c>
      <c r="HNI68" s="2555">
        <v>0.56000000000000005</v>
      </c>
      <c r="HNJ68" s="2555">
        <v>0.34</v>
      </c>
      <c r="HNK68" s="2555"/>
      <c r="HNL68" s="2555">
        <v>0.42</v>
      </c>
      <c r="HNM68" s="2553">
        <v>2019</v>
      </c>
      <c r="HNN68" s="2554"/>
      <c r="HNO68" s="2555">
        <v>0.5</v>
      </c>
      <c r="HNP68" s="2555">
        <v>0.5</v>
      </c>
      <c r="HNQ68" s="2555">
        <v>0.56000000000000005</v>
      </c>
      <c r="HNR68" s="2555">
        <v>0.34</v>
      </c>
      <c r="HNS68" s="2555"/>
      <c r="HNT68" s="2555">
        <v>0.42</v>
      </c>
      <c r="HNU68" s="2553">
        <v>2019</v>
      </c>
      <c r="HNV68" s="2554"/>
      <c r="HNW68" s="2555">
        <v>0.5</v>
      </c>
      <c r="HNX68" s="2555">
        <v>0.5</v>
      </c>
      <c r="HNY68" s="2555">
        <v>0.56000000000000005</v>
      </c>
      <c r="HNZ68" s="2555">
        <v>0.34</v>
      </c>
      <c r="HOA68" s="2555"/>
      <c r="HOB68" s="2555">
        <v>0.42</v>
      </c>
      <c r="HOC68" s="2553">
        <v>2019</v>
      </c>
      <c r="HOD68" s="2554"/>
      <c r="HOE68" s="2555">
        <v>0.5</v>
      </c>
      <c r="HOF68" s="2555">
        <v>0.5</v>
      </c>
      <c r="HOG68" s="2555">
        <v>0.56000000000000005</v>
      </c>
      <c r="HOH68" s="2555">
        <v>0.34</v>
      </c>
      <c r="HOI68" s="2555"/>
      <c r="HOJ68" s="2555">
        <v>0.42</v>
      </c>
      <c r="HOK68" s="2553">
        <v>2019</v>
      </c>
      <c r="HOL68" s="2554"/>
      <c r="HOM68" s="2555">
        <v>0.5</v>
      </c>
      <c r="HON68" s="2555">
        <v>0.5</v>
      </c>
      <c r="HOO68" s="2555">
        <v>0.56000000000000005</v>
      </c>
      <c r="HOP68" s="2555">
        <v>0.34</v>
      </c>
      <c r="HOQ68" s="2555"/>
      <c r="HOR68" s="2555">
        <v>0.42</v>
      </c>
      <c r="HOS68" s="2553">
        <v>2019</v>
      </c>
      <c r="HOT68" s="2554"/>
      <c r="HOU68" s="2555">
        <v>0.5</v>
      </c>
      <c r="HOV68" s="2555">
        <v>0.5</v>
      </c>
      <c r="HOW68" s="2555">
        <v>0.56000000000000005</v>
      </c>
      <c r="HOX68" s="2555">
        <v>0.34</v>
      </c>
      <c r="HOY68" s="2555"/>
      <c r="HOZ68" s="2555">
        <v>0.42</v>
      </c>
      <c r="HPA68" s="2553">
        <v>2019</v>
      </c>
      <c r="HPB68" s="2554"/>
      <c r="HPC68" s="2555">
        <v>0.5</v>
      </c>
      <c r="HPD68" s="2555">
        <v>0.5</v>
      </c>
      <c r="HPE68" s="2555">
        <v>0.56000000000000005</v>
      </c>
      <c r="HPF68" s="2555">
        <v>0.34</v>
      </c>
      <c r="HPG68" s="2555"/>
      <c r="HPH68" s="2555">
        <v>0.42</v>
      </c>
      <c r="HPI68" s="2553">
        <v>2019</v>
      </c>
      <c r="HPJ68" s="2554"/>
      <c r="HPK68" s="2555">
        <v>0.5</v>
      </c>
      <c r="HPL68" s="2555">
        <v>0.5</v>
      </c>
      <c r="HPM68" s="2555">
        <v>0.56000000000000005</v>
      </c>
      <c r="HPN68" s="2555">
        <v>0.34</v>
      </c>
      <c r="HPO68" s="2555"/>
      <c r="HPP68" s="2555">
        <v>0.42</v>
      </c>
      <c r="HPQ68" s="2553">
        <v>2019</v>
      </c>
      <c r="HPR68" s="2554"/>
      <c r="HPS68" s="2555">
        <v>0.5</v>
      </c>
      <c r="HPT68" s="2555">
        <v>0.5</v>
      </c>
      <c r="HPU68" s="2555">
        <v>0.56000000000000005</v>
      </c>
      <c r="HPV68" s="2555">
        <v>0.34</v>
      </c>
      <c r="HPW68" s="2555"/>
      <c r="HPX68" s="2555">
        <v>0.42</v>
      </c>
      <c r="HPY68" s="2553">
        <v>2019</v>
      </c>
      <c r="HPZ68" s="2554"/>
      <c r="HQA68" s="2555">
        <v>0.5</v>
      </c>
      <c r="HQB68" s="2555">
        <v>0.5</v>
      </c>
      <c r="HQC68" s="2555">
        <v>0.56000000000000005</v>
      </c>
      <c r="HQD68" s="2555">
        <v>0.34</v>
      </c>
      <c r="HQE68" s="2555"/>
      <c r="HQF68" s="2555">
        <v>0.42</v>
      </c>
      <c r="HQG68" s="2553">
        <v>2019</v>
      </c>
      <c r="HQH68" s="2554"/>
      <c r="HQI68" s="2555">
        <v>0.5</v>
      </c>
      <c r="HQJ68" s="2555">
        <v>0.5</v>
      </c>
      <c r="HQK68" s="2555">
        <v>0.56000000000000005</v>
      </c>
      <c r="HQL68" s="2555">
        <v>0.34</v>
      </c>
      <c r="HQM68" s="2555"/>
      <c r="HQN68" s="2555">
        <v>0.42</v>
      </c>
      <c r="HQO68" s="2553">
        <v>2019</v>
      </c>
      <c r="HQP68" s="2554"/>
      <c r="HQQ68" s="2555">
        <v>0.5</v>
      </c>
      <c r="HQR68" s="2555">
        <v>0.5</v>
      </c>
      <c r="HQS68" s="2555">
        <v>0.56000000000000005</v>
      </c>
      <c r="HQT68" s="2555">
        <v>0.34</v>
      </c>
      <c r="HQU68" s="2555"/>
      <c r="HQV68" s="2555">
        <v>0.42</v>
      </c>
      <c r="HQW68" s="2553">
        <v>2019</v>
      </c>
      <c r="HQX68" s="2554"/>
      <c r="HQY68" s="2555">
        <v>0.5</v>
      </c>
      <c r="HQZ68" s="2555">
        <v>0.5</v>
      </c>
      <c r="HRA68" s="2555">
        <v>0.56000000000000005</v>
      </c>
      <c r="HRB68" s="2555">
        <v>0.34</v>
      </c>
      <c r="HRC68" s="2555"/>
      <c r="HRD68" s="2555">
        <v>0.42</v>
      </c>
      <c r="HRE68" s="2553">
        <v>2019</v>
      </c>
      <c r="HRF68" s="2554"/>
      <c r="HRG68" s="2555">
        <v>0.5</v>
      </c>
      <c r="HRH68" s="2555">
        <v>0.5</v>
      </c>
      <c r="HRI68" s="2555">
        <v>0.56000000000000005</v>
      </c>
      <c r="HRJ68" s="2555">
        <v>0.34</v>
      </c>
      <c r="HRK68" s="2555"/>
      <c r="HRL68" s="2555">
        <v>0.42</v>
      </c>
      <c r="HRM68" s="2553">
        <v>2019</v>
      </c>
      <c r="HRN68" s="2554"/>
      <c r="HRO68" s="2555">
        <v>0.5</v>
      </c>
      <c r="HRP68" s="2555">
        <v>0.5</v>
      </c>
      <c r="HRQ68" s="2555">
        <v>0.56000000000000005</v>
      </c>
      <c r="HRR68" s="2555">
        <v>0.34</v>
      </c>
      <c r="HRS68" s="2555"/>
      <c r="HRT68" s="2555">
        <v>0.42</v>
      </c>
      <c r="HRU68" s="2553">
        <v>2019</v>
      </c>
      <c r="HRV68" s="2554"/>
      <c r="HRW68" s="2555">
        <v>0.5</v>
      </c>
      <c r="HRX68" s="2555">
        <v>0.5</v>
      </c>
      <c r="HRY68" s="2555">
        <v>0.56000000000000005</v>
      </c>
      <c r="HRZ68" s="2555">
        <v>0.34</v>
      </c>
      <c r="HSA68" s="2555"/>
      <c r="HSB68" s="2555">
        <v>0.42</v>
      </c>
      <c r="HSC68" s="2553">
        <v>2019</v>
      </c>
      <c r="HSD68" s="2554"/>
      <c r="HSE68" s="2555">
        <v>0.5</v>
      </c>
      <c r="HSF68" s="2555">
        <v>0.5</v>
      </c>
      <c r="HSG68" s="2555">
        <v>0.56000000000000005</v>
      </c>
      <c r="HSH68" s="2555">
        <v>0.34</v>
      </c>
      <c r="HSI68" s="2555"/>
      <c r="HSJ68" s="2555">
        <v>0.42</v>
      </c>
      <c r="HSK68" s="2553">
        <v>2019</v>
      </c>
      <c r="HSL68" s="2554"/>
      <c r="HSM68" s="2555">
        <v>0.5</v>
      </c>
      <c r="HSN68" s="2555">
        <v>0.5</v>
      </c>
      <c r="HSO68" s="2555">
        <v>0.56000000000000005</v>
      </c>
      <c r="HSP68" s="2555">
        <v>0.34</v>
      </c>
      <c r="HSQ68" s="2555"/>
      <c r="HSR68" s="2555">
        <v>0.42</v>
      </c>
      <c r="HSS68" s="2553">
        <v>2019</v>
      </c>
      <c r="HST68" s="2554"/>
      <c r="HSU68" s="2555">
        <v>0.5</v>
      </c>
      <c r="HSV68" s="2555">
        <v>0.5</v>
      </c>
      <c r="HSW68" s="2555">
        <v>0.56000000000000005</v>
      </c>
      <c r="HSX68" s="2555">
        <v>0.34</v>
      </c>
      <c r="HSY68" s="2555"/>
      <c r="HSZ68" s="2555">
        <v>0.42</v>
      </c>
      <c r="HTA68" s="2553">
        <v>2019</v>
      </c>
      <c r="HTB68" s="2554"/>
      <c r="HTC68" s="2555">
        <v>0.5</v>
      </c>
      <c r="HTD68" s="2555">
        <v>0.5</v>
      </c>
      <c r="HTE68" s="2555">
        <v>0.56000000000000005</v>
      </c>
      <c r="HTF68" s="2555">
        <v>0.34</v>
      </c>
      <c r="HTG68" s="2555"/>
      <c r="HTH68" s="2555">
        <v>0.42</v>
      </c>
      <c r="HTI68" s="2553">
        <v>2019</v>
      </c>
      <c r="HTJ68" s="2554"/>
      <c r="HTK68" s="2555">
        <v>0.5</v>
      </c>
      <c r="HTL68" s="2555">
        <v>0.5</v>
      </c>
      <c r="HTM68" s="2555">
        <v>0.56000000000000005</v>
      </c>
      <c r="HTN68" s="2555">
        <v>0.34</v>
      </c>
      <c r="HTO68" s="2555"/>
      <c r="HTP68" s="2555">
        <v>0.42</v>
      </c>
      <c r="HTQ68" s="2553">
        <v>2019</v>
      </c>
      <c r="HTR68" s="2554"/>
      <c r="HTS68" s="2555">
        <v>0.5</v>
      </c>
      <c r="HTT68" s="2555">
        <v>0.5</v>
      </c>
      <c r="HTU68" s="2555">
        <v>0.56000000000000005</v>
      </c>
      <c r="HTV68" s="2555">
        <v>0.34</v>
      </c>
      <c r="HTW68" s="2555"/>
      <c r="HTX68" s="2555">
        <v>0.42</v>
      </c>
      <c r="HTY68" s="2553">
        <v>2019</v>
      </c>
      <c r="HTZ68" s="2554"/>
      <c r="HUA68" s="2555">
        <v>0.5</v>
      </c>
      <c r="HUB68" s="2555">
        <v>0.5</v>
      </c>
      <c r="HUC68" s="2555">
        <v>0.56000000000000005</v>
      </c>
      <c r="HUD68" s="2555">
        <v>0.34</v>
      </c>
      <c r="HUE68" s="2555"/>
      <c r="HUF68" s="2555">
        <v>0.42</v>
      </c>
      <c r="HUG68" s="2553">
        <v>2019</v>
      </c>
      <c r="HUH68" s="2554"/>
      <c r="HUI68" s="2555">
        <v>0.5</v>
      </c>
      <c r="HUJ68" s="2555">
        <v>0.5</v>
      </c>
      <c r="HUK68" s="2555">
        <v>0.56000000000000005</v>
      </c>
      <c r="HUL68" s="2555">
        <v>0.34</v>
      </c>
      <c r="HUM68" s="2555"/>
      <c r="HUN68" s="2555">
        <v>0.42</v>
      </c>
      <c r="HUO68" s="2553">
        <v>2019</v>
      </c>
      <c r="HUP68" s="2554"/>
      <c r="HUQ68" s="2555">
        <v>0.5</v>
      </c>
      <c r="HUR68" s="2555">
        <v>0.5</v>
      </c>
      <c r="HUS68" s="2555">
        <v>0.56000000000000005</v>
      </c>
      <c r="HUT68" s="2555">
        <v>0.34</v>
      </c>
      <c r="HUU68" s="2555"/>
      <c r="HUV68" s="2555">
        <v>0.42</v>
      </c>
      <c r="HUW68" s="2553">
        <v>2019</v>
      </c>
      <c r="HUX68" s="2554"/>
      <c r="HUY68" s="2555">
        <v>0.5</v>
      </c>
      <c r="HUZ68" s="2555">
        <v>0.5</v>
      </c>
      <c r="HVA68" s="2555">
        <v>0.56000000000000005</v>
      </c>
      <c r="HVB68" s="2555">
        <v>0.34</v>
      </c>
      <c r="HVC68" s="2555"/>
      <c r="HVD68" s="2555">
        <v>0.42</v>
      </c>
      <c r="HVE68" s="2553">
        <v>2019</v>
      </c>
      <c r="HVF68" s="2554"/>
      <c r="HVG68" s="2555">
        <v>0.5</v>
      </c>
      <c r="HVH68" s="2555">
        <v>0.5</v>
      </c>
      <c r="HVI68" s="2555">
        <v>0.56000000000000005</v>
      </c>
      <c r="HVJ68" s="2555">
        <v>0.34</v>
      </c>
      <c r="HVK68" s="2555"/>
      <c r="HVL68" s="2555">
        <v>0.42</v>
      </c>
      <c r="HVM68" s="2553">
        <v>2019</v>
      </c>
      <c r="HVN68" s="2554"/>
      <c r="HVO68" s="2555">
        <v>0.5</v>
      </c>
      <c r="HVP68" s="2555">
        <v>0.5</v>
      </c>
      <c r="HVQ68" s="2555">
        <v>0.56000000000000005</v>
      </c>
      <c r="HVR68" s="2555">
        <v>0.34</v>
      </c>
      <c r="HVS68" s="2555"/>
      <c r="HVT68" s="2555">
        <v>0.42</v>
      </c>
      <c r="HVU68" s="2553">
        <v>2019</v>
      </c>
      <c r="HVV68" s="2554"/>
      <c r="HVW68" s="2555">
        <v>0.5</v>
      </c>
      <c r="HVX68" s="2555">
        <v>0.5</v>
      </c>
      <c r="HVY68" s="2555">
        <v>0.56000000000000005</v>
      </c>
      <c r="HVZ68" s="2555">
        <v>0.34</v>
      </c>
      <c r="HWA68" s="2555"/>
      <c r="HWB68" s="2555">
        <v>0.42</v>
      </c>
      <c r="HWC68" s="2553">
        <v>2019</v>
      </c>
      <c r="HWD68" s="2554"/>
      <c r="HWE68" s="2555">
        <v>0.5</v>
      </c>
      <c r="HWF68" s="2555">
        <v>0.5</v>
      </c>
      <c r="HWG68" s="2555">
        <v>0.56000000000000005</v>
      </c>
      <c r="HWH68" s="2555">
        <v>0.34</v>
      </c>
      <c r="HWI68" s="2555"/>
      <c r="HWJ68" s="2555">
        <v>0.42</v>
      </c>
      <c r="HWK68" s="2553">
        <v>2019</v>
      </c>
      <c r="HWL68" s="2554"/>
      <c r="HWM68" s="2555">
        <v>0.5</v>
      </c>
      <c r="HWN68" s="2555">
        <v>0.5</v>
      </c>
      <c r="HWO68" s="2555">
        <v>0.56000000000000005</v>
      </c>
      <c r="HWP68" s="2555">
        <v>0.34</v>
      </c>
      <c r="HWQ68" s="2555"/>
      <c r="HWR68" s="2555">
        <v>0.42</v>
      </c>
      <c r="HWS68" s="2553">
        <v>2019</v>
      </c>
      <c r="HWT68" s="2554"/>
      <c r="HWU68" s="2555">
        <v>0.5</v>
      </c>
      <c r="HWV68" s="2555">
        <v>0.5</v>
      </c>
      <c r="HWW68" s="2555">
        <v>0.56000000000000005</v>
      </c>
      <c r="HWX68" s="2555">
        <v>0.34</v>
      </c>
      <c r="HWY68" s="2555"/>
      <c r="HWZ68" s="2555">
        <v>0.42</v>
      </c>
      <c r="HXA68" s="2553">
        <v>2019</v>
      </c>
      <c r="HXB68" s="2554"/>
      <c r="HXC68" s="2555">
        <v>0.5</v>
      </c>
      <c r="HXD68" s="2555">
        <v>0.5</v>
      </c>
      <c r="HXE68" s="2555">
        <v>0.56000000000000005</v>
      </c>
      <c r="HXF68" s="2555">
        <v>0.34</v>
      </c>
      <c r="HXG68" s="2555"/>
      <c r="HXH68" s="2555">
        <v>0.42</v>
      </c>
      <c r="HXI68" s="2553">
        <v>2019</v>
      </c>
      <c r="HXJ68" s="2554"/>
      <c r="HXK68" s="2555">
        <v>0.5</v>
      </c>
      <c r="HXL68" s="2555">
        <v>0.5</v>
      </c>
      <c r="HXM68" s="2555">
        <v>0.56000000000000005</v>
      </c>
      <c r="HXN68" s="2555">
        <v>0.34</v>
      </c>
      <c r="HXO68" s="2555"/>
      <c r="HXP68" s="2555">
        <v>0.42</v>
      </c>
      <c r="HXQ68" s="2553">
        <v>2019</v>
      </c>
      <c r="HXR68" s="2554"/>
      <c r="HXS68" s="2555">
        <v>0.5</v>
      </c>
      <c r="HXT68" s="2555">
        <v>0.5</v>
      </c>
      <c r="HXU68" s="2555">
        <v>0.56000000000000005</v>
      </c>
      <c r="HXV68" s="2555">
        <v>0.34</v>
      </c>
      <c r="HXW68" s="2555"/>
      <c r="HXX68" s="2555">
        <v>0.42</v>
      </c>
      <c r="HXY68" s="2553">
        <v>2019</v>
      </c>
      <c r="HXZ68" s="2554"/>
      <c r="HYA68" s="2555">
        <v>0.5</v>
      </c>
      <c r="HYB68" s="2555">
        <v>0.5</v>
      </c>
      <c r="HYC68" s="2555">
        <v>0.56000000000000005</v>
      </c>
      <c r="HYD68" s="2555">
        <v>0.34</v>
      </c>
      <c r="HYE68" s="2555"/>
      <c r="HYF68" s="2555">
        <v>0.42</v>
      </c>
      <c r="HYG68" s="2553">
        <v>2019</v>
      </c>
      <c r="HYH68" s="2554"/>
      <c r="HYI68" s="2555">
        <v>0.5</v>
      </c>
      <c r="HYJ68" s="2555">
        <v>0.5</v>
      </c>
      <c r="HYK68" s="2555">
        <v>0.56000000000000005</v>
      </c>
      <c r="HYL68" s="2555">
        <v>0.34</v>
      </c>
      <c r="HYM68" s="2555"/>
      <c r="HYN68" s="2555">
        <v>0.42</v>
      </c>
      <c r="HYO68" s="2553">
        <v>2019</v>
      </c>
      <c r="HYP68" s="2554"/>
      <c r="HYQ68" s="2555">
        <v>0.5</v>
      </c>
      <c r="HYR68" s="2555">
        <v>0.5</v>
      </c>
      <c r="HYS68" s="2555">
        <v>0.56000000000000005</v>
      </c>
      <c r="HYT68" s="2555">
        <v>0.34</v>
      </c>
      <c r="HYU68" s="2555"/>
      <c r="HYV68" s="2555">
        <v>0.42</v>
      </c>
      <c r="HYW68" s="2553">
        <v>2019</v>
      </c>
      <c r="HYX68" s="2554"/>
      <c r="HYY68" s="2555">
        <v>0.5</v>
      </c>
      <c r="HYZ68" s="2555">
        <v>0.5</v>
      </c>
      <c r="HZA68" s="2555">
        <v>0.56000000000000005</v>
      </c>
      <c r="HZB68" s="2555">
        <v>0.34</v>
      </c>
      <c r="HZC68" s="2555"/>
      <c r="HZD68" s="2555">
        <v>0.42</v>
      </c>
      <c r="HZE68" s="2553">
        <v>2019</v>
      </c>
      <c r="HZF68" s="2554"/>
      <c r="HZG68" s="2555">
        <v>0.5</v>
      </c>
      <c r="HZH68" s="2555">
        <v>0.5</v>
      </c>
      <c r="HZI68" s="2555">
        <v>0.56000000000000005</v>
      </c>
      <c r="HZJ68" s="2555">
        <v>0.34</v>
      </c>
      <c r="HZK68" s="2555"/>
      <c r="HZL68" s="2555">
        <v>0.42</v>
      </c>
      <c r="HZM68" s="2553">
        <v>2019</v>
      </c>
      <c r="HZN68" s="2554"/>
      <c r="HZO68" s="2555">
        <v>0.5</v>
      </c>
      <c r="HZP68" s="2555">
        <v>0.5</v>
      </c>
      <c r="HZQ68" s="2555">
        <v>0.56000000000000005</v>
      </c>
      <c r="HZR68" s="2555">
        <v>0.34</v>
      </c>
      <c r="HZS68" s="2555"/>
      <c r="HZT68" s="2555">
        <v>0.42</v>
      </c>
      <c r="HZU68" s="2553">
        <v>2019</v>
      </c>
      <c r="HZV68" s="2554"/>
      <c r="HZW68" s="2555">
        <v>0.5</v>
      </c>
      <c r="HZX68" s="2555">
        <v>0.5</v>
      </c>
      <c r="HZY68" s="2555">
        <v>0.56000000000000005</v>
      </c>
      <c r="HZZ68" s="2555">
        <v>0.34</v>
      </c>
      <c r="IAA68" s="2555"/>
      <c r="IAB68" s="2555">
        <v>0.42</v>
      </c>
      <c r="IAC68" s="2553">
        <v>2019</v>
      </c>
      <c r="IAD68" s="2554"/>
      <c r="IAE68" s="2555">
        <v>0.5</v>
      </c>
      <c r="IAF68" s="2555">
        <v>0.5</v>
      </c>
      <c r="IAG68" s="2555">
        <v>0.56000000000000005</v>
      </c>
      <c r="IAH68" s="2555">
        <v>0.34</v>
      </c>
      <c r="IAI68" s="2555"/>
      <c r="IAJ68" s="2555">
        <v>0.42</v>
      </c>
      <c r="IAK68" s="2553">
        <v>2019</v>
      </c>
      <c r="IAL68" s="2554"/>
      <c r="IAM68" s="2555">
        <v>0.5</v>
      </c>
      <c r="IAN68" s="2555">
        <v>0.5</v>
      </c>
      <c r="IAO68" s="2555">
        <v>0.56000000000000005</v>
      </c>
      <c r="IAP68" s="2555">
        <v>0.34</v>
      </c>
      <c r="IAQ68" s="2555"/>
      <c r="IAR68" s="2555">
        <v>0.42</v>
      </c>
      <c r="IAS68" s="2553">
        <v>2019</v>
      </c>
      <c r="IAT68" s="2554"/>
      <c r="IAU68" s="2555">
        <v>0.5</v>
      </c>
      <c r="IAV68" s="2555">
        <v>0.5</v>
      </c>
      <c r="IAW68" s="2555">
        <v>0.56000000000000005</v>
      </c>
      <c r="IAX68" s="2555">
        <v>0.34</v>
      </c>
      <c r="IAY68" s="2555"/>
      <c r="IAZ68" s="2555">
        <v>0.42</v>
      </c>
      <c r="IBA68" s="2553">
        <v>2019</v>
      </c>
      <c r="IBB68" s="2554"/>
      <c r="IBC68" s="2555">
        <v>0.5</v>
      </c>
      <c r="IBD68" s="2555">
        <v>0.5</v>
      </c>
      <c r="IBE68" s="2555">
        <v>0.56000000000000005</v>
      </c>
      <c r="IBF68" s="2555">
        <v>0.34</v>
      </c>
      <c r="IBG68" s="2555"/>
      <c r="IBH68" s="2555">
        <v>0.42</v>
      </c>
      <c r="IBI68" s="2553">
        <v>2019</v>
      </c>
      <c r="IBJ68" s="2554"/>
      <c r="IBK68" s="2555">
        <v>0.5</v>
      </c>
      <c r="IBL68" s="2555">
        <v>0.5</v>
      </c>
      <c r="IBM68" s="2555">
        <v>0.56000000000000005</v>
      </c>
      <c r="IBN68" s="2555">
        <v>0.34</v>
      </c>
      <c r="IBO68" s="2555"/>
      <c r="IBP68" s="2555">
        <v>0.42</v>
      </c>
      <c r="IBQ68" s="2553">
        <v>2019</v>
      </c>
      <c r="IBR68" s="2554"/>
      <c r="IBS68" s="2555">
        <v>0.5</v>
      </c>
      <c r="IBT68" s="2555">
        <v>0.5</v>
      </c>
      <c r="IBU68" s="2555">
        <v>0.56000000000000005</v>
      </c>
      <c r="IBV68" s="2555">
        <v>0.34</v>
      </c>
      <c r="IBW68" s="2555"/>
      <c r="IBX68" s="2555">
        <v>0.42</v>
      </c>
      <c r="IBY68" s="2553">
        <v>2019</v>
      </c>
      <c r="IBZ68" s="2554"/>
      <c r="ICA68" s="2555">
        <v>0.5</v>
      </c>
      <c r="ICB68" s="2555">
        <v>0.5</v>
      </c>
      <c r="ICC68" s="2555">
        <v>0.56000000000000005</v>
      </c>
      <c r="ICD68" s="2555">
        <v>0.34</v>
      </c>
      <c r="ICE68" s="2555"/>
      <c r="ICF68" s="2555">
        <v>0.42</v>
      </c>
      <c r="ICG68" s="2553">
        <v>2019</v>
      </c>
      <c r="ICH68" s="2554"/>
      <c r="ICI68" s="2555">
        <v>0.5</v>
      </c>
      <c r="ICJ68" s="2555">
        <v>0.5</v>
      </c>
      <c r="ICK68" s="2555">
        <v>0.56000000000000005</v>
      </c>
      <c r="ICL68" s="2555">
        <v>0.34</v>
      </c>
      <c r="ICM68" s="2555"/>
      <c r="ICN68" s="2555">
        <v>0.42</v>
      </c>
      <c r="ICO68" s="2553">
        <v>2019</v>
      </c>
      <c r="ICP68" s="2554"/>
      <c r="ICQ68" s="2555">
        <v>0.5</v>
      </c>
      <c r="ICR68" s="2555">
        <v>0.5</v>
      </c>
      <c r="ICS68" s="2555">
        <v>0.56000000000000005</v>
      </c>
      <c r="ICT68" s="2555">
        <v>0.34</v>
      </c>
      <c r="ICU68" s="2555"/>
      <c r="ICV68" s="2555">
        <v>0.42</v>
      </c>
      <c r="ICW68" s="2553">
        <v>2019</v>
      </c>
      <c r="ICX68" s="2554"/>
      <c r="ICY68" s="2555">
        <v>0.5</v>
      </c>
      <c r="ICZ68" s="2555">
        <v>0.5</v>
      </c>
      <c r="IDA68" s="2555">
        <v>0.56000000000000005</v>
      </c>
      <c r="IDB68" s="2555">
        <v>0.34</v>
      </c>
      <c r="IDC68" s="2555"/>
      <c r="IDD68" s="2555">
        <v>0.42</v>
      </c>
      <c r="IDE68" s="2553">
        <v>2019</v>
      </c>
      <c r="IDF68" s="2554"/>
      <c r="IDG68" s="2555">
        <v>0.5</v>
      </c>
      <c r="IDH68" s="2555">
        <v>0.5</v>
      </c>
      <c r="IDI68" s="2555">
        <v>0.56000000000000005</v>
      </c>
      <c r="IDJ68" s="2555">
        <v>0.34</v>
      </c>
      <c r="IDK68" s="2555"/>
      <c r="IDL68" s="2555">
        <v>0.42</v>
      </c>
      <c r="IDM68" s="2553">
        <v>2019</v>
      </c>
      <c r="IDN68" s="2554"/>
      <c r="IDO68" s="2555">
        <v>0.5</v>
      </c>
      <c r="IDP68" s="2555">
        <v>0.5</v>
      </c>
      <c r="IDQ68" s="2555">
        <v>0.56000000000000005</v>
      </c>
      <c r="IDR68" s="2555">
        <v>0.34</v>
      </c>
      <c r="IDS68" s="2555"/>
      <c r="IDT68" s="2555">
        <v>0.42</v>
      </c>
      <c r="IDU68" s="2553">
        <v>2019</v>
      </c>
      <c r="IDV68" s="2554"/>
      <c r="IDW68" s="2555">
        <v>0.5</v>
      </c>
      <c r="IDX68" s="2555">
        <v>0.5</v>
      </c>
      <c r="IDY68" s="2555">
        <v>0.56000000000000005</v>
      </c>
      <c r="IDZ68" s="2555">
        <v>0.34</v>
      </c>
      <c r="IEA68" s="2555"/>
      <c r="IEB68" s="2555">
        <v>0.42</v>
      </c>
      <c r="IEC68" s="2553">
        <v>2019</v>
      </c>
      <c r="IED68" s="2554"/>
      <c r="IEE68" s="2555">
        <v>0.5</v>
      </c>
      <c r="IEF68" s="2555">
        <v>0.5</v>
      </c>
      <c r="IEG68" s="2555">
        <v>0.56000000000000005</v>
      </c>
      <c r="IEH68" s="2555">
        <v>0.34</v>
      </c>
      <c r="IEI68" s="2555"/>
      <c r="IEJ68" s="2555">
        <v>0.42</v>
      </c>
      <c r="IEK68" s="2553">
        <v>2019</v>
      </c>
      <c r="IEL68" s="2554"/>
      <c r="IEM68" s="2555">
        <v>0.5</v>
      </c>
      <c r="IEN68" s="2555">
        <v>0.5</v>
      </c>
      <c r="IEO68" s="2555">
        <v>0.56000000000000005</v>
      </c>
      <c r="IEP68" s="2555">
        <v>0.34</v>
      </c>
      <c r="IEQ68" s="2555"/>
      <c r="IER68" s="2555">
        <v>0.42</v>
      </c>
      <c r="IES68" s="2553">
        <v>2019</v>
      </c>
      <c r="IET68" s="2554"/>
      <c r="IEU68" s="2555">
        <v>0.5</v>
      </c>
      <c r="IEV68" s="2555">
        <v>0.5</v>
      </c>
      <c r="IEW68" s="2555">
        <v>0.56000000000000005</v>
      </c>
      <c r="IEX68" s="2555">
        <v>0.34</v>
      </c>
      <c r="IEY68" s="2555"/>
      <c r="IEZ68" s="2555">
        <v>0.42</v>
      </c>
      <c r="IFA68" s="2553">
        <v>2019</v>
      </c>
      <c r="IFB68" s="2554"/>
      <c r="IFC68" s="2555">
        <v>0.5</v>
      </c>
      <c r="IFD68" s="2555">
        <v>0.5</v>
      </c>
      <c r="IFE68" s="2555">
        <v>0.56000000000000005</v>
      </c>
      <c r="IFF68" s="2555">
        <v>0.34</v>
      </c>
      <c r="IFG68" s="2555"/>
      <c r="IFH68" s="2555">
        <v>0.42</v>
      </c>
      <c r="IFI68" s="2553">
        <v>2019</v>
      </c>
      <c r="IFJ68" s="2554"/>
      <c r="IFK68" s="2555">
        <v>0.5</v>
      </c>
      <c r="IFL68" s="2555">
        <v>0.5</v>
      </c>
      <c r="IFM68" s="2555">
        <v>0.56000000000000005</v>
      </c>
      <c r="IFN68" s="2555">
        <v>0.34</v>
      </c>
      <c r="IFO68" s="2555"/>
      <c r="IFP68" s="2555">
        <v>0.42</v>
      </c>
      <c r="IFQ68" s="2553">
        <v>2019</v>
      </c>
      <c r="IFR68" s="2554"/>
      <c r="IFS68" s="2555">
        <v>0.5</v>
      </c>
      <c r="IFT68" s="2555">
        <v>0.5</v>
      </c>
      <c r="IFU68" s="2555">
        <v>0.56000000000000005</v>
      </c>
      <c r="IFV68" s="2555">
        <v>0.34</v>
      </c>
      <c r="IFW68" s="2555"/>
      <c r="IFX68" s="2555">
        <v>0.42</v>
      </c>
      <c r="IFY68" s="2553">
        <v>2019</v>
      </c>
      <c r="IFZ68" s="2554"/>
      <c r="IGA68" s="2555">
        <v>0.5</v>
      </c>
      <c r="IGB68" s="2555">
        <v>0.5</v>
      </c>
      <c r="IGC68" s="2555">
        <v>0.56000000000000005</v>
      </c>
      <c r="IGD68" s="2555">
        <v>0.34</v>
      </c>
      <c r="IGE68" s="2555"/>
      <c r="IGF68" s="2555">
        <v>0.42</v>
      </c>
      <c r="IGG68" s="2553">
        <v>2019</v>
      </c>
      <c r="IGH68" s="2554"/>
      <c r="IGI68" s="2555">
        <v>0.5</v>
      </c>
      <c r="IGJ68" s="2555">
        <v>0.5</v>
      </c>
      <c r="IGK68" s="2555">
        <v>0.56000000000000005</v>
      </c>
      <c r="IGL68" s="2555">
        <v>0.34</v>
      </c>
      <c r="IGM68" s="2555"/>
      <c r="IGN68" s="2555">
        <v>0.42</v>
      </c>
      <c r="IGO68" s="2553">
        <v>2019</v>
      </c>
      <c r="IGP68" s="2554"/>
      <c r="IGQ68" s="2555">
        <v>0.5</v>
      </c>
      <c r="IGR68" s="2555">
        <v>0.5</v>
      </c>
      <c r="IGS68" s="2555">
        <v>0.56000000000000005</v>
      </c>
      <c r="IGT68" s="2555">
        <v>0.34</v>
      </c>
      <c r="IGU68" s="2555"/>
      <c r="IGV68" s="2555">
        <v>0.42</v>
      </c>
      <c r="IGW68" s="2553">
        <v>2019</v>
      </c>
      <c r="IGX68" s="2554"/>
      <c r="IGY68" s="2555">
        <v>0.5</v>
      </c>
      <c r="IGZ68" s="2555">
        <v>0.5</v>
      </c>
      <c r="IHA68" s="2555">
        <v>0.56000000000000005</v>
      </c>
      <c r="IHB68" s="2555">
        <v>0.34</v>
      </c>
      <c r="IHC68" s="2555"/>
      <c r="IHD68" s="2555">
        <v>0.42</v>
      </c>
      <c r="IHE68" s="2553">
        <v>2019</v>
      </c>
      <c r="IHF68" s="2554"/>
      <c r="IHG68" s="2555">
        <v>0.5</v>
      </c>
      <c r="IHH68" s="2555">
        <v>0.5</v>
      </c>
      <c r="IHI68" s="2555">
        <v>0.56000000000000005</v>
      </c>
      <c r="IHJ68" s="2555">
        <v>0.34</v>
      </c>
      <c r="IHK68" s="2555"/>
      <c r="IHL68" s="2555">
        <v>0.42</v>
      </c>
      <c r="IHM68" s="2553">
        <v>2019</v>
      </c>
      <c r="IHN68" s="2554"/>
      <c r="IHO68" s="2555">
        <v>0.5</v>
      </c>
      <c r="IHP68" s="2555">
        <v>0.5</v>
      </c>
      <c r="IHQ68" s="2555">
        <v>0.56000000000000005</v>
      </c>
      <c r="IHR68" s="2555">
        <v>0.34</v>
      </c>
      <c r="IHS68" s="2555"/>
      <c r="IHT68" s="2555">
        <v>0.42</v>
      </c>
      <c r="IHU68" s="2553">
        <v>2019</v>
      </c>
      <c r="IHV68" s="2554"/>
      <c r="IHW68" s="2555">
        <v>0.5</v>
      </c>
      <c r="IHX68" s="2555">
        <v>0.5</v>
      </c>
      <c r="IHY68" s="2555">
        <v>0.56000000000000005</v>
      </c>
      <c r="IHZ68" s="2555">
        <v>0.34</v>
      </c>
      <c r="IIA68" s="2555"/>
      <c r="IIB68" s="2555">
        <v>0.42</v>
      </c>
      <c r="IIC68" s="2553">
        <v>2019</v>
      </c>
      <c r="IID68" s="2554"/>
      <c r="IIE68" s="2555">
        <v>0.5</v>
      </c>
      <c r="IIF68" s="2555">
        <v>0.5</v>
      </c>
      <c r="IIG68" s="2555">
        <v>0.56000000000000005</v>
      </c>
      <c r="IIH68" s="2555">
        <v>0.34</v>
      </c>
      <c r="III68" s="2555"/>
      <c r="IIJ68" s="2555">
        <v>0.42</v>
      </c>
      <c r="IIK68" s="2553">
        <v>2019</v>
      </c>
      <c r="IIL68" s="2554"/>
      <c r="IIM68" s="2555">
        <v>0.5</v>
      </c>
      <c r="IIN68" s="2555">
        <v>0.5</v>
      </c>
      <c r="IIO68" s="2555">
        <v>0.56000000000000005</v>
      </c>
      <c r="IIP68" s="2555">
        <v>0.34</v>
      </c>
      <c r="IIQ68" s="2555"/>
      <c r="IIR68" s="2555">
        <v>0.42</v>
      </c>
      <c r="IIS68" s="2553">
        <v>2019</v>
      </c>
      <c r="IIT68" s="2554"/>
      <c r="IIU68" s="2555">
        <v>0.5</v>
      </c>
      <c r="IIV68" s="2555">
        <v>0.5</v>
      </c>
      <c r="IIW68" s="2555">
        <v>0.56000000000000005</v>
      </c>
      <c r="IIX68" s="2555">
        <v>0.34</v>
      </c>
      <c r="IIY68" s="2555"/>
      <c r="IIZ68" s="2555">
        <v>0.42</v>
      </c>
      <c r="IJA68" s="2553">
        <v>2019</v>
      </c>
      <c r="IJB68" s="2554"/>
      <c r="IJC68" s="2555">
        <v>0.5</v>
      </c>
      <c r="IJD68" s="2555">
        <v>0.5</v>
      </c>
      <c r="IJE68" s="2555">
        <v>0.56000000000000005</v>
      </c>
      <c r="IJF68" s="2555">
        <v>0.34</v>
      </c>
      <c r="IJG68" s="2555"/>
      <c r="IJH68" s="2555">
        <v>0.42</v>
      </c>
      <c r="IJI68" s="2553">
        <v>2019</v>
      </c>
      <c r="IJJ68" s="2554"/>
      <c r="IJK68" s="2555">
        <v>0.5</v>
      </c>
      <c r="IJL68" s="2555">
        <v>0.5</v>
      </c>
      <c r="IJM68" s="2555">
        <v>0.56000000000000005</v>
      </c>
      <c r="IJN68" s="2555">
        <v>0.34</v>
      </c>
      <c r="IJO68" s="2555"/>
      <c r="IJP68" s="2555">
        <v>0.42</v>
      </c>
      <c r="IJQ68" s="2553">
        <v>2019</v>
      </c>
      <c r="IJR68" s="2554"/>
      <c r="IJS68" s="2555">
        <v>0.5</v>
      </c>
      <c r="IJT68" s="2555">
        <v>0.5</v>
      </c>
      <c r="IJU68" s="2555">
        <v>0.56000000000000005</v>
      </c>
      <c r="IJV68" s="2555">
        <v>0.34</v>
      </c>
      <c r="IJW68" s="2555"/>
      <c r="IJX68" s="2555">
        <v>0.42</v>
      </c>
      <c r="IJY68" s="2553">
        <v>2019</v>
      </c>
      <c r="IJZ68" s="2554"/>
      <c r="IKA68" s="2555">
        <v>0.5</v>
      </c>
      <c r="IKB68" s="2555">
        <v>0.5</v>
      </c>
      <c r="IKC68" s="2555">
        <v>0.56000000000000005</v>
      </c>
      <c r="IKD68" s="2555">
        <v>0.34</v>
      </c>
      <c r="IKE68" s="2555"/>
      <c r="IKF68" s="2555">
        <v>0.42</v>
      </c>
      <c r="IKG68" s="2553">
        <v>2019</v>
      </c>
      <c r="IKH68" s="2554"/>
      <c r="IKI68" s="2555">
        <v>0.5</v>
      </c>
      <c r="IKJ68" s="2555">
        <v>0.5</v>
      </c>
      <c r="IKK68" s="2555">
        <v>0.56000000000000005</v>
      </c>
      <c r="IKL68" s="2555">
        <v>0.34</v>
      </c>
      <c r="IKM68" s="2555"/>
      <c r="IKN68" s="2555">
        <v>0.42</v>
      </c>
      <c r="IKO68" s="2553">
        <v>2019</v>
      </c>
      <c r="IKP68" s="2554"/>
      <c r="IKQ68" s="2555">
        <v>0.5</v>
      </c>
      <c r="IKR68" s="2555">
        <v>0.5</v>
      </c>
      <c r="IKS68" s="2555">
        <v>0.56000000000000005</v>
      </c>
      <c r="IKT68" s="2555">
        <v>0.34</v>
      </c>
      <c r="IKU68" s="2555"/>
      <c r="IKV68" s="2555">
        <v>0.42</v>
      </c>
      <c r="IKW68" s="2553">
        <v>2019</v>
      </c>
      <c r="IKX68" s="2554"/>
      <c r="IKY68" s="2555">
        <v>0.5</v>
      </c>
      <c r="IKZ68" s="2555">
        <v>0.5</v>
      </c>
      <c r="ILA68" s="2555">
        <v>0.56000000000000005</v>
      </c>
      <c r="ILB68" s="2555">
        <v>0.34</v>
      </c>
      <c r="ILC68" s="2555"/>
      <c r="ILD68" s="2555">
        <v>0.42</v>
      </c>
      <c r="ILE68" s="2553">
        <v>2019</v>
      </c>
      <c r="ILF68" s="2554"/>
      <c r="ILG68" s="2555">
        <v>0.5</v>
      </c>
      <c r="ILH68" s="2555">
        <v>0.5</v>
      </c>
      <c r="ILI68" s="2555">
        <v>0.56000000000000005</v>
      </c>
      <c r="ILJ68" s="2555">
        <v>0.34</v>
      </c>
      <c r="ILK68" s="2555"/>
      <c r="ILL68" s="2555">
        <v>0.42</v>
      </c>
      <c r="ILM68" s="2553">
        <v>2019</v>
      </c>
      <c r="ILN68" s="2554"/>
      <c r="ILO68" s="2555">
        <v>0.5</v>
      </c>
      <c r="ILP68" s="2555">
        <v>0.5</v>
      </c>
      <c r="ILQ68" s="2555">
        <v>0.56000000000000005</v>
      </c>
      <c r="ILR68" s="2555">
        <v>0.34</v>
      </c>
      <c r="ILS68" s="2555"/>
      <c r="ILT68" s="2555">
        <v>0.42</v>
      </c>
      <c r="ILU68" s="2553">
        <v>2019</v>
      </c>
      <c r="ILV68" s="2554"/>
      <c r="ILW68" s="2555">
        <v>0.5</v>
      </c>
      <c r="ILX68" s="2555">
        <v>0.5</v>
      </c>
      <c r="ILY68" s="2555">
        <v>0.56000000000000005</v>
      </c>
      <c r="ILZ68" s="2555">
        <v>0.34</v>
      </c>
      <c r="IMA68" s="2555"/>
      <c r="IMB68" s="2555">
        <v>0.42</v>
      </c>
      <c r="IMC68" s="2553">
        <v>2019</v>
      </c>
      <c r="IMD68" s="2554"/>
      <c r="IME68" s="2555">
        <v>0.5</v>
      </c>
      <c r="IMF68" s="2555">
        <v>0.5</v>
      </c>
      <c r="IMG68" s="2555">
        <v>0.56000000000000005</v>
      </c>
      <c r="IMH68" s="2555">
        <v>0.34</v>
      </c>
      <c r="IMI68" s="2555"/>
      <c r="IMJ68" s="2555">
        <v>0.42</v>
      </c>
      <c r="IMK68" s="2553">
        <v>2019</v>
      </c>
      <c r="IML68" s="2554"/>
      <c r="IMM68" s="2555">
        <v>0.5</v>
      </c>
      <c r="IMN68" s="2555">
        <v>0.5</v>
      </c>
      <c r="IMO68" s="2555">
        <v>0.56000000000000005</v>
      </c>
      <c r="IMP68" s="2555">
        <v>0.34</v>
      </c>
      <c r="IMQ68" s="2555"/>
      <c r="IMR68" s="2555">
        <v>0.42</v>
      </c>
      <c r="IMS68" s="2553">
        <v>2019</v>
      </c>
      <c r="IMT68" s="2554"/>
      <c r="IMU68" s="2555">
        <v>0.5</v>
      </c>
      <c r="IMV68" s="2555">
        <v>0.5</v>
      </c>
      <c r="IMW68" s="2555">
        <v>0.56000000000000005</v>
      </c>
      <c r="IMX68" s="2555">
        <v>0.34</v>
      </c>
      <c r="IMY68" s="2555"/>
      <c r="IMZ68" s="2555">
        <v>0.42</v>
      </c>
      <c r="INA68" s="2553">
        <v>2019</v>
      </c>
      <c r="INB68" s="2554"/>
      <c r="INC68" s="2555">
        <v>0.5</v>
      </c>
      <c r="IND68" s="2555">
        <v>0.5</v>
      </c>
      <c r="INE68" s="2555">
        <v>0.56000000000000005</v>
      </c>
      <c r="INF68" s="2555">
        <v>0.34</v>
      </c>
      <c r="ING68" s="2555"/>
      <c r="INH68" s="2555">
        <v>0.42</v>
      </c>
      <c r="INI68" s="2553">
        <v>2019</v>
      </c>
      <c r="INJ68" s="2554"/>
      <c r="INK68" s="2555">
        <v>0.5</v>
      </c>
      <c r="INL68" s="2555">
        <v>0.5</v>
      </c>
      <c r="INM68" s="2555">
        <v>0.56000000000000005</v>
      </c>
      <c r="INN68" s="2555">
        <v>0.34</v>
      </c>
      <c r="INO68" s="2555"/>
      <c r="INP68" s="2555">
        <v>0.42</v>
      </c>
      <c r="INQ68" s="2553">
        <v>2019</v>
      </c>
      <c r="INR68" s="2554"/>
      <c r="INS68" s="2555">
        <v>0.5</v>
      </c>
      <c r="INT68" s="2555">
        <v>0.5</v>
      </c>
      <c r="INU68" s="2555">
        <v>0.56000000000000005</v>
      </c>
      <c r="INV68" s="2555">
        <v>0.34</v>
      </c>
      <c r="INW68" s="2555"/>
      <c r="INX68" s="2555">
        <v>0.42</v>
      </c>
      <c r="INY68" s="2553">
        <v>2019</v>
      </c>
      <c r="INZ68" s="2554"/>
      <c r="IOA68" s="2555">
        <v>0.5</v>
      </c>
      <c r="IOB68" s="2555">
        <v>0.5</v>
      </c>
      <c r="IOC68" s="2555">
        <v>0.56000000000000005</v>
      </c>
      <c r="IOD68" s="2555">
        <v>0.34</v>
      </c>
      <c r="IOE68" s="2555"/>
      <c r="IOF68" s="2555">
        <v>0.42</v>
      </c>
      <c r="IOG68" s="2553">
        <v>2019</v>
      </c>
      <c r="IOH68" s="2554"/>
      <c r="IOI68" s="2555">
        <v>0.5</v>
      </c>
      <c r="IOJ68" s="2555">
        <v>0.5</v>
      </c>
      <c r="IOK68" s="2555">
        <v>0.56000000000000005</v>
      </c>
      <c r="IOL68" s="2555">
        <v>0.34</v>
      </c>
      <c r="IOM68" s="2555"/>
      <c r="ION68" s="2555">
        <v>0.42</v>
      </c>
      <c r="IOO68" s="2553">
        <v>2019</v>
      </c>
      <c r="IOP68" s="2554"/>
      <c r="IOQ68" s="2555">
        <v>0.5</v>
      </c>
      <c r="IOR68" s="2555">
        <v>0.5</v>
      </c>
      <c r="IOS68" s="2555">
        <v>0.56000000000000005</v>
      </c>
      <c r="IOT68" s="2555">
        <v>0.34</v>
      </c>
      <c r="IOU68" s="2555"/>
      <c r="IOV68" s="2555">
        <v>0.42</v>
      </c>
      <c r="IOW68" s="2553">
        <v>2019</v>
      </c>
      <c r="IOX68" s="2554"/>
      <c r="IOY68" s="2555">
        <v>0.5</v>
      </c>
      <c r="IOZ68" s="2555">
        <v>0.5</v>
      </c>
      <c r="IPA68" s="2555">
        <v>0.56000000000000005</v>
      </c>
      <c r="IPB68" s="2555">
        <v>0.34</v>
      </c>
      <c r="IPC68" s="2555"/>
      <c r="IPD68" s="2555">
        <v>0.42</v>
      </c>
      <c r="IPE68" s="2553">
        <v>2019</v>
      </c>
      <c r="IPF68" s="2554"/>
      <c r="IPG68" s="2555">
        <v>0.5</v>
      </c>
      <c r="IPH68" s="2555">
        <v>0.5</v>
      </c>
      <c r="IPI68" s="2555">
        <v>0.56000000000000005</v>
      </c>
      <c r="IPJ68" s="2555">
        <v>0.34</v>
      </c>
      <c r="IPK68" s="2555"/>
      <c r="IPL68" s="2555">
        <v>0.42</v>
      </c>
      <c r="IPM68" s="2553">
        <v>2019</v>
      </c>
      <c r="IPN68" s="2554"/>
      <c r="IPO68" s="2555">
        <v>0.5</v>
      </c>
      <c r="IPP68" s="2555">
        <v>0.5</v>
      </c>
      <c r="IPQ68" s="2555">
        <v>0.56000000000000005</v>
      </c>
      <c r="IPR68" s="2555">
        <v>0.34</v>
      </c>
      <c r="IPS68" s="2555"/>
      <c r="IPT68" s="2555">
        <v>0.42</v>
      </c>
      <c r="IPU68" s="2553">
        <v>2019</v>
      </c>
      <c r="IPV68" s="2554"/>
      <c r="IPW68" s="2555">
        <v>0.5</v>
      </c>
      <c r="IPX68" s="2555">
        <v>0.5</v>
      </c>
      <c r="IPY68" s="2555">
        <v>0.56000000000000005</v>
      </c>
      <c r="IPZ68" s="2555">
        <v>0.34</v>
      </c>
      <c r="IQA68" s="2555"/>
      <c r="IQB68" s="2555">
        <v>0.42</v>
      </c>
      <c r="IQC68" s="2553">
        <v>2019</v>
      </c>
      <c r="IQD68" s="2554"/>
      <c r="IQE68" s="2555">
        <v>0.5</v>
      </c>
      <c r="IQF68" s="2555">
        <v>0.5</v>
      </c>
      <c r="IQG68" s="2555">
        <v>0.56000000000000005</v>
      </c>
      <c r="IQH68" s="2555">
        <v>0.34</v>
      </c>
      <c r="IQI68" s="2555"/>
      <c r="IQJ68" s="2555">
        <v>0.42</v>
      </c>
      <c r="IQK68" s="2553">
        <v>2019</v>
      </c>
      <c r="IQL68" s="2554"/>
      <c r="IQM68" s="2555">
        <v>0.5</v>
      </c>
      <c r="IQN68" s="2555">
        <v>0.5</v>
      </c>
      <c r="IQO68" s="2555">
        <v>0.56000000000000005</v>
      </c>
      <c r="IQP68" s="2555">
        <v>0.34</v>
      </c>
      <c r="IQQ68" s="2555"/>
      <c r="IQR68" s="2555">
        <v>0.42</v>
      </c>
      <c r="IQS68" s="2553">
        <v>2019</v>
      </c>
      <c r="IQT68" s="2554"/>
      <c r="IQU68" s="2555">
        <v>0.5</v>
      </c>
      <c r="IQV68" s="2555">
        <v>0.5</v>
      </c>
      <c r="IQW68" s="2555">
        <v>0.56000000000000005</v>
      </c>
      <c r="IQX68" s="2555">
        <v>0.34</v>
      </c>
      <c r="IQY68" s="2555"/>
      <c r="IQZ68" s="2555">
        <v>0.42</v>
      </c>
      <c r="IRA68" s="2553">
        <v>2019</v>
      </c>
      <c r="IRB68" s="2554"/>
      <c r="IRC68" s="2555">
        <v>0.5</v>
      </c>
      <c r="IRD68" s="2555">
        <v>0.5</v>
      </c>
      <c r="IRE68" s="2555">
        <v>0.56000000000000005</v>
      </c>
      <c r="IRF68" s="2555">
        <v>0.34</v>
      </c>
      <c r="IRG68" s="2555"/>
      <c r="IRH68" s="2555">
        <v>0.42</v>
      </c>
      <c r="IRI68" s="2553">
        <v>2019</v>
      </c>
      <c r="IRJ68" s="2554"/>
      <c r="IRK68" s="2555">
        <v>0.5</v>
      </c>
      <c r="IRL68" s="2555">
        <v>0.5</v>
      </c>
      <c r="IRM68" s="2555">
        <v>0.56000000000000005</v>
      </c>
      <c r="IRN68" s="2555">
        <v>0.34</v>
      </c>
      <c r="IRO68" s="2555"/>
      <c r="IRP68" s="2555">
        <v>0.42</v>
      </c>
      <c r="IRQ68" s="2553">
        <v>2019</v>
      </c>
      <c r="IRR68" s="2554"/>
      <c r="IRS68" s="2555">
        <v>0.5</v>
      </c>
      <c r="IRT68" s="2555">
        <v>0.5</v>
      </c>
      <c r="IRU68" s="2555">
        <v>0.56000000000000005</v>
      </c>
      <c r="IRV68" s="2555">
        <v>0.34</v>
      </c>
      <c r="IRW68" s="2555"/>
      <c r="IRX68" s="2555">
        <v>0.42</v>
      </c>
      <c r="IRY68" s="2553">
        <v>2019</v>
      </c>
      <c r="IRZ68" s="2554"/>
      <c r="ISA68" s="2555">
        <v>0.5</v>
      </c>
      <c r="ISB68" s="2555">
        <v>0.5</v>
      </c>
      <c r="ISC68" s="2555">
        <v>0.56000000000000005</v>
      </c>
      <c r="ISD68" s="2555">
        <v>0.34</v>
      </c>
      <c r="ISE68" s="2555"/>
      <c r="ISF68" s="2555">
        <v>0.42</v>
      </c>
      <c r="ISG68" s="2553">
        <v>2019</v>
      </c>
      <c r="ISH68" s="2554"/>
      <c r="ISI68" s="2555">
        <v>0.5</v>
      </c>
      <c r="ISJ68" s="2555">
        <v>0.5</v>
      </c>
      <c r="ISK68" s="2555">
        <v>0.56000000000000005</v>
      </c>
      <c r="ISL68" s="2555">
        <v>0.34</v>
      </c>
      <c r="ISM68" s="2555"/>
      <c r="ISN68" s="2555">
        <v>0.42</v>
      </c>
      <c r="ISO68" s="2553">
        <v>2019</v>
      </c>
      <c r="ISP68" s="2554"/>
      <c r="ISQ68" s="2555">
        <v>0.5</v>
      </c>
      <c r="ISR68" s="2555">
        <v>0.5</v>
      </c>
      <c r="ISS68" s="2555">
        <v>0.56000000000000005</v>
      </c>
      <c r="IST68" s="2555">
        <v>0.34</v>
      </c>
      <c r="ISU68" s="2555"/>
      <c r="ISV68" s="2555">
        <v>0.42</v>
      </c>
      <c r="ISW68" s="2553">
        <v>2019</v>
      </c>
      <c r="ISX68" s="2554"/>
      <c r="ISY68" s="2555">
        <v>0.5</v>
      </c>
      <c r="ISZ68" s="2555">
        <v>0.5</v>
      </c>
      <c r="ITA68" s="2555">
        <v>0.56000000000000005</v>
      </c>
      <c r="ITB68" s="2555">
        <v>0.34</v>
      </c>
      <c r="ITC68" s="2555"/>
      <c r="ITD68" s="2555">
        <v>0.42</v>
      </c>
      <c r="ITE68" s="2553">
        <v>2019</v>
      </c>
      <c r="ITF68" s="2554"/>
      <c r="ITG68" s="2555">
        <v>0.5</v>
      </c>
      <c r="ITH68" s="2555">
        <v>0.5</v>
      </c>
      <c r="ITI68" s="2555">
        <v>0.56000000000000005</v>
      </c>
      <c r="ITJ68" s="2555">
        <v>0.34</v>
      </c>
      <c r="ITK68" s="2555"/>
      <c r="ITL68" s="2555">
        <v>0.42</v>
      </c>
      <c r="ITM68" s="2553">
        <v>2019</v>
      </c>
      <c r="ITN68" s="2554"/>
      <c r="ITO68" s="2555">
        <v>0.5</v>
      </c>
      <c r="ITP68" s="2555">
        <v>0.5</v>
      </c>
      <c r="ITQ68" s="2555">
        <v>0.56000000000000005</v>
      </c>
      <c r="ITR68" s="2555">
        <v>0.34</v>
      </c>
      <c r="ITS68" s="2555"/>
      <c r="ITT68" s="2555">
        <v>0.42</v>
      </c>
      <c r="ITU68" s="2553">
        <v>2019</v>
      </c>
      <c r="ITV68" s="2554"/>
      <c r="ITW68" s="2555">
        <v>0.5</v>
      </c>
      <c r="ITX68" s="2555">
        <v>0.5</v>
      </c>
      <c r="ITY68" s="2555">
        <v>0.56000000000000005</v>
      </c>
      <c r="ITZ68" s="2555">
        <v>0.34</v>
      </c>
      <c r="IUA68" s="2555"/>
      <c r="IUB68" s="2555">
        <v>0.42</v>
      </c>
      <c r="IUC68" s="2553">
        <v>2019</v>
      </c>
      <c r="IUD68" s="2554"/>
      <c r="IUE68" s="2555">
        <v>0.5</v>
      </c>
      <c r="IUF68" s="2555">
        <v>0.5</v>
      </c>
      <c r="IUG68" s="2555">
        <v>0.56000000000000005</v>
      </c>
      <c r="IUH68" s="2555">
        <v>0.34</v>
      </c>
      <c r="IUI68" s="2555"/>
      <c r="IUJ68" s="2555">
        <v>0.42</v>
      </c>
      <c r="IUK68" s="2553">
        <v>2019</v>
      </c>
      <c r="IUL68" s="2554"/>
      <c r="IUM68" s="2555">
        <v>0.5</v>
      </c>
      <c r="IUN68" s="2555">
        <v>0.5</v>
      </c>
      <c r="IUO68" s="2555">
        <v>0.56000000000000005</v>
      </c>
      <c r="IUP68" s="2555">
        <v>0.34</v>
      </c>
      <c r="IUQ68" s="2555"/>
      <c r="IUR68" s="2555">
        <v>0.42</v>
      </c>
      <c r="IUS68" s="2553">
        <v>2019</v>
      </c>
      <c r="IUT68" s="2554"/>
      <c r="IUU68" s="2555">
        <v>0.5</v>
      </c>
      <c r="IUV68" s="2555">
        <v>0.5</v>
      </c>
      <c r="IUW68" s="2555">
        <v>0.56000000000000005</v>
      </c>
      <c r="IUX68" s="2555">
        <v>0.34</v>
      </c>
      <c r="IUY68" s="2555"/>
      <c r="IUZ68" s="2555">
        <v>0.42</v>
      </c>
      <c r="IVA68" s="2553">
        <v>2019</v>
      </c>
      <c r="IVB68" s="2554"/>
      <c r="IVC68" s="2555">
        <v>0.5</v>
      </c>
      <c r="IVD68" s="2555">
        <v>0.5</v>
      </c>
      <c r="IVE68" s="2555">
        <v>0.56000000000000005</v>
      </c>
      <c r="IVF68" s="2555">
        <v>0.34</v>
      </c>
      <c r="IVG68" s="2555"/>
      <c r="IVH68" s="2555">
        <v>0.42</v>
      </c>
      <c r="IVI68" s="2553">
        <v>2019</v>
      </c>
      <c r="IVJ68" s="2554"/>
      <c r="IVK68" s="2555">
        <v>0.5</v>
      </c>
      <c r="IVL68" s="2555">
        <v>0.5</v>
      </c>
      <c r="IVM68" s="2555">
        <v>0.56000000000000005</v>
      </c>
      <c r="IVN68" s="2555">
        <v>0.34</v>
      </c>
      <c r="IVO68" s="2555"/>
      <c r="IVP68" s="2555">
        <v>0.42</v>
      </c>
      <c r="IVQ68" s="2553">
        <v>2019</v>
      </c>
      <c r="IVR68" s="2554"/>
      <c r="IVS68" s="2555">
        <v>0.5</v>
      </c>
      <c r="IVT68" s="2555">
        <v>0.5</v>
      </c>
      <c r="IVU68" s="2555">
        <v>0.56000000000000005</v>
      </c>
      <c r="IVV68" s="2555">
        <v>0.34</v>
      </c>
      <c r="IVW68" s="2555"/>
      <c r="IVX68" s="2555">
        <v>0.42</v>
      </c>
      <c r="IVY68" s="2553">
        <v>2019</v>
      </c>
      <c r="IVZ68" s="2554"/>
      <c r="IWA68" s="2555">
        <v>0.5</v>
      </c>
      <c r="IWB68" s="2555">
        <v>0.5</v>
      </c>
      <c r="IWC68" s="2555">
        <v>0.56000000000000005</v>
      </c>
      <c r="IWD68" s="2555">
        <v>0.34</v>
      </c>
      <c r="IWE68" s="2555"/>
      <c r="IWF68" s="2555">
        <v>0.42</v>
      </c>
      <c r="IWG68" s="2553">
        <v>2019</v>
      </c>
      <c r="IWH68" s="2554"/>
      <c r="IWI68" s="2555">
        <v>0.5</v>
      </c>
      <c r="IWJ68" s="2555">
        <v>0.5</v>
      </c>
      <c r="IWK68" s="2555">
        <v>0.56000000000000005</v>
      </c>
      <c r="IWL68" s="2555">
        <v>0.34</v>
      </c>
      <c r="IWM68" s="2555"/>
      <c r="IWN68" s="2555">
        <v>0.42</v>
      </c>
      <c r="IWO68" s="2553">
        <v>2019</v>
      </c>
      <c r="IWP68" s="2554"/>
      <c r="IWQ68" s="2555">
        <v>0.5</v>
      </c>
      <c r="IWR68" s="2555">
        <v>0.5</v>
      </c>
      <c r="IWS68" s="2555">
        <v>0.56000000000000005</v>
      </c>
      <c r="IWT68" s="2555">
        <v>0.34</v>
      </c>
      <c r="IWU68" s="2555"/>
      <c r="IWV68" s="2555">
        <v>0.42</v>
      </c>
      <c r="IWW68" s="2553">
        <v>2019</v>
      </c>
      <c r="IWX68" s="2554"/>
      <c r="IWY68" s="2555">
        <v>0.5</v>
      </c>
      <c r="IWZ68" s="2555">
        <v>0.5</v>
      </c>
      <c r="IXA68" s="2555">
        <v>0.56000000000000005</v>
      </c>
      <c r="IXB68" s="2555">
        <v>0.34</v>
      </c>
      <c r="IXC68" s="2555"/>
      <c r="IXD68" s="2555">
        <v>0.42</v>
      </c>
      <c r="IXE68" s="2553">
        <v>2019</v>
      </c>
      <c r="IXF68" s="2554"/>
      <c r="IXG68" s="2555">
        <v>0.5</v>
      </c>
      <c r="IXH68" s="2555">
        <v>0.5</v>
      </c>
      <c r="IXI68" s="2555">
        <v>0.56000000000000005</v>
      </c>
      <c r="IXJ68" s="2555">
        <v>0.34</v>
      </c>
      <c r="IXK68" s="2555"/>
      <c r="IXL68" s="2555">
        <v>0.42</v>
      </c>
      <c r="IXM68" s="2553">
        <v>2019</v>
      </c>
      <c r="IXN68" s="2554"/>
      <c r="IXO68" s="2555">
        <v>0.5</v>
      </c>
      <c r="IXP68" s="2555">
        <v>0.5</v>
      </c>
      <c r="IXQ68" s="2555">
        <v>0.56000000000000005</v>
      </c>
      <c r="IXR68" s="2555">
        <v>0.34</v>
      </c>
      <c r="IXS68" s="2555"/>
      <c r="IXT68" s="2555">
        <v>0.42</v>
      </c>
      <c r="IXU68" s="2553">
        <v>2019</v>
      </c>
      <c r="IXV68" s="2554"/>
      <c r="IXW68" s="2555">
        <v>0.5</v>
      </c>
      <c r="IXX68" s="2555">
        <v>0.5</v>
      </c>
      <c r="IXY68" s="2555">
        <v>0.56000000000000005</v>
      </c>
      <c r="IXZ68" s="2555">
        <v>0.34</v>
      </c>
      <c r="IYA68" s="2555"/>
      <c r="IYB68" s="2555">
        <v>0.42</v>
      </c>
      <c r="IYC68" s="2553">
        <v>2019</v>
      </c>
      <c r="IYD68" s="2554"/>
      <c r="IYE68" s="2555">
        <v>0.5</v>
      </c>
      <c r="IYF68" s="2555">
        <v>0.5</v>
      </c>
      <c r="IYG68" s="2555">
        <v>0.56000000000000005</v>
      </c>
      <c r="IYH68" s="2555">
        <v>0.34</v>
      </c>
      <c r="IYI68" s="2555"/>
      <c r="IYJ68" s="2555">
        <v>0.42</v>
      </c>
      <c r="IYK68" s="2553">
        <v>2019</v>
      </c>
      <c r="IYL68" s="2554"/>
      <c r="IYM68" s="2555">
        <v>0.5</v>
      </c>
      <c r="IYN68" s="2555">
        <v>0.5</v>
      </c>
      <c r="IYO68" s="2555">
        <v>0.56000000000000005</v>
      </c>
      <c r="IYP68" s="2555">
        <v>0.34</v>
      </c>
      <c r="IYQ68" s="2555"/>
      <c r="IYR68" s="2555">
        <v>0.42</v>
      </c>
      <c r="IYS68" s="2553">
        <v>2019</v>
      </c>
      <c r="IYT68" s="2554"/>
      <c r="IYU68" s="2555">
        <v>0.5</v>
      </c>
      <c r="IYV68" s="2555">
        <v>0.5</v>
      </c>
      <c r="IYW68" s="2555">
        <v>0.56000000000000005</v>
      </c>
      <c r="IYX68" s="2555">
        <v>0.34</v>
      </c>
      <c r="IYY68" s="2555"/>
      <c r="IYZ68" s="2555">
        <v>0.42</v>
      </c>
      <c r="IZA68" s="2553">
        <v>2019</v>
      </c>
      <c r="IZB68" s="2554"/>
      <c r="IZC68" s="2555">
        <v>0.5</v>
      </c>
      <c r="IZD68" s="2555">
        <v>0.5</v>
      </c>
      <c r="IZE68" s="2555">
        <v>0.56000000000000005</v>
      </c>
      <c r="IZF68" s="2555">
        <v>0.34</v>
      </c>
      <c r="IZG68" s="2555"/>
      <c r="IZH68" s="2555">
        <v>0.42</v>
      </c>
      <c r="IZI68" s="2553">
        <v>2019</v>
      </c>
      <c r="IZJ68" s="2554"/>
      <c r="IZK68" s="2555">
        <v>0.5</v>
      </c>
      <c r="IZL68" s="2555">
        <v>0.5</v>
      </c>
      <c r="IZM68" s="2555">
        <v>0.56000000000000005</v>
      </c>
      <c r="IZN68" s="2555">
        <v>0.34</v>
      </c>
      <c r="IZO68" s="2555"/>
      <c r="IZP68" s="2555">
        <v>0.42</v>
      </c>
      <c r="IZQ68" s="2553">
        <v>2019</v>
      </c>
      <c r="IZR68" s="2554"/>
      <c r="IZS68" s="2555">
        <v>0.5</v>
      </c>
      <c r="IZT68" s="2555">
        <v>0.5</v>
      </c>
      <c r="IZU68" s="2555">
        <v>0.56000000000000005</v>
      </c>
      <c r="IZV68" s="2555">
        <v>0.34</v>
      </c>
      <c r="IZW68" s="2555"/>
      <c r="IZX68" s="2555">
        <v>0.42</v>
      </c>
      <c r="IZY68" s="2553">
        <v>2019</v>
      </c>
      <c r="IZZ68" s="2554"/>
      <c r="JAA68" s="2555">
        <v>0.5</v>
      </c>
      <c r="JAB68" s="2555">
        <v>0.5</v>
      </c>
      <c r="JAC68" s="2555">
        <v>0.56000000000000005</v>
      </c>
      <c r="JAD68" s="2555">
        <v>0.34</v>
      </c>
      <c r="JAE68" s="2555"/>
      <c r="JAF68" s="2555">
        <v>0.42</v>
      </c>
      <c r="JAG68" s="2553">
        <v>2019</v>
      </c>
      <c r="JAH68" s="2554"/>
      <c r="JAI68" s="2555">
        <v>0.5</v>
      </c>
      <c r="JAJ68" s="2555">
        <v>0.5</v>
      </c>
      <c r="JAK68" s="2555">
        <v>0.56000000000000005</v>
      </c>
      <c r="JAL68" s="2555">
        <v>0.34</v>
      </c>
      <c r="JAM68" s="2555"/>
      <c r="JAN68" s="2555">
        <v>0.42</v>
      </c>
      <c r="JAO68" s="2553">
        <v>2019</v>
      </c>
      <c r="JAP68" s="2554"/>
      <c r="JAQ68" s="2555">
        <v>0.5</v>
      </c>
      <c r="JAR68" s="2555">
        <v>0.5</v>
      </c>
      <c r="JAS68" s="2555">
        <v>0.56000000000000005</v>
      </c>
      <c r="JAT68" s="2555">
        <v>0.34</v>
      </c>
      <c r="JAU68" s="2555"/>
      <c r="JAV68" s="2555">
        <v>0.42</v>
      </c>
      <c r="JAW68" s="2553">
        <v>2019</v>
      </c>
      <c r="JAX68" s="2554"/>
      <c r="JAY68" s="2555">
        <v>0.5</v>
      </c>
      <c r="JAZ68" s="2555">
        <v>0.5</v>
      </c>
      <c r="JBA68" s="2555">
        <v>0.56000000000000005</v>
      </c>
      <c r="JBB68" s="2555">
        <v>0.34</v>
      </c>
      <c r="JBC68" s="2555"/>
      <c r="JBD68" s="2555">
        <v>0.42</v>
      </c>
      <c r="JBE68" s="2553">
        <v>2019</v>
      </c>
      <c r="JBF68" s="2554"/>
      <c r="JBG68" s="2555">
        <v>0.5</v>
      </c>
      <c r="JBH68" s="2555">
        <v>0.5</v>
      </c>
      <c r="JBI68" s="2555">
        <v>0.56000000000000005</v>
      </c>
      <c r="JBJ68" s="2555">
        <v>0.34</v>
      </c>
      <c r="JBK68" s="2555"/>
      <c r="JBL68" s="2555">
        <v>0.42</v>
      </c>
      <c r="JBM68" s="2553">
        <v>2019</v>
      </c>
      <c r="JBN68" s="2554"/>
      <c r="JBO68" s="2555">
        <v>0.5</v>
      </c>
      <c r="JBP68" s="2555">
        <v>0.5</v>
      </c>
      <c r="JBQ68" s="2555">
        <v>0.56000000000000005</v>
      </c>
      <c r="JBR68" s="2555">
        <v>0.34</v>
      </c>
      <c r="JBS68" s="2555"/>
      <c r="JBT68" s="2555">
        <v>0.42</v>
      </c>
      <c r="JBU68" s="2553">
        <v>2019</v>
      </c>
      <c r="JBV68" s="2554"/>
      <c r="JBW68" s="2555">
        <v>0.5</v>
      </c>
      <c r="JBX68" s="2555">
        <v>0.5</v>
      </c>
      <c r="JBY68" s="2555">
        <v>0.56000000000000005</v>
      </c>
      <c r="JBZ68" s="2555">
        <v>0.34</v>
      </c>
      <c r="JCA68" s="2555"/>
      <c r="JCB68" s="2555">
        <v>0.42</v>
      </c>
      <c r="JCC68" s="2553">
        <v>2019</v>
      </c>
      <c r="JCD68" s="2554"/>
      <c r="JCE68" s="2555">
        <v>0.5</v>
      </c>
      <c r="JCF68" s="2555">
        <v>0.5</v>
      </c>
      <c r="JCG68" s="2555">
        <v>0.56000000000000005</v>
      </c>
      <c r="JCH68" s="2555">
        <v>0.34</v>
      </c>
      <c r="JCI68" s="2555"/>
      <c r="JCJ68" s="2555">
        <v>0.42</v>
      </c>
      <c r="JCK68" s="2553">
        <v>2019</v>
      </c>
      <c r="JCL68" s="2554"/>
      <c r="JCM68" s="2555">
        <v>0.5</v>
      </c>
      <c r="JCN68" s="2555">
        <v>0.5</v>
      </c>
      <c r="JCO68" s="2555">
        <v>0.56000000000000005</v>
      </c>
      <c r="JCP68" s="2555">
        <v>0.34</v>
      </c>
      <c r="JCQ68" s="2555"/>
      <c r="JCR68" s="2555">
        <v>0.42</v>
      </c>
      <c r="JCS68" s="2553">
        <v>2019</v>
      </c>
      <c r="JCT68" s="2554"/>
      <c r="JCU68" s="2555">
        <v>0.5</v>
      </c>
      <c r="JCV68" s="2555">
        <v>0.5</v>
      </c>
      <c r="JCW68" s="2555">
        <v>0.56000000000000005</v>
      </c>
      <c r="JCX68" s="2555">
        <v>0.34</v>
      </c>
      <c r="JCY68" s="2555"/>
      <c r="JCZ68" s="2555">
        <v>0.42</v>
      </c>
      <c r="JDA68" s="2553">
        <v>2019</v>
      </c>
      <c r="JDB68" s="2554"/>
      <c r="JDC68" s="2555">
        <v>0.5</v>
      </c>
      <c r="JDD68" s="2555">
        <v>0.5</v>
      </c>
      <c r="JDE68" s="2555">
        <v>0.56000000000000005</v>
      </c>
      <c r="JDF68" s="2555">
        <v>0.34</v>
      </c>
      <c r="JDG68" s="2555"/>
      <c r="JDH68" s="2555">
        <v>0.42</v>
      </c>
      <c r="JDI68" s="2553">
        <v>2019</v>
      </c>
      <c r="JDJ68" s="2554"/>
      <c r="JDK68" s="2555">
        <v>0.5</v>
      </c>
      <c r="JDL68" s="2555">
        <v>0.5</v>
      </c>
      <c r="JDM68" s="2555">
        <v>0.56000000000000005</v>
      </c>
      <c r="JDN68" s="2555">
        <v>0.34</v>
      </c>
      <c r="JDO68" s="2555"/>
      <c r="JDP68" s="2555">
        <v>0.42</v>
      </c>
      <c r="JDQ68" s="2553">
        <v>2019</v>
      </c>
      <c r="JDR68" s="2554"/>
      <c r="JDS68" s="2555">
        <v>0.5</v>
      </c>
      <c r="JDT68" s="2555">
        <v>0.5</v>
      </c>
      <c r="JDU68" s="2555">
        <v>0.56000000000000005</v>
      </c>
      <c r="JDV68" s="2555">
        <v>0.34</v>
      </c>
      <c r="JDW68" s="2555"/>
      <c r="JDX68" s="2555">
        <v>0.42</v>
      </c>
      <c r="JDY68" s="2553">
        <v>2019</v>
      </c>
      <c r="JDZ68" s="2554"/>
      <c r="JEA68" s="2555">
        <v>0.5</v>
      </c>
      <c r="JEB68" s="2555">
        <v>0.5</v>
      </c>
      <c r="JEC68" s="2555">
        <v>0.56000000000000005</v>
      </c>
      <c r="JED68" s="2555">
        <v>0.34</v>
      </c>
      <c r="JEE68" s="2555"/>
      <c r="JEF68" s="2555">
        <v>0.42</v>
      </c>
      <c r="JEG68" s="2553">
        <v>2019</v>
      </c>
      <c r="JEH68" s="2554"/>
      <c r="JEI68" s="2555">
        <v>0.5</v>
      </c>
      <c r="JEJ68" s="2555">
        <v>0.5</v>
      </c>
      <c r="JEK68" s="2555">
        <v>0.56000000000000005</v>
      </c>
      <c r="JEL68" s="2555">
        <v>0.34</v>
      </c>
      <c r="JEM68" s="2555"/>
      <c r="JEN68" s="2555">
        <v>0.42</v>
      </c>
      <c r="JEO68" s="2553">
        <v>2019</v>
      </c>
      <c r="JEP68" s="2554"/>
      <c r="JEQ68" s="2555">
        <v>0.5</v>
      </c>
      <c r="JER68" s="2555">
        <v>0.5</v>
      </c>
      <c r="JES68" s="2555">
        <v>0.56000000000000005</v>
      </c>
      <c r="JET68" s="2555">
        <v>0.34</v>
      </c>
      <c r="JEU68" s="2555"/>
      <c r="JEV68" s="2555">
        <v>0.42</v>
      </c>
      <c r="JEW68" s="2553">
        <v>2019</v>
      </c>
      <c r="JEX68" s="2554"/>
      <c r="JEY68" s="2555">
        <v>0.5</v>
      </c>
      <c r="JEZ68" s="2555">
        <v>0.5</v>
      </c>
      <c r="JFA68" s="2555">
        <v>0.56000000000000005</v>
      </c>
      <c r="JFB68" s="2555">
        <v>0.34</v>
      </c>
      <c r="JFC68" s="2555"/>
      <c r="JFD68" s="2555">
        <v>0.42</v>
      </c>
      <c r="JFE68" s="2553">
        <v>2019</v>
      </c>
      <c r="JFF68" s="2554"/>
      <c r="JFG68" s="2555">
        <v>0.5</v>
      </c>
      <c r="JFH68" s="2555">
        <v>0.5</v>
      </c>
      <c r="JFI68" s="2555">
        <v>0.56000000000000005</v>
      </c>
      <c r="JFJ68" s="2555">
        <v>0.34</v>
      </c>
      <c r="JFK68" s="2555"/>
      <c r="JFL68" s="2555">
        <v>0.42</v>
      </c>
      <c r="JFM68" s="2553">
        <v>2019</v>
      </c>
      <c r="JFN68" s="2554"/>
      <c r="JFO68" s="2555">
        <v>0.5</v>
      </c>
      <c r="JFP68" s="2555">
        <v>0.5</v>
      </c>
      <c r="JFQ68" s="2555">
        <v>0.56000000000000005</v>
      </c>
      <c r="JFR68" s="2555">
        <v>0.34</v>
      </c>
      <c r="JFS68" s="2555"/>
      <c r="JFT68" s="2555">
        <v>0.42</v>
      </c>
      <c r="JFU68" s="2553">
        <v>2019</v>
      </c>
      <c r="JFV68" s="2554"/>
      <c r="JFW68" s="2555">
        <v>0.5</v>
      </c>
      <c r="JFX68" s="2555">
        <v>0.5</v>
      </c>
      <c r="JFY68" s="2555">
        <v>0.56000000000000005</v>
      </c>
      <c r="JFZ68" s="2555">
        <v>0.34</v>
      </c>
      <c r="JGA68" s="2555"/>
      <c r="JGB68" s="2555">
        <v>0.42</v>
      </c>
      <c r="JGC68" s="2553">
        <v>2019</v>
      </c>
      <c r="JGD68" s="2554"/>
      <c r="JGE68" s="2555">
        <v>0.5</v>
      </c>
      <c r="JGF68" s="2555">
        <v>0.5</v>
      </c>
      <c r="JGG68" s="2555">
        <v>0.56000000000000005</v>
      </c>
      <c r="JGH68" s="2555">
        <v>0.34</v>
      </c>
      <c r="JGI68" s="2555"/>
      <c r="JGJ68" s="2555">
        <v>0.42</v>
      </c>
      <c r="JGK68" s="2553">
        <v>2019</v>
      </c>
      <c r="JGL68" s="2554"/>
      <c r="JGM68" s="2555">
        <v>0.5</v>
      </c>
      <c r="JGN68" s="2555">
        <v>0.5</v>
      </c>
      <c r="JGO68" s="2555">
        <v>0.56000000000000005</v>
      </c>
      <c r="JGP68" s="2555">
        <v>0.34</v>
      </c>
      <c r="JGQ68" s="2555"/>
      <c r="JGR68" s="2555">
        <v>0.42</v>
      </c>
      <c r="JGS68" s="2553">
        <v>2019</v>
      </c>
      <c r="JGT68" s="2554"/>
      <c r="JGU68" s="2555">
        <v>0.5</v>
      </c>
      <c r="JGV68" s="2555">
        <v>0.5</v>
      </c>
      <c r="JGW68" s="2555">
        <v>0.56000000000000005</v>
      </c>
      <c r="JGX68" s="2555">
        <v>0.34</v>
      </c>
      <c r="JGY68" s="2555"/>
      <c r="JGZ68" s="2555">
        <v>0.42</v>
      </c>
      <c r="JHA68" s="2553">
        <v>2019</v>
      </c>
      <c r="JHB68" s="2554"/>
      <c r="JHC68" s="2555">
        <v>0.5</v>
      </c>
      <c r="JHD68" s="2555">
        <v>0.5</v>
      </c>
      <c r="JHE68" s="2555">
        <v>0.56000000000000005</v>
      </c>
      <c r="JHF68" s="2555">
        <v>0.34</v>
      </c>
      <c r="JHG68" s="2555"/>
      <c r="JHH68" s="2555">
        <v>0.42</v>
      </c>
      <c r="JHI68" s="2553">
        <v>2019</v>
      </c>
      <c r="JHJ68" s="2554"/>
      <c r="JHK68" s="2555">
        <v>0.5</v>
      </c>
      <c r="JHL68" s="2555">
        <v>0.5</v>
      </c>
      <c r="JHM68" s="2555">
        <v>0.56000000000000005</v>
      </c>
      <c r="JHN68" s="2555">
        <v>0.34</v>
      </c>
      <c r="JHO68" s="2555"/>
      <c r="JHP68" s="2555">
        <v>0.42</v>
      </c>
      <c r="JHQ68" s="2553">
        <v>2019</v>
      </c>
      <c r="JHR68" s="2554"/>
      <c r="JHS68" s="2555">
        <v>0.5</v>
      </c>
      <c r="JHT68" s="2555">
        <v>0.5</v>
      </c>
      <c r="JHU68" s="2555">
        <v>0.56000000000000005</v>
      </c>
      <c r="JHV68" s="2555">
        <v>0.34</v>
      </c>
      <c r="JHW68" s="2555"/>
      <c r="JHX68" s="2555">
        <v>0.42</v>
      </c>
      <c r="JHY68" s="2553">
        <v>2019</v>
      </c>
      <c r="JHZ68" s="2554"/>
      <c r="JIA68" s="2555">
        <v>0.5</v>
      </c>
      <c r="JIB68" s="2555">
        <v>0.5</v>
      </c>
      <c r="JIC68" s="2555">
        <v>0.56000000000000005</v>
      </c>
      <c r="JID68" s="2555">
        <v>0.34</v>
      </c>
      <c r="JIE68" s="2555"/>
      <c r="JIF68" s="2555">
        <v>0.42</v>
      </c>
      <c r="JIG68" s="2553">
        <v>2019</v>
      </c>
      <c r="JIH68" s="2554"/>
      <c r="JII68" s="2555">
        <v>0.5</v>
      </c>
      <c r="JIJ68" s="2555">
        <v>0.5</v>
      </c>
      <c r="JIK68" s="2555">
        <v>0.56000000000000005</v>
      </c>
      <c r="JIL68" s="2555">
        <v>0.34</v>
      </c>
      <c r="JIM68" s="2555"/>
      <c r="JIN68" s="2555">
        <v>0.42</v>
      </c>
      <c r="JIO68" s="2553">
        <v>2019</v>
      </c>
      <c r="JIP68" s="2554"/>
      <c r="JIQ68" s="2555">
        <v>0.5</v>
      </c>
      <c r="JIR68" s="2555">
        <v>0.5</v>
      </c>
      <c r="JIS68" s="2555">
        <v>0.56000000000000005</v>
      </c>
      <c r="JIT68" s="2555">
        <v>0.34</v>
      </c>
      <c r="JIU68" s="2555"/>
      <c r="JIV68" s="2555">
        <v>0.42</v>
      </c>
      <c r="JIW68" s="2553">
        <v>2019</v>
      </c>
      <c r="JIX68" s="2554"/>
      <c r="JIY68" s="2555">
        <v>0.5</v>
      </c>
      <c r="JIZ68" s="2555">
        <v>0.5</v>
      </c>
      <c r="JJA68" s="2555">
        <v>0.56000000000000005</v>
      </c>
      <c r="JJB68" s="2555">
        <v>0.34</v>
      </c>
      <c r="JJC68" s="2555"/>
      <c r="JJD68" s="2555">
        <v>0.42</v>
      </c>
      <c r="JJE68" s="2553">
        <v>2019</v>
      </c>
      <c r="JJF68" s="2554"/>
      <c r="JJG68" s="2555">
        <v>0.5</v>
      </c>
      <c r="JJH68" s="2555">
        <v>0.5</v>
      </c>
      <c r="JJI68" s="2555">
        <v>0.56000000000000005</v>
      </c>
      <c r="JJJ68" s="2555">
        <v>0.34</v>
      </c>
      <c r="JJK68" s="2555"/>
      <c r="JJL68" s="2555">
        <v>0.42</v>
      </c>
      <c r="JJM68" s="2553">
        <v>2019</v>
      </c>
      <c r="JJN68" s="2554"/>
      <c r="JJO68" s="2555">
        <v>0.5</v>
      </c>
      <c r="JJP68" s="2555">
        <v>0.5</v>
      </c>
      <c r="JJQ68" s="2555">
        <v>0.56000000000000005</v>
      </c>
      <c r="JJR68" s="2555">
        <v>0.34</v>
      </c>
      <c r="JJS68" s="2555"/>
      <c r="JJT68" s="2555">
        <v>0.42</v>
      </c>
      <c r="JJU68" s="2553">
        <v>2019</v>
      </c>
      <c r="JJV68" s="2554"/>
      <c r="JJW68" s="2555">
        <v>0.5</v>
      </c>
      <c r="JJX68" s="2555">
        <v>0.5</v>
      </c>
      <c r="JJY68" s="2555">
        <v>0.56000000000000005</v>
      </c>
      <c r="JJZ68" s="2555">
        <v>0.34</v>
      </c>
      <c r="JKA68" s="2555"/>
      <c r="JKB68" s="2555">
        <v>0.42</v>
      </c>
      <c r="JKC68" s="2553">
        <v>2019</v>
      </c>
      <c r="JKD68" s="2554"/>
      <c r="JKE68" s="2555">
        <v>0.5</v>
      </c>
      <c r="JKF68" s="2555">
        <v>0.5</v>
      </c>
      <c r="JKG68" s="2555">
        <v>0.56000000000000005</v>
      </c>
      <c r="JKH68" s="2555">
        <v>0.34</v>
      </c>
      <c r="JKI68" s="2555"/>
      <c r="JKJ68" s="2555">
        <v>0.42</v>
      </c>
      <c r="JKK68" s="2553">
        <v>2019</v>
      </c>
      <c r="JKL68" s="2554"/>
      <c r="JKM68" s="2555">
        <v>0.5</v>
      </c>
      <c r="JKN68" s="2555">
        <v>0.5</v>
      </c>
      <c r="JKO68" s="2555">
        <v>0.56000000000000005</v>
      </c>
      <c r="JKP68" s="2555">
        <v>0.34</v>
      </c>
      <c r="JKQ68" s="2555"/>
      <c r="JKR68" s="2555">
        <v>0.42</v>
      </c>
      <c r="JKS68" s="2553">
        <v>2019</v>
      </c>
      <c r="JKT68" s="2554"/>
      <c r="JKU68" s="2555">
        <v>0.5</v>
      </c>
      <c r="JKV68" s="2555">
        <v>0.5</v>
      </c>
      <c r="JKW68" s="2555">
        <v>0.56000000000000005</v>
      </c>
      <c r="JKX68" s="2555">
        <v>0.34</v>
      </c>
      <c r="JKY68" s="2555"/>
      <c r="JKZ68" s="2555">
        <v>0.42</v>
      </c>
      <c r="JLA68" s="2553">
        <v>2019</v>
      </c>
      <c r="JLB68" s="2554"/>
      <c r="JLC68" s="2555">
        <v>0.5</v>
      </c>
      <c r="JLD68" s="2555">
        <v>0.5</v>
      </c>
      <c r="JLE68" s="2555">
        <v>0.56000000000000005</v>
      </c>
      <c r="JLF68" s="2555">
        <v>0.34</v>
      </c>
      <c r="JLG68" s="2555"/>
      <c r="JLH68" s="2555">
        <v>0.42</v>
      </c>
      <c r="JLI68" s="2553">
        <v>2019</v>
      </c>
      <c r="JLJ68" s="2554"/>
      <c r="JLK68" s="2555">
        <v>0.5</v>
      </c>
      <c r="JLL68" s="2555">
        <v>0.5</v>
      </c>
      <c r="JLM68" s="2555">
        <v>0.56000000000000005</v>
      </c>
      <c r="JLN68" s="2555">
        <v>0.34</v>
      </c>
      <c r="JLO68" s="2555"/>
      <c r="JLP68" s="2555">
        <v>0.42</v>
      </c>
      <c r="JLQ68" s="2553">
        <v>2019</v>
      </c>
      <c r="JLR68" s="2554"/>
      <c r="JLS68" s="2555">
        <v>0.5</v>
      </c>
      <c r="JLT68" s="2555">
        <v>0.5</v>
      </c>
      <c r="JLU68" s="2555">
        <v>0.56000000000000005</v>
      </c>
      <c r="JLV68" s="2555">
        <v>0.34</v>
      </c>
      <c r="JLW68" s="2555"/>
      <c r="JLX68" s="2555">
        <v>0.42</v>
      </c>
      <c r="JLY68" s="2553">
        <v>2019</v>
      </c>
      <c r="JLZ68" s="2554"/>
      <c r="JMA68" s="2555">
        <v>0.5</v>
      </c>
      <c r="JMB68" s="2555">
        <v>0.5</v>
      </c>
      <c r="JMC68" s="2555">
        <v>0.56000000000000005</v>
      </c>
      <c r="JMD68" s="2555">
        <v>0.34</v>
      </c>
      <c r="JME68" s="2555"/>
      <c r="JMF68" s="2555">
        <v>0.42</v>
      </c>
      <c r="JMG68" s="2553">
        <v>2019</v>
      </c>
      <c r="JMH68" s="2554"/>
      <c r="JMI68" s="2555">
        <v>0.5</v>
      </c>
      <c r="JMJ68" s="2555">
        <v>0.5</v>
      </c>
      <c r="JMK68" s="2555">
        <v>0.56000000000000005</v>
      </c>
      <c r="JML68" s="2555">
        <v>0.34</v>
      </c>
      <c r="JMM68" s="2555"/>
      <c r="JMN68" s="2555">
        <v>0.42</v>
      </c>
      <c r="JMO68" s="2553">
        <v>2019</v>
      </c>
      <c r="JMP68" s="2554"/>
      <c r="JMQ68" s="2555">
        <v>0.5</v>
      </c>
      <c r="JMR68" s="2555">
        <v>0.5</v>
      </c>
      <c r="JMS68" s="2555">
        <v>0.56000000000000005</v>
      </c>
      <c r="JMT68" s="2555">
        <v>0.34</v>
      </c>
      <c r="JMU68" s="2555"/>
      <c r="JMV68" s="2555">
        <v>0.42</v>
      </c>
      <c r="JMW68" s="2553">
        <v>2019</v>
      </c>
      <c r="JMX68" s="2554"/>
      <c r="JMY68" s="2555">
        <v>0.5</v>
      </c>
      <c r="JMZ68" s="2555">
        <v>0.5</v>
      </c>
      <c r="JNA68" s="2555">
        <v>0.56000000000000005</v>
      </c>
      <c r="JNB68" s="2555">
        <v>0.34</v>
      </c>
      <c r="JNC68" s="2555"/>
      <c r="JND68" s="2555">
        <v>0.42</v>
      </c>
      <c r="JNE68" s="2553">
        <v>2019</v>
      </c>
      <c r="JNF68" s="2554"/>
      <c r="JNG68" s="2555">
        <v>0.5</v>
      </c>
      <c r="JNH68" s="2555">
        <v>0.5</v>
      </c>
      <c r="JNI68" s="2555">
        <v>0.56000000000000005</v>
      </c>
      <c r="JNJ68" s="2555">
        <v>0.34</v>
      </c>
      <c r="JNK68" s="2555"/>
      <c r="JNL68" s="2555">
        <v>0.42</v>
      </c>
      <c r="JNM68" s="2553">
        <v>2019</v>
      </c>
      <c r="JNN68" s="2554"/>
      <c r="JNO68" s="2555">
        <v>0.5</v>
      </c>
      <c r="JNP68" s="2555">
        <v>0.5</v>
      </c>
      <c r="JNQ68" s="2555">
        <v>0.56000000000000005</v>
      </c>
      <c r="JNR68" s="2555">
        <v>0.34</v>
      </c>
      <c r="JNS68" s="2555"/>
      <c r="JNT68" s="2555">
        <v>0.42</v>
      </c>
      <c r="JNU68" s="2553">
        <v>2019</v>
      </c>
      <c r="JNV68" s="2554"/>
      <c r="JNW68" s="2555">
        <v>0.5</v>
      </c>
      <c r="JNX68" s="2555">
        <v>0.5</v>
      </c>
      <c r="JNY68" s="2555">
        <v>0.56000000000000005</v>
      </c>
      <c r="JNZ68" s="2555">
        <v>0.34</v>
      </c>
      <c r="JOA68" s="2555"/>
      <c r="JOB68" s="2555">
        <v>0.42</v>
      </c>
      <c r="JOC68" s="2553">
        <v>2019</v>
      </c>
      <c r="JOD68" s="2554"/>
      <c r="JOE68" s="2555">
        <v>0.5</v>
      </c>
      <c r="JOF68" s="2555">
        <v>0.5</v>
      </c>
      <c r="JOG68" s="2555">
        <v>0.56000000000000005</v>
      </c>
      <c r="JOH68" s="2555">
        <v>0.34</v>
      </c>
      <c r="JOI68" s="2555"/>
      <c r="JOJ68" s="2555">
        <v>0.42</v>
      </c>
      <c r="JOK68" s="2553">
        <v>2019</v>
      </c>
      <c r="JOL68" s="2554"/>
      <c r="JOM68" s="2555">
        <v>0.5</v>
      </c>
      <c r="JON68" s="2555">
        <v>0.5</v>
      </c>
      <c r="JOO68" s="2555">
        <v>0.56000000000000005</v>
      </c>
      <c r="JOP68" s="2555">
        <v>0.34</v>
      </c>
      <c r="JOQ68" s="2555"/>
      <c r="JOR68" s="2555">
        <v>0.42</v>
      </c>
      <c r="JOS68" s="2553">
        <v>2019</v>
      </c>
      <c r="JOT68" s="2554"/>
      <c r="JOU68" s="2555">
        <v>0.5</v>
      </c>
      <c r="JOV68" s="2555">
        <v>0.5</v>
      </c>
      <c r="JOW68" s="2555">
        <v>0.56000000000000005</v>
      </c>
      <c r="JOX68" s="2555">
        <v>0.34</v>
      </c>
      <c r="JOY68" s="2555"/>
      <c r="JOZ68" s="2555">
        <v>0.42</v>
      </c>
      <c r="JPA68" s="2553">
        <v>2019</v>
      </c>
      <c r="JPB68" s="2554"/>
      <c r="JPC68" s="2555">
        <v>0.5</v>
      </c>
      <c r="JPD68" s="2555">
        <v>0.5</v>
      </c>
      <c r="JPE68" s="2555">
        <v>0.56000000000000005</v>
      </c>
      <c r="JPF68" s="2555">
        <v>0.34</v>
      </c>
      <c r="JPG68" s="2555"/>
      <c r="JPH68" s="2555">
        <v>0.42</v>
      </c>
      <c r="JPI68" s="2553">
        <v>2019</v>
      </c>
      <c r="JPJ68" s="2554"/>
      <c r="JPK68" s="2555">
        <v>0.5</v>
      </c>
      <c r="JPL68" s="2555">
        <v>0.5</v>
      </c>
      <c r="JPM68" s="2555">
        <v>0.56000000000000005</v>
      </c>
      <c r="JPN68" s="2555">
        <v>0.34</v>
      </c>
      <c r="JPO68" s="2555"/>
      <c r="JPP68" s="2555">
        <v>0.42</v>
      </c>
      <c r="JPQ68" s="2553">
        <v>2019</v>
      </c>
      <c r="JPR68" s="2554"/>
      <c r="JPS68" s="2555">
        <v>0.5</v>
      </c>
      <c r="JPT68" s="2555">
        <v>0.5</v>
      </c>
      <c r="JPU68" s="2555">
        <v>0.56000000000000005</v>
      </c>
      <c r="JPV68" s="2555">
        <v>0.34</v>
      </c>
      <c r="JPW68" s="2555"/>
      <c r="JPX68" s="2555">
        <v>0.42</v>
      </c>
      <c r="JPY68" s="2553">
        <v>2019</v>
      </c>
      <c r="JPZ68" s="2554"/>
      <c r="JQA68" s="2555">
        <v>0.5</v>
      </c>
      <c r="JQB68" s="2555">
        <v>0.5</v>
      </c>
      <c r="JQC68" s="2555">
        <v>0.56000000000000005</v>
      </c>
      <c r="JQD68" s="2555">
        <v>0.34</v>
      </c>
      <c r="JQE68" s="2555"/>
      <c r="JQF68" s="2555">
        <v>0.42</v>
      </c>
      <c r="JQG68" s="2553">
        <v>2019</v>
      </c>
      <c r="JQH68" s="2554"/>
      <c r="JQI68" s="2555">
        <v>0.5</v>
      </c>
      <c r="JQJ68" s="2555">
        <v>0.5</v>
      </c>
      <c r="JQK68" s="2555">
        <v>0.56000000000000005</v>
      </c>
      <c r="JQL68" s="2555">
        <v>0.34</v>
      </c>
      <c r="JQM68" s="2555"/>
      <c r="JQN68" s="2555">
        <v>0.42</v>
      </c>
      <c r="JQO68" s="2553">
        <v>2019</v>
      </c>
      <c r="JQP68" s="2554"/>
      <c r="JQQ68" s="2555">
        <v>0.5</v>
      </c>
      <c r="JQR68" s="2555">
        <v>0.5</v>
      </c>
      <c r="JQS68" s="2555">
        <v>0.56000000000000005</v>
      </c>
      <c r="JQT68" s="2555">
        <v>0.34</v>
      </c>
      <c r="JQU68" s="2555"/>
      <c r="JQV68" s="2555">
        <v>0.42</v>
      </c>
      <c r="JQW68" s="2553">
        <v>2019</v>
      </c>
      <c r="JQX68" s="2554"/>
      <c r="JQY68" s="2555">
        <v>0.5</v>
      </c>
      <c r="JQZ68" s="2555">
        <v>0.5</v>
      </c>
      <c r="JRA68" s="2555">
        <v>0.56000000000000005</v>
      </c>
      <c r="JRB68" s="2555">
        <v>0.34</v>
      </c>
      <c r="JRC68" s="2555"/>
      <c r="JRD68" s="2555">
        <v>0.42</v>
      </c>
      <c r="JRE68" s="2553">
        <v>2019</v>
      </c>
      <c r="JRF68" s="2554"/>
      <c r="JRG68" s="2555">
        <v>0.5</v>
      </c>
      <c r="JRH68" s="2555">
        <v>0.5</v>
      </c>
      <c r="JRI68" s="2555">
        <v>0.56000000000000005</v>
      </c>
      <c r="JRJ68" s="2555">
        <v>0.34</v>
      </c>
      <c r="JRK68" s="2555"/>
      <c r="JRL68" s="2555">
        <v>0.42</v>
      </c>
      <c r="JRM68" s="2553">
        <v>2019</v>
      </c>
      <c r="JRN68" s="2554"/>
      <c r="JRO68" s="2555">
        <v>0.5</v>
      </c>
      <c r="JRP68" s="2555">
        <v>0.5</v>
      </c>
      <c r="JRQ68" s="2555">
        <v>0.56000000000000005</v>
      </c>
      <c r="JRR68" s="2555">
        <v>0.34</v>
      </c>
      <c r="JRS68" s="2555"/>
      <c r="JRT68" s="2555">
        <v>0.42</v>
      </c>
      <c r="JRU68" s="2553">
        <v>2019</v>
      </c>
      <c r="JRV68" s="2554"/>
      <c r="JRW68" s="2555">
        <v>0.5</v>
      </c>
      <c r="JRX68" s="2555">
        <v>0.5</v>
      </c>
      <c r="JRY68" s="2555">
        <v>0.56000000000000005</v>
      </c>
      <c r="JRZ68" s="2555">
        <v>0.34</v>
      </c>
      <c r="JSA68" s="2555"/>
      <c r="JSB68" s="2555">
        <v>0.42</v>
      </c>
      <c r="JSC68" s="2553">
        <v>2019</v>
      </c>
      <c r="JSD68" s="2554"/>
      <c r="JSE68" s="2555">
        <v>0.5</v>
      </c>
      <c r="JSF68" s="2555">
        <v>0.5</v>
      </c>
      <c r="JSG68" s="2555">
        <v>0.56000000000000005</v>
      </c>
      <c r="JSH68" s="2555">
        <v>0.34</v>
      </c>
      <c r="JSI68" s="2555"/>
      <c r="JSJ68" s="2555">
        <v>0.42</v>
      </c>
      <c r="JSK68" s="2553">
        <v>2019</v>
      </c>
      <c r="JSL68" s="2554"/>
      <c r="JSM68" s="2555">
        <v>0.5</v>
      </c>
      <c r="JSN68" s="2555">
        <v>0.5</v>
      </c>
      <c r="JSO68" s="2555">
        <v>0.56000000000000005</v>
      </c>
      <c r="JSP68" s="2555">
        <v>0.34</v>
      </c>
      <c r="JSQ68" s="2555"/>
      <c r="JSR68" s="2555">
        <v>0.42</v>
      </c>
      <c r="JSS68" s="2553">
        <v>2019</v>
      </c>
      <c r="JST68" s="2554"/>
      <c r="JSU68" s="2555">
        <v>0.5</v>
      </c>
      <c r="JSV68" s="2555">
        <v>0.5</v>
      </c>
      <c r="JSW68" s="2555">
        <v>0.56000000000000005</v>
      </c>
      <c r="JSX68" s="2555">
        <v>0.34</v>
      </c>
      <c r="JSY68" s="2555"/>
      <c r="JSZ68" s="2555">
        <v>0.42</v>
      </c>
      <c r="JTA68" s="2553">
        <v>2019</v>
      </c>
      <c r="JTB68" s="2554"/>
      <c r="JTC68" s="2555">
        <v>0.5</v>
      </c>
      <c r="JTD68" s="2555">
        <v>0.5</v>
      </c>
      <c r="JTE68" s="2555">
        <v>0.56000000000000005</v>
      </c>
      <c r="JTF68" s="2555">
        <v>0.34</v>
      </c>
      <c r="JTG68" s="2555"/>
      <c r="JTH68" s="2555">
        <v>0.42</v>
      </c>
      <c r="JTI68" s="2553">
        <v>2019</v>
      </c>
      <c r="JTJ68" s="2554"/>
      <c r="JTK68" s="2555">
        <v>0.5</v>
      </c>
      <c r="JTL68" s="2555">
        <v>0.5</v>
      </c>
      <c r="JTM68" s="2555">
        <v>0.56000000000000005</v>
      </c>
      <c r="JTN68" s="2555">
        <v>0.34</v>
      </c>
      <c r="JTO68" s="2555"/>
      <c r="JTP68" s="2555">
        <v>0.42</v>
      </c>
      <c r="JTQ68" s="2553">
        <v>2019</v>
      </c>
      <c r="JTR68" s="2554"/>
      <c r="JTS68" s="2555">
        <v>0.5</v>
      </c>
      <c r="JTT68" s="2555">
        <v>0.5</v>
      </c>
      <c r="JTU68" s="2555">
        <v>0.56000000000000005</v>
      </c>
      <c r="JTV68" s="2555">
        <v>0.34</v>
      </c>
      <c r="JTW68" s="2555"/>
      <c r="JTX68" s="2555">
        <v>0.42</v>
      </c>
      <c r="JTY68" s="2553">
        <v>2019</v>
      </c>
      <c r="JTZ68" s="2554"/>
      <c r="JUA68" s="2555">
        <v>0.5</v>
      </c>
      <c r="JUB68" s="2555">
        <v>0.5</v>
      </c>
      <c r="JUC68" s="2555">
        <v>0.56000000000000005</v>
      </c>
      <c r="JUD68" s="2555">
        <v>0.34</v>
      </c>
      <c r="JUE68" s="2555"/>
      <c r="JUF68" s="2555">
        <v>0.42</v>
      </c>
      <c r="JUG68" s="2553">
        <v>2019</v>
      </c>
      <c r="JUH68" s="2554"/>
      <c r="JUI68" s="2555">
        <v>0.5</v>
      </c>
      <c r="JUJ68" s="2555">
        <v>0.5</v>
      </c>
      <c r="JUK68" s="2555">
        <v>0.56000000000000005</v>
      </c>
      <c r="JUL68" s="2555">
        <v>0.34</v>
      </c>
      <c r="JUM68" s="2555"/>
      <c r="JUN68" s="2555">
        <v>0.42</v>
      </c>
      <c r="JUO68" s="2553">
        <v>2019</v>
      </c>
      <c r="JUP68" s="2554"/>
      <c r="JUQ68" s="2555">
        <v>0.5</v>
      </c>
      <c r="JUR68" s="2555">
        <v>0.5</v>
      </c>
      <c r="JUS68" s="2555">
        <v>0.56000000000000005</v>
      </c>
      <c r="JUT68" s="2555">
        <v>0.34</v>
      </c>
      <c r="JUU68" s="2555"/>
      <c r="JUV68" s="2555">
        <v>0.42</v>
      </c>
      <c r="JUW68" s="2553">
        <v>2019</v>
      </c>
      <c r="JUX68" s="2554"/>
      <c r="JUY68" s="2555">
        <v>0.5</v>
      </c>
      <c r="JUZ68" s="2555">
        <v>0.5</v>
      </c>
      <c r="JVA68" s="2555">
        <v>0.56000000000000005</v>
      </c>
      <c r="JVB68" s="2555">
        <v>0.34</v>
      </c>
      <c r="JVC68" s="2555"/>
      <c r="JVD68" s="2555">
        <v>0.42</v>
      </c>
      <c r="JVE68" s="2553">
        <v>2019</v>
      </c>
      <c r="JVF68" s="2554"/>
      <c r="JVG68" s="2555">
        <v>0.5</v>
      </c>
      <c r="JVH68" s="2555">
        <v>0.5</v>
      </c>
      <c r="JVI68" s="2555">
        <v>0.56000000000000005</v>
      </c>
      <c r="JVJ68" s="2555">
        <v>0.34</v>
      </c>
      <c r="JVK68" s="2555"/>
      <c r="JVL68" s="2555">
        <v>0.42</v>
      </c>
      <c r="JVM68" s="2553">
        <v>2019</v>
      </c>
      <c r="JVN68" s="2554"/>
      <c r="JVO68" s="2555">
        <v>0.5</v>
      </c>
      <c r="JVP68" s="2555">
        <v>0.5</v>
      </c>
      <c r="JVQ68" s="2555">
        <v>0.56000000000000005</v>
      </c>
      <c r="JVR68" s="2555">
        <v>0.34</v>
      </c>
      <c r="JVS68" s="2555"/>
      <c r="JVT68" s="2555">
        <v>0.42</v>
      </c>
      <c r="JVU68" s="2553">
        <v>2019</v>
      </c>
      <c r="JVV68" s="2554"/>
      <c r="JVW68" s="2555">
        <v>0.5</v>
      </c>
      <c r="JVX68" s="2555">
        <v>0.5</v>
      </c>
      <c r="JVY68" s="2555">
        <v>0.56000000000000005</v>
      </c>
      <c r="JVZ68" s="2555">
        <v>0.34</v>
      </c>
      <c r="JWA68" s="2555"/>
      <c r="JWB68" s="2555">
        <v>0.42</v>
      </c>
      <c r="JWC68" s="2553">
        <v>2019</v>
      </c>
      <c r="JWD68" s="2554"/>
      <c r="JWE68" s="2555">
        <v>0.5</v>
      </c>
      <c r="JWF68" s="2555">
        <v>0.5</v>
      </c>
      <c r="JWG68" s="2555">
        <v>0.56000000000000005</v>
      </c>
      <c r="JWH68" s="2555">
        <v>0.34</v>
      </c>
      <c r="JWI68" s="2555"/>
      <c r="JWJ68" s="2555">
        <v>0.42</v>
      </c>
      <c r="JWK68" s="2553">
        <v>2019</v>
      </c>
      <c r="JWL68" s="2554"/>
      <c r="JWM68" s="2555">
        <v>0.5</v>
      </c>
      <c r="JWN68" s="2555">
        <v>0.5</v>
      </c>
      <c r="JWO68" s="2555">
        <v>0.56000000000000005</v>
      </c>
      <c r="JWP68" s="2555">
        <v>0.34</v>
      </c>
      <c r="JWQ68" s="2555"/>
      <c r="JWR68" s="2555">
        <v>0.42</v>
      </c>
      <c r="JWS68" s="2553">
        <v>2019</v>
      </c>
      <c r="JWT68" s="2554"/>
      <c r="JWU68" s="2555">
        <v>0.5</v>
      </c>
      <c r="JWV68" s="2555">
        <v>0.5</v>
      </c>
      <c r="JWW68" s="2555">
        <v>0.56000000000000005</v>
      </c>
      <c r="JWX68" s="2555">
        <v>0.34</v>
      </c>
      <c r="JWY68" s="2555"/>
      <c r="JWZ68" s="2555">
        <v>0.42</v>
      </c>
      <c r="JXA68" s="2553">
        <v>2019</v>
      </c>
      <c r="JXB68" s="2554"/>
      <c r="JXC68" s="2555">
        <v>0.5</v>
      </c>
      <c r="JXD68" s="2555">
        <v>0.5</v>
      </c>
      <c r="JXE68" s="2555">
        <v>0.56000000000000005</v>
      </c>
      <c r="JXF68" s="2555">
        <v>0.34</v>
      </c>
      <c r="JXG68" s="2555"/>
      <c r="JXH68" s="2555">
        <v>0.42</v>
      </c>
      <c r="JXI68" s="2553">
        <v>2019</v>
      </c>
      <c r="JXJ68" s="2554"/>
      <c r="JXK68" s="2555">
        <v>0.5</v>
      </c>
      <c r="JXL68" s="2555">
        <v>0.5</v>
      </c>
      <c r="JXM68" s="2555">
        <v>0.56000000000000005</v>
      </c>
      <c r="JXN68" s="2555">
        <v>0.34</v>
      </c>
      <c r="JXO68" s="2555"/>
      <c r="JXP68" s="2555">
        <v>0.42</v>
      </c>
      <c r="JXQ68" s="2553">
        <v>2019</v>
      </c>
      <c r="JXR68" s="2554"/>
      <c r="JXS68" s="2555">
        <v>0.5</v>
      </c>
      <c r="JXT68" s="2555">
        <v>0.5</v>
      </c>
      <c r="JXU68" s="2555">
        <v>0.56000000000000005</v>
      </c>
      <c r="JXV68" s="2555">
        <v>0.34</v>
      </c>
      <c r="JXW68" s="2555"/>
      <c r="JXX68" s="2555">
        <v>0.42</v>
      </c>
      <c r="JXY68" s="2553">
        <v>2019</v>
      </c>
      <c r="JXZ68" s="2554"/>
      <c r="JYA68" s="2555">
        <v>0.5</v>
      </c>
      <c r="JYB68" s="2555">
        <v>0.5</v>
      </c>
      <c r="JYC68" s="2555">
        <v>0.56000000000000005</v>
      </c>
      <c r="JYD68" s="2555">
        <v>0.34</v>
      </c>
      <c r="JYE68" s="2555"/>
      <c r="JYF68" s="2555">
        <v>0.42</v>
      </c>
      <c r="JYG68" s="2553">
        <v>2019</v>
      </c>
      <c r="JYH68" s="2554"/>
      <c r="JYI68" s="2555">
        <v>0.5</v>
      </c>
      <c r="JYJ68" s="2555">
        <v>0.5</v>
      </c>
      <c r="JYK68" s="2555">
        <v>0.56000000000000005</v>
      </c>
      <c r="JYL68" s="2555">
        <v>0.34</v>
      </c>
      <c r="JYM68" s="2555"/>
      <c r="JYN68" s="2555">
        <v>0.42</v>
      </c>
      <c r="JYO68" s="2553">
        <v>2019</v>
      </c>
      <c r="JYP68" s="2554"/>
      <c r="JYQ68" s="2555">
        <v>0.5</v>
      </c>
      <c r="JYR68" s="2555">
        <v>0.5</v>
      </c>
      <c r="JYS68" s="2555">
        <v>0.56000000000000005</v>
      </c>
      <c r="JYT68" s="2555">
        <v>0.34</v>
      </c>
      <c r="JYU68" s="2555"/>
      <c r="JYV68" s="2555">
        <v>0.42</v>
      </c>
      <c r="JYW68" s="2553">
        <v>2019</v>
      </c>
      <c r="JYX68" s="2554"/>
      <c r="JYY68" s="2555">
        <v>0.5</v>
      </c>
      <c r="JYZ68" s="2555">
        <v>0.5</v>
      </c>
      <c r="JZA68" s="2555">
        <v>0.56000000000000005</v>
      </c>
      <c r="JZB68" s="2555">
        <v>0.34</v>
      </c>
      <c r="JZC68" s="2555"/>
      <c r="JZD68" s="2555">
        <v>0.42</v>
      </c>
      <c r="JZE68" s="2553">
        <v>2019</v>
      </c>
      <c r="JZF68" s="2554"/>
      <c r="JZG68" s="2555">
        <v>0.5</v>
      </c>
      <c r="JZH68" s="2555">
        <v>0.5</v>
      </c>
      <c r="JZI68" s="2555">
        <v>0.56000000000000005</v>
      </c>
      <c r="JZJ68" s="2555">
        <v>0.34</v>
      </c>
      <c r="JZK68" s="2555"/>
      <c r="JZL68" s="2555">
        <v>0.42</v>
      </c>
      <c r="JZM68" s="2553">
        <v>2019</v>
      </c>
      <c r="JZN68" s="2554"/>
      <c r="JZO68" s="2555">
        <v>0.5</v>
      </c>
      <c r="JZP68" s="2555">
        <v>0.5</v>
      </c>
      <c r="JZQ68" s="2555">
        <v>0.56000000000000005</v>
      </c>
      <c r="JZR68" s="2555">
        <v>0.34</v>
      </c>
      <c r="JZS68" s="2555"/>
      <c r="JZT68" s="2555">
        <v>0.42</v>
      </c>
      <c r="JZU68" s="2553">
        <v>2019</v>
      </c>
      <c r="JZV68" s="2554"/>
      <c r="JZW68" s="2555">
        <v>0.5</v>
      </c>
      <c r="JZX68" s="2555">
        <v>0.5</v>
      </c>
      <c r="JZY68" s="2555">
        <v>0.56000000000000005</v>
      </c>
      <c r="JZZ68" s="2555">
        <v>0.34</v>
      </c>
      <c r="KAA68" s="2555"/>
      <c r="KAB68" s="2555">
        <v>0.42</v>
      </c>
      <c r="KAC68" s="2553">
        <v>2019</v>
      </c>
      <c r="KAD68" s="2554"/>
      <c r="KAE68" s="2555">
        <v>0.5</v>
      </c>
      <c r="KAF68" s="2555">
        <v>0.5</v>
      </c>
      <c r="KAG68" s="2555">
        <v>0.56000000000000005</v>
      </c>
      <c r="KAH68" s="2555">
        <v>0.34</v>
      </c>
      <c r="KAI68" s="2555"/>
      <c r="KAJ68" s="2555">
        <v>0.42</v>
      </c>
      <c r="KAK68" s="2553">
        <v>2019</v>
      </c>
      <c r="KAL68" s="2554"/>
      <c r="KAM68" s="2555">
        <v>0.5</v>
      </c>
      <c r="KAN68" s="2555">
        <v>0.5</v>
      </c>
      <c r="KAO68" s="2555">
        <v>0.56000000000000005</v>
      </c>
      <c r="KAP68" s="2555">
        <v>0.34</v>
      </c>
      <c r="KAQ68" s="2555"/>
      <c r="KAR68" s="2555">
        <v>0.42</v>
      </c>
      <c r="KAS68" s="2553">
        <v>2019</v>
      </c>
      <c r="KAT68" s="2554"/>
      <c r="KAU68" s="2555">
        <v>0.5</v>
      </c>
      <c r="KAV68" s="2555">
        <v>0.5</v>
      </c>
      <c r="KAW68" s="2555">
        <v>0.56000000000000005</v>
      </c>
      <c r="KAX68" s="2555">
        <v>0.34</v>
      </c>
      <c r="KAY68" s="2555"/>
      <c r="KAZ68" s="2555">
        <v>0.42</v>
      </c>
      <c r="KBA68" s="2553">
        <v>2019</v>
      </c>
      <c r="KBB68" s="2554"/>
      <c r="KBC68" s="2555">
        <v>0.5</v>
      </c>
      <c r="KBD68" s="2555">
        <v>0.5</v>
      </c>
      <c r="KBE68" s="2555">
        <v>0.56000000000000005</v>
      </c>
      <c r="KBF68" s="2555">
        <v>0.34</v>
      </c>
      <c r="KBG68" s="2555"/>
      <c r="KBH68" s="2555">
        <v>0.42</v>
      </c>
      <c r="KBI68" s="2553">
        <v>2019</v>
      </c>
      <c r="KBJ68" s="2554"/>
      <c r="KBK68" s="2555">
        <v>0.5</v>
      </c>
      <c r="KBL68" s="2555">
        <v>0.5</v>
      </c>
      <c r="KBM68" s="2555">
        <v>0.56000000000000005</v>
      </c>
      <c r="KBN68" s="2555">
        <v>0.34</v>
      </c>
      <c r="KBO68" s="2555"/>
      <c r="KBP68" s="2555">
        <v>0.42</v>
      </c>
      <c r="KBQ68" s="2553">
        <v>2019</v>
      </c>
      <c r="KBR68" s="2554"/>
      <c r="KBS68" s="2555">
        <v>0.5</v>
      </c>
      <c r="KBT68" s="2555">
        <v>0.5</v>
      </c>
      <c r="KBU68" s="2555">
        <v>0.56000000000000005</v>
      </c>
      <c r="KBV68" s="2555">
        <v>0.34</v>
      </c>
      <c r="KBW68" s="2555"/>
      <c r="KBX68" s="2555">
        <v>0.42</v>
      </c>
      <c r="KBY68" s="2553">
        <v>2019</v>
      </c>
      <c r="KBZ68" s="2554"/>
      <c r="KCA68" s="2555">
        <v>0.5</v>
      </c>
      <c r="KCB68" s="2555">
        <v>0.5</v>
      </c>
      <c r="KCC68" s="2555">
        <v>0.56000000000000005</v>
      </c>
      <c r="KCD68" s="2555">
        <v>0.34</v>
      </c>
      <c r="KCE68" s="2555"/>
      <c r="KCF68" s="2555">
        <v>0.42</v>
      </c>
      <c r="KCG68" s="2553">
        <v>2019</v>
      </c>
      <c r="KCH68" s="2554"/>
      <c r="KCI68" s="2555">
        <v>0.5</v>
      </c>
      <c r="KCJ68" s="2555">
        <v>0.5</v>
      </c>
      <c r="KCK68" s="2555">
        <v>0.56000000000000005</v>
      </c>
      <c r="KCL68" s="2555">
        <v>0.34</v>
      </c>
      <c r="KCM68" s="2555"/>
      <c r="KCN68" s="2555">
        <v>0.42</v>
      </c>
      <c r="KCO68" s="2553">
        <v>2019</v>
      </c>
      <c r="KCP68" s="2554"/>
      <c r="KCQ68" s="2555">
        <v>0.5</v>
      </c>
      <c r="KCR68" s="2555">
        <v>0.5</v>
      </c>
      <c r="KCS68" s="2555">
        <v>0.56000000000000005</v>
      </c>
      <c r="KCT68" s="2555">
        <v>0.34</v>
      </c>
      <c r="KCU68" s="2555"/>
      <c r="KCV68" s="2555">
        <v>0.42</v>
      </c>
      <c r="KCW68" s="2553">
        <v>2019</v>
      </c>
      <c r="KCX68" s="2554"/>
      <c r="KCY68" s="2555">
        <v>0.5</v>
      </c>
      <c r="KCZ68" s="2555">
        <v>0.5</v>
      </c>
      <c r="KDA68" s="2555">
        <v>0.56000000000000005</v>
      </c>
      <c r="KDB68" s="2555">
        <v>0.34</v>
      </c>
      <c r="KDC68" s="2555"/>
      <c r="KDD68" s="2555">
        <v>0.42</v>
      </c>
      <c r="KDE68" s="2553">
        <v>2019</v>
      </c>
      <c r="KDF68" s="2554"/>
      <c r="KDG68" s="2555">
        <v>0.5</v>
      </c>
      <c r="KDH68" s="2555">
        <v>0.5</v>
      </c>
      <c r="KDI68" s="2555">
        <v>0.56000000000000005</v>
      </c>
      <c r="KDJ68" s="2555">
        <v>0.34</v>
      </c>
      <c r="KDK68" s="2555"/>
      <c r="KDL68" s="2555">
        <v>0.42</v>
      </c>
      <c r="KDM68" s="2553">
        <v>2019</v>
      </c>
      <c r="KDN68" s="2554"/>
      <c r="KDO68" s="2555">
        <v>0.5</v>
      </c>
      <c r="KDP68" s="2555">
        <v>0.5</v>
      </c>
      <c r="KDQ68" s="2555">
        <v>0.56000000000000005</v>
      </c>
      <c r="KDR68" s="2555">
        <v>0.34</v>
      </c>
      <c r="KDS68" s="2555"/>
      <c r="KDT68" s="2555">
        <v>0.42</v>
      </c>
      <c r="KDU68" s="2553">
        <v>2019</v>
      </c>
      <c r="KDV68" s="2554"/>
      <c r="KDW68" s="2555">
        <v>0.5</v>
      </c>
      <c r="KDX68" s="2555">
        <v>0.5</v>
      </c>
      <c r="KDY68" s="2555">
        <v>0.56000000000000005</v>
      </c>
      <c r="KDZ68" s="2555">
        <v>0.34</v>
      </c>
      <c r="KEA68" s="2555"/>
      <c r="KEB68" s="2555">
        <v>0.42</v>
      </c>
      <c r="KEC68" s="2553">
        <v>2019</v>
      </c>
      <c r="KED68" s="2554"/>
      <c r="KEE68" s="2555">
        <v>0.5</v>
      </c>
      <c r="KEF68" s="2555">
        <v>0.5</v>
      </c>
      <c r="KEG68" s="2555">
        <v>0.56000000000000005</v>
      </c>
      <c r="KEH68" s="2555">
        <v>0.34</v>
      </c>
      <c r="KEI68" s="2555"/>
      <c r="KEJ68" s="2555">
        <v>0.42</v>
      </c>
      <c r="KEK68" s="2553">
        <v>2019</v>
      </c>
      <c r="KEL68" s="2554"/>
      <c r="KEM68" s="2555">
        <v>0.5</v>
      </c>
      <c r="KEN68" s="2555">
        <v>0.5</v>
      </c>
      <c r="KEO68" s="2555">
        <v>0.56000000000000005</v>
      </c>
      <c r="KEP68" s="2555">
        <v>0.34</v>
      </c>
      <c r="KEQ68" s="2555"/>
      <c r="KER68" s="2555">
        <v>0.42</v>
      </c>
      <c r="KES68" s="2553">
        <v>2019</v>
      </c>
      <c r="KET68" s="2554"/>
      <c r="KEU68" s="2555">
        <v>0.5</v>
      </c>
      <c r="KEV68" s="2555">
        <v>0.5</v>
      </c>
      <c r="KEW68" s="2555">
        <v>0.56000000000000005</v>
      </c>
      <c r="KEX68" s="2555">
        <v>0.34</v>
      </c>
      <c r="KEY68" s="2555"/>
      <c r="KEZ68" s="2555">
        <v>0.42</v>
      </c>
      <c r="KFA68" s="2553">
        <v>2019</v>
      </c>
      <c r="KFB68" s="2554"/>
      <c r="KFC68" s="2555">
        <v>0.5</v>
      </c>
      <c r="KFD68" s="2555">
        <v>0.5</v>
      </c>
      <c r="KFE68" s="2555">
        <v>0.56000000000000005</v>
      </c>
      <c r="KFF68" s="2555">
        <v>0.34</v>
      </c>
      <c r="KFG68" s="2555"/>
      <c r="KFH68" s="2555">
        <v>0.42</v>
      </c>
      <c r="KFI68" s="2553">
        <v>2019</v>
      </c>
      <c r="KFJ68" s="2554"/>
      <c r="KFK68" s="2555">
        <v>0.5</v>
      </c>
      <c r="KFL68" s="2555">
        <v>0.5</v>
      </c>
      <c r="KFM68" s="2555">
        <v>0.56000000000000005</v>
      </c>
      <c r="KFN68" s="2555">
        <v>0.34</v>
      </c>
      <c r="KFO68" s="2555"/>
      <c r="KFP68" s="2555">
        <v>0.42</v>
      </c>
      <c r="KFQ68" s="2553">
        <v>2019</v>
      </c>
      <c r="KFR68" s="2554"/>
      <c r="KFS68" s="2555">
        <v>0.5</v>
      </c>
      <c r="KFT68" s="2555">
        <v>0.5</v>
      </c>
      <c r="KFU68" s="2555">
        <v>0.56000000000000005</v>
      </c>
      <c r="KFV68" s="2555">
        <v>0.34</v>
      </c>
      <c r="KFW68" s="2555"/>
      <c r="KFX68" s="2555">
        <v>0.42</v>
      </c>
      <c r="KFY68" s="2553">
        <v>2019</v>
      </c>
      <c r="KFZ68" s="2554"/>
      <c r="KGA68" s="2555">
        <v>0.5</v>
      </c>
      <c r="KGB68" s="2555">
        <v>0.5</v>
      </c>
      <c r="KGC68" s="2555">
        <v>0.56000000000000005</v>
      </c>
      <c r="KGD68" s="2555">
        <v>0.34</v>
      </c>
      <c r="KGE68" s="2555"/>
      <c r="KGF68" s="2555">
        <v>0.42</v>
      </c>
      <c r="KGG68" s="2553">
        <v>2019</v>
      </c>
      <c r="KGH68" s="2554"/>
      <c r="KGI68" s="2555">
        <v>0.5</v>
      </c>
      <c r="KGJ68" s="2555">
        <v>0.5</v>
      </c>
      <c r="KGK68" s="2555">
        <v>0.56000000000000005</v>
      </c>
      <c r="KGL68" s="2555">
        <v>0.34</v>
      </c>
      <c r="KGM68" s="2555"/>
      <c r="KGN68" s="2555">
        <v>0.42</v>
      </c>
      <c r="KGO68" s="2553">
        <v>2019</v>
      </c>
      <c r="KGP68" s="2554"/>
      <c r="KGQ68" s="2555">
        <v>0.5</v>
      </c>
      <c r="KGR68" s="2555">
        <v>0.5</v>
      </c>
      <c r="KGS68" s="2555">
        <v>0.56000000000000005</v>
      </c>
      <c r="KGT68" s="2555">
        <v>0.34</v>
      </c>
      <c r="KGU68" s="2555"/>
      <c r="KGV68" s="2555">
        <v>0.42</v>
      </c>
      <c r="KGW68" s="2553">
        <v>2019</v>
      </c>
      <c r="KGX68" s="2554"/>
      <c r="KGY68" s="2555">
        <v>0.5</v>
      </c>
      <c r="KGZ68" s="2555">
        <v>0.5</v>
      </c>
      <c r="KHA68" s="2555">
        <v>0.56000000000000005</v>
      </c>
      <c r="KHB68" s="2555">
        <v>0.34</v>
      </c>
      <c r="KHC68" s="2555"/>
      <c r="KHD68" s="2555">
        <v>0.42</v>
      </c>
      <c r="KHE68" s="2553">
        <v>2019</v>
      </c>
      <c r="KHF68" s="2554"/>
      <c r="KHG68" s="2555">
        <v>0.5</v>
      </c>
      <c r="KHH68" s="2555">
        <v>0.5</v>
      </c>
      <c r="KHI68" s="2555">
        <v>0.56000000000000005</v>
      </c>
      <c r="KHJ68" s="2555">
        <v>0.34</v>
      </c>
      <c r="KHK68" s="2555"/>
      <c r="KHL68" s="2555">
        <v>0.42</v>
      </c>
      <c r="KHM68" s="2553">
        <v>2019</v>
      </c>
      <c r="KHN68" s="2554"/>
      <c r="KHO68" s="2555">
        <v>0.5</v>
      </c>
      <c r="KHP68" s="2555">
        <v>0.5</v>
      </c>
      <c r="KHQ68" s="2555">
        <v>0.56000000000000005</v>
      </c>
      <c r="KHR68" s="2555">
        <v>0.34</v>
      </c>
      <c r="KHS68" s="2555"/>
      <c r="KHT68" s="2555">
        <v>0.42</v>
      </c>
      <c r="KHU68" s="2553">
        <v>2019</v>
      </c>
      <c r="KHV68" s="2554"/>
      <c r="KHW68" s="2555">
        <v>0.5</v>
      </c>
      <c r="KHX68" s="2555">
        <v>0.5</v>
      </c>
      <c r="KHY68" s="2555">
        <v>0.56000000000000005</v>
      </c>
      <c r="KHZ68" s="2555">
        <v>0.34</v>
      </c>
      <c r="KIA68" s="2555"/>
      <c r="KIB68" s="2555">
        <v>0.42</v>
      </c>
      <c r="KIC68" s="2553">
        <v>2019</v>
      </c>
      <c r="KID68" s="2554"/>
      <c r="KIE68" s="2555">
        <v>0.5</v>
      </c>
      <c r="KIF68" s="2555">
        <v>0.5</v>
      </c>
      <c r="KIG68" s="2555">
        <v>0.56000000000000005</v>
      </c>
      <c r="KIH68" s="2555">
        <v>0.34</v>
      </c>
      <c r="KII68" s="2555"/>
      <c r="KIJ68" s="2555">
        <v>0.42</v>
      </c>
      <c r="KIK68" s="2553">
        <v>2019</v>
      </c>
      <c r="KIL68" s="2554"/>
      <c r="KIM68" s="2555">
        <v>0.5</v>
      </c>
      <c r="KIN68" s="2555">
        <v>0.5</v>
      </c>
      <c r="KIO68" s="2555">
        <v>0.56000000000000005</v>
      </c>
      <c r="KIP68" s="2555">
        <v>0.34</v>
      </c>
      <c r="KIQ68" s="2555"/>
      <c r="KIR68" s="2555">
        <v>0.42</v>
      </c>
      <c r="KIS68" s="2553">
        <v>2019</v>
      </c>
      <c r="KIT68" s="2554"/>
      <c r="KIU68" s="2555">
        <v>0.5</v>
      </c>
      <c r="KIV68" s="2555">
        <v>0.5</v>
      </c>
      <c r="KIW68" s="2555">
        <v>0.56000000000000005</v>
      </c>
      <c r="KIX68" s="2555">
        <v>0.34</v>
      </c>
      <c r="KIY68" s="2555"/>
      <c r="KIZ68" s="2555">
        <v>0.42</v>
      </c>
      <c r="KJA68" s="2553">
        <v>2019</v>
      </c>
      <c r="KJB68" s="2554"/>
      <c r="KJC68" s="2555">
        <v>0.5</v>
      </c>
      <c r="KJD68" s="2555">
        <v>0.5</v>
      </c>
      <c r="KJE68" s="2555">
        <v>0.56000000000000005</v>
      </c>
      <c r="KJF68" s="2555">
        <v>0.34</v>
      </c>
      <c r="KJG68" s="2555"/>
      <c r="KJH68" s="2555">
        <v>0.42</v>
      </c>
      <c r="KJI68" s="2553">
        <v>2019</v>
      </c>
      <c r="KJJ68" s="2554"/>
      <c r="KJK68" s="2555">
        <v>0.5</v>
      </c>
      <c r="KJL68" s="2555">
        <v>0.5</v>
      </c>
      <c r="KJM68" s="2555">
        <v>0.56000000000000005</v>
      </c>
      <c r="KJN68" s="2555">
        <v>0.34</v>
      </c>
      <c r="KJO68" s="2555"/>
      <c r="KJP68" s="2555">
        <v>0.42</v>
      </c>
      <c r="KJQ68" s="2553">
        <v>2019</v>
      </c>
      <c r="KJR68" s="2554"/>
      <c r="KJS68" s="2555">
        <v>0.5</v>
      </c>
      <c r="KJT68" s="2555">
        <v>0.5</v>
      </c>
      <c r="KJU68" s="2555">
        <v>0.56000000000000005</v>
      </c>
      <c r="KJV68" s="2555">
        <v>0.34</v>
      </c>
      <c r="KJW68" s="2555"/>
      <c r="KJX68" s="2555">
        <v>0.42</v>
      </c>
      <c r="KJY68" s="2553">
        <v>2019</v>
      </c>
      <c r="KJZ68" s="2554"/>
      <c r="KKA68" s="2555">
        <v>0.5</v>
      </c>
      <c r="KKB68" s="2555">
        <v>0.5</v>
      </c>
      <c r="KKC68" s="2555">
        <v>0.56000000000000005</v>
      </c>
      <c r="KKD68" s="2555">
        <v>0.34</v>
      </c>
      <c r="KKE68" s="2555"/>
      <c r="KKF68" s="2555">
        <v>0.42</v>
      </c>
      <c r="KKG68" s="2553">
        <v>2019</v>
      </c>
      <c r="KKH68" s="2554"/>
      <c r="KKI68" s="2555">
        <v>0.5</v>
      </c>
      <c r="KKJ68" s="2555">
        <v>0.5</v>
      </c>
      <c r="KKK68" s="2555">
        <v>0.56000000000000005</v>
      </c>
      <c r="KKL68" s="2555">
        <v>0.34</v>
      </c>
      <c r="KKM68" s="2555"/>
      <c r="KKN68" s="2555">
        <v>0.42</v>
      </c>
      <c r="KKO68" s="2553">
        <v>2019</v>
      </c>
      <c r="KKP68" s="2554"/>
      <c r="KKQ68" s="2555">
        <v>0.5</v>
      </c>
      <c r="KKR68" s="2555">
        <v>0.5</v>
      </c>
      <c r="KKS68" s="2555">
        <v>0.56000000000000005</v>
      </c>
      <c r="KKT68" s="2555">
        <v>0.34</v>
      </c>
      <c r="KKU68" s="2555"/>
      <c r="KKV68" s="2555">
        <v>0.42</v>
      </c>
      <c r="KKW68" s="2553">
        <v>2019</v>
      </c>
      <c r="KKX68" s="2554"/>
      <c r="KKY68" s="2555">
        <v>0.5</v>
      </c>
      <c r="KKZ68" s="2555">
        <v>0.5</v>
      </c>
      <c r="KLA68" s="2555">
        <v>0.56000000000000005</v>
      </c>
      <c r="KLB68" s="2555">
        <v>0.34</v>
      </c>
      <c r="KLC68" s="2555"/>
      <c r="KLD68" s="2555">
        <v>0.42</v>
      </c>
      <c r="KLE68" s="2553">
        <v>2019</v>
      </c>
      <c r="KLF68" s="2554"/>
      <c r="KLG68" s="2555">
        <v>0.5</v>
      </c>
      <c r="KLH68" s="2555">
        <v>0.5</v>
      </c>
      <c r="KLI68" s="2555">
        <v>0.56000000000000005</v>
      </c>
      <c r="KLJ68" s="2555">
        <v>0.34</v>
      </c>
      <c r="KLK68" s="2555"/>
      <c r="KLL68" s="2555">
        <v>0.42</v>
      </c>
      <c r="KLM68" s="2553">
        <v>2019</v>
      </c>
      <c r="KLN68" s="2554"/>
      <c r="KLO68" s="2555">
        <v>0.5</v>
      </c>
      <c r="KLP68" s="2555">
        <v>0.5</v>
      </c>
      <c r="KLQ68" s="2555">
        <v>0.56000000000000005</v>
      </c>
      <c r="KLR68" s="2555">
        <v>0.34</v>
      </c>
      <c r="KLS68" s="2555"/>
      <c r="KLT68" s="2555">
        <v>0.42</v>
      </c>
      <c r="KLU68" s="2553">
        <v>2019</v>
      </c>
      <c r="KLV68" s="2554"/>
      <c r="KLW68" s="2555">
        <v>0.5</v>
      </c>
      <c r="KLX68" s="2555">
        <v>0.5</v>
      </c>
      <c r="KLY68" s="2555">
        <v>0.56000000000000005</v>
      </c>
      <c r="KLZ68" s="2555">
        <v>0.34</v>
      </c>
      <c r="KMA68" s="2555"/>
      <c r="KMB68" s="2555">
        <v>0.42</v>
      </c>
      <c r="KMC68" s="2553">
        <v>2019</v>
      </c>
      <c r="KMD68" s="2554"/>
      <c r="KME68" s="2555">
        <v>0.5</v>
      </c>
      <c r="KMF68" s="2555">
        <v>0.5</v>
      </c>
      <c r="KMG68" s="2555">
        <v>0.56000000000000005</v>
      </c>
      <c r="KMH68" s="2555">
        <v>0.34</v>
      </c>
      <c r="KMI68" s="2555"/>
      <c r="KMJ68" s="2555">
        <v>0.42</v>
      </c>
      <c r="KMK68" s="2553">
        <v>2019</v>
      </c>
      <c r="KML68" s="2554"/>
      <c r="KMM68" s="2555">
        <v>0.5</v>
      </c>
      <c r="KMN68" s="2555">
        <v>0.5</v>
      </c>
      <c r="KMO68" s="2555">
        <v>0.56000000000000005</v>
      </c>
      <c r="KMP68" s="2555">
        <v>0.34</v>
      </c>
      <c r="KMQ68" s="2555"/>
      <c r="KMR68" s="2555">
        <v>0.42</v>
      </c>
      <c r="KMS68" s="2553">
        <v>2019</v>
      </c>
      <c r="KMT68" s="2554"/>
      <c r="KMU68" s="2555">
        <v>0.5</v>
      </c>
      <c r="KMV68" s="2555">
        <v>0.5</v>
      </c>
      <c r="KMW68" s="2555">
        <v>0.56000000000000005</v>
      </c>
      <c r="KMX68" s="2555">
        <v>0.34</v>
      </c>
      <c r="KMY68" s="2555"/>
      <c r="KMZ68" s="2555">
        <v>0.42</v>
      </c>
      <c r="KNA68" s="2553">
        <v>2019</v>
      </c>
      <c r="KNB68" s="2554"/>
      <c r="KNC68" s="2555">
        <v>0.5</v>
      </c>
      <c r="KND68" s="2555">
        <v>0.5</v>
      </c>
      <c r="KNE68" s="2555">
        <v>0.56000000000000005</v>
      </c>
      <c r="KNF68" s="2555">
        <v>0.34</v>
      </c>
      <c r="KNG68" s="2555"/>
      <c r="KNH68" s="2555">
        <v>0.42</v>
      </c>
      <c r="KNI68" s="2553">
        <v>2019</v>
      </c>
      <c r="KNJ68" s="2554"/>
      <c r="KNK68" s="2555">
        <v>0.5</v>
      </c>
      <c r="KNL68" s="2555">
        <v>0.5</v>
      </c>
      <c r="KNM68" s="2555">
        <v>0.56000000000000005</v>
      </c>
      <c r="KNN68" s="2555">
        <v>0.34</v>
      </c>
      <c r="KNO68" s="2555"/>
      <c r="KNP68" s="2555">
        <v>0.42</v>
      </c>
      <c r="KNQ68" s="2553">
        <v>2019</v>
      </c>
      <c r="KNR68" s="2554"/>
      <c r="KNS68" s="2555">
        <v>0.5</v>
      </c>
      <c r="KNT68" s="2555">
        <v>0.5</v>
      </c>
      <c r="KNU68" s="2555">
        <v>0.56000000000000005</v>
      </c>
      <c r="KNV68" s="2555">
        <v>0.34</v>
      </c>
      <c r="KNW68" s="2555"/>
      <c r="KNX68" s="2555">
        <v>0.42</v>
      </c>
      <c r="KNY68" s="2553">
        <v>2019</v>
      </c>
      <c r="KNZ68" s="2554"/>
      <c r="KOA68" s="2555">
        <v>0.5</v>
      </c>
      <c r="KOB68" s="2555">
        <v>0.5</v>
      </c>
      <c r="KOC68" s="2555">
        <v>0.56000000000000005</v>
      </c>
      <c r="KOD68" s="2555">
        <v>0.34</v>
      </c>
      <c r="KOE68" s="2555"/>
      <c r="KOF68" s="2555">
        <v>0.42</v>
      </c>
      <c r="KOG68" s="2553">
        <v>2019</v>
      </c>
      <c r="KOH68" s="2554"/>
      <c r="KOI68" s="2555">
        <v>0.5</v>
      </c>
      <c r="KOJ68" s="2555">
        <v>0.5</v>
      </c>
      <c r="KOK68" s="2555">
        <v>0.56000000000000005</v>
      </c>
      <c r="KOL68" s="2555">
        <v>0.34</v>
      </c>
      <c r="KOM68" s="2555"/>
      <c r="KON68" s="2555">
        <v>0.42</v>
      </c>
      <c r="KOO68" s="2553">
        <v>2019</v>
      </c>
      <c r="KOP68" s="2554"/>
      <c r="KOQ68" s="2555">
        <v>0.5</v>
      </c>
      <c r="KOR68" s="2555">
        <v>0.5</v>
      </c>
      <c r="KOS68" s="2555">
        <v>0.56000000000000005</v>
      </c>
      <c r="KOT68" s="2555">
        <v>0.34</v>
      </c>
      <c r="KOU68" s="2555"/>
      <c r="KOV68" s="2555">
        <v>0.42</v>
      </c>
      <c r="KOW68" s="2553">
        <v>2019</v>
      </c>
      <c r="KOX68" s="2554"/>
      <c r="KOY68" s="2555">
        <v>0.5</v>
      </c>
      <c r="KOZ68" s="2555">
        <v>0.5</v>
      </c>
      <c r="KPA68" s="2555">
        <v>0.56000000000000005</v>
      </c>
      <c r="KPB68" s="2555">
        <v>0.34</v>
      </c>
      <c r="KPC68" s="2555"/>
      <c r="KPD68" s="2555">
        <v>0.42</v>
      </c>
      <c r="KPE68" s="2553">
        <v>2019</v>
      </c>
      <c r="KPF68" s="2554"/>
      <c r="KPG68" s="2555">
        <v>0.5</v>
      </c>
      <c r="KPH68" s="2555">
        <v>0.5</v>
      </c>
      <c r="KPI68" s="2555">
        <v>0.56000000000000005</v>
      </c>
      <c r="KPJ68" s="2555">
        <v>0.34</v>
      </c>
      <c r="KPK68" s="2555"/>
      <c r="KPL68" s="2555">
        <v>0.42</v>
      </c>
      <c r="KPM68" s="2553">
        <v>2019</v>
      </c>
      <c r="KPN68" s="2554"/>
      <c r="KPO68" s="2555">
        <v>0.5</v>
      </c>
      <c r="KPP68" s="2555">
        <v>0.5</v>
      </c>
      <c r="KPQ68" s="2555">
        <v>0.56000000000000005</v>
      </c>
      <c r="KPR68" s="2555">
        <v>0.34</v>
      </c>
      <c r="KPS68" s="2555"/>
      <c r="KPT68" s="2555">
        <v>0.42</v>
      </c>
      <c r="KPU68" s="2553">
        <v>2019</v>
      </c>
      <c r="KPV68" s="2554"/>
      <c r="KPW68" s="2555">
        <v>0.5</v>
      </c>
      <c r="KPX68" s="2555">
        <v>0.5</v>
      </c>
      <c r="KPY68" s="2555">
        <v>0.56000000000000005</v>
      </c>
      <c r="KPZ68" s="2555">
        <v>0.34</v>
      </c>
      <c r="KQA68" s="2555"/>
      <c r="KQB68" s="2555">
        <v>0.42</v>
      </c>
      <c r="KQC68" s="2553">
        <v>2019</v>
      </c>
      <c r="KQD68" s="2554"/>
      <c r="KQE68" s="2555">
        <v>0.5</v>
      </c>
      <c r="KQF68" s="2555">
        <v>0.5</v>
      </c>
      <c r="KQG68" s="2555">
        <v>0.56000000000000005</v>
      </c>
      <c r="KQH68" s="2555">
        <v>0.34</v>
      </c>
      <c r="KQI68" s="2555"/>
      <c r="KQJ68" s="2555">
        <v>0.42</v>
      </c>
      <c r="KQK68" s="2553">
        <v>2019</v>
      </c>
      <c r="KQL68" s="2554"/>
      <c r="KQM68" s="2555">
        <v>0.5</v>
      </c>
      <c r="KQN68" s="2555">
        <v>0.5</v>
      </c>
      <c r="KQO68" s="2555">
        <v>0.56000000000000005</v>
      </c>
      <c r="KQP68" s="2555">
        <v>0.34</v>
      </c>
      <c r="KQQ68" s="2555"/>
      <c r="KQR68" s="2555">
        <v>0.42</v>
      </c>
      <c r="KQS68" s="2553">
        <v>2019</v>
      </c>
      <c r="KQT68" s="2554"/>
      <c r="KQU68" s="2555">
        <v>0.5</v>
      </c>
      <c r="KQV68" s="2555">
        <v>0.5</v>
      </c>
      <c r="KQW68" s="2555">
        <v>0.56000000000000005</v>
      </c>
      <c r="KQX68" s="2555">
        <v>0.34</v>
      </c>
      <c r="KQY68" s="2555"/>
      <c r="KQZ68" s="2555">
        <v>0.42</v>
      </c>
      <c r="KRA68" s="2553">
        <v>2019</v>
      </c>
      <c r="KRB68" s="2554"/>
      <c r="KRC68" s="2555">
        <v>0.5</v>
      </c>
      <c r="KRD68" s="2555">
        <v>0.5</v>
      </c>
      <c r="KRE68" s="2555">
        <v>0.56000000000000005</v>
      </c>
      <c r="KRF68" s="2555">
        <v>0.34</v>
      </c>
      <c r="KRG68" s="2555"/>
      <c r="KRH68" s="2555">
        <v>0.42</v>
      </c>
      <c r="KRI68" s="2553">
        <v>2019</v>
      </c>
      <c r="KRJ68" s="2554"/>
      <c r="KRK68" s="2555">
        <v>0.5</v>
      </c>
      <c r="KRL68" s="2555">
        <v>0.5</v>
      </c>
      <c r="KRM68" s="2555">
        <v>0.56000000000000005</v>
      </c>
      <c r="KRN68" s="2555">
        <v>0.34</v>
      </c>
      <c r="KRO68" s="2555"/>
      <c r="KRP68" s="2555">
        <v>0.42</v>
      </c>
      <c r="KRQ68" s="2553">
        <v>2019</v>
      </c>
      <c r="KRR68" s="2554"/>
      <c r="KRS68" s="2555">
        <v>0.5</v>
      </c>
      <c r="KRT68" s="2555">
        <v>0.5</v>
      </c>
      <c r="KRU68" s="2555">
        <v>0.56000000000000005</v>
      </c>
      <c r="KRV68" s="2555">
        <v>0.34</v>
      </c>
      <c r="KRW68" s="2555"/>
      <c r="KRX68" s="2555">
        <v>0.42</v>
      </c>
      <c r="KRY68" s="2553">
        <v>2019</v>
      </c>
      <c r="KRZ68" s="2554"/>
      <c r="KSA68" s="2555">
        <v>0.5</v>
      </c>
      <c r="KSB68" s="2555">
        <v>0.5</v>
      </c>
      <c r="KSC68" s="2555">
        <v>0.56000000000000005</v>
      </c>
      <c r="KSD68" s="2555">
        <v>0.34</v>
      </c>
      <c r="KSE68" s="2555"/>
      <c r="KSF68" s="2555">
        <v>0.42</v>
      </c>
      <c r="KSG68" s="2553">
        <v>2019</v>
      </c>
      <c r="KSH68" s="2554"/>
      <c r="KSI68" s="2555">
        <v>0.5</v>
      </c>
      <c r="KSJ68" s="2555">
        <v>0.5</v>
      </c>
      <c r="KSK68" s="2555">
        <v>0.56000000000000005</v>
      </c>
      <c r="KSL68" s="2555">
        <v>0.34</v>
      </c>
      <c r="KSM68" s="2555"/>
      <c r="KSN68" s="2555">
        <v>0.42</v>
      </c>
      <c r="KSO68" s="2553">
        <v>2019</v>
      </c>
      <c r="KSP68" s="2554"/>
      <c r="KSQ68" s="2555">
        <v>0.5</v>
      </c>
      <c r="KSR68" s="2555">
        <v>0.5</v>
      </c>
      <c r="KSS68" s="2555">
        <v>0.56000000000000005</v>
      </c>
      <c r="KST68" s="2555">
        <v>0.34</v>
      </c>
      <c r="KSU68" s="2555"/>
      <c r="KSV68" s="2555">
        <v>0.42</v>
      </c>
      <c r="KSW68" s="2553">
        <v>2019</v>
      </c>
      <c r="KSX68" s="2554"/>
      <c r="KSY68" s="2555">
        <v>0.5</v>
      </c>
      <c r="KSZ68" s="2555">
        <v>0.5</v>
      </c>
      <c r="KTA68" s="2555">
        <v>0.56000000000000005</v>
      </c>
      <c r="KTB68" s="2555">
        <v>0.34</v>
      </c>
      <c r="KTC68" s="2555"/>
      <c r="KTD68" s="2555">
        <v>0.42</v>
      </c>
      <c r="KTE68" s="2553">
        <v>2019</v>
      </c>
      <c r="KTF68" s="2554"/>
      <c r="KTG68" s="2555">
        <v>0.5</v>
      </c>
      <c r="KTH68" s="2555">
        <v>0.5</v>
      </c>
      <c r="KTI68" s="2555">
        <v>0.56000000000000005</v>
      </c>
      <c r="KTJ68" s="2555">
        <v>0.34</v>
      </c>
      <c r="KTK68" s="2555"/>
      <c r="KTL68" s="2555">
        <v>0.42</v>
      </c>
      <c r="KTM68" s="2553">
        <v>2019</v>
      </c>
      <c r="KTN68" s="2554"/>
      <c r="KTO68" s="2555">
        <v>0.5</v>
      </c>
      <c r="KTP68" s="2555">
        <v>0.5</v>
      </c>
      <c r="KTQ68" s="2555">
        <v>0.56000000000000005</v>
      </c>
      <c r="KTR68" s="2555">
        <v>0.34</v>
      </c>
      <c r="KTS68" s="2555"/>
      <c r="KTT68" s="2555">
        <v>0.42</v>
      </c>
      <c r="KTU68" s="2553">
        <v>2019</v>
      </c>
      <c r="KTV68" s="2554"/>
      <c r="KTW68" s="2555">
        <v>0.5</v>
      </c>
      <c r="KTX68" s="2555">
        <v>0.5</v>
      </c>
      <c r="KTY68" s="2555">
        <v>0.56000000000000005</v>
      </c>
      <c r="KTZ68" s="2555">
        <v>0.34</v>
      </c>
      <c r="KUA68" s="2555"/>
      <c r="KUB68" s="2555">
        <v>0.42</v>
      </c>
      <c r="KUC68" s="2553">
        <v>2019</v>
      </c>
      <c r="KUD68" s="2554"/>
      <c r="KUE68" s="2555">
        <v>0.5</v>
      </c>
      <c r="KUF68" s="2555">
        <v>0.5</v>
      </c>
      <c r="KUG68" s="2555">
        <v>0.56000000000000005</v>
      </c>
      <c r="KUH68" s="2555">
        <v>0.34</v>
      </c>
      <c r="KUI68" s="2555"/>
      <c r="KUJ68" s="2555">
        <v>0.42</v>
      </c>
      <c r="KUK68" s="2553">
        <v>2019</v>
      </c>
      <c r="KUL68" s="2554"/>
      <c r="KUM68" s="2555">
        <v>0.5</v>
      </c>
      <c r="KUN68" s="2555">
        <v>0.5</v>
      </c>
      <c r="KUO68" s="2555">
        <v>0.56000000000000005</v>
      </c>
      <c r="KUP68" s="2555">
        <v>0.34</v>
      </c>
      <c r="KUQ68" s="2555"/>
      <c r="KUR68" s="2555">
        <v>0.42</v>
      </c>
      <c r="KUS68" s="2553">
        <v>2019</v>
      </c>
      <c r="KUT68" s="2554"/>
      <c r="KUU68" s="2555">
        <v>0.5</v>
      </c>
      <c r="KUV68" s="2555">
        <v>0.5</v>
      </c>
      <c r="KUW68" s="2555">
        <v>0.56000000000000005</v>
      </c>
      <c r="KUX68" s="2555">
        <v>0.34</v>
      </c>
      <c r="KUY68" s="2555"/>
      <c r="KUZ68" s="2555">
        <v>0.42</v>
      </c>
      <c r="KVA68" s="2553">
        <v>2019</v>
      </c>
      <c r="KVB68" s="2554"/>
      <c r="KVC68" s="2555">
        <v>0.5</v>
      </c>
      <c r="KVD68" s="2555">
        <v>0.5</v>
      </c>
      <c r="KVE68" s="2555">
        <v>0.56000000000000005</v>
      </c>
      <c r="KVF68" s="2555">
        <v>0.34</v>
      </c>
      <c r="KVG68" s="2555"/>
      <c r="KVH68" s="2555">
        <v>0.42</v>
      </c>
      <c r="KVI68" s="2553">
        <v>2019</v>
      </c>
      <c r="KVJ68" s="2554"/>
      <c r="KVK68" s="2555">
        <v>0.5</v>
      </c>
      <c r="KVL68" s="2555">
        <v>0.5</v>
      </c>
      <c r="KVM68" s="2555">
        <v>0.56000000000000005</v>
      </c>
      <c r="KVN68" s="2555">
        <v>0.34</v>
      </c>
      <c r="KVO68" s="2555"/>
      <c r="KVP68" s="2555">
        <v>0.42</v>
      </c>
      <c r="KVQ68" s="2553">
        <v>2019</v>
      </c>
      <c r="KVR68" s="2554"/>
      <c r="KVS68" s="2555">
        <v>0.5</v>
      </c>
      <c r="KVT68" s="2555">
        <v>0.5</v>
      </c>
      <c r="KVU68" s="2555">
        <v>0.56000000000000005</v>
      </c>
      <c r="KVV68" s="2555">
        <v>0.34</v>
      </c>
      <c r="KVW68" s="2555"/>
      <c r="KVX68" s="2555">
        <v>0.42</v>
      </c>
      <c r="KVY68" s="2553">
        <v>2019</v>
      </c>
      <c r="KVZ68" s="2554"/>
      <c r="KWA68" s="2555">
        <v>0.5</v>
      </c>
      <c r="KWB68" s="2555">
        <v>0.5</v>
      </c>
      <c r="KWC68" s="2555">
        <v>0.56000000000000005</v>
      </c>
      <c r="KWD68" s="2555">
        <v>0.34</v>
      </c>
      <c r="KWE68" s="2555"/>
      <c r="KWF68" s="2555">
        <v>0.42</v>
      </c>
      <c r="KWG68" s="2553">
        <v>2019</v>
      </c>
      <c r="KWH68" s="2554"/>
      <c r="KWI68" s="2555">
        <v>0.5</v>
      </c>
      <c r="KWJ68" s="2555">
        <v>0.5</v>
      </c>
      <c r="KWK68" s="2555">
        <v>0.56000000000000005</v>
      </c>
      <c r="KWL68" s="2555">
        <v>0.34</v>
      </c>
      <c r="KWM68" s="2555"/>
      <c r="KWN68" s="2555">
        <v>0.42</v>
      </c>
      <c r="KWO68" s="2553">
        <v>2019</v>
      </c>
      <c r="KWP68" s="2554"/>
      <c r="KWQ68" s="2555">
        <v>0.5</v>
      </c>
      <c r="KWR68" s="2555">
        <v>0.5</v>
      </c>
      <c r="KWS68" s="2555">
        <v>0.56000000000000005</v>
      </c>
      <c r="KWT68" s="2555">
        <v>0.34</v>
      </c>
      <c r="KWU68" s="2555"/>
      <c r="KWV68" s="2555">
        <v>0.42</v>
      </c>
      <c r="KWW68" s="2553">
        <v>2019</v>
      </c>
      <c r="KWX68" s="2554"/>
      <c r="KWY68" s="2555">
        <v>0.5</v>
      </c>
      <c r="KWZ68" s="2555">
        <v>0.5</v>
      </c>
      <c r="KXA68" s="2555">
        <v>0.56000000000000005</v>
      </c>
      <c r="KXB68" s="2555">
        <v>0.34</v>
      </c>
      <c r="KXC68" s="2555"/>
      <c r="KXD68" s="2555">
        <v>0.42</v>
      </c>
      <c r="KXE68" s="2553">
        <v>2019</v>
      </c>
      <c r="KXF68" s="2554"/>
      <c r="KXG68" s="2555">
        <v>0.5</v>
      </c>
      <c r="KXH68" s="2555">
        <v>0.5</v>
      </c>
      <c r="KXI68" s="2555">
        <v>0.56000000000000005</v>
      </c>
      <c r="KXJ68" s="2555">
        <v>0.34</v>
      </c>
      <c r="KXK68" s="2555"/>
      <c r="KXL68" s="2555">
        <v>0.42</v>
      </c>
      <c r="KXM68" s="2553">
        <v>2019</v>
      </c>
      <c r="KXN68" s="2554"/>
      <c r="KXO68" s="2555">
        <v>0.5</v>
      </c>
      <c r="KXP68" s="2555">
        <v>0.5</v>
      </c>
      <c r="KXQ68" s="2555">
        <v>0.56000000000000005</v>
      </c>
      <c r="KXR68" s="2555">
        <v>0.34</v>
      </c>
      <c r="KXS68" s="2555"/>
      <c r="KXT68" s="2555">
        <v>0.42</v>
      </c>
      <c r="KXU68" s="2553">
        <v>2019</v>
      </c>
      <c r="KXV68" s="2554"/>
      <c r="KXW68" s="2555">
        <v>0.5</v>
      </c>
      <c r="KXX68" s="2555">
        <v>0.5</v>
      </c>
      <c r="KXY68" s="2555">
        <v>0.56000000000000005</v>
      </c>
      <c r="KXZ68" s="2555">
        <v>0.34</v>
      </c>
      <c r="KYA68" s="2555"/>
      <c r="KYB68" s="2555">
        <v>0.42</v>
      </c>
      <c r="KYC68" s="2553">
        <v>2019</v>
      </c>
      <c r="KYD68" s="2554"/>
      <c r="KYE68" s="2555">
        <v>0.5</v>
      </c>
      <c r="KYF68" s="2555">
        <v>0.5</v>
      </c>
      <c r="KYG68" s="2555">
        <v>0.56000000000000005</v>
      </c>
      <c r="KYH68" s="2555">
        <v>0.34</v>
      </c>
      <c r="KYI68" s="2555"/>
      <c r="KYJ68" s="2555">
        <v>0.42</v>
      </c>
      <c r="KYK68" s="2553">
        <v>2019</v>
      </c>
      <c r="KYL68" s="2554"/>
      <c r="KYM68" s="2555">
        <v>0.5</v>
      </c>
      <c r="KYN68" s="2555">
        <v>0.5</v>
      </c>
      <c r="KYO68" s="2555">
        <v>0.56000000000000005</v>
      </c>
      <c r="KYP68" s="2555">
        <v>0.34</v>
      </c>
      <c r="KYQ68" s="2555"/>
      <c r="KYR68" s="2555">
        <v>0.42</v>
      </c>
      <c r="KYS68" s="2553">
        <v>2019</v>
      </c>
      <c r="KYT68" s="2554"/>
      <c r="KYU68" s="2555">
        <v>0.5</v>
      </c>
      <c r="KYV68" s="2555">
        <v>0.5</v>
      </c>
      <c r="KYW68" s="2555">
        <v>0.56000000000000005</v>
      </c>
      <c r="KYX68" s="2555">
        <v>0.34</v>
      </c>
      <c r="KYY68" s="2555"/>
      <c r="KYZ68" s="2555">
        <v>0.42</v>
      </c>
      <c r="KZA68" s="2553">
        <v>2019</v>
      </c>
      <c r="KZB68" s="2554"/>
      <c r="KZC68" s="2555">
        <v>0.5</v>
      </c>
      <c r="KZD68" s="2555">
        <v>0.5</v>
      </c>
      <c r="KZE68" s="2555">
        <v>0.56000000000000005</v>
      </c>
      <c r="KZF68" s="2555">
        <v>0.34</v>
      </c>
      <c r="KZG68" s="2555"/>
      <c r="KZH68" s="2555">
        <v>0.42</v>
      </c>
      <c r="KZI68" s="2553">
        <v>2019</v>
      </c>
      <c r="KZJ68" s="2554"/>
      <c r="KZK68" s="2555">
        <v>0.5</v>
      </c>
      <c r="KZL68" s="2555">
        <v>0.5</v>
      </c>
      <c r="KZM68" s="2555">
        <v>0.56000000000000005</v>
      </c>
      <c r="KZN68" s="2555">
        <v>0.34</v>
      </c>
      <c r="KZO68" s="2555"/>
      <c r="KZP68" s="2555">
        <v>0.42</v>
      </c>
      <c r="KZQ68" s="2553">
        <v>2019</v>
      </c>
      <c r="KZR68" s="2554"/>
      <c r="KZS68" s="2555">
        <v>0.5</v>
      </c>
      <c r="KZT68" s="2555">
        <v>0.5</v>
      </c>
      <c r="KZU68" s="2555">
        <v>0.56000000000000005</v>
      </c>
      <c r="KZV68" s="2555">
        <v>0.34</v>
      </c>
      <c r="KZW68" s="2555"/>
      <c r="KZX68" s="2555">
        <v>0.42</v>
      </c>
      <c r="KZY68" s="2553">
        <v>2019</v>
      </c>
      <c r="KZZ68" s="2554"/>
      <c r="LAA68" s="2555">
        <v>0.5</v>
      </c>
      <c r="LAB68" s="2555">
        <v>0.5</v>
      </c>
      <c r="LAC68" s="2555">
        <v>0.56000000000000005</v>
      </c>
      <c r="LAD68" s="2555">
        <v>0.34</v>
      </c>
      <c r="LAE68" s="2555"/>
      <c r="LAF68" s="2555">
        <v>0.42</v>
      </c>
      <c r="LAG68" s="2553">
        <v>2019</v>
      </c>
      <c r="LAH68" s="2554"/>
      <c r="LAI68" s="2555">
        <v>0.5</v>
      </c>
      <c r="LAJ68" s="2555">
        <v>0.5</v>
      </c>
      <c r="LAK68" s="2555">
        <v>0.56000000000000005</v>
      </c>
      <c r="LAL68" s="2555">
        <v>0.34</v>
      </c>
      <c r="LAM68" s="2555"/>
      <c r="LAN68" s="2555">
        <v>0.42</v>
      </c>
      <c r="LAO68" s="2553">
        <v>2019</v>
      </c>
      <c r="LAP68" s="2554"/>
      <c r="LAQ68" s="2555">
        <v>0.5</v>
      </c>
      <c r="LAR68" s="2555">
        <v>0.5</v>
      </c>
      <c r="LAS68" s="2555">
        <v>0.56000000000000005</v>
      </c>
      <c r="LAT68" s="2555">
        <v>0.34</v>
      </c>
      <c r="LAU68" s="2555"/>
      <c r="LAV68" s="2555">
        <v>0.42</v>
      </c>
      <c r="LAW68" s="2553">
        <v>2019</v>
      </c>
      <c r="LAX68" s="2554"/>
      <c r="LAY68" s="2555">
        <v>0.5</v>
      </c>
      <c r="LAZ68" s="2555">
        <v>0.5</v>
      </c>
      <c r="LBA68" s="2555">
        <v>0.56000000000000005</v>
      </c>
      <c r="LBB68" s="2555">
        <v>0.34</v>
      </c>
      <c r="LBC68" s="2555"/>
      <c r="LBD68" s="2555">
        <v>0.42</v>
      </c>
      <c r="LBE68" s="2553">
        <v>2019</v>
      </c>
      <c r="LBF68" s="2554"/>
      <c r="LBG68" s="2555">
        <v>0.5</v>
      </c>
      <c r="LBH68" s="2555">
        <v>0.5</v>
      </c>
      <c r="LBI68" s="2555">
        <v>0.56000000000000005</v>
      </c>
      <c r="LBJ68" s="2555">
        <v>0.34</v>
      </c>
      <c r="LBK68" s="2555"/>
      <c r="LBL68" s="2555">
        <v>0.42</v>
      </c>
      <c r="LBM68" s="2553">
        <v>2019</v>
      </c>
      <c r="LBN68" s="2554"/>
      <c r="LBO68" s="2555">
        <v>0.5</v>
      </c>
      <c r="LBP68" s="2555">
        <v>0.5</v>
      </c>
      <c r="LBQ68" s="2555">
        <v>0.56000000000000005</v>
      </c>
      <c r="LBR68" s="2555">
        <v>0.34</v>
      </c>
      <c r="LBS68" s="2555"/>
      <c r="LBT68" s="2555">
        <v>0.42</v>
      </c>
      <c r="LBU68" s="2553">
        <v>2019</v>
      </c>
      <c r="LBV68" s="2554"/>
      <c r="LBW68" s="2555">
        <v>0.5</v>
      </c>
      <c r="LBX68" s="2555">
        <v>0.5</v>
      </c>
      <c r="LBY68" s="2555">
        <v>0.56000000000000005</v>
      </c>
      <c r="LBZ68" s="2555">
        <v>0.34</v>
      </c>
      <c r="LCA68" s="2555"/>
      <c r="LCB68" s="2555">
        <v>0.42</v>
      </c>
      <c r="LCC68" s="2553">
        <v>2019</v>
      </c>
      <c r="LCD68" s="2554"/>
      <c r="LCE68" s="2555">
        <v>0.5</v>
      </c>
      <c r="LCF68" s="2555">
        <v>0.5</v>
      </c>
      <c r="LCG68" s="2555">
        <v>0.56000000000000005</v>
      </c>
      <c r="LCH68" s="2555">
        <v>0.34</v>
      </c>
      <c r="LCI68" s="2555"/>
      <c r="LCJ68" s="2555">
        <v>0.42</v>
      </c>
      <c r="LCK68" s="2553">
        <v>2019</v>
      </c>
      <c r="LCL68" s="2554"/>
      <c r="LCM68" s="2555">
        <v>0.5</v>
      </c>
      <c r="LCN68" s="2555">
        <v>0.5</v>
      </c>
      <c r="LCO68" s="2555">
        <v>0.56000000000000005</v>
      </c>
      <c r="LCP68" s="2555">
        <v>0.34</v>
      </c>
      <c r="LCQ68" s="2555"/>
      <c r="LCR68" s="2555">
        <v>0.42</v>
      </c>
      <c r="LCS68" s="2553">
        <v>2019</v>
      </c>
      <c r="LCT68" s="2554"/>
      <c r="LCU68" s="2555">
        <v>0.5</v>
      </c>
      <c r="LCV68" s="2555">
        <v>0.5</v>
      </c>
      <c r="LCW68" s="2555">
        <v>0.56000000000000005</v>
      </c>
      <c r="LCX68" s="2555">
        <v>0.34</v>
      </c>
      <c r="LCY68" s="2555"/>
      <c r="LCZ68" s="2555">
        <v>0.42</v>
      </c>
      <c r="LDA68" s="2553">
        <v>2019</v>
      </c>
      <c r="LDB68" s="2554"/>
      <c r="LDC68" s="2555">
        <v>0.5</v>
      </c>
      <c r="LDD68" s="2555">
        <v>0.5</v>
      </c>
      <c r="LDE68" s="2555">
        <v>0.56000000000000005</v>
      </c>
      <c r="LDF68" s="2555">
        <v>0.34</v>
      </c>
      <c r="LDG68" s="2555"/>
      <c r="LDH68" s="2555">
        <v>0.42</v>
      </c>
      <c r="LDI68" s="2553">
        <v>2019</v>
      </c>
      <c r="LDJ68" s="2554"/>
      <c r="LDK68" s="2555">
        <v>0.5</v>
      </c>
      <c r="LDL68" s="2555">
        <v>0.5</v>
      </c>
      <c r="LDM68" s="2555">
        <v>0.56000000000000005</v>
      </c>
      <c r="LDN68" s="2555">
        <v>0.34</v>
      </c>
      <c r="LDO68" s="2555"/>
      <c r="LDP68" s="2555">
        <v>0.42</v>
      </c>
      <c r="LDQ68" s="2553">
        <v>2019</v>
      </c>
      <c r="LDR68" s="2554"/>
      <c r="LDS68" s="2555">
        <v>0.5</v>
      </c>
      <c r="LDT68" s="2555">
        <v>0.5</v>
      </c>
      <c r="LDU68" s="2555">
        <v>0.56000000000000005</v>
      </c>
      <c r="LDV68" s="2555">
        <v>0.34</v>
      </c>
      <c r="LDW68" s="2555"/>
      <c r="LDX68" s="2555">
        <v>0.42</v>
      </c>
      <c r="LDY68" s="2553">
        <v>2019</v>
      </c>
      <c r="LDZ68" s="2554"/>
      <c r="LEA68" s="2555">
        <v>0.5</v>
      </c>
      <c r="LEB68" s="2555">
        <v>0.5</v>
      </c>
      <c r="LEC68" s="2555">
        <v>0.56000000000000005</v>
      </c>
      <c r="LED68" s="2555">
        <v>0.34</v>
      </c>
      <c r="LEE68" s="2555"/>
      <c r="LEF68" s="2555">
        <v>0.42</v>
      </c>
      <c r="LEG68" s="2553">
        <v>2019</v>
      </c>
      <c r="LEH68" s="2554"/>
      <c r="LEI68" s="2555">
        <v>0.5</v>
      </c>
      <c r="LEJ68" s="2555">
        <v>0.5</v>
      </c>
      <c r="LEK68" s="2555">
        <v>0.56000000000000005</v>
      </c>
      <c r="LEL68" s="2555">
        <v>0.34</v>
      </c>
      <c r="LEM68" s="2555"/>
      <c r="LEN68" s="2555">
        <v>0.42</v>
      </c>
      <c r="LEO68" s="2553">
        <v>2019</v>
      </c>
      <c r="LEP68" s="2554"/>
      <c r="LEQ68" s="2555">
        <v>0.5</v>
      </c>
      <c r="LER68" s="2555">
        <v>0.5</v>
      </c>
      <c r="LES68" s="2555">
        <v>0.56000000000000005</v>
      </c>
      <c r="LET68" s="2555">
        <v>0.34</v>
      </c>
      <c r="LEU68" s="2555"/>
      <c r="LEV68" s="2555">
        <v>0.42</v>
      </c>
      <c r="LEW68" s="2553">
        <v>2019</v>
      </c>
      <c r="LEX68" s="2554"/>
      <c r="LEY68" s="2555">
        <v>0.5</v>
      </c>
      <c r="LEZ68" s="2555">
        <v>0.5</v>
      </c>
      <c r="LFA68" s="2555">
        <v>0.56000000000000005</v>
      </c>
      <c r="LFB68" s="2555">
        <v>0.34</v>
      </c>
      <c r="LFC68" s="2555"/>
      <c r="LFD68" s="2555">
        <v>0.42</v>
      </c>
      <c r="LFE68" s="2553">
        <v>2019</v>
      </c>
      <c r="LFF68" s="2554"/>
      <c r="LFG68" s="2555">
        <v>0.5</v>
      </c>
      <c r="LFH68" s="2555">
        <v>0.5</v>
      </c>
      <c r="LFI68" s="2555">
        <v>0.56000000000000005</v>
      </c>
      <c r="LFJ68" s="2555">
        <v>0.34</v>
      </c>
      <c r="LFK68" s="2555"/>
      <c r="LFL68" s="2555">
        <v>0.42</v>
      </c>
      <c r="LFM68" s="2553">
        <v>2019</v>
      </c>
      <c r="LFN68" s="2554"/>
      <c r="LFO68" s="2555">
        <v>0.5</v>
      </c>
      <c r="LFP68" s="2555">
        <v>0.5</v>
      </c>
      <c r="LFQ68" s="2555">
        <v>0.56000000000000005</v>
      </c>
      <c r="LFR68" s="2555">
        <v>0.34</v>
      </c>
      <c r="LFS68" s="2555"/>
      <c r="LFT68" s="2555">
        <v>0.42</v>
      </c>
      <c r="LFU68" s="2553">
        <v>2019</v>
      </c>
      <c r="LFV68" s="2554"/>
      <c r="LFW68" s="2555">
        <v>0.5</v>
      </c>
      <c r="LFX68" s="2555">
        <v>0.5</v>
      </c>
      <c r="LFY68" s="2555">
        <v>0.56000000000000005</v>
      </c>
      <c r="LFZ68" s="2555">
        <v>0.34</v>
      </c>
      <c r="LGA68" s="2555"/>
      <c r="LGB68" s="2555">
        <v>0.42</v>
      </c>
      <c r="LGC68" s="2553">
        <v>2019</v>
      </c>
      <c r="LGD68" s="2554"/>
      <c r="LGE68" s="2555">
        <v>0.5</v>
      </c>
      <c r="LGF68" s="2555">
        <v>0.5</v>
      </c>
      <c r="LGG68" s="2555">
        <v>0.56000000000000005</v>
      </c>
      <c r="LGH68" s="2555">
        <v>0.34</v>
      </c>
      <c r="LGI68" s="2555"/>
      <c r="LGJ68" s="2555">
        <v>0.42</v>
      </c>
      <c r="LGK68" s="2553">
        <v>2019</v>
      </c>
      <c r="LGL68" s="2554"/>
      <c r="LGM68" s="2555">
        <v>0.5</v>
      </c>
      <c r="LGN68" s="2555">
        <v>0.5</v>
      </c>
      <c r="LGO68" s="2555">
        <v>0.56000000000000005</v>
      </c>
      <c r="LGP68" s="2555">
        <v>0.34</v>
      </c>
      <c r="LGQ68" s="2555"/>
      <c r="LGR68" s="2555">
        <v>0.42</v>
      </c>
      <c r="LGS68" s="2553">
        <v>2019</v>
      </c>
      <c r="LGT68" s="2554"/>
      <c r="LGU68" s="2555">
        <v>0.5</v>
      </c>
      <c r="LGV68" s="2555">
        <v>0.5</v>
      </c>
      <c r="LGW68" s="2555">
        <v>0.56000000000000005</v>
      </c>
      <c r="LGX68" s="2555">
        <v>0.34</v>
      </c>
      <c r="LGY68" s="2555"/>
      <c r="LGZ68" s="2555">
        <v>0.42</v>
      </c>
      <c r="LHA68" s="2553">
        <v>2019</v>
      </c>
      <c r="LHB68" s="2554"/>
      <c r="LHC68" s="2555">
        <v>0.5</v>
      </c>
      <c r="LHD68" s="2555">
        <v>0.5</v>
      </c>
      <c r="LHE68" s="2555">
        <v>0.56000000000000005</v>
      </c>
      <c r="LHF68" s="2555">
        <v>0.34</v>
      </c>
      <c r="LHG68" s="2555"/>
      <c r="LHH68" s="2555">
        <v>0.42</v>
      </c>
      <c r="LHI68" s="2553">
        <v>2019</v>
      </c>
      <c r="LHJ68" s="2554"/>
      <c r="LHK68" s="2555">
        <v>0.5</v>
      </c>
      <c r="LHL68" s="2555">
        <v>0.5</v>
      </c>
      <c r="LHM68" s="2555">
        <v>0.56000000000000005</v>
      </c>
      <c r="LHN68" s="2555">
        <v>0.34</v>
      </c>
      <c r="LHO68" s="2555"/>
      <c r="LHP68" s="2555">
        <v>0.42</v>
      </c>
      <c r="LHQ68" s="2553">
        <v>2019</v>
      </c>
      <c r="LHR68" s="2554"/>
      <c r="LHS68" s="2555">
        <v>0.5</v>
      </c>
      <c r="LHT68" s="2555">
        <v>0.5</v>
      </c>
      <c r="LHU68" s="2555">
        <v>0.56000000000000005</v>
      </c>
      <c r="LHV68" s="2555">
        <v>0.34</v>
      </c>
      <c r="LHW68" s="2555"/>
      <c r="LHX68" s="2555">
        <v>0.42</v>
      </c>
      <c r="LHY68" s="2553">
        <v>2019</v>
      </c>
      <c r="LHZ68" s="2554"/>
      <c r="LIA68" s="2555">
        <v>0.5</v>
      </c>
      <c r="LIB68" s="2555">
        <v>0.5</v>
      </c>
      <c r="LIC68" s="2555">
        <v>0.56000000000000005</v>
      </c>
      <c r="LID68" s="2555">
        <v>0.34</v>
      </c>
      <c r="LIE68" s="2555"/>
      <c r="LIF68" s="2555">
        <v>0.42</v>
      </c>
      <c r="LIG68" s="2553">
        <v>2019</v>
      </c>
      <c r="LIH68" s="2554"/>
      <c r="LII68" s="2555">
        <v>0.5</v>
      </c>
      <c r="LIJ68" s="2555">
        <v>0.5</v>
      </c>
      <c r="LIK68" s="2555">
        <v>0.56000000000000005</v>
      </c>
      <c r="LIL68" s="2555">
        <v>0.34</v>
      </c>
      <c r="LIM68" s="2555"/>
      <c r="LIN68" s="2555">
        <v>0.42</v>
      </c>
      <c r="LIO68" s="2553">
        <v>2019</v>
      </c>
      <c r="LIP68" s="2554"/>
      <c r="LIQ68" s="2555">
        <v>0.5</v>
      </c>
      <c r="LIR68" s="2555">
        <v>0.5</v>
      </c>
      <c r="LIS68" s="2555">
        <v>0.56000000000000005</v>
      </c>
      <c r="LIT68" s="2555">
        <v>0.34</v>
      </c>
      <c r="LIU68" s="2555"/>
      <c r="LIV68" s="2555">
        <v>0.42</v>
      </c>
      <c r="LIW68" s="2553">
        <v>2019</v>
      </c>
      <c r="LIX68" s="2554"/>
      <c r="LIY68" s="2555">
        <v>0.5</v>
      </c>
      <c r="LIZ68" s="2555">
        <v>0.5</v>
      </c>
      <c r="LJA68" s="2555">
        <v>0.56000000000000005</v>
      </c>
      <c r="LJB68" s="2555">
        <v>0.34</v>
      </c>
      <c r="LJC68" s="2555"/>
      <c r="LJD68" s="2555">
        <v>0.42</v>
      </c>
      <c r="LJE68" s="2553">
        <v>2019</v>
      </c>
      <c r="LJF68" s="2554"/>
      <c r="LJG68" s="2555">
        <v>0.5</v>
      </c>
      <c r="LJH68" s="2555">
        <v>0.5</v>
      </c>
      <c r="LJI68" s="2555">
        <v>0.56000000000000005</v>
      </c>
      <c r="LJJ68" s="2555">
        <v>0.34</v>
      </c>
      <c r="LJK68" s="2555"/>
      <c r="LJL68" s="2555">
        <v>0.42</v>
      </c>
      <c r="LJM68" s="2553">
        <v>2019</v>
      </c>
      <c r="LJN68" s="2554"/>
      <c r="LJO68" s="2555">
        <v>0.5</v>
      </c>
      <c r="LJP68" s="2555">
        <v>0.5</v>
      </c>
      <c r="LJQ68" s="2555">
        <v>0.56000000000000005</v>
      </c>
      <c r="LJR68" s="2555">
        <v>0.34</v>
      </c>
      <c r="LJS68" s="2555"/>
      <c r="LJT68" s="2555">
        <v>0.42</v>
      </c>
      <c r="LJU68" s="2553">
        <v>2019</v>
      </c>
      <c r="LJV68" s="2554"/>
      <c r="LJW68" s="2555">
        <v>0.5</v>
      </c>
      <c r="LJX68" s="2555">
        <v>0.5</v>
      </c>
      <c r="LJY68" s="2555">
        <v>0.56000000000000005</v>
      </c>
      <c r="LJZ68" s="2555">
        <v>0.34</v>
      </c>
      <c r="LKA68" s="2555"/>
      <c r="LKB68" s="2555">
        <v>0.42</v>
      </c>
      <c r="LKC68" s="2553">
        <v>2019</v>
      </c>
      <c r="LKD68" s="2554"/>
      <c r="LKE68" s="2555">
        <v>0.5</v>
      </c>
      <c r="LKF68" s="2555">
        <v>0.5</v>
      </c>
      <c r="LKG68" s="2555">
        <v>0.56000000000000005</v>
      </c>
      <c r="LKH68" s="2555">
        <v>0.34</v>
      </c>
      <c r="LKI68" s="2555"/>
      <c r="LKJ68" s="2555">
        <v>0.42</v>
      </c>
      <c r="LKK68" s="2553">
        <v>2019</v>
      </c>
      <c r="LKL68" s="2554"/>
      <c r="LKM68" s="2555">
        <v>0.5</v>
      </c>
      <c r="LKN68" s="2555">
        <v>0.5</v>
      </c>
      <c r="LKO68" s="2555">
        <v>0.56000000000000005</v>
      </c>
      <c r="LKP68" s="2555">
        <v>0.34</v>
      </c>
      <c r="LKQ68" s="2555"/>
      <c r="LKR68" s="2555">
        <v>0.42</v>
      </c>
      <c r="LKS68" s="2553">
        <v>2019</v>
      </c>
      <c r="LKT68" s="2554"/>
      <c r="LKU68" s="2555">
        <v>0.5</v>
      </c>
      <c r="LKV68" s="2555">
        <v>0.5</v>
      </c>
      <c r="LKW68" s="2555">
        <v>0.56000000000000005</v>
      </c>
      <c r="LKX68" s="2555">
        <v>0.34</v>
      </c>
      <c r="LKY68" s="2555"/>
      <c r="LKZ68" s="2555">
        <v>0.42</v>
      </c>
      <c r="LLA68" s="2553">
        <v>2019</v>
      </c>
      <c r="LLB68" s="2554"/>
      <c r="LLC68" s="2555">
        <v>0.5</v>
      </c>
      <c r="LLD68" s="2555">
        <v>0.5</v>
      </c>
      <c r="LLE68" s="2555">
        <v>0.56000000000000005</v>
      </c>
      <c r="LLF68" s="2555">
        <v>0.34</v>
      </c>
      <c r="LLG68" s="2555"/>
      <c r="LLH68" s="2555">
        <v>0.42</v>
      </c>
      <c r="LLI68" s="2553">
        <v>2019</v>
      </c>
      <c r="LLJ68" s="2554"/>
      <c r="LLK68" s="2555">
        <v>0.5</v>
      </c>
      <c r="LLL68" s="2555">
        <v>0.5</v>
      </c>
      <c r="LLM68" s="2555">
        <v>0.56000000000000005</v>
      </c>
      <c r="LLN68" s="2555">
        <v>0.34</v>
      </c>
      <c r="LLO68" s="2555"/>
      <c r="LLP68" s="2555">
        <v>0.42</v>
      </c>
      <c r="LLQ68" s="2553">
        <v>2019</v>
      </c>
      <c r="LLR68" s="2554"/>
      <c r="LLS68" s="2555">
        <v>0.5</v>
      </c>
      <c r="LLT68" s="2555">
        <v>0.5</v>
      </c>
      <c r="LLU68" s="2555">
        <v>0.56000000000000005</v>
      </c>
      <c r="LLV68" s="2555">
        <v>0.34</v>
      </c>
      <c r="LLW68" s="2555"/>
      <c r="LLX68" s="2555">
        <v>0.42</v>
      </c>
      <c r="LLY68" s="2553">
        <v>2019</v>
      </c>
      <c r="LLZ68" s="2554"/>
      <c r="LMA68" s="2555">
        <v>0.5</v>
      </c>
      <c r="LMB68" s="2555">
        <v>0.5</v>
      </c>
      <c r="LMC68" s="2555">
        <v>0.56000000000000005</v>
      </c>
      <c r="LMD68" s="2555">
        <v>0.34</v>
      </c>
      <c r="LME68" s="2555"/>
      <c r="LMF68" s="2555">
        <v>0.42</v>
      </c>
      <c r="LMG68" s="2553">
        <v>2019</v>
      </c>
      <c r="LMH68" s="2554"/>
      <c r="LMI68" s="2555">
        <v>0.5</v>
      </c>
      <c r="LMJ68" s="2555">
        <v>0.5</v>
      </c>
      <c r="LMK68" s="2555">
        <v>0.56000000000000005</v>
      </c>
      <c r="LML68" s="2555">
        <v>0.34</v>
      </c>
      <c r="LMM68" s="2555"/>
      <c r="LMN68" s="2555">
        <v>0.42</v>
      </c>
      <c r="LMO68" s="2553">
        <v>2019</v>
      </c>
      <c r="LMP68" s="2554"/>
      <c r="LMQ68" s="2555">
        <v>0.5</v>
      </c>
      <c r="LMR68" s="2555">
        <v>0.5</v>
      </c>
      <c r="LMS68" s="2555">
        <v>0.56000000000000005</v>
      </c>
      <c r="LMT68" s="2555">
        <v>0.34</v>
      </c>
      <c r="LMU68" s="2555"/>
      <c r="LMV68" s="2555">
        <v>0.42</v>
      </c>
      <c r="LMW68" s="2553">
        <v>2019</v>
      </c>
      <c r="LMX68" s="2554"/>
      <c r="LMY68" s="2555">
        <v>0.5</v>
      </c>
      <c r="LMZ68" s="2555">
        <v>0.5</v>
      </c>
      <c r="LNA68" s="2555">
        <v>0.56000000000000005</v>
      </c>
      <c r="LNB68" s="2555">
        <v>0.34</v>
      </c>
      <c r="LNC68" s="2555"/>
      <c r="LND68" s="2555">
        <v>0.42</v>
      </c>
      <c r="LNE68" s="2553">
        <v>2019</v>
      </c>
      <c r="LNF68" s="2554"/>
      <c r="LNG68" s="2555">
        <v>0.5</v>
      </c>
      <c r="LNH68" s="2555">
        <v>0.5</v>
      </c>
      <c r="LNI68" s="2555">
        <v>0.56000000000000005</v>
      </c>
      <c r="LNJ68" s="2555">
        <v>0.34</v>
      </c>
      <c r="LNK68" s="2555"/>
      <c r="LNL68" s="2555">
        <v>0.42</v>
      </c>
      <c r="LNM68" s="2553">
        <v>2019</v>
      </c>
      <c r="LNN68" s="2554"/>
      <c r="LNO68" s="2555">
        <v>0.5</v>
      </c>
      <c r="LNP68" s="2555">
        <v>0.5</v>
      </c>
      <c r="LNQ68" s="2555">
        <v>0.56000000000000005</v>
      </c>
      <c r="LNR68" s="2555">
        <v>0.34</v>
      </c>
      <c r="LNS68" s="2555"/>
      <c r="LNT68" s="2555">
        <v>0.42</v>
      </c>
      <c r="LNU68" s="2553">
        <v>2019</v>
      </c>
      <c r="LNV68" s="2554"/>
      <c r="LNW68" s="2555">
        <v>0.5</v>
      </c>
      <c r="LNX68" s="2555">
        <v>0.5</v>
      </c>
      <c r="LNY68" s="2555">
        <v>0.56000000000000005</v>
      </c>
      <c r="LNZ68" s="2555">
        <v>0.34</v>
      </c>
      <c r="LOA68" s="2555"/>
      <c r="LOB68" s="2555">
        <v>0.42</v>
      </c>
      <c r="LOC68" s="2553">
        <v>2019</v>
      </c>
      <c r="LOD68" s="2554"/>
      <c r="LOE68" s="2555">
        <v>0.5</v>
      </c>
      <c r="LOF68" s="2555">
        <v>0.5</v>
      </c>
      <c r="LOG68" s="2555">
        <v>0.56000000000000005</v>
      </c>
      <c r="LOH68" s="2555">
        <v>0.34</v>
      </c>
      <c r="LOI68" s="2555"/>
      <c r="LOJ68" s="2555">
        <v>0.42</v>
      </c>
      <c r="LOK68" s="2553">
        <v>2019</v>
      </c>
      <c r="LOL68" s="2554"/>
      <c r="LOM68" s="2555">
        <v>0.5</v>
      </c>
      <c r="LON68" s="2555">
        <v>0.5</v>
      </c>
      <c r="LOO68" s="2555">
        <v>0.56000000000000005</v>
      </c>
      <c r="LOP68" s="2555">
        <v>0.34</v>
      </c>
      <c r="LOQ68" s="2555"/>
      <c r="LOR68" s="2555">
        <v>0.42</v>
      </c>
      <c r="LOS68" s="2553">
        <v>2019</v>
      </c>
      <c r="LOT68" s="2554"/>
      <c r="LOU68" s="2555">
        <v>0.5</v>
      </c>
      <c r="LOV68" s="2555">
        <v>0.5</v>
      </c>
      <c r="LOW68" s="2555">
        <v>0.56000000000000005</v>
      </c>
      <c r="LOX68" s="2555">
        <v>0.34</v>
      </c>
      <c r="LOY68" s="2555"/>
      <c r="LOZ68" s="2555">
        <v>0.42</v>
      </c>
      <c r="LPA68" s="2553">
        <v>2019</v>
      </c>
      <c r="LPB68" s="2554"/>
      <c r="LPC68" s="2555">
        <v>0.5</v>
      </c>
      <c r="LPD68" s="2555">
        <v>0.5</v>
      </c>
      <c r="LPE68" s="2555">
        <v>0.56000000000000005</v>
      </c>
      <c r="LPF68" s="2555">
        <v>0.34</v>
      </c>
      <c r="LPG68" s="2555"/>
      <c r="LPH68" s="2555">
        <v>0.42</v>
      </c>
      <c r="LPI68" s="2553">
        <v>2019</v>
      </c>
      <c r="LPJ68" s="2554"/>
      <c r="LPK68" s="2555">
        <v>0.5</v>
      </c>
      <c r="LPL68" s="2555">
        <v>0.5</v>
      </c>
      <c r="LPM68" s="2555">
        <v>0.56000000000000005</v>
      </c>
      <c r="LPN68" s="2555">
        <v>0.34</v>
      </c>
      <c r="LPO68" s="2555"/>
      <c r="LPP68" s="2555">
        <v>0.42</v>
      </c>
      <c r="LPQ68" s="2553">
        <v>2019</v>
      </c>
      <c r="LPR68" s="2554"/>
      <c r="LPS68" s="2555">
        <v>0.5</v>
      </c>
      <c r="LPT68" s="2555">
        <v>0.5</v>
      </c>
      <c r="LPU68" s="2555">
        <v>0.56000000000000005</v>
      </c>
      <c r="LPV68" s="2555">
        <v>0.34</v>
      </c>
      <c r="LPW68" s="2555"/>
      <c r="LPX68" s="2555">
        <v>0.42</v>
      </c>
      <c r="LPY68" s="2553">
        <v>2019</v>
      </c>
      <c r="LPZ68" s="2554"/>
      <c r="LQA68" s="2555">
        <v>0.5</v>
      </c>
      <c r="LQB68" s="2555">
        <v>0.5</v>
      </c>
      <c r="LQC68" s="2555">
        <v>0.56000000000000005</v>
      </c>
      <c r="LQD68" s="2555">
        <v>0.34</v>
      </c>
      <c r="LQE68" s="2555"/>
      <c r="LQF68" s="2555">
        <v>0.42</v>
      </c>
      <c r="LQG68" s="2553">
        <v>2019</v>
      </c>
      <c r="LQH68" s="2554"/>
      <c r="LQI68" s="2555">
        <v>0.5</v>
      </c>
      <c r="LQJ68" s="2555">
        <v>0.5</v>
      </c>
      <c r="LQK68" s="2555">
        <v>0.56000000000000005</v>
      </c>
      <c r="LQL68" s="2555">
        <v>0.34</v>
      </c>
      <c r="LQM68" s="2555"/>
      <c r="LQN68" s="2555">
        <v>0.42</v>
      </c>
      <c r="LQO68" s="2553">
        <v>2019</v>
      </c>
      <c r="LQP68" s="2554"/>
      <c r="LQQ68" s="2555">
        <v>0.5</v>
      </c>
      <c r="LQR68" s="2555">
        <v>0.5</v>
      </c>
      <c r="LQS68" s="2555">
        <v>0.56000000000000005</v>
      </c>
      <c r="LQT68" s="2555">
        <v>0.34</v>
      </c>
      <c r="LQU68" s="2555"/>
      <c r="LQV68" s="2555">
        <v>0.42</v>
      </c>
      <c r="LQW68" s="2553">
        <v>2019</v>
      </c>
      <c r="LQX68" s="2554"/>
      <c r="LQY68" s="2555">
        <v>0.5</v>
      </c>
      <c r="LQZ68" s="2555">
        <v>0.5</v>
      </c>
      <c r="LRA68" s="2555">
        <v>0.56000000000000005</v>
      </c>
      <c r="LRB68" s="2555">
        <v>0.34</v>
      </c>
      <c r="LRC68" s="2555"/>
      <c r="LRD68" s="2555">
        <v>0.42</v>
      </c>
      <c r="LRE68" s="2553">
        <v>2019</v>
      </c>
      <c r="LRF68" s="2554"/>
      <c r="LRG68" s="2555">
        <v>0.5</v>
      </c>
      <c r="LRH68" s="2555">
        <v>0.5</v>
      </c>
      <c r="LRI68" s="2555">
        <v>0.56000000000000005</v>
      </c>
      <c r="LRJ68" s="2555">
        <v>0.34</v>
      </c>
      <c r="LRK68" s="2555"/>
      <c r="LRL68" s="2555">
        <v>0.42</v>
      </c>
      <c r="LRM68" s="2553">
        <v>2019</v>
      </c>
      <c r="LRN68" s="2554"/>
      <c r="LRO68" s="2555">
        <v>0.5</v>
      </c>
      <c r="LRP68" s="2555">
        <v>0.5</v>
      </c>
      <c r="LRQ68" s="2555">
        <v>0.56000000000000005</v>
      </c>
      <c r="LRR68" s="2555">
        <v>0.34</v>
      </c>
      <c r="LRS68" s="2555"/>
      <c r="LRT68" s="2555">
        <v>0.42</v>
      </c>
      <c r="LRU68" s="2553">
        <v>2019</v>
      </c>
      <c r="LRV68" s="2554"/>
      <c r="LRW68" s="2555">
        <v>0.5</v>
      </c>
      <c r="LRX68" s="2555">
        <v>0.5</v>
      </c>
      <c r="LRY68" s="2555">
        <v>0.56000000000000005</v>
      </c>
      <c r="LRZ68" s="2555">
        <v>0.34</v>
      </c>
      <c r="LSA68" s="2555"/>
      <c r="LSB68" s="2555">
        <v>0.42</v>
      </c>
      <c r="LSC68" s="2553">
        <v>2019</v>
      </c>
      <c r="LSD68" s="2554"/>
      <c r="LSE68" s="2555">
        <v>0.5</v>
      </c>
      <c r="LSF68" s="2555">
        <v>0.5</v>
      </c>
      <c r="LSG68" s="2555">
        <v>0.56000000000000005</v>
      </c>
      <c r="LSH68" s="2555">
        <v>0.34</v>
      </c>
      <c r="LSI68" s="2555"/>
      <c r="LSJ68" s="2555">
        <v>0.42</v>
      </c>
      <c r="LSK68" s="2553">
        <v>2019</v>
      </c>
      <c r="LSL68" s="2554"/>
      <c r="LSM68" s="2555">
        <v>0.5</v>
      </c>
      <c r="LSN68" s="2555">
        <v>0.5</v>
      </c>
      <c r="LSO68" s="2555">
        <v>0.56000000000000005</v>
      </c>
      <c r="LSP68" s="2555">
        <v>0.34</v>
      </c>
      <c r="LSQ68" s="2555"/>
      <c r="LSR68" s="2555">
        <v>0.42</v>
      </c>
      <c r="LSS68" s="2553">
        <v>2019</v>
      </c>
      <c r="LST68" s="2554"/>
      <c r="LSU68" s="2555">
        <v>0.5</v>
      </c>
      <c r="LSV68" s="2555">
        <v>0.5</v>
      </c>
      <c r="LSW68" s="2555">
        <v>0.56000000000000005</v>
      </c>
      <c r="LSX68" s="2555">
        <v>0.34</v>
      </c>
      <c r="LSY68" s="2555"/>
      <c r="LSZ68" s="2555">
        <v>0.42</v>
      </c>
      <c r="LTA68" s="2553">
        <v>2019</v>
      </c>
      <c r="LTB68" s="2554"/>
      <c r="LTC68" s="2555">
        <v>0.5</v>
      </c>
      <c r="LTD68" s="2555">
        <v>0.5</v>
      </c>
      <c r="LTE68" s="2555">
        <v>0.56000000000000005</v>
      </c>
      <c r="LTF68" s="2555">
        <v>0.34</v>
      </c>
      <c r="LTG68" s="2555"/>
      <c r="LTH68" s="2555">
        <v>0.42</v>
      </c>
      <c r="LTI68" s="2553">
        <v>2019</v>
      </c>
      <c r="LTJ68" s="2554"/>
      <c r="LTK68" s="2555">
        <v>0.5</v>
      </c>
      <c r="LTL68" s="2555">
        <v>0.5</v>
      </c>
      <c r="LTM68" s="2555">
        <v>0.56000000000000005</v>
      </c>
      <c r="LTN68" s="2555">
        <v>0.34</v>
      </c>
      <c r="LTO68" s="2555"/>
      <c r="LTP68" s="2555">
        <v>0.42</v>
      </c>
      <c r="LTQ68" s="2553">
        <v>2019</v>
      </c>
      <c r="LTR68" s="2554"/>
      <c r="LTS68" s="2555">
        <v>0.5</v>
      </c>
      <c r="LTT68" s="2555">
        <v>0.5</v>
      </c>
      <c r="LTU68" s="2555">
        <v>0.56000000000000005</v>
      </c>
      <c r="LTV68" s="2555">
        <v>0.34</v>
      </c>
      <c r="LTW68" s="2555"/>
      <c r="LTX68" s="2555">
        <v>0.42</v>
      </c>
      <c r="LTY68" s="2553">
        <v>2019</v>
      </c>
      <c r="LTZ68" s="2554"/>
      <c r="LUA68" s="2555">
        <v>0.5</v>
      </c>
      <c r="LUB68" s="2555">
        <v>0.5</v>
      </c>
      <c r="LUC68" s="2555">
        <v>0.56000000000000005</v>
      </c>
      <c r="LUD68" s="2555">
        <v>0.34</v>
      </c>
      <c r="LUE68" s="2555"/>
      <c r="LUF68" s="2555">
        <v>0.42</v>
      </c>
      <c r="LUG68" s="2553">
        <v>2019</v>
      </c>
      <c r="LUH68" s="2554"/>
      <c r="LUI68" s="2555">
        <v>0.5</v>
      </c>
      <c r="LUJ68" s="2555">
        <v>0.5</v>
      </c>
      <c r="LUK68" s="2555">
        <v>0.56000000000000005</v>
      </c>
      <c r="LUL68" s="2555">
        <v>0.34</v>
      </c>
      <c r="LUM68" s="2555"/>
      <c r="LUN68" s="2555">
        <v>0.42</v>
      </c>
      <c r="LUO68" s="2553">
        <v>2019</v>
      </c>
      <c r="LUP68" s="2554"/>
      <c r="LUQ68" s="2555">
        <v>0.5</v>
      </c>
      <c r="LUR68" s="2555">
        <v>0.5</v>
      </c>
      <c r="LUS68" s="2555">
        <v>0.56000000000000005</v>
      </c>
      <c r="LUT68" s="2555">
        <v>0.34</v>
      </c>
      <c r="LUU68" s="2555"/>
      <c r="LUV68" s="2555">
        <v>0.42</v>
      </c>
      <c r="LUW68" s="2553">
        <v>2019</v>
      </c>
      <c r="LUX68" s="2554"/>
      <c r="LUY68" s="2555">
        <v>0.5</v>
      </c>
      <c r="LUZ68" s="2555">
        <v>0.5</v>
      </c>
      <c r="LVA68" s="2555">
        <v>0.56000000000000005</v>
      </c>
      <c r="LVB68" s="2555">
        <v>0.34</v>
      </c>
      <c r="LVC68" s="2555"/>
      <c r="LVD68" s="2555">
        <v>0.42</v>
      </c>
      <c r="LVE68" s="2553">
        <v>2019</v>
      </c>
      <c r="LVF68" s="2554"/>
      <c r="LVG68" s="2555">
        <v>0.5</v>
      </c>
      <c r="LVH68" s="2555">
        <v>0.5</v>
      </c>
      <c r="LVI68" s="2555">
        <v>0.56000000000000005</v>
      </c>
      <c r="LVJ68" s="2555">
        <v>0.34</v>
      </c>
      <c r="LVK68" s="2555"/>
      <c r="LVL68" s="2555">
        <v>0.42</v>
      </c>
      <c r="LVM68" s="2553">
        <v>2019</v>
      </c>
      <c r="LVN68" s="2554"/>
      <c r="LVO68" s="2555">
        <v>0.5</v>
      </c>
      <c r="LVP68" s="2555">
        <v>0.5</v>
      </c>
      <c r="LVQ68" s="2555">
        <v>0.56000000000000005</v>
      </c>
      <c r="LVR68" s="2555">
        <v>0.34</v>
      </c>
      <c r="LVS68" s="2555"/>
      <c r="LVT68" s="2555">
        <v>0.42</v>
      </c>
      <c r="LVU68" s="2553">
        <v>2019</v>
      </c>
      <c r="LVV68" s="2554"/>
      <c r="LVW68" s="2555">
        <v>0.5</v>
      </c>
      <c r="LVX68" s="2555">
        <v>0.5</v>
      </c>
      <c r="LVY68" s="2555">
        <v>0.56000000000000005</v>
      </c>
      <c r="LVZ68" s="2555">
        <v>0.34</v>
      </c>
      <c r="LWA68" s="2555"/>
      <c r="LWB68" s="2555">
        <v>0.42</v>
      </c>
      <c r="LWC68" s="2553">
        <v>2019</v>
      </c>
      <c r="LWD68" s="2554"/>
      <c r="LWE68" s="2555">
        <v>0.5</v>
      </c>
      <c r="LWF68" s="2555">
        <v>0.5</v>
      </c>
      <c r="LWG68" s="2555">
        <v>0.56000000000000005</v>
      </c>
      <c r="LWH68" s="2555">
        <v>0.34</v>
      </c>
      <c r="LWI68" s="2555"/>
      <c r="LWJ68" s="2555">
        <v>0.42</v>
      </c>
      <c r="LWK68" s="2553">
        <v>2019</v>
      </c>
      <c r="LWL68" s="2554"/>
      <c r="LWM68" s="2555">
        <v>0.5</v>
      </c>
      <c r="LWN68" s="2555">
        <v>0.5</v>
      </c>
      <c r="LWO68" s="2555">
        <v>0.56000000000000005</v>
      </c>
      <c r="LWP68" s="2555">
        <v>0.34</v>
      </c>
      <c r="LWQ68" s="2555"/>
      <c r="LWR68" s="2555">
        <v>0.42</v>
      </c>
      <c r="LWS68" s="2553">
        <v>2019</v>
      </c>
      <c r="LWT68" s="2554"/>
      <c r="LWU68" s="2555">
        <v>0.5</v>
      </c>
      <c r="LWV68" s="2555">
        <v>0.5</v>
      </c>
      <c r="LWW68" s="2555">
        <v>0.56000000000000005</v>
      </c>
      <c r="LWX68" s="2555">
        <v>0.34</v>
      </c>
      <c r="LWY68" s="2555"/>
      <c r="LWZ68" s="2555">
        <v>0.42</v>
      </c>
      <c r="LXA68" s="2553">
        <v>2019</v>
      </c>
      <c r="LXB68" s="2554"/>
      <c r="LXC68" s="2555">
        <v>0.5</v>
      </c>
      <c r="LXD68" s="2555">
        <v>0.5</v>
      </c>
      <c r="LXE68" s="2555">
        <v>0.56000000000000005</v>
      </c>
      <c r="LXF68" s="2555">
        <v>0.34</v>
      </c>
      <c r="LXG68" s="2555"/>
      <c r="LXH68" s="2555">
        <v>0.42</v>
      </c>
      <c r="LXI68" s="2553">
        <v>2019</v>
      </c>
      <c r="LXJ68" s="2554"/>
      <c r="LXK68" s="2555">
        <v>0.5</v>
      </c>
      <c r="LXL68" s="2555">
        <v>0.5</v>
      </c>
      <c r="LXM68" s="2555">
        <v>0.56000000000000005</v>
      </c>
      <c r="LXN68" s="2555">
        <v>0.34</v>
      </c>
      <c r="LXO68" s="2555"/>
      <c r="LXP68" s="2555">
        <v>0.42</v>
      </c>
      <c r="LXQ68" s="2553">
        <v>2019</v>
      </c>
      <c r="LXR68" s="2554"/>
      <c r="LXS68" s="2555">
        <v>0.5</v>
      </c>
      <c r="LXT68" s="2555">
        <v>0.5</v>
      </c>
      <c r="LXU68" s="2555">
        <v>0.56000000000000005</v>
      </c>
      <c r="LXV68" s="2555">
        <v>0.34</v>
      </c>
      <c r="LXW68" s="2555"/>
      <c r="LXX68" s="2555">
        <v>0.42</v>
      </c>
      <c r="LXY68" s="2553">
        <v>2019</v>
      </c>
      <c r="LXZ68" s="2554"/>
      <c r="LYA68" s="2555">
        <v>0.5</v>
      </c>
      <c r="LYB68" s="2555">
        <v>0.5</v>
      </c>
      <c r="LYC68" s="2555">
        <v>0.56000000000000005</v>
      </c>
      <c r="LYD68" s="2555">
        <v>0.34</v>
      </c>
      <c r="LYE68" s="2555"/>
      <c r="LYF68" s="2555">
        <v>0.42</v>
      </c>
      <c r="LYG68" s="2553">
        <v>2019</v>
      </c>
      <c r="LYH68" s="2554"/>
      <c r="LYI68" s="2555">
        <v>0.5</v>
      </c>
      <c r="LYJ68" s="2555">
        <v>0.5</v>
      </c>
      <c r="LYK68" s="2555">
        <v>0.56000000000000005</v>
      </c>
      <c r="LYL68" s="2555">
        <v>0.34</v>
      </c>
      <c r="LYM68" s="2555"/>
      <c r="LYN68" s="2555">
        <v>0.42</v>
      </c>
      <c r="LYO68" s="2553">
        <v>2019</v>
      </c>
      <c r="LYP68" s="2554"/>
      <c r="LYQ68" s="2555">
        <v>0.5</v>
      </c>
      <c r="LYR68" s="2555">
        <v>0.5</v>
      </c>
      <c r="LYS68" s="2555">
        <v>0.56000000000000005</v>
      </c>
      <c r="LYT68" s="2555">
        <v>0.34</v>
      </c>
      <c r="LYU68" s="2555"/>
      <c r="LYV68" s="2555">
        <v>0.42</v>
      </c>
      <c r="LYW68" s="2553">
        <v>2019</v>
      </c>
      <c r="LYX68" s="2554"/>
      <c r="LYY68" s="2555">
        <v>0.5</v>
      </c>
      <c r="LYZ68" s="2555">
        <v>0.5</v>
      </c>
      <c r="LZA68" s="2555">
        <v>0.56000000000000005</v>
      </c>
      <c r="LZB68" s="2555">
        <v>0.34</v>
      </c>
      <c r="LZC68" s="2555"/>
      <c r="LZD68" s="2555">
        <v>0.42</v>
      </c>
      <c r="LZE68" s="2553">
        <v>2019</v>
      </c>
      <c r="LZF68" s="2554"/>
      <c r="LZG68" s="2555">
        <v>0.5</v>
      </c>
      <c r="LZH68" s="2555">
        <v>0.5</v>
      </c>
      <c r="LZI68" s="2555">
        <v>0.56000000000000005</v>
      </c>
      <c r="LZJ68" s="2555">
        <v>0.34</v>
      </c>
      <c r="LZK68" s="2555"/>
      <c r="LZL68" s="2555">
        <v>0.42</v>
      </c>
      <c r="LZM68" s="2553">
        <v>2019</v>
      </c>
      <c r="LZN68" s="2554"/>
      <c r="LZO68" s="2555">
        <v>0.5</v>
      </c>
      <c r="LZP68" s="2555">
        <v>0.5</v>
      </c>
      <c r="LZQ68" s="2555">
        <v>0.56000000000000005</v>
      </c>
      <c r="LZR68" s="2555">
        <v>0.34</v>
      </c>
      <c r="LZS68" s="2555"/>
      <c r="LZT68" s="2555">
        <v>0.42</v>
      </c>
      <c r="LZU68" s="2553">
        <v>2019</v>
      </c>
      <c r="LZV68" s="2554"/>
      <c r="LZW68" s="2555">
        <v>0.5</v>
      </c>
      <c r="LZX68" s="2555">
        <v>0.5</v>
      </c>
      <c r="LZY68" s="2555">
        <v>0.56000000000000005</v>
      </c>
      <c r="LZZ68" s="2555">
        <v>0.34</v>
      </c>
      <c r="MAA68" s="2555"/>
      <c r="MAB68" s="2555">
        <v>0.42</v>
      </c>
      <c r="MAC68" s="2553">
        <v>2019</v>
      </c>
      <c r="MAD68" s="2554"/>
      <c r="MAE68" s="2555">
        <v>0.5</v>
      </c>
      <c r="MAF68" s="2555">
        <v>0.5</v>
      </c>
      <c r="MAG68" s="2555">
        <v>0.56000000000000005</v>
      </c>
      <c r="MAH68" s="2555">
        <v>0.34</v>
      </c>
      <c r="MAI68" s="2555"/>
      <c r="MAJ68" s="2555">
        <v>0.42</v>
      </c>
      <c r="MAK68" s="2553">
        <v>2019</v>
      </c>
      <c r="MAL68" s="2554"/>
      <c r="MAM68" s="2555">
        <v>0.5</v>
      </c>
      <c r="MAN68" s="2555">
        <v>0.5</v>
      </c>
      <c r="MAO68" s="2555">
        <v>0.56000000000000005</v>
      </c>
      <c r="MAP68" s="2555">
        <v>0.34</v>
      </c>
      <c r="MAQ68" s="2555"/>
      <c r="MAR68" s="2555">
        <v>0.42</v>
      </c>
      <c r="MAS68" s="2553">
        <v>2019</v>
      </c>
      <c r="MAT68" s="2554"/>
      <c r="MAU68" s="2555">
        <v>0.5</v>
      </c>
      <c r="MAV68" s="2555">
        <v>0.5</v>
      </c>
      <c r="MAW68" s="2555">
        <v>0.56000000000000005</v>
      </c>
      <c r="MAX68" s="2555">
        <v>0.34</v>
      </c>
      <c r="MAY68" s="2555"/>
      <c r="MAZ68" s="2555">
        <v>0.42</v>
      </c>
      <c r="MBA68" s="2553">
        <v>2019</v>
      </c>
      <c r="MBB68" s="2554"/>
      <c r="MBC68" s="2555">
        <v>0.5</v>
      </c>
      <c r="MBD68" s="2555">
        <v>0.5</v>
      </c>
      <c r="MBE68" s="2555">
        <v>0.56000000000000005</v>
      </c>
      <c r="MBF68" s="2555">
        <v>0.34</v>
      </c>
      <c r="MBG68" s="2555"/>
      <c r="MBH68" s="2555">
        <v>0.42</v>
      </c>
      <c r="MBI68" s="2553">
        <v>2019</v>
      </c>
      <c r="MBJ68" s="2554"/>
      <c r="MBK68" s="2555">
        <v>0.5</v>
      </c>
      <c r="MBL68" s="2555">
        <v>0.5</v>
      </c>
      <c r="MBM68" s="2555">
        <v>0.56000000000000005</v>
      </c>
      <c r="MBN68" s="2555">
        <v>0.34</v>
      </c>
      <c r="MBO68" s="2555"/>
      <c r="MBP68" s="2555">
        <v>0.42</v>
      </c>
      <c r="MBQ68" s="2553">
        <v>2019</v>
      </c>
      <c r="MBR68" s="2554"/>
      <c r="MBS68" s="2555">
        <v>0.5</v>
      </c>
      <c r="MBT68" s="2555">
        <v>0.5</v>
      </c>
      <c r="MBU68" s="2555">
        <v>0.56000000000000005</v>
      </c>
      <c r="MBV68" s="2555">
        <v>0.34</v>
      </c>
      <c r="MBW68" s="2555"/>
      <c r="MBX68" s="2555">
        <v>0.42</v>
      </c>
      <c r="MBY68" s="2553">
        <v>2019</v>
      </c>
      <c r="MBZ68" s="2554"/>
      <c r="MCA68" s="2555">
        <v>0.5</v>
      </c>
      <c r="MCB68" s="2555">
        <v>0.5</v>
      </c>
      <c r="MCC68" s="2555">
        <v>0.56000000000000005</v>
      </c>
      <c r="MCD68" s="2555">
        <v>0.34</v>
      </c>
      <c r="MCE68" s="2555"/>
      <c r="MCF68" s="2555">
        <v>0.42</v>
      </c>
      <c r="MCG68" s="2553">
        <v>2019</v>
      </c>
      <c r="MCH68" s="2554"/>
      <c r="MCI68" s="2555">
        <v>0.5</v>
      </c>
      <c r="MCJ68" s="2555">
        <v>0.5</v>
      </c>
      <c r="MCK68" s="2555">
        <v>0.56000000000000005</v>
      </c>
      <c r="MCL68" s="2555">
        <v>0.34</v>
      </c>
      <c r="MCM68" s="2555"/>
      <c r="MCN68" s="2555">
        <v>0.42</v>
      </c>
      <c r="MCO68" s="2553">
        <v>2019</v>
      </c>
      <c r="MCP68" s="2554"/>
      <c r="MCQ68" s="2555">
        <v>0.5</v>
      </c>
      <c r="MCR68" s="2555">
        <v>0.5</v>
      </c>
      <c r="MCS68" s="2555">
        <v>0.56000000000000005</v>
      </c>
      <c r="MCT68" s="2555">
        <v>0.34</v>
      </c>
      <c r="MCU68" s="2555"/>
      <c r="MCV68" s="2555">
        <v>0.42</v>
      </c>
      <c r="MCW68" s="2553">
        <v>2019</v>
      </c>
      <c r="MCX68" s="2554"/>
      <c r="MCY68" s="2555">
        <v>0.5</v>
      </c>
      <c r="MCZ68" s="2555">
        <v>0.5</v>
      </c>
      <c r="MDA68" s="2555">
        <v>0.56000000000000005</v>
      </c>
      <c r="MDB68" s="2555">
        <v>0.34</v>
      </c>
      <c r="MDC68" s="2555"/>
      <c r="MDD68" s="2555">
        <v>0.42</v>
      </c>
      <c r="MDE68" s="2553">
        <v>2019</v>
      </c>
      <c r="MDF68" s="2554"/>
      <c r="MDG68" s="2555">
        <v>0.5</v>
      </c>
      <c r="MDH68" s="2555">
        <v>0.5</v>
      </c>
      <c r="MDI68" s="2555">
        <v>0.56000000000000005</v>
      </c>
      <c r="MDJ68" s="2555">
        <v>0.34</v>
      </c>
      <c r="MDK68" s="2555"/>
      <c r="MDL68" s="2555">
        <v>0.42</v>
      </c>
      <c r="MDM68" s="2553">
        <v>2019</v>
      </c>
      <c r="MDN68" s="2554"/>
      <c r="MDO68" s="2555">
        <v>0.5</v>
      </c>
      <c r="MDP68" s="2555">
        <v>0.5</v>
      </c>
      <c r="MDQ68" s="2555">
        <v>0.56000000000000005</v>
      </c>
      <c r="MDR68" s="2555">
        <v>0.34</v>
      </c>
      <c r="MDS68" s="2555"/>
      <c r="MDT68" s="2555">
        <v>0.42</v>
      </c>
      <c r="MDU68" s="2553">
        <v>2019</v>
      </c>
      <c r="MDV68" s="2554"/>
      <c r="MDW68" s="2555">
        <v>0.5</v>
      </c>
      <c r="MDX68" s="2555">
        <v>0.5</v>
      </c>
      <c r="MDY68" s="2555">
        <v>0.56000000000000005</v>
      </c>
      <c r="MDZ68" s="2555">
        <v>0.34</v>
      </c>
      <c r="MEA68" s="2555"/>
      <c r="MEB68" s="2555">
        <v>0.42</v>
      </c>
      <c r="MEC68" s="2553">
        <v>2019</v>
      </c>
      <c r="MED68" s="2554"/>
      <c r="MEE68" s="2555">
        <v>0.5</v>
      </c>
      <c r="MEF68" s="2555">
        <v>0.5</v>
      </c>
      <c r="MEG68" s="2555">
        <v>0.56000000000000005</v>
      </c>
      <c r="MEH68" s="2555">
        <v>0.34</v>
      </c>
      <c r="MEI68" s="2555"/>
      <c r="MEJ68" s="2555">
        <v>0.42</v>
      </c>
      <c r="MEK68" s="2553">
        <v>2019</v>
      </c>
      <c r="MEL68" s="2554"/>
      <c r="MEM68" s="2555">
        <v>0.5</v>
      </c>
      <c r="MEN68" s="2555">
        <v>0.5</v>
      </c>
      <c r="MEO68" s="2555">
        <v>0.56000000000000005</v>
      </c>
      <c r="MEP68" s="2555">
        <v>0.34</v>
      </c>
      <c r="MEQ68" s="2555"/>
      <c r="MER68" s="2555">
        <v>0.42</v>
      </c>
      <c r="MES68" s="2553">
        <v>2019</v>
      </c>
      <c r="MET68" s="2554"/>
      <c r="MEU68" s="2555">
        <v>0.5</v>
      </c>
      <c r="MEV68" s="2555">
        <v>0.5</v>
      </c>
      <c r="MEW68" s="2555">
        <v>0.56000000000000005</v>
      </c>
      <c r="MEX68" s="2555">
        <v>0.34</v>
      </c>
      <c r="MEY68" s="2555"/>
      <c r="MEZ68" s="2555">
        <v>0.42</v>
      </c>
      <c r="MFA68" s="2553">
        <v>2019</v>
      </c>
      <c r="MFB68" s="2554"/>
      <c r="MFC68" s="2555">
        <v>0.5</v>
      </c>
      <c r="MFD68" s="2555">
        <v>0.5</v>
      </c>
      <c r="MFE68" s="2555">
        <v>0.56000000000000005</v>
      </c>
      <c r="MFF68" s="2555">
        <v>0.34</v>
      </c>
      <c r="MFG68" s="2555"/>
      <c r="MFH68" s="2555">
        <v>0.42</v>
      </c>
      <c r="MFI68" s="2553">
        <v>2019</v>
      </c>
      <c r="MFJ68" s="2554"/>
      <c r="MFK68" s="2555">
        <v>0.5</v>
      </c>
      <c r="MFL68" s="2555">
        <v>0.5</v>
      </c>
      <c r="MFM68" s="2555">
        <v>0.56000000000000005</v>
      </c>
      <c r="MFN68" s="2555">
        <v>0.34</v>
      </c>
      <c r="MFO68" s="2555"/>
      <c r="MFP68" s="2555">
        <v>0.42</v>
      </c>
      <c r="MFQ68" s="2553">
        <v>2019</v>
      </c>
      <c r="MFR68" s="2554"/>
      <c r="MFS68" s="2555">
        <v>0.5</v>
      </c>
      <c r="MFT68" s="2555">
        <v>0.5</v>
      </c>
      <c r="MFU68" s="2555">
        <v>0.56000000000000005</v>
      </c>
      <c r="MFV68" s="2555">
        <v>0.34</v>
      </c>
      <c r="MFW68" s="2555"/>
      <c r="MFX68" s="2555">
        <v>0.42</v>
      </c>
      <c r="MFY68" s="2553">
        <v>2019</v>
      </c>
      <c r="MFZ68" s="2554"/>
      <c r="MGA68" s="2555">
        <v>0.5</v>
      </c>
      <c r="MGB68" s="2555">
        <v>0.5</v>
      </c>
      <c r="MGC68" s="2555">
        <v>0.56000000000000005</v>
      </c>
      <c r="MGD68" s="2555">
        <v>0.34</v>
      </c>
      <c r="MGE68" s="2555"/>
      <c r="MGF68" s="2555">
        <v>0.42</v>
      </c>
      <c r="MGG68" s="2553">
        <v>2019</v>
      </c>
      <c r="MGH68" s="2554"/>
      <c r="MGI68" s="2555">
        <v>0.5</v>
      </c>
      <c r="MGJ68" s="2555">
        <v>0.5</v>
      </c>
      <c r="MGK68" s="2555">
        <v>0.56000000000000005</v>
      </c>
      <c r="MGL68" s="2555">
        <v>0.34</v>
      </c>
      <c r="MGM68" s="2555"/>
      <c r="MGN68" s="2555">
        <v>0.42</v>
      </c>
      <c r="MGO68" s="2553">
        <v>2019</v>
      </c>
      <c r="MGP68" s="2554"/>
      <c r="MGQ68" s="2555">
        <v>0.5</v>
      </c>
      <c r="MGR68" s="2555">
        <v>0.5</v>
      </c>
      <c r="MGS68" s="2555">
        <v>0.56000000000000005</v>
      </c>
      <c r="MGT68" s="2555">
        <v>0.34</v>
      </c>
      <c r="MGU68" s="2555"/>
      <c r="MGV68" s="2555">
        <v>0.42</v>
      </c>
      <c r="MGW68" s="2553">
        <v>2019</v>
      </c>
      <c r="MGX68" s="2554"/>
      <c r="MGY68" s="2555">
        <v>0.5</v>
      </c>
      <c r="MGZ68" s="2555">
        <v>0.5</v>
      </c>
      <c r="MHA68" s="2555">
        <v>0.56000000000000005</v>
      </c>
      <c r="MHB68" s="2555">
        <v>0.34</v>
      </c>
      <c r="MHC68" s="2555"/>
      <c r="MHD68" s="2555">
        <v>0.42</v>
      </c>
      <c r="MHE68" s="2553">
        <v>2019</v>
      </c>
      <c r="MHF68" s="2554"/>
      <c r="MHG68" s="2555">
        <v>0.5</v>
      </c>
      <c r="MHH68" s="2555">
        <v>0.5</v>
      </c>
      <c r="MHI68" s="2555">
        <v>0.56000000000000005</v>
      </c>
      <c r="MHJ68" s="2555">
        <v>0.34</v>
      </c>
      <c r="MHK68" s="2555"/>
      <c r="MHL68" s="2555">
        <v>0.42</v>
      </c>
      <c r="MHM68" s="2553">
        <v>2019</v>
      </c>
      <c r="MHN68" s="2554"/>
      <c r="MHO68" s="2555">
        <v>0.5</v>
      </c>
      <c r="MHP68" s="2555">
        <v>0.5</v>
      </c>
      <c r="MHQ68" s="2555">
        <v>0.56000000000000005</v>
      </c>
      <c r="MHR68" s="2555">
        <v>0.34</v>
      </c>
      <c r="MHS68" s="2555"/>
      <c r="MHT68" s="2555">
        <v>0.42</v>
      </c>
      <c r="MHU68" s="2553">
        <v>2019</v>
      </c>
      <c r="MHV68" s="2554"/>
      <c r="MHW68" s="2555">
        <v>0.5</v>
      </c>
      <c r="MHX68" s="2555">
        <v>0.5</v>
      </c>
      <c r="MHY68" s="2555">
        <v>0.56000000000000005</v>
      </c>
      <c r="MHZ68" s="2555">
        <v>0.34</v>
      </c>
      <c r="MIA68" s="2555"/>
      <c r="MIB68" s="2555">
        <v>0.42</v>
      </c>
      <c r="MIC68" s="2553">
        <v>2019</v>
      </c>
      <c r="MID68" s="2554"/>
      <c r="MIE68" s="2555">
        <v>0.5</v>
      </c>
      <c r="MIF68" s="2555">
        <v>0.5</v>
      </c>
      <c r="MIG68" s="2555">
        <v>0.56000000000000005</v>
      </c>
      <c r="MIH68" s="2555">
        <v>0.34</v>
      </c>
      <c r="MII68" s="2555"/>
      <c r="MIJ68" s="2555">
        <v>0.42</v>
      </c>
      <c r="MIK68" s="2553">
        <v>2019</v>
      </c>
      <c r="MIL68" s="2554"/>
      <c r="MIM68" s="2555">
        <v>0.5</v>
      </c>
      <c r="MIN68" s="2555">
        <v>0.5</v>
      </c>
      <c r="MIO68" s="2555">
        <v>0.56000000000000005</v>
      </c>
      <c r="MIP68" s="2555">
        <v>0.34</v>
      </c>
      <c r="MIQ68" s="2555"/>
      <c r="MIR68" s="2555">
        <v>0.42</v>
      </c>
      <c r="MIS68" s="2553">
        <v>2019</v>
      </c>
      <c r="MIT68" s="2554"/>
      <c r="MIU68" s="2555">
        <v>0.5</v>
      </c>
      <c r="MIV68" s="2555">
        <v>0.5</v>
      </c>
      <c r="MIW68" s="2555">
        <v>0.56000000000000005</v>
      </c>
      <c r="MIX68" s="2555">
        <v>0.34</v>
      </c>
      <c r="MIY68" s="2555"/>
      <c r="MIZ68" s="2555">
        <v>0.42</v>
      </c>
      <c r="MJA68" s="2553">
        <v>2019</v>
      </c>
      <c r="MJB68" s="2554"/>
      <c r="MJC68" s="2555">
        <v>0.5</v>
      </c>
      <c r="MJD68" s="2555">
        <v>0.5</v>
      </c>
      <c r="MJE68" s="2555">
        <v>0.56000000000000005</v>
      </c>
      <c r="MJF68" s="2555">
        <v>0.34</v>
      </c>
      <c r="MJG68" s="2555"/>
      <c r="MJH68" s="2555">
        <v>0.42</v>
      </c>
      <c r="MJI68" s="2553">
        <v>2019</v>
      </c>
      <c r="MJJ68" s="2554"/>
      <c r="MJK68" s="2555">
        <v>0.5</v>
      </c>
      <c r="MJL68" s="2555">
        <v>0.5</v>
      </c>
      <c r="MJM68" s="2555">
        <v>0.56000000000000005</v>
      </c>
      <c r="MJN68" s="2555">
        <v>0.34</v>
      </c>
      <c r="MJO68" s="2555"/>
      <c r="MJP68" s="2555">
        <v>0.42</v>
      </c>
      <c r="MJQ68" s="2553">
        <v>2019</v>
      </c>
      <c r="MJR68" s="2554"/>
      <c r="MJS68" s="2555">
        <v>0.5</v>
      </c>
      <c r="MJT68" s="2555">
        <v>0.5</v>
      </c>
      <c r="MJU68" s="2555">
        <v>0.56000000000000005</v>
      </c>
      <c r="MJV68" s="2555">
        <v>0.34</v>
      </c>
      <c r="MJW68" s="2555"/>
      <c r="MJX68" s="2555">
        <v>0.42</v>
      </c>
      <c r="MJY68" s="2553">
        <v>2019</v>
      </c>
      <c r="MJZ68" s="2554"/>
      <c r="MKA68" s="2555">
        <v>0.5</v>
      </c>
      <c r="MKB68" s="2555">
        <v>0.5</v>
      </c>
      <c r="MKC68" s="2555">
        <v>0.56000000000000005</v>
      </c>
      <c r="MKD68" s="2555">
        <v>0.34</v>
      </c>
      <c r="MKE68" s="2555"/>
      <c r="MKF68" s="2555">
        <v>0.42</v>
      </c>
      <c r="MKG68" s="2553">
        <v>2019</v>
      </c>
      <c r="MKH68" s="2554"/>
      <c r="MKI68" s="2555">
        <v>0.5</v>
      </c>
      <c r="MKJ68" s="2555">
        <v>0.5</v>
      </c>
      <c r="MKK68" s="2555">
        <v>0.56000000000000005</v>
      </c>
      <c r="MKL68" s="2555">
        <v>0.34</v>
      </c>
      <c r="MKM68" s="2555"/>
      <c r="MKN68" s="2555">
        <v>0.42</v>
      </c>
      <c r="MKO68" s="2553">
        <v>2019</v>
      </c>
      <c r="MKP68" s="2554"/>
      <c r="MKQ68" s="2555">
        <v>0.5</v>
      </c>
      <c r="MKR68" s="2555">
        <v>0.5</v>
      </c>
      <c r="MKS68" s="2555">
        <v>0.56000000000000005</v>
      </c>
      <c r="MKT68" s="2555">
        <v>0.34</v>
      </c>
      <c r="MKU68" s="2555"/>
      <c r="MKV68" s="2555">
        <v>0.42</v>
      </c>
      <c r="MKW68" s="2553">
        <v>2019</v>
      </c>
      <c r="MKX68" s="2554"/>
      <c r="MKY68" s="2555">
        <v>0.5</v>
      </c>
      <c r="MKZ68" s="2555">
        <v>0.5</v>
      </c>
      <c r="MLA68" s="2555">
        <v>0.56000000000000005</v>
      </c>
      <c r="MLB68" s="2555">
        <v>0.34</v>
      </c>
      <c r="MLC68" s="2555"/>
      <c r="MLD68" s="2555">
        <v>0.42</v>
      </c>
      <c r="MLE68" s="2553">
        <v>2019</v>
      </c>
      <c r="MLF68" s="2554"/>
      <c r="MLG68" s="2555">
        <v>0.5</v>
      </c>
      <c r="MLH68" s="2555">
        <v>0.5</v>
      </c>
      <c r="MLI68" s="2555">
        <v>0.56000000000000005</v>
      </c>
      <c r="MLJ68" s="2555">
        <v>0.34</v>
      </c>
      <c r="MLK68" s="2555"/>
      <c r="MLL68" s="2555">
        <v>0.42</v>
      </c>
      <c r="MLM68" s="2553">
        <v>2019</v>
      </c>
      <c r="MLN68" s="2554"/>
      <c r="MLO68" s="2555">
        <v>0.5</v>
      </c>
      <c r="MLP68" s="2555">
        <v>0.5</v>
      </c>
      <c r="MLQ68" s="2555">
        <v>0.56000000000000005</v>
      </c>
      <c r="MLR68" s="2555">
        <v>0.34</v>
      </c>
      <c r="MLS68" s="2555"/>
      <c r="MLT68" s="2555">
        <v>0.42</v>
      </c>
      <c r="MLU68" s="2553">
        <v>2019</v>
      </c>
      <c r="MLV68" s="2554"/>
      <c r="MLW68" s="2555">
        <v>0.5</v>
      </c>
      <c r="MLX68" s="2555">
        <v>0.5</v>
      </c>
      <c r="MLY68" s="2555">
        <v>0.56000000000000005</v>
      </c>
      <c r="MLZ68" s="2555">
        <v>0.34</v>
      </c>
      <c r="MMA68" s="2555"/>
      <c r="MMB68" s="2555">
        <v>0.42</v>
      </c>
      <c r="MMC68" s="2553">
        <v>2019</v>
      </c>
      <c r="MMD68" s="2554"/>
      <c r="MME68" s="2555">
        <v>0.5</v>
      </c>
      <c r="MMF68" s="2555">
        <v>0.5</v>
      </c>
      <c r="MMG68" s="2555">
        <v>0.56000000000000005</v>
      </c>
      <c r="MMH68" s="2555">
        <v>0.34</v>
      </c>
      <c r="MMI68" s="2555"/>
      <c r="MMJ68" s="2555">
        <v>0.42</v>
      </c>
      <c r="MMK68" s="2553">
        <v>2019</v>
      </c>
      <c r="MML68" s="2554"/>
      <c r="MMM68" s="2555">
        <v>0.5</v>
      </c>
      <c r="MMN68" s="2555">
        <v>0.5</v>
      </c>
      <c r="MMO68" s="2555">
        <v>0.56000000000000005</v>
      </c>
      <c r="MMP68" s="2555">
        <v>0.34</v>
      </c>
      <c r="MMQ68" s="2555"/>
      <c r="MMR68" s="2555">
        <v>0.42</v>
      </c>
      <c r="MMS68" s="2553">
        <v>2019</v>
      </c>
      <c r="MMT68" s="2554"/>
      <c r="MMU68" s="2555">
        <v>0.5</v>
      </c>
      <c r="MMV68" s="2555">
        <v>0.5</v>
      </c>
      <c r="MMW68" s="2555">
        <v>0.56000000000000005</v>
      </c>
      <c r="MMX68" s="2555">
        <v>0.34</v>
      </c>
      <c r="MMY68" s="2555"/>
      <c r="MMZ68" s="2555">
        <v>0.42</v>
      </c>
      <c r="MNA68" s="2553">
        <v>2019</v>
      </c>
      <c r="MNB68" s="2554"/>
      <c r="MNC68" s="2555">
        <v>0.5</v>
      </c>
      <c r="MND68" s="2555">
        <v>0.5</v>
      </c>
      <c r="MNE68" s="2555">
        <v>0.56000000000000005</v>
      </c>
      <c r="MNF68" s="2555">
        <v>0.34</v>
      </c>
      <c r="MNG68" s="2555"/>
      <c r="MNH68" s="2555">
        <v>0.42</v>
      </c>
      <c r="MNI68" s="2553">
        <v>2019</v>
      </c>
      <c r="MNJ68" s="2554"/>
      <c r="MNK68" s="2555">
        <v>0.5</v>
      </c>
      <c r="MNL68" s="2555">
        <v>0.5</v>
      </c>
      <c r="MNM68" s="2555">
        <v>0.56000000000000005</v>
      </c>
      <c r="MNN68" s="2555">
        <v>0.34</v>
      </c>
      <c r="MNO68" s="2555"/>
      <c r="MNP68" s="2555">
        <v>0.42</v>
      </c>
      <c r="MNQ68" s="2553">
        <v>2019</v>
      </c>
      <c r="MNR68" s="2554"/>
      <c r="MNS68" s="2555">
        <v>0.5</v>
      </c>
      <c r="MNT68" s="2555">
        <v>0.5</v>
      </c>
      <c r="MNU68" s="2555">
        <v>0.56000000000000005</v>
      </c>
      <c r="MNV68" s="2555">
        <v>0.34</v>
      </c>
      <c r="MNW68" s="2555"/>
      <c r="MNX68" s="2555">
        <v>0.42</v>
      </c>
      <c r="MNY68" s="2553">
        <v>2019</v>
      </c>
      <c r="MNZ68" s="2554"/>
      <c r="MOA68" s="2555">
        <v>0.5</v>
      </c>
      <c r="MOB68" s="2555">
        <v>0.5</v>
      </c>
      <c r="MOC68" s="2555">
        <v>0.56000000000000005</v>
      </c>
      <c r="MOD68" s="2555">
        <v>0.34</v>
      </c>
      <c r="MOE68" s="2555"/>
      <c r="MOF68" s="2555">
        <v>0.42</v>
      </c>
      <c r="MOG68" s="2553">
        <v>2019</v>
      </c>
      <c r="MOH68" s="2554"/>
      <c r="MOI68" s="2555">
        <v>0.5</v>
      </c>
      <c r="MOJ68" s="2555">
        <v>0.5</v>
      </c>
      <c r="MOK68" s="2555">
        <v>0.56000000000000005</v>
      </c>
      <c r="MOL68" s="2555">
        <v>0.34</v>
      </c>
      <c r="MOM68" s="2555"/>
      <c r="MON68" s="2555">
        <v>0.42</v>
      </c>
      <c r="MOO68" s="2553">
        <v>2019</v>
      </c>
      <c r="MOP68" s="2554"/>
      <c r="MOQ68" s="2555">
        <v>0.5</v>
      </c>
      <c r="MOR68" s="2555">
        <v>0.5</v>
      </c>
      <c r="MOS68" s="2555">
        <v>0.56000000000000005</v>
      </c>
      <c r="MOT68" s="2555">
        <v>0.34</v>
      </c>
      <c r="MOU68" s="2555"/>
      <c r="MOV68" s="2555">
        <v>0.42</v>
      </c>
      <c r="MOW68" s="2553">
        <v>2019</v>
      </c>
      <c r="MOX68" s="2554"/>
      <c r="MOY68" s="2555">
        <v>0.5</v>
      </c>
      <c r="MOZ68" s="2555">
        <v>0.5</v>
      </c>
      <c r="MPA68" s="2555">
        <v>0.56000000000000005</v>
      </c>
      <c r="MPB68" s="2555">
        <v>0.34</v>
      </c>
      <c r="MPC68" s="2555"/>
      <c r="MPD68" s="2555">
        <v>0.42</v>
      </c>
      <c r="MPE68" s="2553">
        <v>2019</v>
      </c>
      <c r="MPF68" s="2554"/>
      <c r="MPG68" s="2555">
        <v>0.5</v>
      </c>
      <c r="MPH68" s="2555">
        <v>0.5</v>
      </c>
      <c r="MPI68" s="2555">
        <v>0.56000000000000005</v>
      </c>
      <c r="MPJ68" s="2555">
        <v>0.34</v>
      </c>
      <c r="MPK68" s="2555"/>
      <c r="MPL68" s="2555">
        <v>0.42</v>
      </c>
      <c r="MPM68" s="2553">
        <v>2019</v>
      </c>
      <c r="MPN68" s="2554"/>
      <c r="MPO68" s="2555">
        <v>0.5</v>
      </c>
      <c r="MPP68" s="2555">
        <v>0.5</v>
      </c>
      <c r="MPQ68" s="2555">
        <v>0.56000000000000005</v>
      </c>
      <c r="MPR68" s="2555">
        <v>0.34</v>
      </c>
      <c r="MPS68" s="2555"/>
      <c r="MPT68" s="2555">
        <v>0.42</v>
      </c>
      <c r="MPU68" s="2553">
        <v>2019</v>
      </c>
      <c r="MPV68" s="2554"/>
      <c r="MPW68" s="2555">
        <v>0.5</v>
      </c>
      <c r="MPX68" s="2555">
        <v>0.5</v>
      </c>
      <c r="MPY68" s="2555">
        <v>0.56000000000000005</v>
      </c>
      <c r="MPZ68" s="2555">
        <v>0.34</v>
      </c>
      <c r="MQA68" s="2555"/>
      <c r="MQB68" s="2555">
        <v>0.42</v>
      </c>
      <c r="MQC68" s="2553">
        <v>2019</v>
      </c>
      <c r="MQD68" s="2554"/>
      <c r="MQE68" s="2555">
        <v>0.5</v>
      </c>
      <c r="MQF68" s="2555">
        <v>0.5</v>
      </c>
      <c r="MQG68" s="2555">
        <v>0.56000000000000005</v>
      </c>
      <c r="MQH68" s="2555">
        <v>0.34</v>
      </c>
      <c r="MQI68" s="2555"/>
      <c r="MQJ68" s="2555">
        <v>0.42</v>
      </c>
      <c r="MQK68" s="2553">
        <v>2019</v>
      </c>
      <c r="MQL68" s="2554"/>
      <c r="MQM68" s="2555">
        <v>0.5</v>
      </c>
      <c r="MQN68" s="2555">
        <v>0.5</v>
      </c>
      <c r="MQO68" s="2555">
        <v>0.56000000000000005</v>
      </c>
      <c r="MQP68" s="2555">
        <v>0.34</v>
      </c>
      <c r="MQQ68" s="2555"/>
      <c r="MQR68" s="2555">
        <v>0.42</v>
      </c>
      <c r="MQS68" s="2553">
        <v>2019</v>
      </c>
      <c r="MQT68" s="2554"/>
      <c r="MQU68" s="2555">
        <v>0.5</v>
      </c>
      <c r="MQV68" s="2555">
        <v>0.5</v>
      </c>
      <c r="MQW68" s="2555">
        <v>0.56000000000000005</v>
      </c>
      <c r="MQX68" s="2555">
        <v>0.34</v>
      </c>
      <c r="MQY68" s="2555"/>
      <c r="MQZ68" s="2555">
        <v>0.42</v>
      </c>
      <c r="MRA68" s="2553">
        <v>2019</v>
      </c>
      <c r="MRB68" s="2554"/>
      <c r="MRC68" s="2555">
        <v>0.5</v>
      </c>
      <c r="MRD68" s="2555">
        <v>0.5</v>
      </c>
      <c r="MRE68" s="2555">
        <v>0.56000000000000005</v>
      </c>
      <c r="MRF68" s="2555">
        <v>0.34</v>
      </c>
      <c r="MRG68" s="2555"/>
      <c r="MRH68" s="2555">
        <v>0.42</v>
      </c>
      <c r="MRI68" s="2553">
        <v>2019</v>
      </c>
      <c r="MRJ68" s="2554"/>
      <c r="MRK68" s="2555">
        <v>0.5</v>
      </c>
      <c r="MRL68" s="2555">
        <v>0.5</v>
      </c>
      <c r="MRM68" s="2555">
        <v>0.56000000000000005</v>
      </c>
      <c r="MRN68" s="2555">
        <v>0.34</v>
      </c>
      <c r="MRO68" s="2555"/>
      <c r="MRP68" s="2555">
        <v>0.42</v>
      </c>
      <c r="MRQ68" s="2553">
        <v>2019</v>
      </c>
      <c r="MRR68" s="2554"/>
      <c r="MRS68" s="2555">
        <v>0.5</v>
      </c>
      <c r="MRT68" s="2555">
        <v>0.5</v>
      </c>
      <c r="MRU68" s="2555">
        <v>0.56000000000000005</v>
      </c>
      <c r="MRV68" s="2555">
        <v>0.34</v>
      </c>
      <c r="MRW68" s="2555"/>
      <c r="MRX68" s="2555">
        <v>0.42</v>
      </c>
      <c r="MRY68" s="2553">
        <v>2019</v>
      </c>
      <c r="MRZ68" s="2554"/>
      <c r="MSA68" s="2555">
        <v>0.5</v>
      </c>
      <c r="MSB68" s="2555">
        <v>0.5</v>
      </c>
      <c r="MSC68" s="2555">
        <v>0.56000000000000005</v>
      </c>
      <c r="MSD68" s="2555">
        <v>0.34</v>
      </c>
      <c r="MSE68" s="2555"/>
      <c r="MSF68" s="2555">
        <v>0.42</v>
      </c>
      <c r="MSG68" s="2553">
        <v>2019</v>
      </c>
      <c r="MSH68" s="2554"/>
      <c r="MSI68" s="2555">
        <v>0.5</v>
      </c>
      <c r="MSJ68" s="2555">
        <v>0.5</v>
      </c>
      <c r="MSK68" s="2555">
        <v>0.56000000000000005</v>
      </c>
      <c r="MSL68" s="2555">
        <v>0.34</v>
      </c>
      <c r="MSM68" s="2555"/>
      <c r="MSN68" s="2555">
        <v>0.42</v>
      </c>
      <c r="MSO68" s="2553">
        <v>2019</v>
      </c>
      <c r="MSP68" s="2554"/>
      <c r="MSQ68" s="2555">
        <v>0.5</v>
      </c>
      <c r="MSR68" s="2555">
        <v>0.5</v>
      </c>
      <c r="MSS68" s="2555">
        <v>0.56000000000000005</v>
      </c>
      <c r="MST68" s="2555">
        <v>0.34</v>
      </c>
      <c r="MSU68" s="2555"/>
      <c r="MSV68" s="2555">
        <v>0.42</v>
      </c>
      <c r="MSW68" s="2553">
        <v>2019</v>
      </c>
      <c r="MSX68" s="2554"/>
      <c r="MSY68" s="2555">
        <v>0.5</v>
      </c>
      <c r="MSZ68" s="2555">
        <v>0.5</v>
      </c>
      <c r="MTA68" s="2555">
        <v>0.56000000000000005</v>
      </c>
      <c r="MTB68" s="2555">
        <v>0.34</v>
      </c>
      <c r="MTC68" s="2555"/>
      <c r="MTD68" s="2555">
        <v>0.42</v>
      </c>
      <c r="MTE68" s="2553">
        <v>2019</v>
      </c>
      <c r="MTF68" s="2554"/>
      <c r="MTG68" s="2555">
        <v>0.5</v>
      </c>
      <c r="MTH68" s="2555">
        <v>0.5</v>
      </c>
      <c r="MTI68" s="2555">
        <v>0.56000000000000005</v>
      </c>
      <c r="MTJ68" s="2555">
        <v>0.34</v>
      </c>
      <c r="MTK68" s="2555"/>
      <c r="MTL68" s="2555">
        <v>0.42</v>
      </c>
      <c r="MTM68" s="2553">
        <v>2019</v>
      </c>
      <c r="MTN68" s="2554"/>
      <c r="MTO68" s="2555">
        <v>0.5</v>
      </c>
      <c r="MTP68" s="2555">
        <v>0.5</v>
      </c>
      <c r="MTQ68" s="2555">
        <v>0.56000000000000005</v>
      </c>
      <c r="MTR68" s="2555">
        <v>0.34</v>
      </c>
      <c r="MTS68" s="2555"/>
      <c r="MTT68" s="2555">
        <v>0.42</v>
      </c>
      <c r="MTU68" s="2553">
        <v>2019</v>
      </c>
      <c r="MTV68" s="2554"/>
      <c r="MTW68" s="2555">
        <v>0.5</v>
      </c>
      <c r="MTX68" s="2555">
        <v>0.5</v>
      </c>
      <c r="MTY68" s="2555">
        <v>0.56000000000000005</v>
      </c>
      <c r="MTZ68" s="2555">
        <v>0.34</v>
      </c>
      <c r="MUA68" s="2555"/>
      <c r="MUB68" s="2555">
        <v>0.42</v>
      </c>
      <c r="MUC68" s="2553">
        <v>2019</v>
      </c>
      <c r="MUD68" s="2554"/>
      <c r="MUE68" s="2555">
        <v>0.5</v>
      </c>
      <c r="MUF68" s="2555">
        <v>0.5</v>
      </c>
      <c r="MUG68" s="2555">
        <v>0.56000000000000005</v>
      </c>
      <c r="MUH68" s="2555">
        <v>0.34</v>
      </c>
      <c r="MUI68" s="2555"/>
      <c r="MUJ68" s="2555">
        <v>0.42</v>
      </c>
      <c r="MUK68" s="2553">
        <v>2019</v>
      </c>
      <c r="MUL68" s="2554"/>
      <c r="MUM68" s="2555">
        <v>0.5</v>
      </c>
      <c r="MUN68" s="2555">
        <v>0.5</v>
      </c>
      <c r="MUO68" s="2555">
        <v>0.56000000000000005</v>
      </c>
      <c r="MUP68" s="2555">
        <v>0.34</v>
      </c>
      <c r="MUQ68" s="2555"/>
      <c r="MUR68" s="2555">
        <v>0.42</v>
      </c>
      <c r="MUS68" s="2553">
        <v>2019</v>
      </c>
      <c r="MUT68" s="2554"/>
      <c r="MUU68" s="2555">
        <v>0.5</v>
      </c>
      <c r="MUV68" s="2555">
        <v>0.5</v>
      </c>
      <c r="MUW68" s="2555">
        <v>0.56000000000000005</v>
      </c>
      <c r="MUX68" s="2555">
        <v>0.34</v>
      </c>
      <c r="MUY68" s="2555"/>
      <c r="MUZ68" s="2555">
        <v>0.42</v>
      </c>
      <c r="MVA68" s="2553">
        <v>2019</v>
      </c>
      <c r="MVB68" s="2554"/>
      <c r="MVC68" s="2555">
        <v>0.5</v>
      </c>
      <c r="MVD68" s="2555">
        <v>0.5</v>
      </c>
      <c r="MVE68" s="2555">
        <v>0.56000000000000005</v>
      </c>
      <c r="MVF68" s="2555">
        <v>0.34</v>
      </c>
      <c r="MVG68" s="2555"/>
      <c r="MVH68" s="2555">
        <v>0.42</v>
      </c>
      <c r="MVI68" s="2553">
        <v>2019</v>
      </c>
      <c r="MVJ68" s="2554"/>
      <c r="MVK68" s="2555">
        <v>0.5</v>
      </c>
      <c r="MVL68" s="2555">
        <v>0.5</v>
      </c>
      <c r="MVM68" s="2555">
        <v>0.56000000000000005</v>
      </c>
      <c r="MVN68" s="2555">
        <v>0.34</v>
      </c>
      <c r="MVO68" s="2555"/>
      <c r="MVP68" s="2555">
        <v>0.42</v>
      </c>
      <c r="MVQ68" s="2553">
        <v>2019</v>
      </c>
      <c r="MVR68" s="2554"/>
      <c r="MVS68" s="2555">
        <v>0.5</v>
      </c>
      <c r="MVT68" s="2555">
        <v>0.5</v>
      </c>
      <c r="MVU68" s="2555">
        <v>0.56000000000000005</v>
      </c>
      <c r="MVV68" s="2555">
        <v>0.34</v>
      </c>
      <c r="MVW68" s="2555"/>
      <c r="MVX68" s="2555">
        <v>0.42</v>
      </c>
      <c r="MVY68" s="2553">
        <v>2019</v>
      </c>
      <c r="MVZ68" s="2554"/>
      <c r="MWA68" s="2555">
        <v>0.5</v>
      </c>
      <c r="MWB68" s="2555">
        <v>0.5</v>
      </c>
      <c r="MWC68" s="2555">
        <v>0.56000000000000005</v>
      </c>
      <c r="MWD68" s="2555">
        <v>0.34</v>
      </c>
      <c r="MWE68" s="2555"/>
      <c r="MWF68" s="2555">
        <v>0.42</v>
      </c>
      <c r="MWG68" s="2553">
        <v>2019</v>
      </c>
      <c r="MWH68" s="2554"/>
      <c r="MWI68" s="2555">
        <v>0.5</v>
      </c>
      <c r="MWJ68" s="2555">
        <v>0.5</v>
      </c>
      <c r="MWK68" s="2555">
        <v>0.56000000000000005</v>
      </c>
      <c r="MWL68" s="2555">
        <v>0.34</v>
      </c>
      <c r="MWM68" s="2555"/>
      <c r="MWN68" s="2555">
        <v>0.42</v>
      </c>
      <c r="MWO68" s="2553">
        <v>2019</v>
      </c>
      <c r="MWP68" s="2554"/>
      <c r="MWQ68" s="2555">
        <v>0.5</v>
      </c>
      <c r="MWR68" s="2555">
        <v>0.5</v>
      </c>
      <c r="MWS68" s="2555">
        <v>0.56000000000000005</v>
      </c>
      <c r="MWT68" s="2555">
        <v>0.34</v>
      </c>
      <c r="MWU68" s="2555"/>
      <c r="MWV68" s="2555">
        <v>0.42</v>
      </c>
      <c r="MWW68" s="2553">
        <v>2019</v>
      </c>
      <c r="MWX68" s="2554"/>
      <c r="MWY68" s="2555">
        <v>0.5</v>
      </c>
      <c r="MWZ68" s="2555">
        <v>0.5</v>
      </c>
      <c r="MXA68" s="2555">
        <v>0.56000000000000005</v>
      </c>
      <c r="MXB68" s="2555">
        <v>0.34</v>
      </c>
      <c r="MXC68" s="2555"/>
      <c r="MXD68" s="2555">
        <v>0.42</v>
      </c>
      <c r="MXE68" s="2553">
        <v>2019</v>
      </c>
      <c r="MXF68" s="2554"/>
      <c r="MXG68" s="2555">
        <v>0.5</v>
      </c>
      <c r="MXH68" s="2555">
        <v>0.5</v>
      </c>
      <c r="MXI68" s="2555">
        <v>0.56000000000000005</v>
      </c>
      <c r="MXJ68" s="2555">
        <v>0.34</v>
      </c>
      <c r="MXK68" s="2555"/>
      <c r="MXL68" s="2555">
        <v>0.42</v>
      </c>
      <c r="MXM68" s="2553">
        <v>2019</v>
      </c>
      <c r="MXN68" s="2554"/>
      <c r="MXO68" s="2555">
        <v>0.5</v>
      </c>
      <c r="MXP68" s="2555">
        <v>0.5</v>
      </c>
      <c r="MXQ68" s="2555">
        <v>0.56000000000000005</v>
      </c>
      <c r="MXR68" s="2555">
        <v>0.34</v>
      </c>
      <c r="MXS68" s="2555"/>
      <c r="MXT68" s="2555">
        <v>0.42</v>
      </c>
      <c r="MXU68" s="2553">
        <v>2019</v>
      </c>
      <c r="MXV68" s="2554"/>
      <c r="MXW68" s="2555">
        <v>0.5</v>
      </c>
      <c r="MXX68" s="2555">
        <v>0.5</v>
      </c>
      <c r="MXY68" s="2555">
        <v>0.56000000000000005</v>
      </c>
      <c r="MXZ68" s="2555">
        <v>0.34</v>
      </c>
      <c r="MYA68" s="2555"/>
      <c r="MYB68" s="2555">
        <v>0.42</v>
      </c>
      <c r="MYC68" s="2553">
        <v>2019</v>
      </c>
      <c r="MYD68" s="2554"/>
      <c r="MYE68" s="2555">
        <v>0.5</v>
      </c>
      <c r="MYF68" s="2555">
        <v>0.5</v>
      </c>
      <c r="MYG68" s="2555">
        <v>0.56000000000000005</v>
      </c>
      <c r="MYH68" s="2555">
        <v>0.34</v>
      </c>
      <c r="MYI68" s="2555"/>
      <c r="MYJ68" s="2555">
        <v>0.42</v>
      </c>
      <c r="MYK68" s="2553">
        <v>2019</v>
      </c>
      <c r="MYL68" s="2554"/>
      <c r="MYM68" s="2555">
        <v>0.5</v>
      </c>
      <c r="MYN68" s="2555">
        <v>0.5</v>
      </c>
      <c r="MYO68" s="2555">
        <v>0.56000000000000005</v>
      </c>
      <c r="MYP68" s="2555">
        <v>0.34</v>
      </c>
      <c r="MYQ68" s="2555"/>
      <c r="MYR68" s="2555">
        <v>0.42</v>
      </c>
      <c r="MYS68" s="2553">
        <v>2019</v>
      </c>
      <c r="MYT68" s="2554"/>
      <c r="MYU68" s="2555">
        <v>0.5</v>
      </c>
      <c r="MYV68" s="2555">
        <v>0.5</v>
      </c>
      <c r="MYW68" s="2555">
        <v>0.56000000000000005</v>
      </c>
      <c r="MYX68" s="2555">
        <v>0.34</v>
      </c>
      <c r="MYY68" s="2555"/>
      <c r="MYZ68" s="2555">
        <v>0.42</v>
      </c>
      <c r="MZA68" s="2553">
        <v>2019</v>
      </c>
      <c r="MZB68" s="2554"/>
      <c r="MZC68" s="2555">
        <v>0.5</v>
      </c>
      <c r="MZD68" s="2555">
        <v>0.5</v>
      </c>
      <c r="MZE68" s="2555">
        <v>0.56000000000000005</v>
      </c>
      <c r="MZF68" s="2555">
        <v>0.34</v>
      </c>
      <c r="MZG68" s="2555"/>
      <c r="MZH68" s="2555">
        <v>0.42</v>
      </c>
      <c r="MZI68" s="2553">
        <v>2019</v>
      </c>
      <c r="MZJ68" s="2554"/>
      <c r="MZK68" s="2555">
        <v>0.5</v>
      </c>
      <c r="MZL68" s="2555">
        <v>0.5</v>
      </c>
      <c r="MZM68" s="2555">
        <v>0.56000000000000005</v>
      </c>
      <c r="MZN68" s="2555">
        <v>0.34</v>
      </c>
      <c r="MZO68" s="2555"/>
      <c r="MZP68" s="2555">
        <v>0.42</v>
      </c>
      <c r="MZQ68" s="2553">
        <v>2019</v>
      </c>
      <c r="MZR68" s="2554"/>
      <c r="MZS68" s="2555">
        <v>0.5</v>
      </c>
      <c r="MZT68" s="2555">
        <v>0.5</v>
      </c>
      <c r="MZU68" s="2555">
        <v>0.56000000000000005</v>
      </c>
      <c r="MZV68" s="2555">
        <v>0.34</v>
      </c>
      <c r="MZW68" s="2555"/>
      <c r="MZX68" s="2555">
        <v>0.42</v>
      </c>
      <c r="MZY68" s="2553">
        <v>2019</v>
      </c>
      <c r="MZZ68" s="2554"/>
      <c r="NAA68" s="2555">
        <v>0.5</v>
      </c>
      <c r="NAB68" s="2555">
        <v>0.5</v>
      </c>
      <c r="NAC68" s="2555">
        <v>0.56000000000000005</v>
      </c>
      <c r="NAD68" s="2555">
        <v>0.34</v>
      </c>
      <c r="NAE68" s="2555"/>
      <c r="NAF68" s="2555">
        <v>0.42</v>
      </c>
      <c r="NAG68" s="2553">
        <v>2019</v>
      </c>
      <c r="NAH68" s="2554"/>
      <c r="NAI68" s="2555">
        <v>0.5</v>
      </c>
      <c r="NAJ68" s="2555">
        <v>0.5</v>
      </c>
      <c r="NAK68" s="2555">
        <v>0.56000000000000005</v>
      </c>
      <c r="NAL68" s="2555">
        <v>0.34</v>
      </c>
      <c r="NAM68" s="2555"/>
      <c r="NAN68" s="2555">
        <v>0.42</v>
      </c>
      <c r="NAO68" s="2553">
        <v>2019</v>
      </c>
      <c r="NAP68" s="2554"/>
      <c r="NAQ68" s="2555">
        <v>0.5</v>
      </c>
      <c r="NAR68" s="2555">
        <v>0.5</v>
      </c>
      <c r="NAS68" s="2555">
        <v>0.56000000000000005</v>
      </c>
      <c r="NAT68" s="2555">
        <v>0.34</v>
      </c>
      <c r="NAU68" s="2555"/>
      <c r="NAV68" s="2555">
        <v>0.42</v>
      </c>
      <c r="NAW68" s="2553">
        <v>2019</v>
      </c>
      <c r="NAX68" s="2554"/>
      <c r="NAY68" s="2555">
        <v>0.5</v>
      </c>
      <c r="NAZ68" s="2555">
        <v>0.5</v>
      </c>
      <c r="NBA68" s="2555">
        <v>0.56000000000000005</v>
      </c>
      <c r="NBB68" s="2555">
        <v>0.34</v>
      </c>
      <c r="NBC68" s="2555"/>
      <c r="NBD68" s="2555">
        <v>0.42</v>
      </c>
      <c r="NBE68" s="2553">
        <v>2019</v>
      </c>
      <c r="NBF68" s="2554"/>
      <c r="NBG68" s="2555">
        <v>0.5</v>
      </c>
      <c r="NBH68" s="2555">
        <v>0.5</v>
      </c>
      <c r="NBI68" s="2555">
        <v>0.56000000000000005</v>
      </c>
      <c r="NBJ68" s="2555">
        <v>0.34</v>
      </c>
      <c r="NBK68" s="2555"/>
      <c r="NBL68" s="2555">
        <v>0.42</v>
      </c>
      <c r="NBM68" s="2553">
        <v>2019</v>
      </c>
      <c r="NBN68" s="2554"/>
      <c r="NBO68" s="2555">
        <v>0.5</v>
      </c>
      <c r="NBP68" s="2555">
        <v>0.5</v>
      </c>
      <c r="NBQ68" s="2555">
        <v>0.56000000000000005</v>
      </c>
      <c r="NBR68" s="2555">
        <v>0.34</v>
      </c>
      <c r="NBS68" s="2555"/>
      <c r="NBT68" s="2555">
        <v>0.42</v>
      </c>
      <c r="NBU68" s="2553">
        <v>2019</v>
      </c>
      <c r="NBV68" s="2554"/>
      <c r="NBW68" s="2555">
        <v>0.5</v>
      </c>
      <c r="NBX68" s="2555">
        <v>0.5</v>
      </c>
      <c r="NBY68" s="2555">
        <v>0.56000000000000005</v>
      </c>
      <c r="NBZ68" s="2555">
        <v>0.34</v>
      </c>
      <c r="NCA68" s="2555"/>
      <c r="NCB68" s="2555">
        <v>0.42</v>
      </c>
      <c r="NCC68" s="2553">
        <v>2019</v>
      </c>
      <c r="NCD68" s="2554"/>
      <c r="NCE68" s="2555">
        <v>0.5</v>
      </c>
      <c r="NCF68" s="2555">
        <v>0.5</v>
      </c>
      <c r="NCG68" s="2555">
        <v>0.56000000000000005</v>
      </c>
      <c r="NCH68" s="2555">
        <v>0.34</v>
      </c>
      <c r="NCI68" s="2555"/>
      <c r="NCJ68" s="2555">
        <v>0.42</v>
      </c>
      <c r="NCK68" s="2553">
        <v>2019</v>
      </c>
      <c r="NCL68" s="2554"/>
      <c r="NCM68" s="2555">
        <v>0.5</v>
      </c>
      <c r="NCN68" s="2555">
        <v>0.5</v>
      </c>
      <c r="NCO68" s="2555">
        <v>0.56000000000000005</v>
      </c>
      <c r="NCP68" s="2555">
        <v>0.34</v>
      </c>
      <c r="NCQ68" s="2555"/>
      <c r="NCR68" s="2555">
        <v>0.42</v>
      </c>
      <c r="NCS68" s="2553">
        <v>2019</v>
      </c>
      <c r="NCT68" s="2554"/>
      <c r="NCU68" s="2555">
        <v>0.5</v>
      </c>
      <c r="NCV68" s="2555">
        <v>0.5</v>
      </c>
      <c r="NCW68" s="2555">
        <v>0.56000000000000005</v>
      </c>
      <c r="NCX68" s="2555">
        <v>0.34</v>
      </c>
      <c r="NCY68" s="2555"/>
      <c r="NCZ68" s="2555">
        <v>0.42</v>
      </c>
      <c r="NDA68" s="2553">
        <v>2019</v>
      </c>
      <c r="NDB68" s="2554"/>
      <c r="NDC68" s="2555">
        <v>0.5</v>
      </c>
      <c r="NDD68" s="2555">
        <v>0.5</v>
      </c>
      <c r="NDE68" s="2555">
        <v>0.56000000000000005</v>
      </c>
      <c r="NDF68" s="2555">
        <v>0.34</v>
      </c>
      <c r="NDG68" s="2555"/>
      <c r="NDH68" s="2555">
        <v>0.42</v>
      </c>
      <c r="NDI68" s="2553">
        <v>2019</v>
      </c>
      <c r="NDJ68" s="2554"/>
      <c r="NDK68" s="2555">
        <v>0.5</v>
      </c>
      <c r="NDL68" s="2555">
        <v>0.5</v>
      </c>
      <c r="NDM68" s="2555">
        <v>0.56000000000000005</v>
      </c>
      <c r="NDN68" s="2555">
        <v>0.34</v>
      </c>
      <c r="NDO68" s="2555"/>
      <c r="NDP68" s="2555">
        <v>0.42</v>
      </c>
      <c r="NDQ68" s="2553">
        <v>2019</v>
      </c>
      <c r="NDR68" s="2554"/>
      <c r="NDS68" s="2555">
        <v>0.5</v>
      </c>
      <c r="NDT68" s="2555">
        <v>0.5</v>
      </c>
      <c r="NDU68" s="2555">
        <v>0.56000000000000005</v>
      </c>
      <c r="NDV68" s="2555">
        <v>0.34</v>
      </c>
      <c r="NDW68" s="2555"/>
      <c r="NDX68" s="2555">
        <v>0.42</v>
      </c>
      <c r="NDY68" s="2553">
        <v>2019</v>
      </c>
      <c r="NDZ68" s="2554"/>
      <c r="NEA68" s="2555">
        <v>0.5</v>
      </c>
      <c r="NEB68" s="2555">
        <v>0.5</v>
      </c>
      <c r="NEC68" s="2555">
        <v>0.56000000000000005</v>
      </c>
      <c r="NED68" s="2555">
        <v>0.34</v>
      </c>
      <c r="NEE68" s="2555"/>
      <c r="NEF68" s="2555">
        <v>0.42</v>
      </c>
      <c r="NEG68" s="2553">
        <v>2019</v>
      </c>
      <c r="NEH68" s="2554"/>
      <c r="NEI68" s="2555">
        <v>0.5</v>
      </c>
      <c r="NEJ68" s="2555">
        <v>0.5</v>
      </c>
      <c r="NEK68" s="2555">
        <v>0.56000000000000005</v>
      </c>
      <c r="NEL68" s="2555">
        <v>0.34</v>
      </c>
      <c r="NEM68" s="2555"/>
      <c r="NEN68" s="2555">
        <v>0.42</v>
      </c>
      <c r="NEO68" s="2553">
        <v>2019</v>
      </c>
      <c r="NEP68" s="2554"/>
      <c r="NEQ68" s="2555">
        <v>0.5</v>
      </c>
      <c r="NER68" s="2555">
        <v>0.5</v>
      </c>
      <c r="NES68" s="2555">
        <v>0.56000000000000005</v>
      </c>
      <c r="NET68" s="2555">
        <v>0.34</v>
      </c>
      <c r="NEU68" s="2555"/>
      <c r="NEV68" s="2555">
        <v>0.42</v>
      </c>
      <c r="NEW68" s="2553">
        <v>2019</v>
      </c>
      <c r="NEX68" s="2554"/>
      <c r="NEY68" s="2555">
        <v>0.5</v>
      </c>
      <c r="NEZ68" s="2555">
        <v>0.5</v>
      </c>
      <c r="NFA68" s="2555">
        <v>0.56000000000000005</v>
      </c>
      <c r="NFB68" s="2555">
        <v>0.34</v>
      </c>
      <c r="NFC68" s="2555"/>
      <c r="NFD68" s="2555">
        <v>0.42</v>
      </c>
      <c r="NFE68" s="2553">
        <v>2019</v>
      </c>
      <c r="NFF68" s="2554"/>
      <c r="NFG68" s="2555">
        <v>0.5</v>
      </c>
      <c r="NFH68" s="2555">
        <v>0.5</v>
      </c>
      <c r="NFI68" s="2555">
        <v>0.56000000000000005</v>
      </c>
      <c r="NFJ68" s="2555">
        <v>0.34</v>
      </c>
      <c r="NFK68" s="2555"/>
      <c r="NFL68" s="2555">
        <v>0.42</v>
      </c>
      <c r="NFM68" s="2553">
        <v>2019</v>
      </c>
      <c r="NFN68" s="2554"/>
      <c r="NFO68" s="2555">
        <v>0.5</v>
      </c>
      <c r="NFP68" s="2555">
        <v>0.5</v>
      </c>
      <c r="NFQ68" s="2555">
        <v>0.56000000000000005</v>
      </c>
      <c r="NFR68" s="2555">
        <v>0.34</v>
      </c>
      <c r="NFS68" s="2555"/>
      <c r="NFT68" s="2555">
        <v>0.42</v>
      </c>
      <c r="NFU68" s="2553">
        <v>2019</v>
      </c>
      <c r="NFV68" s="2554"/>
      <c r="NFW68" s="2555">
        <v>0.5</v>
      </c>
      <c r="NFX68" s="2555">
        <v>0.5</v>
      </c>
      <c r="NFY68" s="2555">
        <v>0.56000000000000005</v>
      </c>
      <c r="NFZ68" s="2555">
        <v>0.34</v>
      </c>
      <c r="NGA68" s="2555"/>
      <c r="NGB68" s="2555">
        <v>0.42</v>
      </c>
      <c r="NGC68" s="2553">
        <v>2019</v>
      </c>
      <c r="NGD68" s="2554"/>
      <c r="NGE68" s="2555">
        <v>0.5</v>
      </c>
      <c r="NGF68" s="2555">
        <v>0.5</v>
      </c>
      <c r="NGG68" s="2555">
        <v>0.56000000000000005</v>
      </c>
      <c r="NGH68" s="2555">
        <v>0.34</v>
      </c>
      <c r="NGI68" s="2555"/>
      <c r="NGJ68" s="2555">
        <v>0.42</v>
      </c>
      <c r="NGK68" s="2553">
        <v>2019</v>
      </c>
      <c r="NGL68" s="2554"/>
      <c r="NGM68" s="2555">
        <v>0.5</v>
      </c>
      <c r="NGN68" s="2555">
        <v>0.5</v>
      </c>
      <c r="NGO68" s="2555">
        <v>0.56000000000000005</v>
      </c>
      <c r="NGP68" s="2555">
        <v>0.34</v>
      </c>
      <c r="NGQ68" s="2555"/>
      <c r="NGR68" s="2555">
        <v>0.42</v>
      </c>
      <c r="NGS68" s="2553">
        <v>2019</v>
      </c>
      <c r="NGT68" s="2554"/>
      <c r="NGU68" s="2555">
        <v>0.5</v>
      </c>
      <c r="NGV68" s="2555">
        <v>0.5</v>
      </c>
      <c r="NGW68" s="2555">
        <v>0.56000000000000005</v>
      </c>
      <c r="NGX68" s="2555">
        <v>0.34</v>
      </c>
      <c r="NGY68" s="2555"/>
      <c r="NGZ68" s="2555">
        <v>0.42</v>
      </c>
      <c r="NHA68" s="2553">
        <v>2019</v>
      </c>
      <c r="NHB68" s="2554"/>
      <c r="NHC68" s="2555">
        <v>0.5</v>
      </c>
      <c r="NHD68" s="2555">
        <v>0.5</v>
      </c>
      <c r="NHE68" s="2555">
        <v>0.56000000000000005</v>
      </c>
      <c r="NHF68" s="2555">
        <v>0.34</v>
      </c>
      <c r="NHG68" s="2555"/>
      <c r="NHH68" s="2555">
        <v>0.42</v>
      </c>
      <c r="NHI68" s="2553">
        <v>2019</v>
      </c>
      <c r="NHJ68" s="2554"/>
      <c r="NHK68" s="2555">
        <v>0.5</v>
      </c>
      <c r="NHL68" s="2555">
        <v>0.5</v>
      </c>
      <c r="NHM68" s="2555">
        <v>0.56000000000000005</v>
      </c>
      <c r="NHN68" s="2555">
        <v>0.34</v>
      </c>
      <c r="NHO68" s="2555"/>
      <c r="NHP68" s="2555">
        <v>0.42</v>
      </c>
      <c r="NHQ68" s="2553">
        <v>2019</v>
      </c>
      <c r="NHR68" s="2554"/>
      <c r="NHS68" s="2555">
        <v>0.5</v>
      </c>
      <c r="NHT68" s="2555">
        <v>0.5</v>
      </c>
      <c r="NHU68" s="2555">
        <v>0.56000000000000005</v>
      </c>
      <c r="NHV68" s="2555">
        <v>0.34</v>
      </c>
      <c r="NHW68" s="2555"/>
      <c r="NHX68" s="2555">
        <v>0.42</v>
      </c>
      <c r="NHY68" s="2553">
        <v>2019</v>
      </c>
      <c r="NHZ68" s="2554"/>
      <c r="NIA68" s="2555">
        <v>0.5</v>
      </c>
      <c r="NIB68" s="2555">
        <v>0.5</v>
      </c>
      <c r="NIC68" s="2555">
        <v>0.56000000000000005</v>
      </c>
      <c r="NID68" s="2555">
        <v>0.34</v>
      </c>
      <c r="NIE68" s="2555"/>
      <c r="NIF68" s="2555">
        <v>0.42</v>
      </c>
      <c r="NIG68" s="2553">
        <v>2019</v>
      </c>
      <c r="NIH68" s="2554"/>
      <c r="NII68" s="2555">
        <v>0.5</v>
      </c>
      <c r="NIJ68" s="2555">
        <v>0.5</v>
      </c>
      <c r="NIK68" s="2555">
        <v>0.56000000000000005</v>
      </c>
      <c r="NIL68" s="2555">
        <v>0.34</v>
      </c>
      <c r="NIM68" s="2555"/>
      <c r="NIN68" s="2555">
        <v>0.42</v>
      </c>
      <c r="NIO68" s="2553">
        <v>2019</v>
      </c>
      <c r="NIP68" s="2554"/>
      <c r="NIQ68" s="2555">
        <v>0.5</v>
      </c>
      <c r="NIR68" s="2555">
        <v>0.5</v>
      </c>
      <c r="NIS68" s="2555">
        <v>0.56000000000000005</v>
      </c>
      <c r="NIT68" s="2555">
        <v>0.34</v>
      </c>
      <c r="NIU68" s="2555"/>
      <c r="NIV68" s="2555">
        <v>0.42</v>
      </c>
      <c r="NIW68" s="2553">
        <v>2019</v>
      </c>
      <c r="NIX68" s="2554"/>
      <c r="NIY68" s="2555">
        <v>0.5</v>
      </c>
      <c r="NIZ68" s="2555">
        <v>0.5</v>
      </c>
      <c r="NJA68" s="2555">
        <v>0.56000000000000005</v>
      </c>
      <c r="NJB68" s="2555">
        <v>0.34</v>
      </c>
      <c r="NJC68" s="2555"/>
      <c r="NJD68" s="2555">
        <v>0.42</v>
      </c>
      <c r="NJE68" s="2553">
        <v>2019</v>
      </c>
      <c r="NJF68" s="2554"/>
      <c r="NJG68" s="2555">
        <v>0.5</v>
      </c>
      <c r="NJH68" s="2555">
        <v>0.5</v>
      </c>
      <c r="NJI68" s="2555">
        <v>0.56000000000000005</v>
      </c>
      <c r="NJJ68" s="2555">
        <v>0.34</v>
      </c>
      <c r="NJK68" s="2555"/>
      <c r="NJL68" s="2555">
        <v>0.42</v>
      </c>
      <c r="NJM68" s="2553">
        <v>2019</v>
      </c>
      <c r="NJN68" s="2554"/>
      <c r="NJO68" s="2555">
        <v>0.5</v>
      </c>
      <c r="NJP68" s="2555">
        <v>0.5</v>
      </c>
      <c r="NJQ68" s="2555">
        <v>0.56000000000000005</v>
      </c>
      <c r="NJR68" s="2555">
        <v>0.34</v>
      </c>
      <c r="NJS68" s="2555"/>
      <c r="NJT68" s="2555">
        <v>0.42</v>
      </c>
      <c r="NJU68" s="2553">
        <v>2019</v>
      </c>
      <c r="NJV68" s="2554"/>
      <c r="NJW68" s="2555">
        <v>0.5</v>
      </c>
      <c r="NJX68" s="2555">
        <v>0.5</v>
      </c>
      <c r="NJY68" s="2555">
        <v>0.56000000000000005</v>
      </c>
      <c r="NJZ68" s="2555">
        <v>0.34</v>
      </c>
      <c r="NKA68" s="2555"/>
      <c r="NKB68" s="2555">
        <v>0.42</v>
      </c>
      <c r="NKC68" s="2553">
        <v>2019</v>
      </c>
      <c r="NKD68" s="2554"/>
      <c r="NKE68" s="2555">
        <v>0.5</v>
      </c>
      <c r="NKF68" s="2555">
        <v>0.5</v>
      </c>
      <c r="NKG68" s="2555">
        <v>0.56000000000000005</v>
      </c>
      <c r="NKH68" s="2555">
        <v>0.34</v>
      </c>
      <c r="NKI68" s="2555"/>
      <c r="NKJ68" s="2555">
        <v>0.42</v>
      </c>
      <c r="NKK68" s="2553">
        <v>2019</v>
      </c>
      <c r="NKL68" s="2554"/>
      <c r="NKM68" s="2555">
        <v>0.5</v>
      </c>
      <c r="NKN68" s="2555">
        <v>0.5</v>
      </c>
      <c r="NKO68" s="2555">
        <v>0.56000000000000005</v>
      </c>
      <c r="NKP68" s="2555">
        <v>0.34</v>
      </c>
      <c r="NKQ68" s="2555"/>
      <c r="NKR68" s="2555">
        <v>0.42</v>
      </c>
      <c r="NKS68" s="2553">
        <v>2019</v>
      </c>
      <c r="NKT68" s="2554"/>
      <c r="NKU68" s="2555">
        <v>0.5</v>
      </c>
      <c r="NKV68" s="2555">
        <v>0.5</v>
      </c>
      <c r="NKW68" s="2555">
        <v>0.56000000000000005</v>
      </c>
      <c r="NKX68" s="2555">
        <v>0.34</v>
      </c>
      <c r="NKY68" s="2555"/>
      <c r="NKZ68" s="2555">
        <v>0.42</v>
      </c>
      <c r="NLA68" s="2553">
        <v>2019</v>
      </c>
      <c r="NLB68" s="2554"/>
      <c r="NLC68" s="2555">
        <v>0.5</v>
      </c>
      <c r="NLD68" s="2555">
        <v>0.5</v>
      </c>
      <c r="NLE68" s="2555">
        <v>0.56000000000000005</v>
      </c>
      <c r="NLF68" s="2555">
        <v>0.34</v>
      </c>
      <c r="NLG68" s="2555"/>
      <c r="NLH68" s="2555">
        <v>0.42</v>
      </c>
      <c r="NLI68" s="2553">
        <v>2019</v>
      </c>
      <c r="NLJ68" s="2554"/>
      <c r="NLK68" s="2555">
        <v>0.5</v>
      </c>
      <c r="NLL68" s="2555">
        <v>0.5</v>
      </c>
      <c r="NLM68" s="2555">
        <v>0.56000000000000005</v>
      </c>
      <c r="NLN68" s="2555">
        <v>0.34</v>
      </c>
      <c r="NLO68" s="2555"/>
      <c r="NLP68" s="2555">
        <v>0.42</v>
      </c>
      <c r="NLQ68" s="2553">
        <v>2019</v>
      </c>
      <c r="NLR68" s="2554"/>
      <c r="NLS68" s="2555">
        <v>0.5</v>
      </c>
      <c r="NLT68" s="2555">
        <v>0.5</v>
      </c>
      <c r="NLU68" s="2555">
        <v>0.56000000000000005</v>
      </c>
      <c r="NLV68" s="2555">
        <v>0.34</v>
      </c>
      <c r="NLW68" s="2555"/>
      <c r="NLX68" s="2555">
        <v>0.42</v>
      </c>
      <c r="NLY68" s="2553">
        <v>2019</v>
      </c>
      <c r="NLZ68" s="2554"/>
      <c r="NMA68" s="2555">
        <v>0.5</v>
      </c>
      <c r="NMB68" s="2555">
        <v>0.5</v>
      </c>
      <c r="NMC68" s="2555">
        <v>0.56000000000000005</v>
      </c>
      <c r="NMD68" s="2555">
        <v>0.34</v>
      </c>
      <c r="NME68" s="2555"/>
      <c r="NMF68" s="2555">
        <v>0.42</v>
      </c>
      <c r="NMG68" s="2553">
        <v>2019</v>
      </c>
      <c r="NMH68" s="2554"/>
      <c r="NMI68" s="2555">
        <v>0.5</v>
      </c>
      <c r="NMJ68" s="2555">
        <v>0.5</v>
      </c>
      <c r="NMK68" s="2555">
        <v>0.56000000000000005</v>
      </c>
      <c r="NML68" s="2555">
        <v>0.34</v>
      </c>
      <c r="NMM68" s="2555"/>
      <c r="NMN68" s="2555">
        <v>0.42</v>
      </c>
      <c r="NMO68" s="2553">
        <v>2019</v>
      </c>
      <c r="NMP68" s="2554"/>
      <c r="NMQ68" s="2555">
        <v>0.5</v>
      </c>
      <c r="NMR68" s="2555">
        <v>0.5</v>
      </c>
      <c r="NMS68" s="2555">
        <v>0.56000000000000005</v>
      </c>
      <c r="NMT68" s="2555">
        <v>0.34</v>
      </c>
      <c r="NMU68" s="2555"/>
      <c r="NMV68" s="2555">
        <v>0.42</v>
      </c>
      <c r="NMW68" s="2553">
        <v>2019</v>
      </c>
      <c r="NMX68" s="2554"/>
      <c r="NMY68" s="2555">
        <v>0.5</v>
      </c>
      <c r="NMZ68" s="2555">
        <v>0.5</v>
      </c>
      <c r="NNA68" s="2555">
        <v>0.56000000000000005</v>
      </c>
      <c r="NNB68" s="2555">
        <v>0.34</v>
      </c>
      <c r="NNC68" s="2555"/>
      <c r="NND68" s="2555">
        <v>0.42</v>
      </c>
      <c r="NNE68" s="2553">
        <v>2019</v>
      </c>
      <c r="NNF68" s="2554"/>
      <c r="NNG68" s="2555">
        <v>0.5</v>
      </c>
      <c r="NNH68" s="2555">
        <v>0.5</v>
      </c>
      <c r="NNI68" s="2555">
        <v>0.56000000000000005</v>
      </c>
      <c r="NNJ68" s="2555">
        <v>0.34</v>
      </c>
      <c r="NNK68" s="2555"/>
      <c r="NNL68" s="2555">
        <v>0.42</v>
      </c>
      <c r="NNM68" s="2553">
        <v>2019</v>
      </c>
      <c r="NNN68" s="2554"/>
      <c r="NNO68" s="2555">
        <v>0.5</v>
      </c>
      <c r="NNP68" s="2555">
        <v>0.5</v>
      </c>
      <c r="NNQ68" s="2555">
        <v>0.56000000000000005</v>
      </c>
      <c r="NNR68" s="2555">
        <v>0.34</v>
      </c>
      <c r="NNS68" s="2555"/>
      <c r="NNT68" s="2555">
        <v>0.42</v>
      </c>
      <c r="NNU68" s="2553">
        <v>2019</v>
      </c>
      <c r="NNV68" s="2554"/>
      <c r="NNW68" s="2555">
        <v>0.5</v>
      </c>
      <c r="NNX68" s="2555">
        <v>0.5</v>
      </c>
      <c r="NNY68" s="2555">
        <v>0.56000000000000005</v>
      </c>
      <c r="NNZ68" s="2555">
        <v>0.34</v>
      </c>
      <c r="NOA68" s="2555"/>
      <c r="NOB68" s="2555">
        <v>0.42</v>
      </c>
      <c r="NOC68" s="2553">
        <v>2019</v>
      </c>
      <c r="NOD68" s="2554"/>
      <c r="NOE68" s="2555">
        <v>0.5</v>
      </c>
      <c r="NOF68" s="2555">
        <v>0.5</v>
      </c>
      <c r="NOG68" s="2555">
        <v>0.56000000000000005</v>
      </c>
      <c r="NOH68" s="2555">
        <v>0.34</v>
      </c>
      <c r="NOI68" s="2555"/>
      <c r="NOJ68" s="2555">
        <v>0.42</v>
      </c>
      <c r="NOK68" s="2553">
        <v>2019</v>
      </c>
      <c r="NOL68" s="2554"/>
      <c r="NOM68" s="2555">
        <v>0.5</v>
      </c>
      <c r="NON68" s="2555">
        <v>0.5</v>
      </c>
      <c r="NOO68" s="2555">
        <v>0.56000000000000005</v>
      </c>
      <c r="NOP68" s="2555">
        <v>0.34</v>
      </c>
      <c r="NOQ68" s="2555"/>
      <c r="NOR68" s="2555">
        <v>0.42</v>
      </c>
      <c r="NOS68" s="2553">
        <v>2019</v>
      </c>
      <c r="NOT68" s="2554"/>
      <c r="NOU68" s="2555">
        <v>0.5</v>
      </c>
      <c r="NOV68" s="2555">
        <v>0.5</v>
      </c>
      <c r="NOW68" s="2555">
        <v>0.56000000000000005</v>
      </c>
      <c r="NOX68" s="2555">
        <v>0.34</v>
      </c>
      <c r="NOY68" s="2555"/>
      <c r="NOZ68" s="2555">
        <v>0.42</v>
      </c>
      <c r="NPA68" s="2553">
        <v>2019</v>
      </c>
      <c r="NPB68" s="2554"/>
      <c r="NPC68" s="2555">
        <v>0.5</v>
      </c>
      <c r="NPD68" s="2555">
        <v>0.5</v>
      </c>
      <c r="NPE68" s="2555">
        <v>0.56000000000000005</v>
      </c>
      <c r="NPF68" s="2555">
        <v>0.34</v>
      </c>
      <c r="NPG68" s="2555"/>
      <c r="NPH68" s="2555">
        <v>0.42</v>
      </c>
      <c r="NPI68" s="2553">
        <v>2019</v>
      </c>
      <c r="NPJ68" s="2554"/>
      <c r="NPK68" s="2555">
        <v>0.5</v>
      </c>
      <c r="NPL68" s="2555">
        <v>0.5</v>
      </c>
      <c r="NPM68" s="2555">
        <v>0.56000000000000005</v>
      </c>
      <c r="NPN68" s="2555">
        <v>0.34</v>
      </c>
      <c r="NPO68" s="2555"/>
      <c r="NPP68" s="2555">
        <v>0.42</v>
      </c>
      <c r="NPQ68" s="2553">
        <v>2019</v>
      </c>
      <c r="NPR68" s="2554"/>
      <c r="NPS68" s="2555">
        <v>0.5</v>
      </c>
      <c r="NPT68" s="2555">
        <v>0.5</v>
      </c>
      <c r="NPU68" s="2555">
        <v>0.56000000000000005</v>
      </c>
      <c r="NPV68" s="2555">
        <v>0.34</v>
      </c>
      <c r="NPW68" s="2555"/>
      <c r="NPX68" s="2555">
        <v>0.42</v>
      </c>
      <c r="NPY68" s="2553">
        <v>2019</v>
      </c>
      <c r="NPZ68" s="2554"/>
      <c r="NQA68" s="2555">
        <v>0.5</v>
      </c>
      <c r="NQB68" s="2555">
        <v>0.5</v>
      </c>
      <c r="NQC68" s="2555">
        <v>0.56000000000000005</v>
      </c>
      <c r="NQD68" s="2555">
        <v>0.34</v>
      </c>
      <c r="NQE68" s="2555"/>
      <c r="NQF68" s="2555">
        <v>0.42</v>
      </c>
      <c r="NQG68" s="2553">
        <v>2019</v>
      </c>
      <c r="NQH68" s="2554"/>
      <c r="NQI68" s="2555">
        <v>0.5</v>
      </c>
      <c r="NQJ68" s="2555">
        <v>0.5</v>
      </c>
      <c r="NQK68" s="2555">
        <v>0.56000000000000005</v>
      </c>
      <c r="NQL68" s="2555">
        <v>0.34</v>
      </c>
      <c r="NQM68" s="2555"/>
      <c r="NQN68" s="2555">
        <v>0.42</v>
      </c>
      <c r="NQO68" s="2553">
        <v>2019</v>
      </c>
      <c r="NQP68" s="2554"/>
      <c r="NQQ68" s="2555">
        <v>0.5</v>
      </c>
      <c r="NQR68" s="2555">
        <v>0.5</v>
      </c>
      <c r="NQS68" s="2555">
        <v>0.56000000000000005</v>
      </c>
      <c r="NQT68" s="2555">
        <v>0.34</v>
      </c>
      <c r="NQU68" s="2555"/>
      <c r="NQV68" s="2555">
        <v>0.42</v>
      </c>
      <c r="NQW68" s="2553">
        <v>2019</v>
      </c>
      <c r="NQX68" s="2554"/>
      <c r="NQY68" s="2555">
        <v>0.5</v>
      </c>
      <c r="NQZ68" s="2555">
        <v>0.5</v>
      </c>
      <c r="NRA68" s="2555">
        <v>0.56000000000000005</v>
      </c>
      <c r="NRB68" s="2555">
        <v>0.34</v>
      </c>
      <c r="NRC68" s="2555"/>
      <c r="NRD68" s="2555">
        <v>0.42</v>
      </c>
      <c r="NRE68" s="2553">
        <v>2019</v>
      </c>
      <c r="NRF68" s="2554"/>
      <c r="NRG68" s="2555">
        <v>0.5</v>
      </c>
      <c r="NRH68" s="2555">
        <v>0.5</v>
      </c>
      <c r="NRI68" s="2555">
        <v>0.56000000000000005</v>
      </c>
      <c r="NRJ68" s="2555">
        <v>0.34</v>
      </c>
      <c r="NRK68" s="2555"/>
      <c r="NRL68" s="2555">
        <v>0.42</v>
      </c>
      <c r="NRM68" s="2553">
        <v>2019</v>
      </c>
      <c r="NRN68" s="2554"/>
      <c r="NRO68" s="2555">
        <v>0.5</v>
      </c>
      <c r="NRP68" s="2555">
        <v>0.5</v>
      </c>
      <c r="NRQ68" s="2555">
        <v>0.56000000000000005</v>
      </c>
      <c r="NRR68" s="2555">
        <v>0.34</v>
      </c>
      <c r="NRS68" s="2555"/>
      <c r="NRT68" s="2555">
        <v>0.42</v>
      </c>
      <c r="NRU68" s="2553">
        <v>2019</v>
      </c>
      <c r="NRV68" s="2554"/>
      <c r="NRW68" s="2555">
        <v>0.5</v>
      </c>
      <c r="NRX68" s="2555">
        <v>0.5</v>
      </c>
      <c r="NRY68" s="2555">
        <v>0.56000000000000005</v>
      </c>
      <c r="NRZ68" s="2555">
        <v>0.34</v>
      </c>
      <c r="NSA68" s="2555"/>
      <c r="NSB68" s="2555">
        <v>0.42</v>
      </c>
      <c r="NSC68" s="2553">
        <v>2019</v>
      </c>
      <c r="NSD68" s="2554"/>
      <c r="NSE68" s="2555">
        <v>0.5</v>
      </c>
      <c r="NSF68" s="2555">
        <v>0.5</v>
      </c>
      <c r="NSG68" s="2555">
        <v>0.56000000000000005</v>
      </c>
      <c r="NSH68" s="2555">
        <v>0.34</v>
      </c>
      <c r="NSI68" s="2555"/>
      <c r="NSJ68" s="2555">
        <v>0.42</v>
      </c>
      <c r="NSK68" s="2553">
        <v>2019</v>
      </c>
      <c r="NSL68" s="2554"/>
      <c r="NSM68" s="2555">
        <v>0.5</v>
      </c>
      <c r="NSN68" s="2555">
        <v>0.5</v>
      </c>
      <c r="NSO68" s="2555">
        <v>0.56000000000000005</v>
      </c>
      <c r="NSP68" s="2555">
        <v>0.34</v>
      </c>
      <c r="NSQ68" s="2555"/>
      <c r="NSR68" s="2555">
        <v>0.42</v>
      </c>
      <c r="NSS68" s="2553">
        <v>2019</v>
      </c>
      <c r="NST68" s="2554"/>
      <c r="NSU68" s="2555">
        <v>0.5</v>
      </c>
      <c r="NSV68" s="2555">
        <v>0.5</v>
      </c>
      <c r="NSW68" s="2555">
        <v>0.56000000000000005</v>
      </c>
      <c r="NSX68" s="2555">
        <v>0.34</v>
      </c>
      <c r="NSY68" s="2555"/>
      <c r="NSZ68" s="2555">
        <v>0.42</v>
      </c>
      <c r="NTA68" s="2553">
        <v>2019</v>
      </c>
      <c r="NTB68" s="2554"/>
      <c r="NTC68" s="2555">
        <v>0.5</v>
      </c>
      <c r="NTD68" s="2555">
        <v>0.5</v>
      </c>
      <c r="NTE68" s="2555">
        <v>0.56000000000000005</v>
      </c>
      <c r="NTF68" s="2555">
        <v>0.34</v>
      </c>
      <c r="NTG68" s="2555"/>
      <c r="NTH68" s="2555">
        <v>0.42</v>
      </c>
      <c r="NTI68" s="2553">
        <v>2019</v>
      </c>
      <c r="NTJ68" s="2554"/>
      <c r="NTK68" s="2555">
        <v>0.5</v>
      </c>
      <c r="NTL68" s="2555">
        <v>0.5</v>
      </c>
      <c r="NTM68" s="2555">
        <v>0.56000000000000005</v>
      </c>
      <c r="NTN68" s="2555">
        <v>0.34</v>
      </c>
      <c r="NTO68" s="2555"/>
      <c r="NTP68" s="2555">
        <v>0.42</v>
      </c>
      <c r="NTQ68" s="2553">
        <v>2019</v>
      </c>
      <c r="NTR68" s="2554"/>
      <c r="NTS68" s="2555">
        <v>0.5</v>
      </c>
      <c r="NTT68" s="2555">
        <v>0.5</v>
      </c>
      <c r="NTU68" s="2555">
        <v>0.56000000000000005</v>
      </c>
      <c r="NTV68" s="2555">
        <v>0.34</v>
      </c>
      <c r="NTW68" s="2555"/>
      <c r="NTX68" s="2555">
        <v>0.42</v>
      </c>
      <c r="NTY68" s="2553">
        <v>2019</v>
      </c>
      <c r="NTZ68" s="2554"/>
      <c r="NUA68" s="2555">
        <v>0.5</v>
      </c>
      <c r="NUB68" s="2555">
        <v>0.5</v>
      </c>
      <c r="NUC68" s="2555">
        <v>0.56000000000000005</v>
      </c>
      <c r="NUD68" s="2555">
        <v>0.34</v>
      </c>
      <c r="NUE68" s="2555"/>
      <c r="NUF68" s="2555">
        <v>0.42</v>
      </c>
      <c r="NUG68" s="2553">
        <v>2019</v>
      </c>
      <c r="NUH68" s="2554"/>
      <c r="NUI68" s="2555">
        <v>0.5</v>
      </c>
      <c r="NUJ68" s="2555">
        <v>0.5</v>
      </c>
      <c r="NUK68" s="2555">
        <v>0.56000000000000005</v>
      </c>
      <c r="NUL68" s="2555">
        <v>0.34</v>
      </c>
      <c r="NUM68" s="2555"/>
      <c r="NUN68" s="2555">
        <v>0.42</v>
      </c>
      <c r="NUO68" s="2553">
        <v>2019</v>
      </c>
      <c r="NUP68" s="2554"/>
      <c r="NUQ68" s="2555">
        <v>0.5</v>
      </c>
      <c r="NUR68" s="2555">
        <v>0.5</v>
      </c>
      <c r="NUS68" s="2555">
        <v>0.56000000000000005</v>
      </c>
      <c r="NUT68" s="2555">
        <v>0.34</v>
      </c>
      <c r="NUU68" s="2555"/>
      <c r="NUV68" s="2555">
        <v>0.42</v>
      </c>
      <c r="NUW68" s="2553">
        <v>2019</v>
      </c>
      <c r="NUX68" s="2554"/>
      <c r="NUY68" s="2555">
        <v>0.5</v>
      </c>
      <c r="NUZ68" s="2555">
        <v>0.5</v>
      </c>
      <c r="NVA68" s="2555">
        <v>0.56000000000000005</v>
      </c>
      <c r="NVB68" s="2555">
        <v>0.34</v>
      </c>
      <c r="NVC68" s="2555"/>
      <c r="NVD68" s="2555">
        <v>0.42</v>
      </c>
      <c r="NVE68" s="2553">
        <v>2019</v>
      </c>
      <c r="NVF68" s="2554"/>
      <c r="NVG68" s="2555">
        <v>0.5</v>
      </c>
      <c r="NVH68" s="2555">
        <v>0.5</v>
      </c>
      <c r="NVI68" s="2555">
        <v>0.56000000000000005</v>
      </c>
      <c r="NVJ68" s="2555">
        <v>0.34</v>
      </c>
      <c r="NVK68" s="2555"/>
      <c r="NVL68" s="2555">
        <v>0.42</v>
      </c>
      <c r="NVM68" s="2553">
        <v>2019</v>
      </c>
      <c r="NVN68" s="2554"/>
      <c r="NVO68" s="2555">
        <v>0.5</v>
      </c>
      <c r="NVP68" s="2555">
        <v>0.5</v>
      </c>
      <c r="NVQ68" s="2555">
        <v>0.56000000000000005</v>
      </c>
      <c r="NVR68" s="2555">
        <v>0.34</v>
      </c>
      <c r="NVS68" s="2555"/>
      <c r="NVT68" s="2555">
        <v>0.42</v>
      </c>
      <c r="NVU68" s="2553">
        <v>2019</v>
      </c>
      <c r="NVV68" s="2554"/>
      <c r="NVW68" s="2555">
        <v>0.5</v>
      </c>
      <c r="NVX68" s="2555">
        <v>0.5</v>
      </c>
      <c r="NVY68" s="2555">
        <v>0.56000000000000005</v>
      </c>
      <c r="NVZ68" s="2555">
        <v>0.34</v>
      </c>
      <c r="NWA68" s="2555"/>
      <c r="NWB68" s="2555">
        <v>0.42</v>
      </c>
      <c r="NWC68" s="2553">
        <v>2019</v>
      </c>
      <c r="NWD68" s="2554"/>
      <c r="NWE68" s="2555">
        <v>0.5</v>
      </c>
      <c r="NWF68" s="2555">
        <v>0.5</v>
      </c>
      <c r="NWG68" s="2555">
        <v>0.56000000000000005</v>
      </c>
      <c r="NWH68" s="2555">
        <v>0.34</v>
      </c>
      <c r="NWI68" s="2555"/>
      <c r="NWJ68" s="2555">
        <v>0.42</v>
      </c>
      <c r="NWK68" s="2553">
        <v>2019</v>
      </c>
      <c r="NWL68" s="2554"/>
      <c r="NWM68" s="2555">
        <v>0.5</v>
      </c>
      <c r="NWN68" s="2555">
        <v>0.5</v>
      </c>
      <c r="NWO68" s="2555">
        <v>0.56000000000000005</v>
      </c>
      <c r="NWP68" s="2555">
        <v>0.34</v>
      </c>
      <c r="NWQ68" s="2555"/>
      <c r="NWR68" s="2555">
        <v>0.42</v>
      </c>
      <c r="NWS68" s="2553">
        <v>2019</v>
      </c>
      <c r="NWT68" s="2554"/>
      <c r="NWU68" s="2555">
        <v>0.5</v>
      </c>
      <c r="NWV68" s="2555">
        <v>0.5</v>
      </c>
      <c r="NWW68" s="2555">
        <v>0.56000000000000005</v>
      </c>
      <c r="NWX68" s="2555">
        <v>0.34</v>
      </c>
      <c r="NWY68" s="2555"/>
      <c r="NWZ68" s="2555">
        <v>0.42</v>
      </c>
      <c r="NXA68" s="2553">
        <v>2019</v>
      </c>
      <c r="NXB68" s="2554"/>
      <c r="NXC68" s="2555">
        <v>0.5</v>
      </c>
      <c r="NXD68" s="2555">
        <v>0.5</v>
      </c>
      <c r="NXE68" s="2555">
        <v>0.56000000000000005</v>
      </c>
      <c r="NXF68" s="2555">
        <v>0.34</v>
      </c>
      <c r="NXG68" s="2555"/>
      <c r="NXH68" s="2555">
        <v>0.42</v>
      </c>
      <c r="NXI68" s="2553">
        <v>2019</v>
      </c>
      <c r="NXJ68" s="2554"/>
      <c r="NXK68" s="2555">
        <v>0.5</v>
      </c>
      <c r="NXL68" s="2555">
        <v>0.5</v>
      </c>
      <c r="NXM68" s="2555">
        <v>0.56000000000000005</v>
      </c>
      <c r="NXN68" s="2555">
        <v>0.34</v>
      </c>
      <c r="NXO68" s="2555"/>
      <c r="NXP68" s="2555">
        <v>0.42</v>
      </c>
      <c r="NXQ68" s="2553">
        <v>2019</v>
      </c>
      <c r="NXR68" s="2554"/>
      <c r="NXS68" s="2555">
        <v>0.5</v>
      </c>
      <c r="NXT68" s="2555">
        <v>0.5</v>
      </c>
      <c r="NXU68" s="2555">
        <v>0.56000000000000005</v>
      </c>
      <c r="NXV68" s="2555">
        <v>0.34</v>
      </c>
      <c r="NXW68" s="2555"/>
      <c r="NXX68" s="2555">
        <v>0.42</v>
      </c>
      <c r="NXY68" s="2553">
        <v>2019</v>
      </c>
      <c r="NXZ68" s="2554"/>
      <c r="NYA68" s="2555">
        <v>0.5</v>
      </c>
      <c r="NYB68" s="2555">
        <v>0.5</v>
      </c>
      <c r="NYC68" s="2555">
        <v>0.56000000000000005</v>
      </c>
      <c r="NYD68" s="2555">
        <v>0.34</v>
      </c>
      <c r="NYE68" s="2555"/>
      <c r="NYF68" s="2555">
        <v>0.42</v>
      </c>
      <c r="NYG68" s="2553">
        <v>2019</v>
      </c>
      <c r="NYH68" s="2554"/>
      <c r="NYI68" s="2555">
        <v>0.5</v>
      </c>
      <c r="NYJ68" s="2555">
        <v>0.5</v>
      </c>
      <c r="NYK68" s="2555">
        <v>0.56000000000000005</v>
      </c>
      <c r="NYL68" s="2555">
        <v>0.34</v>
      </c>
      <c r="NYM68" s="2555"/>
      <c r="NYN68" s="2555">
        <v>0.42</v>
      </c>
      <c r="NYO68" s="2553">
        <v>2019</v>
      </c>
      <c r="NYP68" s="2554"/>
      <c r="NYQ68" s="2555">
        <v>0.5</v>
      </c>
      <c r="NYR68" s="2555">
        <v>0.5</v>
      </c>
      <c r="NYS68" s="2555">
        <v>0.56000000000000005</v>
      </c>
      <c r="NYT68" s="2555">
        <v>0.34</v>
      </c>
      <c r="NYU68" s="2555"/>
      <c r="NYV68" s="2555">
        <v>0.42</v>
      </c>
      <c r="NYW68" s="2553">
        <v>2019</v>
      </c>
      <c r="NYX68" s="2554"/>
      <c r="NYY68" s="2555">
        <v>0.5</v>
      </c>
      <c r="NYZ68" s="2555">
        <v>0.5</v>
      </c>
      <c r="NZA68" s="2555">
        <v>0.56000000000000005</v>
      </c>
      <c r="NZB68" s="2555">
        <v>0.34</v>
      </c>
      <c r="NZC68" s="2555"/>
      <c r="NZD68" s="2555">
        <v>0.42</v>
      </c>
      <c r="NZE68" s="2553">
        <v>2019</v>
      </c>
      <c r="NZF68" s="2554"/>
      <c r="NZG68" s="2555">
        <v>0.5</v>
      </c>
      <c r="NZH68" s="2555">
        <v>0.5</v>
      </c>
      <c r="NZI68" s="2555">
        <v>0.56000000000000005</v>
      </c>
      <c r="NZJ68" s="2555">
        <v>0.34</v>
      </c>
      <c r="NZK68" s="2555"/>
      <c r="NZL68" s="2555">
        <v>0.42</v>
      </c>
      <c r="NZM68" s="2553">
        <v>2019</v>
      </c>
      <c r="NZN68" s="2554"/>
      <c r="NZO68" s="2555">
        <v>0.5</v>
      </c>
      <c r="NZP68" s="2555">
        <v>0.5</v>
      </c>
      <c r="NZQ68" s="2555">
        <v>0.56000000000000005</v>
      </c>
      <c r="NZR68" s="2555">
        <v>0.34</v>
      </c>
      <c r="NZS68" s="2555"/>
      <c r="NZT68" s="2555">
        <v>0.42</v>
      </c>
      <c r="NZU68" s="2553">
        <v>2019</v>
      </c>
      <c r="NZV68" s="2554"/>
      <c r="NZW68" s="2555">
        <v>0.5</v>
      </c>
      <c r="NZX68" s="2555">
        <v>0.5</v>
      </c>
      <c r="NZY68" s="2555">
        <v>0.56000000000000005</v>
      </c>
      <c r="NZZ68" s="2555">
        <v>0.34</v>
      </c>
      <c r="OAA68" s="2555"/>
      <c r="OAB68" s="2555">
        <v>0.42</v>
      </c>
      <c r="OAC68" s="2553">
        <v>2019</v>
      </c>
      <c r="OAD68" s="2554"/>
      <c r="OAE68" s="2555">
        <v>0.5</v>
      </c>
      <c r="OAF68" s="2555">
        <v>0.5</v>
      </c>
      <c r="OAG68" s="2555">
        <v>0.56000000000000005</v>
      </c>
      <c r="OAH68" s="2555">
        <v>0.34</v>
      </c>
      <c r="OAI68" s="2555"/>
      <c r="OAJ68" s="2555">
        <v>0.42</v>
      </c>
      <c r="OAK68" s="2553">
        <v>2019</v>
      </c>
      <c r="OAL68" s="2554"/>
      <c r="OAM68" s="2555">
        <v>0.5</v>
      </c>
      <c r="OAN68" s="2555">
        <v>0.5</v>
      </c>
      <c r="OAO68" s="2555">
        <v>0.56000000000000005</v>
      </c>
      <c r="OAP68" s="2555">
        <v>0.34</v>
      </c>
      <c r="OAQ68" s="2555"/>
      <c r="OAR68" s="2555">
        <v>0.42</v>
      </c>
      <c r="OAS68" s="2553">
        <v>2019</v>
      </c>
      <c r="OAT68" s="2554"/>
      <c r="OAU68" s="2555">
        <v>0.5</v>
      </c>
      <c r="OAV68" s="2555">
        <v>0.5</v>
      </c>
      <c r="OAW68" s="2555">
        <v>0.56000000000000005</v>
      </c>
      <c r="OAX68" s="2555">
        <v>0.34</v>
      </c>
      <c r="OAY68" s="2555"/>
      <c r="OAZ68" s="2555">
        <v>0.42</v>
      </c>
      <c r="OBA68" s="2553">
        <v>2019</v>
      </c>
      <c r="OBB68" s="2554"/>
      <c r="OBC68" s="2555">
        <v>0.5</v>
      </c>
      <c r="OBD68" s="2555">
        <v>0.5</v>
      </c>
      <c r="OBE68" s="2555">
        <v>0.56000000000000005</v>
      </c>
      <c r="OBF68" s="2555">
        <v>0.34</v>
      </c>
      <c r="OBG68" s="2555"/>
      <c r="OBH68" s="2555">
        <v>0.42</v>
      </c>
      <c r="OBI68" s="2553">
        <v>2019</v>
      </c>
      <c r="OBJ68" s="2554"/>
      <c r="OBK68" s="2555">
        <v>0.5</v>
      </c>
      <c r="OBL68" s="2555">
        <v>0.5</v>
      </c>
      <c r="OBM68" s="2555">
        <v>0.56000000000000005</v>
      </c>
      <c r="OBN68" s="2555">
        <v>0.34</v>
      </c>
      <c r="OBO68" s="2555"/>
      <c r="OBP68" s="2555">
        <v>0.42</v>
      </c>
      <c r="OBQ68" s="2553">
        <v>2019</v>
      </c>
      <c r="OBR68" s="2554"/>
      <c r="OBS68" s="2555">
        <v>0.5</v>
      </c>
      <c r="OBT68" s="2555">
        <v>0.5</v>
      </c>
      <c r="OBU68" s="2555">
        <v>0.56000000000000005</v>
      </c>
      <c r="OBV68" s="2555">
        <v>0.34</v>
      </c>
      <c r="OBW68" s="2555"/>
      <c r="OBX68" s="2555">
        <v>0.42</v>
      </c>
      <c r="OBY68" s="2553">
        <v>2019</v>
      </c>
      <c r="OBZ68" s="2554"/>
      <c r="OCA68" s="2555">
        <v>0.5</v>
      </c>
      <c r="OCB68" s="2555">
        <v>0.5</v>
      </c>
      <c r="OCC68" s="2555">
        <v>0.56000000000000005</v>
      </c>
      <c r="OCD68" s="2555">
        <v>0.34</v>
      </c>
      <c r="OCE68" s="2555"/>
      <c r="OCF68" s="2555">
        <v>0.42</v>
      </c>
      <c r="OCG68" s="2553">
        <v>2019</v>
      </c>
      <c r="OCH68" s="2554"/>
      <c r="OCI68" s="2555">
        <v>0.5</v>
      </c>
      <c r="OCJ68" s="2555">
        <v>0.5</v>
      </c>
      <c r="OCK68" s="2555">
        <v>0.56000000000000005</v>
      </c>
      <c r="OCL68" s="2555">
        <v>0.34</v>
      </c>
      <c r="OCM68" s="2555"/>
      <c r="OCN68" s="2555">
        <v>0.42</v>
      </c>
      <c r="OCO68" s="2553">
        <v>2019</v>
      </c>
      <c r="OCP68" s="2554"/>
      <c r="OCQ68" s="2555">
        <v>0.5</v>
      </c>
      <c r="OCR68" s="2555">
        <v>0.5</v>
      </c>
      <c r="OCS68" s="2555">
        <v>0.56000000000000005</v>
      </c>
      <c r="OCT68" s="2555">
        <v>0.34</v>
      </c>
      <c r="OCU68" s="2555"/>
      <c r="OCV68" s="2555">
        <v>0.42</v>
      </c>
      <c r="OCW68" s="2553">
        <v>2019</v>
      </c>
      <c r="OCX68" s="2554"/>
      <c r="OCY68" s="2555">
        <v>0.5</v>
      </c>
      <c r="OCZ68" s="2555">
        <v>0.5</v>
      </c>
      <c r="ODA68" s="2555">
        <v>0.56000000000000005</v>
      </c>
      <c r="ODB68" s="2555">
        <v>0.34</v>
      </c>
      <c r="ODC68" s="2555"/>
      <c r="ODD68" s="2555">
        <v>0.42</v>
      </c>
      <c r="ODE68" s="2553">
        <v>2019</v>
      </c>
      <c r="ODF68" s="2554"/>
      <c r="ODG68" s="2555">
        <v>0.5</v>
      </c>
      <c r="ODH68" s="2555">
        <v>0.5</v>
      </c>
      <c r="ODI68" s="2555">
        <v>0.56000000000000005</v>
      </c>
      <c r="ODJ68" s="2555">
        <v>0.34</v>
      </c>
      <c r="ODK68" s="2555"/>
      <c r="ODL68" s="2555">
        <v>0.42</v>
      </c>
      <c r="ODM68" s="2553">
        <v>2019</v>
      </c>
      <c r="ODN68" s="2554"/>
      <c r="ODO68" s="2555">
        <v>0.5</v>
      </c>
      <c r="ODP68" s="2555">
        <v>0.5</v>
      </c>
      <c r="ODQ68" s="2555">
        <v>0.56000000000000005</v>
      </c>
      <c r="ODR68" s="2555">
        <v>0.34</v>
      </c>
      <c r="ODS68" s="2555"/>
      <c r="ODT68" s="2555">
        <v>0.42</v>
      </c>
      <c r="ODU68" s="2553">
        <v>2019</v>
      </c>
      <c r="ODV68" s="2554"/>
      <c r="ODW68" s="2555">
        <v>0.5</v>
      </c>
      <c r="ODX68" s="2555">
        <v>0.5</v>
      </c>
      <c r="ODY68" s="2555">
        <v>0.56000000000000005</v>
      </c>
      <c r="ODZ68" s="2555">
        <v>0.34</v>
      </c>
      <c r="OEA68" s="2555"/>
      <c r="OEB68" s="2555">
        <v>0.42</v>
      </c>
      <c r="OEC68" s="2553">
        <v>2019</v>
      </c>
      <c r="OED68" s="2554"/>
      <c r="OEE68" s="2555">
        <v>0.5</v>
      </c>
      <c r="OEF68" s="2555">
        <v>0.5</v>
      </c>
      <c r="OEG68" s="2555">
        <v>0.56000000000000005</v>
      </c>
      <c r="OEH68" s="2555">
        <v>0.34</v>
      </c>
      <c r="OEI68" s="2555"/>
      <c r="OEJ68" s="2555">
        <v>0.42</v>
      </c>
      <c r="OEK68" s="2553">
        <v>2019</v>
      </c>
      <c r="OEL68" s="2554"/>
      <c r="OEM68" s="2555">
        <v>0.5</v>
      </c>
      <c r="OEN68" s="2555">
        <v>0.5</v>
      </c>
      <c r="OEO68" s="2555">
        <v>0.56000000000000005</v>
      </c>
      <c r="OEP68" s="2555">
        <v>0.34</v>
      </c>
      <c r="OEQ68" s="2555"/>
      <c r="OER68" s="2555">
        <v>0.42</v>
      </c>
      <c r="OES68" s="2553">
        <v>2019</v>
      </c>
      <c r="OET68" s="2554"/>
      <c r="OEU68" s="2555">
        <v>0.5</v>
      </c>
      <c r="OEV68" s="2555">
        <v>0.5</v>
      </c>
      <c r="OEW68" s="2555">
        <v>0.56000000000000005</v>
      </c>
      <c r="OEX68" s="2555">
        <v>0.34</v>
      </c>
      <c r="OEY68" s="2555"/>
      <c r="OEZ68" s="2555">
        <v>0.42</v>
      </c>
      <c r="OFA68" s="2553">
        <v>2019</v>
      </c>
      <c r="OFB68" s="2554"/>
      <c r="OFC68" s="2555">
        <v>0.5</v>
      </c>
      <c r="OFD68" s="2555">
        <v>0.5</v>
      </c>
      <c r="OFE68" s="2555">
        <v>0.56000000000000005</v>
      </c>
      <c r="OFF68" s="2555">
        <v>0.34</v>
      </c>
      <c r="OFG68" s="2555"/>
      <c r="OFH68" s="2555">
        <v>0.42</v>
      </c>
      <c r="OFI68" s="2553">
        <v>2019</v>
      </c>
      <c r="OFJ68" s="2554"/>
      <c r="OFK68" s="2555">
        <v>0.5</v>
      </c>
      <c r="OFL68" s="2555">
        <v>0.5</v>
      </c>
      <c r="OFM68" s="2555">
        <v>0.56000000000000005</v>
      </c>
      <c r="OFN68" s="2555">
        <v>0.34</v>
      </c>
      <c r="OFO68" s="2555"/>
      <c r="OFP68" s="2555">
        <v>0.42</v>
      </c>
      <c r="OFQ68" s="2553">
        <v>2019</v>
      </c>
      <c r="OFR68" s="2554"/>
      <c r="OFS68" s="2555">
        <v>0.5</v>
      </c>
      <c r="OFT68" s="2555">
        <v>0.5</v>
      </c>
      <c r="OFU68" s="2555">
        <v>0.56000000000000005</v>
      </c>
      <c r="OFV68" s="2555">
        <v>0.34</v>
      </c>
      <c r="OFW68" s="2555"/>
      <c r="OFX68" s="2555">
        <v>0.42</v>
      </c>
      <c r="OFY68" s="2553">
        <v>2019</v>
      </c>
      <c r="OFZ68" s="2554"/>
      <c r="OGA68" s="2555">
        <v>0.5</v>
      </c>
      <c r="OGB68" s="2555">
        <v>0.5</v>
      </c>
      <c r="OGC68" s="2555">
        <v>0.56000000000000005</v>
      </c>
      <c r="OGD68" s="2555">
        <v>0.34</v>
      </c>
      <c r="OGE68" s="2555"/>
      <c r="OGF68" s="2555">
        <v>0.42</v>
      </c>
      <c r="OGG68" s="2553">
        <v>2019</v>
      </c>
      <c r="OGH68" s="2554"/>
      <c r="OGI68" s="2555">
        <v>0.5</v>
      </c>
      <c r="OGJ68" s="2555">
        <v>0.5</v>
      </c>
      <c r="OGK68" s="2555">
        <v>0.56000000000000005</v>
      </c>
      <c r="OGL68" s="2555">
        <v>0.34</v>
      </c>
      <c r="OGM68" s="2555"/>
      <c r="OGN68" s="2555">
        <v>0.42</v>
      </c>
      <c r="OGO68" s="2553">
        <v>2019</v>
      </c>
      <c r="OGP68" s="2554"/>
      <c r="OGQ68" s="2555">
        <v>0.5</v>
      </c>
      <c r="OGR68" s="2555">
        <v>0.5</v>
      </c>
      <c r="OGS68" s="2555">
        <v>0.56000000000000005</v>
      </c>
      <c r="OGT68" s="2555">
        <v>0.34</v>
      </c>
      <c r="OGU68" s="2555"/>
      <c r="OGV68" s="2555">
        <v>0.42</v>
      </c>
      <c r="OGW68" s="2553">
        <v>2019</v>
      </c>
      <c r="OGX68" s="2554"/>
      <c r="OGY68" s="2555">
        <v>0.5</v>
      </c>
      <c r="OGZ68" s="2555">
        <v>0.5</v>
      </c>
      <c r="OHA68" s="2555">
        <v>0.56000000000000005</v>
      </c>
      <c r="OHB68" s="2555">
        <v>0.34</v>
      </c>
      <c r="OHC68" s="2555"/>
      <c r="OHD68" s="2555">
        <v>0.42</v>
      </c>
      <c r="OHE68" s="2553">
        <v>2019</v>
      </c>
      <c r="OHF68" s="2554"/>
      <c r="OHG68" s="2555">
        <v>0.5</v>
      </c>
      <c r="OHH68" s="2555">
        <v>0.5</v>
      </c>
      <c r="OHI68" s="2555">
        <v>0.56000000000000005</v>
      </c>
      <c r="OHJ68" s="2555">
        <v>0.34</v>
      </c>
      <c r="OHK68" s="2555"/>
      <c r="OHL68" s="2555">
        <v>0.42</v>
      </c>
      <c r="OHM68" s="2553">
        <v>2019</v>
      </c>
      <c r="OHN68" s="2554"/>
      <c r="OHO68" s="2555">
        <v>0.5</v>
      </c>
      <c r="OHP68" s="2555">
        <v>0.5</v>
      </c>
      <c r="OHQ68" s="2555">
        <v>0.56000000000000005</v>
      </c>
      <c r="OHR68" s="2555">
        <v>0.34</v>
      </c>
      <c r="OHS68" s="2555"/>
      <c r="OHT68" s="2555">
        <v>0.42</v>
      </c>
      <c r="OHU68" s="2553">
        <v>2019</v>
      </c>
      <c r="OHV68" s="2554"/>
      <c r="OHW68" s="2555">
        <v>0.5</v>
      </c>
      <c r="OHX68" s="2555">
        <v>0.5</v>
      </c>
      <c r="OHY68" s="2555">
        <v>0.56000000000000005</v>
      </c>
      <c r="OHZ68" s="2555">
        <v>0.34</v>
      </c>
      <c r="OIA68" s="2555"/>
      <c r="OIB68" s="2555">
        <v>0.42</v>
      </c>
      <c r="OIC68" s="2553">
        <v>2019</v>
      </c>
      <c r="OID68" s="2554"/>
      <c r="OIE68" s="2555">
        <v>0.5</v>
      </c>
      <c r="OIF68" s="2555">
        <v>0.5</v>
      </c>
      <c r="OIG68" s="2555">
        <v>0.56000000000000005</v>
      </c>
      <c r="OIH68" s="2555">
        <v>0.34</v>
      </c>
      <c r="OII68" s="2555"/>
      <c r="OIJ68" s="2555">
        <v>0.42</v>
      </c>
      <c r="OIK68" s="2553">
        <v>2019</v>
      </c>
      <c r="OIL68" s="2554"/>
      <c r="OIM68" s="2555">
        <v>0.5</v>
      </c>
      <c r="OIN68" s="2555">
        <v>0.5</v>
      </c>
      <c r="OIO68" s="2555">
        <v>0.56000000000000005</v>
      </c>
      <c r="OIP68" s="2555">
        <v>0.34</v>
      </c>
      <c r="OIQ68" s="2555"/>
      <c r="OIR68" s="2555">
        <v>0.42</v>
      </c>
      <c r="OIS68" s="2553">
        <v>2019</v>
      </c>
      <c r="OIT68" s="2554"/>
      <c r="OIU68" s="2555">
        <v>0.5</v>
      </c>
      <c r="OIV68" s="2555">
        <v>0.5</v>
      </c>
      <c r="OIW68" s="2555">
        <v>0.56000000000000005</v>
      </c>
      <c r="OIX68" s="2555">
        <v>0.34</v>
      </c>
      <c r="OIY68" s="2555"/>
      <c r="OIZ68" s="2555">
        <v>0.42</v>
      </c>
      <c r="OJA68" s="2553">
        <v>2019</v>
      </c>
      <c r="OJB68" s="2554"/>
      <c r="OJC68" s="2555">
        <v>0.5</v>
      </c>
      <c r="OJD68" s="2555">
        <v>0.5</v>
      </c>
      <c r="OJE68" s="2555">
        <v>0.56000000000000005</v>
      </c>
      <c r="OJF68" s="2555">
        <v>0.34</v>
      </c>
      <c r="OJG68" s="2555"/>
      <c r="OJH68" s="2555">
        <v>0.42</v>
      </c>
      <c r="OJI68" s="2553">
        <v>2019</v>
      </c>
      <c r="OJJ68" s="2554"/>
      <c r="OJK68" s="2555">
        <v>0.5</v>
      </c>
      <c r="OJL68" s="2555">
        <v>0.5</v>
      </c>
      <c r="OJM68" s="2555">
        <v>0.56000000000000005</v>
      </c>
      <c r="OJN68" s="2555">
        <v>0.34</v>
      </c>
      <c r="OJO68" s="2555"/>
      <c r="OJP68" s="2555">
        <v>0.42</v>
      </c>
      <c r="OJQ68" s="2553">
        <v>2019</v>
      </c>
      <c r="OJR68" s="2554"/>
      <c r="OJS68" s="2555">
        <v>0.5</v>
      </c>
      <c r="OJT68" s="2555">
        <v>0.5</v>
      </c>
      <c r="OJU68" s="2555">
        <v>0.56000000000000005</v>
      </c>
      <c r="OJV68" s="2555">
        <v>0.34</v>
      </c>
      <c r="OJW68" s="2555"/>
      <c r="OJX68" s="2555">
        <v>0.42</v>
      </c>
      <c r="OJY68" s="2553">
        <v>2019</v>
      </c>
      <c r="OJZ68" s="2554"/>
      <c r="OKA68" s="2555">
        <v>0.5</v>
      </c>
      <c r="OKB68" s="2555">
        <v>0.5</v>
      </c>
      <c r="OKC68" s="2555">
        <v>0.56000000000000005</v>
      </c>
      <c r="OKD68" s="2555">
        <v>0.34</v>
      </c>
      <c r="OKE68" s="2555"/>
      <c r="OKF68" s="2555">
        <v>0.42</v>
      </c>
      <c r="OKG68" s="2553">
        <v>2019</v>
      </c>
      <c r="OKH68" s="2554"/>
      <c r="OKI68" s="2555">
        <v>0.5</v>
      </c>
      <c r="OKJ68" s="2555">
        <v>0.5</v>
      </c>
      <c r="OKK68" s="2555">
        <v>0.56000000000000005</v>
      </c>
      <c r="OKL68" s="2555">
        <v>0.34</v>
      </c>
      <c r="OKM68" s="2555"/>
      <c r="OKN68" s="2555">
        <v>0.42</v>
      </c>
      <c r="OKO68" s="2553">
        <v>2019</v>
      </c>
      <c r="OKP68" s="2554"/>
      <c r="OKQ68" s="2555">
        <v>0.5</v>
      </c>
      <c r="OKR68" s="2555">
        <v>0.5</v>
      </c>
      <c r="OKS68" s="2555">
        <v>0.56000000000000005</v>
      </c>
      <c r="OKT68" s="2555">
        <v>0.34</v>
      </c>
      <c r="OKU68" s="2555"/>
      <c r="OKV68" s="2555">
        <v>0.42</v>
      </c>
      <c r="OKW68" s="2553">
        <v>2019</v>
      </c>
      <c r="OKX68" s="2554"/>
      <c r="OKY68" s="2555">
        <v>0.5</v>
      </c>
      <c r="OKZ68" s="2555">
        <v>0.5</v>
      </c>
      <c r="OLA68" s="2555">
        <v>0.56000000000000005</v>
      </c>
      <c r="OLB68" s="2555">
        <v>0.34</v>
      </c>
      <c r="OLC68" s="2555"/>
      <c r="OLD68" s="2555">
        <v>0.42</v>
      </c>
      <c r="OLE68" s="2553">
        <v>2019</v>
      </c>
      <c r="OLF68" s="2554"/>
      <c r="OLG68" s="2555">
        <v>0.5</v>
      </c>
      <c r="OLH68" s="2555">
        <v>0.5</v>
      </c>
      <c r="OLI68" s="2555">
        <v>0.56000000000000005</v>
      </c>
      <c r="OLJ68" s="2555">
        <v>0.34</v>
      </c>
      <c r="OLK68" s="2555"/>
      <c r="OLL68" s="2555">
        <v>0.42</v>
      </c>
      <c r="OLM68" s="2553">
        <v>2019</v>
      </c>
      <c r="OLN68" s="2554"/>
      <c r="OLO68" s="2555">
        <v>0.5</v>
      </c>
      <c r="OLP68" s="2555">
        <v>0.5</v>
      </c>
      <c r="OLQ68" s="2555">
        <v>0.56000000000000005</v>
      </c>
      <c r="OLR68" s="2555">
        <v>0.34</v>
      </c>
      <c r="OLS68" s="2555"/>
      <c r="OLT68" s="2555">
        <v>0.42</v>
      </c>
      <c r="OLU68" s="2553">
        <v>2019</v>
      </c>
      <c r="OLV68" s="2554"/>
      <c r="OLW68" s="2555">
        <v>0.5</v>
      </c>
      <c r="OLX68" s="2555">
        <v>0.5</v>
      </c>
      <c r="OLY68" s="2555">
        <v>0.56000000000000005</v>
      </c>
      <c r="OLZ68" s="2555">
        <v>0.34</v>
      </c>
      <c r="OMA68" s="2555"/>
      <c r="OMB68" s="2555">
        <v>0.42</v>
      </c>
      <c r="OMC68" s="2553">
        <v>2019</v>
      </c>
      <c r="OMD68" s="2554"/>
      <c r="OME68" s="2555">
        <v>0.5</v>
      </c>
      <c r="OMF68" s="2555">
        <v>0.5</v>
      </c>
      <c r="OMG68" s="2555">
        <v>0.56000000000000005</v>
      </c>
      <c r="OMH68" s="2555">
        <v>0.34</v>
      </c>
      <c r="OMI68" s="2555"/>
      <c r="OMJ68" s="2555">
        <v>0.42</v>
      </c>
      <c r="OMK68" s="2553">
        <v>2019</v>
      </c>
      <c r="OML68" s="2554"/>
      <c r="OMM68" s="2555">
        <v>0.5</v>
      </c>
      <c r="OMN68" s="2555">
        <v>0.5</v>
      </c>
      <c r="OMO68" s="2555">
        <v>0.56000000000000005</v>
      </c>
      <c r="OMP68" s="2555">
        <v>0.34</v>
      </c>
      <c r="OMQ68" s="2555"/>
      <c r="OMR68" s="2555">
        <v>0.42</v>
      </c>
      <c r="OMS68" s="2553">
        <v>2019</v>
      </c>
      <c r="OMT68" s="2554"/>
      <c r="OMU68" s="2555">
        <v>0.5</v>
      </c>
      <c r="OMV68" s="2555">
        <v>0.5</v>
      </c>
      <c r="OMW68" s="2555">
        <v>0.56000000000000005</v>
      </c>
      <c r="OMX68" s="2555">
        <v>0.34</v>
      </c>
      <c r="OMY68" s="2555"/>
      <c r="OMZ68" s="2555">
        <v>0.42</v>
      </c>
      <c r="ONA68" s="2553">
        <v>2019</v>
      </c>
      <c r="ONB68" s="2554"/>
      <c r="ONC68" s="2555">
        <v>0.5</v>
      </c>
      <c r="OND68" s="2555">
        <v>0.5</v>
      </c>
      <c r="ONE68" s="2555">
        <v>0.56000000000000005</v>
      </c>
      <c r="ONF68" s="2555">
        <v>0.34</v>
      </c>
      <c r="ONG68" s="2555"/>
      <c r="ONH68" s="2555">
        <v>0.42</v>
      </c>
      <c r="ONI68" s="2553">
        <v>2019</v>
      </c>
      <c r="ONJ68" s="2554"/>
      <c r="ONK68" s="2555">
        <v>0.5</v>
      </c>
      <c r="ONL68" s="2555">
        <v>0.5</v>
      </c>
      <c r="ONM68" s="2555">
        <v>0.56000000000000005</v>
      </c>
      <c r="ONN68" s="2555">
        <v>0.34</v>
      </c>
      <c r="ONO68" s="2555"/>
      <c r="ONP68" s="2555">
        <v>0.42</v>
      </c>
      <c r="ONQ68" s="2553">
        <v>2019</v>
      </c>
      <c r="ONR68" s="2554"/>
      <c r="ONS68" s="2555">
        <v>0.5</v>
      </c>
      <c r="ONT68" s="2555">
        <v>0.5</v>
      </c>
      <c r="ONU68" s="2555">
        <v>0.56000000000000005</v>
      </c>
      <c r="ONV68" s="2555">
        <v>0.34</v>
      </c>
      <c r="ONW68" s="2555"/>
      <c r="ONX68" s="2555">
        <v>0.42</v>
      </c>
      <c r="ONY68" s="2553">
        <v>2019</v>
      </c>
      <c r="ONZ68" s="2554"/>
      <c r="OOA68" s="2555">
        <v>0.5</v>
      </c>
      <c r="OOB68" s="2555">
        <v>0.5</v>
      </c>
      <c r="OOC68" s="2555">
        <v>0.56000000000000005</v>
      </c>
      <c r="OOD68" s="2555">
        <v>0.34</v>
      </c>
      <c r="OOE68" s="2555"/>
      <c r="OOF68" s="2555">
        <v>0.42</v>
      </c>
      <c r="OOG68" s="2553">
        <v>2019</v>
      </c>
      <c r="OOH68" s="2554"/>
      <c r="OOI68" s="2555">
        <v>0.5</v>
      </c>
      <c r="OOJ68" s="2555">
        <v>0.5</v>
      </c>
      <c r="OOK68" s="2555">
        <v>0.56000000000000005</v>
      </c>
      <c r="OOL68" s="2555">
        <v>0.34</v>
      </c>
      <c r="OOM68" s="2555"/>
      <c r="OON68" s="2555">
        <v>0.42</v>
      </c>
      <c r="OOO68" s="2553">
        <v>2019</v>
      </c>
      <c r="OOP68" s="2554"/>
      <c r="OOQ68" s="2555">
        <v>0.5</v>
      </c>
      <c r="OOR68" s="2555">
        <v>0.5</v>
      </c>
      <c r="OOS68" s="2555">
        <v>0.56000000000000005</v>
      </c>
      <c r="OOT68" s="2555">
        <v>0.34</v>
      </c>
      <c r="OOU68" s="2555"/>
      <c r="OOV68" s="2555">
        <v>0.42</v>
      </c>
      <c r="OOW68" s="2553">
        <v>2019</v>
      </c>
      <c r="OOX68" s="2554"/>
      <c r="OOY68" s="2555">
        <v>0.5</v>
      </c>
      <c r="OOZ68" s="2555">
        <v>0.5</v>
      </c>
      <c r="OPA68" s="2555">
        <v>0.56000000000000005</v>
      </c>
      <c r="OPB68" s="2555">
        <v>0.34</v>
      </c>
      <c r="OPC68" s="2555"/>
      <c r="OPD68" s="2555">
        <v>0.42</v>
      </c>
      <c r="OPE68" s="2553">
        <v>2019</v>
      </c>
      <c r="OPF68" s="2554"/>
      <c r="OPG68" s="2555">
        <v>0.5</v>
      </c>
      <c r="OPH68" s="2555">
        <v>0.5</v>
      </c>
      <c r="OPI68" s="2555">
        <v>0.56000000000000005</v>
      </c>
      <c r="OPJ68" s="2555">
        <v>0.34</v>
      </c>
      <c r="OPK68" s="2555"/>
      <c r="OPL68" s="2555">
        <v>0.42</v>
      </c>
      <c r="OPM68" s="2553">
        <v>2019</v>
      </c>
      <c r="OPN68" s="2554"/>
      <c r="OPO68" s="2555">
        <v>0.5</v>
      </c>
      <c r="OPP68" s="2555">
        <v>0.5</v>
      </c>
      <c r="OPQ68" s="2555">
        <v>0.56000000000000005</v>
      </c>
      <c r="OPR68" s="2555">
        <v>0.34</v>
      </c>
      <c r="OPS68" s="2555"/>
      <c r="OPT68" s="2555">
        <v>0.42</v>
      </c>
      <c r="OPU68" s="2553">
        <v>2019</v>
      </c>
      <c r="OPV68" s="2554"/>
      <c r="OPW68" s="2555">
        <v>0.5</v>
      </c>
      <c r="OPX68" s="2555">
        <v>0.5</v>
      </c>
      <c r="OPY68" s="2555">
        <v>0.56000000000000005</v>
      </c>
      <c r="OPZ68" s="2555">
        <v>0.34</v>
      </c>
      <c r="OQA68" s="2555"/>
      <c r="OQB68" s="2555">
        <v>0.42</v>
      </c>
      <c r="OQC68" s="2553">
        <v>2019</v>
      </c>
      <c r="OQD68" s="2554"/>
      <c r="OQE68" s="2555">
        <v>0.5</v>
      </c>
      <c r="OQF68" s="2555">
        <v>0.5</v>
      </c>
      <c r="OQG68" s="2555">
        <v>0.56000000000000005</v>
      </c>
      <c r="OQH68" s="2555">
        <v>0.34</v>
      </c>
      <c r="OQI68" s="2555"/>
      <c r="OQJ68" s="2555">
        <v>0.42</v>
      </c>
      <c r="OQK68" s="2553">
        <v>2019</v>
      </c>
      <c r="OQL68" s="2554"/>
      <c r="OQM68" s="2555">
        <v>0.5</v>
      </c>
      <c r="OQN68" s="2555">
        <v>0.5</v>
      </c>
      <c r="OQO68" s="2555">
        <v>0.56000000000000005</v>
      </c>
      <c r="OQP68" s="2555">
        <v>0.34</v>
      </c>
      <c r="OQQ68" s="2555"/>
      <c r="OQR68" s="2555">
        <v>0.42</v>
      </c>
      <c r="OQS68" s="2553">
        <v>2019</v>
      </c>
      <c r="OQT68" s="2554"/>
      <c r="OQU68" s="2555">
        <v>0.5</v>
      </c>
      <c r="OQV68" s="2555">
        <v>0.5</v>
      </c>
      <c r="OQW68" s="2555">
        <v>0.56000000000000005</v>
      </c>
      <c r="OQX68" s="2555">
        <v>0.34</v>
      </c>
      <c r="OQY68" s="2555"/>
      <c r="OQZ68" s="2555">
        <v>0.42</v>
      </c>
      <c r="ORA68" s="2553">
        <v>2019</v>
      </c>
      <c r="ORB68" s="2554"/>
      <c r="ORC68" s="2555">
        <v>0.5</v>
      </c>
      <c r="ORD68" s="2555">
        <v>0.5</v>
      </c>
      <c r="ORE68" s="2555">
        <v>0.56000000000000005</v>
      </c>
      <c r="ORF68" s="2555">
        <v>0.34</v>
      </c>
      <c r="ORG68" s="2555"/>
      <c r="ORH68" s="2555">
        <v>0.42</v>
      </c>
      <c r="ORI68" s="2553">
        <v>2019</v>
      </c>
      <c r="ORJ68" s="2554"/>
      <c r="ORK68" s="2555">
        <v>0.5</v>
      </c>
      <c r="ORL68" s="2555">
        <v>0.5</v>
      </c>
      <c r="ORM68" s="2555">
        <v>0.56000000000000005</v>
      </c>
      <c r="ORN68" s="2555">
        <v>0.34</v>
      </c>
      <c r="ORO68" s="2555"/>
      <c r="ORP68" s="2555">
        <v>0.42</v>
      </c>
      <c r="ORQ68" s="2553">
        <v>2019</v>
      </c>
      <c r="ORR68" s="2554"/>
      <c r="ORS68" s="2555">
        <v>0.5</v>
      </c>
      <c r="ORT68" s="2555">
        <v>0.5</v>
      </c>
      <c r="ORU68" s="2555">
        <v>0.56000000000000005</v>
      </c>
      <c r="ORV68" s="2555">
        <v>0.34</v>
      </c>
      <c r="ORW68" s="2555"/>
      <c r="ORX68" s="2555">
        <v>0.42</v>
      </c>
      <c r="ORY68" s="2553">
        <v>2019</v>
      </c>
      <c r="ORZ68" s="2554"/>
      <c r="OSA68" s="2555">
        <v>0.5</v>
      </c>
      <c r="OSB68" s="2555">
        <v>0.5</v>
      </c>
      <c r="OSC68" s="2555">
        <v>0.56000000000000005</v>
      </c>
      <c r="OSD68" s="2555">
        <v>0.34</v>
      </c>
      <c r="OSE68" s="2555"/>
      <c r="OSF68" s="2555">
        <v>0.42</v>
      </c>
      <c r="OSG68" s="2553">
        <v>2019</v>
      </c>
      <c r="OSH68" s="2554"/>
      <c r="OSI68" s="2555">
        <v>0.5</v>
      </c>
      <c r="OSJ68" s="2555">
        <v>0.5</v>
      </c>
      <c r="OSK68" s="2555">
        <v>0.56000000000000005</v>
      </c>
      <c r="OSL68" s="2555">
        <v>0.34</v>
      </c>
      <c r="OSM68" s="2555"/>
      <c r="OSN68" s="2555">
        <v>0.42</v>
      </c>
      <c r="OSO68" s="2553">
        <v>2019</v>
      </c>
      <c r="OSP68" s="2554"/>
      <c r="OSQ68" s="2555">
        <v>0.5</v>
      </c>
      <c r="OSR68" s="2555">
        <v>0.5</v>
      </c>
      <c r="OSS68" s="2555">
        <v>0.56000000000000005</v>
      </c>
      <c r="OST68" s="2555">
        <v>0.34</v>
      </c>
      <c r="OSU68" s="2555"/>
      <c r="OSV68" s="2555">
        <v>0.42</v>
      </c>
      <c r="OSW68" s="2553">
        <v>2019</v>
      </c>
      <c r="OSX68" s="2554"/>
      <c r="OSY68" s="2555">
        <v>0.5</v>
      </c>
      <c r="OSZ68" s="2555">
        <v>0.5</v>
      </c>
      <c r="OTA68" s="2555">
        <v>0.56000000000000005</v>
      </c>
      <c r="OTB68" s="2555">
        <v>0.34</v>
      </c>
      <c r="OTC68" s="2555"/>
      <c r="OTD68" s="2555">
        <v>0.42</v>
      </c>
      <c r="OTE68" s="2553">
        <v>2019</v>
      </c>
      <c r="OTF68" s="2554"/>
      <c r="OTG68" s="2555">
        <v>0.5</v>
      </c>
      <c r="OTH68" s="2555">
        <v>0.5</v>
      </c>
      <c r="OTI68" s="2555">
        <v>0.56000000000000005</v>
      </c>
      <c r="OTJ68" s="2555">
        <v>0.34</v>
      </c>
      <c r="OTK68" s="2555"/>
      <c r="OTL68" s="2555">
        <v>0.42</v>
      </c>
      <c r="OTM68" s="2553">
        <v>2019</v>
      </c>
      <c r="OTN68" s="2554"/>
      <c r="OTO68" s="2555">
        <v>0.5</v>
      </c>
      <c r="OTP68" s="2555">
        <v>0.5</v>
      </c>
      <c r="OTQ68" s="2555">
        <v>0.56000000000000005</v>
      </c>
      <c r="OTR68" s="2555">
        <v>0.34</v>
      </c>
      <c r="OTS68" s="2555"/>
      <c r="OTT68" s="2555">
        <v>0.42</v>
      </c>
      <c r="OTU68" s="2553">
        <v>2019</v>
      </c>
      <c r="OTV68" s="2554"/>
      <c r="OTW68" s="2555">
        <v>0.5</v>
      </c>
      <c r="OTX68" s="2555">
        <v>0.5</v>
      </c>
      <c r="OTY68" s="2555">
        <v>0.56000000000000005</v>
      </c>
      <c r="OTZ68" s="2555">
        <v>0.34</v>
      </c>
      <c r="OUA68" s="2555"/>
      <c r="OUB68" s="2555">
        <v>0.42</v>
      </c>
      <c r="OUC68" s="2553">
        <v>2019</v>
      </c>
      <c r="OUD68" s="2554"/>
      <c r="OUE68" s="2555">
        <v>0.5</v>
      </c>
      <c r="OUF68" s="2555">
        <v>0.5</v>
      </c>
      <c r="OUG68" s="2555">
        <v>0.56000000000000005</v>
      </c>
      <c r="OUH68" s="2555">
        <v>0.34</v>
      </c>
      <c r="OUI68" s="2555"/>
      <c r="OUJ68" s="2555">
        <v>0.42</v>
      </c>
      <c r="OUK68" s="2553">
        <v>2019</v>
      </c>
      <c r="OUL68" s="2554"/>
      <c r="OUM68" s="2555">
        <v>0.5</v>
      </c>
      <c r="OUN68" s="2555">
        <v>0.5</v>
      </c>
      <c r="OUO68" s="2555">
        <v>0.56000000000000005</v>
      </c>
      <c r="OUP68" s="2555">
        <v>0.34</v>
      </c>
      <c r="OUQ68" s="2555"/>
      <c r="OUR68" s="2555">
        <v>0.42</v>
      </c>
      <c r="OUS68" s="2553">
        <v>2019</v>
      </c>
      <c r="OUT68" s="2554"/>
      <c r="OUU68" s="2555">
        <v>0.5</v>
      </c>
      <c r="OUV68" s="2555">
        <v>0.5</v>
      </c>
      <c r="OUW68" s="2555">
        <v>0.56000000000000005</v>
      </c>
      <c r="OUX68" s="2555">
        <v>0.34</v>
      </c>
      <c r="OUY68" s="2555"/>
      <c r="OUZ68" s="2555">
        <v>0.42</v>
      </c>
      <c r="OVA68" s="2553">
        <v>2019</v>
      </c>
      <c r="OVB68" s="2554"/>
      <c r="OVC68" s="2555">
        <v>0.5</v>
      </c>
      <c r="OVD68" s="2555">
        <v>0.5</v>
      </c>
      <c r="OVE68" s="2555">
        <v>0.56000000000000005</v>
      </c>
      <c r="OVF68" s="2555">
        <v>0.34</v>
      </c>
      <c r="OVG68" s="2555"/>
      <c r="OVH68" s="2555">
        <v>0.42</v>
      </c>
      <c r="OVI68" s="2553">
        <v>2019</v>
      </c>
      <c r="OVJ68" s="2554"/>
      <c r="OVK68" s="2555">
        <v>0.5</v>
      </c>
      <c r="OVL68" s="2555">
        <v>0.5</v>
      </c>
      <c r="OVM68" s="2555">
        <v>0.56000000000000005</v>
      </c>
      <c r="OVN68" s="2555">
        <v>0.34</v>
      </c>
      <c r="OVO68" s="2555"/>
      <c r="OVP68" s="2555">
        <v>0.42</v>
      </c>
      <c r="OVQ68" s="2553">
        <v>2019</v>
      </c>
      <c r="OVR68" s="2554"/>
      <c r="OVS68" s="2555">
        <v>0.5</v>
      </c>
      <c r="OVT68" s="2555">
        <v>0.5</v>
      </c>
      <c r="OVU68" s="2555">
        <v>0.56000000000000005</v>
      </c>
      <c r="OVV68" s="2555">
        <v>0.34</v>
      </c>
      <c r="OVW68" s="2555"/>
      <c r="OVX68" s="2555">
        <v>0.42</v>
      </c>
      <c r="OVY68" s="2553">
        <v>2019</v>
      </c>
      <c r="OVZ68" s="2554"/>
      <c r="OWA68" s="2555">
        <v>0.5</v>
      </c>
      <c r="OWB68" s="2555">
        <v>0.5</v>
      </c>
      <c r="OWC68" s="2555">
        <v>0.56000000000000005</v>
      </c>
      <c r="OWD68" s="2555">
        <v>0.34</v>
      </c>
      <c r="OWE68" s="2555"/>
      <c r="OWF68" s="2555">
        <v>0.42</v>
      </c>
      <c r="OWG68" s="2553">
        <v>2019</v>
      </c>
      <c r="OWH68" s="2554"/>
      <c r="OWI68" s="2555">
        <v>0.5</v>
      </c>
      <c r="OWJ68" s="2555">
        <v>0.5</v>
      </c>
      <c r="OWK68" s="2555">
        <v>0.56000000000000005</v>
      </c>
      <c r="OWL68" s="2555">
        <v>0.34</v>
      </c>
      <c r="OWM68" s="2555"/>
      <c r="OWN68" s="2555">
        <v>0.42</v>
      </c>
      <c r="OWO68" s="2553">
        <v>2019</v>
      </c>
      <c r="OWP68" s="2554"/>
      <c r="OWQ68" s="2555">
        <v>0.5</v>
      </c>
      <c r="OWR68" s="2555">
        <v>0.5</v>
      </c>
      <c r="OWS68" s="2555">
        <v>0.56000000000000005</v>
      </c>
      <c r="OWT68" s="2555">
        <v>0.34</v>
      </c>
      <c r="OWU68" s="2555"/>
      <c r="OWV68" s="2555">
        <v>0.42</v>
      </c>
      <c r="OWW68" s="2553">
        <v>2019</v>
      </c>
      <c r="OWX68" s="2554"/>
      <c r="OWY68" s="2555">
        <v>0.5</v>
      </c>
      <c r="OWZ68" s="2555">
        <v>0.5</v>
      </c>
      <c r="OXA68" s="2555">
        <v>0.56000000000000005</v>
      </c>
      <c r="OXB68" s="2555">
        <v>0.34</v>
      </c>
      <c r="OXC68" s="2555"/>
      <c r="OXD68" s="2555">
        <v>0.42</v>
      </c>
      <c r="OXE68" s="2553">
        <v>2019</v>
      </c>
      <c r="OXF68" s="2554"/>
      <c r="OXG68" s="2555">
        <v>0.5</v>
      </c>
      <c r="OXH68" s="2555">
        <v>0.5</v>
      </c>
      <c r="OXI68" s="2555">
        <v>0.56000000000000005</v>
      </c>
      <c r="OXJ68" s="2555">
        <v>0.34</v>
      </c>
      <c r="OXK68" s="2555"/>
      <c r="OXL68" s="2555">
        <v>0.42</v>
      </c>
      <c r="OXM68" s="2553">
        <v>2019</v>
      </c>
      <c r="OXN68" s="2554"/>
      <c r="OXO68" s="2555">
        <v>0.5</v>
      </c>
      <c r="OXP68" s="2555">
        <v>0.5</v>
      </c>
      <c r="OXQ68" s="2555">
        <v>0.56000000000000005</v>
      </c>
      <c r="OXR68" s="2555">
        <v>0.34</v>
      </c>
      <c r="OXS68" s="2555"/>
      <c r="OXT68" s="2555">
        <v>0.42</v>
      </c>
      <c r="OXU68" s="2553">
        <v>2019</v>
      </c>
      <c r="OXV68" s="2554"/>
      <c r="OXW68" s="2555">
        <v>0.5</v>
      </c>
      <c r="OXX68" s="2555">
        <v>0.5</v>
      </c>
      <c r="OXY68" s="2555">
        <v>0.56000000000000005</v>
      </c>
      <c r="OXZ68" s="2555">
        <v>0.34</v>
      </c>
      <c r="OYA68" s="2555"/>
      <c r="OYB68" s="2555">
        <v>0.42</v>
      </c>
      <c r="OYC68" s="2553">
        <v>2019</v>
      </c>
      <c r="OYD68" s="2554"/>
      <c r="OYE68" s="2555">
        <v>0.5</v>
      </c>
      <c r="OYF68" s="2555">
        <v>0.5</v>
      </c>
      <c r="OYG68" s="2555">
        <v>0.56000000000000005</v>
      </c>
      <c r="OYH68" s="2555">
        <v>0.34</v>
      </c>
      <c r="OYI68" s="2555"/>
      <c r="OYJ68" s="2555">
        <v>0.42</v>
      </c>
      <c r="OYK68" s="2553">
        <v>2019</v>
      </c>
      <c r="OYL68" s="2554"/>
      <c r="OYM68" s="2555">
        <v>0.5</v>
      </c>
      <c r="OYN68" s="2555">
        <v>0.5</v>
      </c>
      <c r="OYO68" s="2555">
        <v>0.56000000000000005</v>
      </c>
      <c r="OYP68" s="2555">
        <v>0.34</v>
      </c>
      <c r="OYQ68" s="2555"/>
      <c r="OYR68" s="2555">
        <v>0.42</v>
      </c>
      <c r="OYS68" s="2553">
        <v>2019</v>
      </c>
      <c r="OYT68" s="2554"/>
      <c r="OYU68" s="2555">
        <v>0.5</v>
      </c>
      <c r="OYV68" s="2555">
        <v>0.5</v>
      </c>
      <c r="OYW68" s="2555">
        <v>0.56000000000000005</v>
      </c>
      <c r="OYX68" s="2555">
        <v>0.34</v>
      </c>
      <c r="OYY68" s="2555"/>
      <c r="OYZ68" s="2555">
        <v>0.42</v>
      </c>
      <c r="OZA68" s="2553">
        <v>2019</v>
      </c>
      <c r="OZB68" s="2554"/>
      <c r="OZC68" s="2555">
        <v>0.5</v>
      </c>
      <c r="OZD68" s="2555">
        <v>0.5</v>
      </c>
      <c r="OZE68" s="2555">
        <v>0.56000000000000005</v>
      </c>
      <c r="OZF68" s="2555">
        <v>0.34</v>
      </c>
      <c r="OZG68" s="2555"/>
      <c r="OZH68" s="2555">
        <v>0.42</v>
      </c>
      <c r="OZI68" s="2553">
        <v>2019</v>
      </c>
      <c r="OZJ68" s="2554"/>
      <c r="OZK68" s="2555">
        <v>0.5</v>
      </c>
      <c r="OZL68" s="2555">
        <v>0.5</v>
      </c>
      <c r="OZM68" s="2555">
        <v>0.56000000000000005</v>
      </c>
      <c r="OZN68" s="2555">
        <v>0.34</v>
      </c>
      <c r="OZO68" s="2555"/>
      <c r="OZP68" s="2555">
        <v>0.42</v>
      </c>
      <c r="OZQ68" s="2553">
        <v>2019</v>
      </c>
      <c r="OZR68" s="2554"/>
      <c r="OZS68" s="2555">
        <v>0.5</v>
      </c>
      <c r="OZT68" s="2555">
        <v>0.5</v>
      </c>
      <c r="OZU68" s="2555">
        <v>0.56000000000000005</v>
      </c>
      <c r="OZV68" s="2555">
        <v>0.34</v>
      </c>
      <c r="OZW68" s="2555"/>
      <c r="OZX68" s="2555">
        <v>0.42</v>
      </c>
      <c r="OZY68" s="2553">
        <v>2019</v>
      </c>
      <c r="OZZ68" s="2554"/>
      <c r="PAA68" s="2555">
        <v>0.5</v>
      </c>
      <c r="PAB68" s="2555">
        <v>0.5</v>
      </c>
      <c r="PAC68" s="2555">
        <v>0.56000000000000005</v>
      </c>
      <c r="PAD68" s="2555">
        <v>0.34</v>
      </c>
      <c r="PAE68" s="2555"/>
      <c r="PAF68" s="2555">
        <v>0.42</v>
      </c>
      <c r="PAG68" s="2553">
        <v>2019</v>
      </c>
      <c r="PAH68" s="2554"/>
      <c r="PAI68" s="2555">
        <v>0.5</v>
      </c>
      <c r="PAJ68" s="2555">
        <v>0.5</v>
      </c>
      <c r="PAK68" s="2555">
        <v>0.56000000000000005</v>
      </c>
      <c r="PAL68" s="2555">
        <v>0.34</v>
      </c>
      <c r="PAM68" s="2555"/>
      <c r="PAN68" s="2555">
        <v>0.42</v>
      </c>
      <c r="PAO68" s="2553">
        <v>2019</v>
      </c>
      <c r="PAP68" s="2554"/>
      <c r="PAQ68" s="2555">
        <v>0.5</v>
      </c>
      <c r="PAR68" s="2555">
        <v>0.5</v>
      </c>
      <c r="PAS68" s="2555">
        <v>0.56000000000000005</v>
      </c>
      <c r="PAT68" s="2555">
        <v>0.34</v>
      </c>
      <c r="PAU68" s="2555"/>
      <c r="PAV68" s="2555">
        <v>0.42</v>
      </c>
      <c r="PAW68" s="2553">
        <v>2019</v>
      </c>
      <c r="PAX68" s="2554"/>
      <c r="PAY68" s="2555">
        <v>0.5</v>
      </c>
      <c r="PAZ68" s="2555">
        <v>0.5</v>
      </c>
      <c r="PBA68" s="2555">
        <v>0.56000000000000005</v>
      </c>
      <c r="PBB68" s="2555">
        <v>0.34</v>
      </c>
      <c r="PBC68" s="2555"/>
      <c r="PBD68" s="2555">
        <v>0.42</v>
      </c>
      <c r="PBE68" s="2553">
        <v>2019</v>
      </c>
      <c r="PBF68" s="2554"/>
      <c r="PBG68" s="2555">
        <v>0.5</v>
      </c>
      <c r="PBH68" s="2555">
        <v>0.5</v>
      </c>
      <c r="PBI68" s="2555">
        <v>0.56000000000000005</v>
      </c>
      <c r="PBJ68" s="2555">
        <v>0.34</v>
      </c>
      <c r="PBK68" s="2555"/>
      <c r="PBL68" s="2555">
        <v>0.42</v>
      </c>
      <c r="PBM68" s="2553">
        <v>2019</v>
      </c>
      <c r="PBN68" s="2554"/>
      <c r="PBO68" s="2555">
        <v>0.5</v>
      </c>
      <c r="PBP68" s="2555">
        <v>0.5</v>
      </c>
      <c r="PBQ68" s="2555">
        <v>0.56000000000000005</v>
      </c>
      <c r="PBR68" s="2555">
        <v>0.34</v>
      </c>
      <c r="PBS68" s="2555"/>
      <c r="PBT68" s="2555">
        <v>0.42</v>
      </c>
      <c r="PBU68" s="2553">
        <v>2019</v>
      </c>
      <c r="PBV68" s="2554"/>
      <c r="PBW68" s="2555">
        <v>0.5</v>
      </c>
      <c r="PBX68" s="2555">
        <v>0.5</v>
      </c>
      <c r="PBY68" s="2555">
        <v>0.56000000000000005</v>
      </c>
      <c r="PBZ68" s="2555">
        <v>0.34</v>
      </c>
      <c r="PCA68" s="2555"/>
      <c r="PCB68" s="2555">
        <v>0.42</v>
      </c>
      <c r="PCC68" s="2553">
        <v>2019</v>
      </c>
      <c r="PCD68" s="2554"/>
      <c r="PCE68" s="2555">
        <v>0.5</v>
      </c>
      <c r="PCF68" s="2555">
        <v>0.5</v>
      </c>
      <c r="PCG68" s="2555">
        <v>0.56000000000000005</v>
      </c>
      <c r="PCH68" s="2555">
        <v>0.34</v>
      </c>
      <c r="PCI68" s="2555"/>
      <c r="PCJ68" s="2555">
        <v>0.42</v>
      </c>
      <c r="PCK68" s="2553">
        <v>2019</v>
      </c>
      <c r="PCL68" s="2554"/>
      <c r="PCM68" s="2555">
        <v>0.5</v>
      </c>
      <c r="PCN68" s="2555">
        <v>0.5</v>
      </c>
      <c r="PCO68" s="2555">
        <v>0.56000000000000005</v>
      </c>
      <c r="PCP68" s="2555">
        <v>0.34</v>
      </c>
      <c r="PCQ68" s="2555"/>
      <c r="PCR68" s="2555">
        <v>0.42</v>
      </c>
      <c r="PCS68" s="2553">
        <v>2019</v>
      </c>
      <c r="PCT68" s="2554"/>
      <c r="PCU68" s="2555">
        <v>0.5</v>
      </c>
      <c r="PCV68" s="2555">
        <v>0.5</v>
      </c>
      <c r="PCW68" s="2555">
        <v>0.56000000000000005</v>
      </c>
      <c r="PCX68" s="2555">
        <v>0.34</v>
      </c>
      <c r="PCY68" s="2555"/>
      <c r="PCZ68" s="2555">
        <v>0.42</v>
      </c>
      <c r="PDA68" s="2553">
        <v>2019</v>
      </c>
      <c r="PDB68" s="2554"/>
      <c r="PDC68" s="2555">
        <v>0.5</v>
      </c>
      <c r="PDD68" s="2555">
        <v>0.5</v>
      </c>
      <c r="PDE68" s="2555">
        <v>0.56000000000000005</v>
      </c>
      <c r="PDF68" s="2555">
        <v>0.34</v>
      </c>
      <c r="PDG68" s="2555"/>
      <c r="PDH68" s="2555">
        <v>0.42</v>
      </c>
      <c r="PDI68" s="2553">
        <v>2019</v>
      </c>
      <c r="PDJ68" s="2554"/>
      <c r="PDK68" s="2555">
        <v>0.5</v>
      </c>
      <c r="PDL68" s="2555">
        <v>0.5</v>
      </c>
      <c r="PDM68" s="2555">
        <v>0.56000000000000005</v>
      </c>
      <c r="PDN68" s="2555">
        <v>0.34</v>
      </c>
      <c r="PDO68" s="2555"/>
      <c r="PDP68" s="2555">
        <v>0.42</v>
      </c>
      <c r="PDQ68" s="2553">
        <v>2019</v>
      </c>
      <c r="PDR68" s="2554"/>
      <c r="PDS68" s="2555">
        <v>0.5</v>
      </c>
      <c r="PDT68" s="2555">
        <v>0.5</v>
      </c>
      <c r="PDU68" s="2555">
        <v>0.56000000000000005</v>
      </c>
      <c r="PDV68" s="2555">
        <v>0.34</v>
      </c>
      <c r="PDW68" s="2555"/>
      <c r="PDX68" s="2555">
        <v>0.42</v>
      </c>
      <c r="PDY68" s="2553">
        <v>2019</v>
      </c>
      <c r="PDZ68" s="2554"/>
      <c r="PEA68" s="2555">
        <v>0.5</v>
      </c>
      <c r="PEB68" s="2555">
        <v>0.5</v>
      </c>
      <c r="PEC68" s="2555">
        <v>0.56000000000000005</v>
      </c>
      <c r="PED68" s="2555">
        <v>0.34</v>
      </c>
      <c r="PEE68" s="2555"/>
      <c r="PEF68" s="2555">
        <v>0.42</v>
      </c>
      <c r="PEG68" s="2553">
        <v>2019</v>
      </c>
      <c r="PEH68" s="2554"/>
      <c r="PEI68" s="2555">
        <v>0.5</v>
      </c>
      <c r="PEJ68" s="2555">
        <v>0.5</v>
      </c>
      <c r="PEK68" s="2555">
        <v>0.56000000000000005</v>
      </c>
      <c r="PEL68" s="2555">
        <v>0.34</v>
      </c>
      <c r="PEM68" s="2555"/>
      <c r="PEN68" s="2555">
        <v>0.42</v>
      </c>
      <c r="PEO68" s="2553">
        <v>2019</v>
      </c>
      <c r="PEP68" s="2554"/>
      <c r="PEQ68" s="2555">
        <v>0.5</v>
      </c>
      <c r="PER68" s="2555">
        <v>0.5</v>
      </c>
      <c r="PES68" s="2555">
        <v>0.56000000000000005</v>
      </c>
      <c r="PET68" s="2555">
        <v>0.34</v>
      </c>
      <c r="PEU68" s="2555"/>
      <c r="PEV68" s="2555">
        <v>0.42</v>
      </c>
      <c r="PEW68" s="2553">
        <v>2019</v>
      </c>
      <c r="PEX68" s="2554"/>
      <c r="PEY68" s="2555">
        <v>0.5</v>
      </c>
      <c r="PEZ68" s="2555">
        <v>0.5</v>
      </c>
      <c r="PFA68" s="2555">
        <v>0.56000000000000005</v>
      </c>
      <c r="PFB68" s="2555">
        <v>0.34</v>
      </c>
      <c r="PFC68" s="2555"/>
      <c r="PFD68" s="2555">
        <v>0.42</v>
      </c>
      <c r="PFE68" s="2553">
        <v>2019</v>
      </c>
      <c r="PFF68" s="2554"/>
      <c r="PFG68" s="2555">
        <v>0.5</v>
      </c>
      <c r="PFH68" s="2555">
        <v>0.5</v>
      </c>
      <c r="PFI68" s="2555">
        <v>0.56000000000000005</v>
      </c>
      <c r="PFJ68" s="2555">
        <v>0.34</v>
      </c>
      <c r="PFK68" s="2555"/>
      <c r="PFL68" s="2555">
        <v>0.42</v>
      </c>
      <c r="PFM68" s="2553">
        <v>2019</v>
      </c>
      <c r="PFN68" s="2554"/>
      <c r="PFO68" s="2555">
        <v>0.5</v>
      </c>
      <c r="PFP68" s="2555">
        <v>0.5</v>
      </c>
      <c r="PFQ68" s="2555">
        <v>0.56000000000000005</v>
      </c>
      <c r="PFR68" s="2555">
        <v>0.34</v>
      </c>
      <c r="PFS68" s="2555"/>
      <c r="PFT68" s="2555">
        <v>0.42</v>
      </c>
      <c r="PFU68" s="2553">
        <v>2019</v>
      </c>
      <c r="PFV68" s="2554"/>
      <c r="PFW68" s="2555">
        <v>0.5</v>
      </c>
      <c r="PFX68" s="2555">
        <v>0.5</v>
      </c>
      <c r="PFY68" s="2555">
        <v>0.56000000000000005</v>
      </c>
      <c r="PFZ68" s="2555">
        <v>0.34</v>
      </c>
      <c r="PGA68" s="2555"/>
      <c r="PGB68" s="2555">
        <v>0.42</v>
      </c>
      <c r="PGC68" s="2553">
        <v>2019</v>
      </c>
      <c r="PGD68" s="2554"/>
      <c r="PGE68" s="2555">
        <v>0.5</v>
      </c>
      <c r="PGF68" s="2555">
        <v>0.5</v>
      </c>
      <c r="PGG68" s="2555">
        <v>0.56000000000000005</v>
      </c>
      <c r="PGH68" s="2555">
        <v>0.34</v>
      </c>
      <c r="PGI68" s="2555"/>
      <c r="PGJ68" s="2555">
        <v>0.42</v>
      </c>
      <c r="PGK68" s="2553">
        <v>2019</v>
      </c>
      <c r="PGL68" s="2554"/>
      <c r="PGM68" s="2555">
        <v>0.5</v>
      </c>
      <c r="PGN68" s="2555">
        <v>0.5</v>
      </c>
      <c r="PGO68" s="2555">
        <v>0.56000000000000005</v>
      </c>
      <c r="PGP68" s="2555">
        <v>0.34</v>
      </c>
      <c r="PGQ68" s="2555"/>
      <c r="PGR68" s="2555">
        <v>0.42</v>
      </c>
      <c r="PGS68" s="2553">
        <v>2019</v>
      </c>
      <c r="PGT68" s="2554"/>
      <c r="PGU68" s="2555">
        <v>0.5</v>
      </c>
      <c r="PGV68" s="2555">
        <v>0.5</v>
      </c>
      <c r="PGW68" s="2555">
        <v>0.56000000000000005</v>
      </c>
      <c r="PGX68" s="2555">
        <v>0.34</v>
      </c>
      <c r="PGY68" s="2555"/>
      <c r="PGZ68" s="2555">
        <v>0.42</v>
      </c>
      <c r="PHA68" s="2553">
        <v>2019</v>
      </c>
      <c r="PHB68" s="2554"/>
      <c r="PHC68" s="2555">
        <v>0.5</v>
      </c>
      <c r="PHD68" s="2555">
        <v>0.5</v>
      </c>
      <c r="PHE68" s="2555">
        <v>0.56000000000000005</v>
      </c>
      <c r="PHF68" s="2555">
        <v>0.34</v>
      </c>
      <c r="PHG68" s="2555"/>
      <c r="PHH68" s="2555">
        <v>0.42</v>
      </c>
      <c r="PHI68" s="2553">
        <v>2019</v>
      </c>
      <c r="PHJ68" s="2554"/>
      <c r="PHK68" s="2555">
        <v>0.5</v>
      </c>
      <c r="PHL68" s="2555">
        <v>0.5</v>
      </c>
      <c r="PHM68" s="2555">
        <v>0.56000000000000005</v>
      </c>
      <c r="PHN68" s="2555">
        <v>0.34</v>
      </c>
      <c r="PHO68" s="2555"/>
      <c r="PHP68" s="2555">
        <v>0.42</v>
      </c>
      <c r="PHQ68" s="2553">
        <v>2019</v>
      </c>
      <c r="PHR68" s="2554"/>
      <c r="PHS68" s="2555">
        <v>0.5</v>
      </c>
      <c r="PHT68" s="2555">
        <v>0.5</v>
      </c>
      <c r="PHU68" s="2555">
        <v>0.56000000000000005</v>
      </c>
      <c r="PHV68" s="2555">
        <v>0.34</v>
      </c>
      <c r="PHW68" s="2555"/>
      <c r="PHX68" s="2555">
        <v>0.42</v>
      </c>
      <c r="PHY68" s="2553">
        <v>2019</v>
      </c>
      <c r="PHZ68" s="2554"/>
      <c r="PIA68" s="2555">
        <v>0.5</v>
      </c>
      <c r="PIB68" s="2555">
        <v>0.5</v>
      </c>
      <c r="PIC68" s="2555">
        <v>0.56000000000000005</v>
      </c>
      <c r="PID68" s="2555">
        <v>0.34</v>
      </c>
      <c r="PIE68" s="2555"/>
      <c r="PIF68" s="2555">
        <v>0.42</v>
      </c>
      <c r="PIG68" s="2553">
        <v>2019</v>
      </c>
      <c r="PIH68" s="2554"/>
      <c r="PII68" s="2555">
        <v>0.5</v>
      </c>
      <c r="PIJ68" s="2555">
        <v>0.5</v>
      </c>
      <c r="PIK68" s="2555">
        <v>0.56000000000000005</v>
      </c>
      <c r="PIL68" s="2555">
        <v>0.34</v>
      </c>
      <c r="PIM68" s="2555"/>
      <c r="PIN68" s="2555">
        <v>0.42</v>
      </c>
      <c r="PIO68" s="2553">
        <v>2019</v>
      </c>
      <c r="PIP68" s="2554"/>
      <c r="PIQ68" s="2555">
        <v>0.5</v>
      </c>
      <c r="PIR68" s="2555">
        <v>0.5</v>
      </c>
      <c r="PIS68" s="2555">
        <v>0.56000000000000005</v>
      </c>
      <c r="PIT68" s="2555">
        <v>0.34</v>
      </c>
      <c r="PIU68" s="2555"/>
      <c r="PIV68" s="2555">
        <v>0.42</v>
      </c>
      <c r="PIW68" s="2553">
        <v>2019</v>
      </c>
      <c r="PIX68" s="2554"/>
      <c r="PIY68" s="2555">
        <v>0.5</v>
      </c>
      <c r="PIZ68" s="2555">
        <v>0.5</v>
      </c>
      <c r="PJA68" s="2555">
        <v>0.56000000000000005</v>
      </c>
      <c r="PJB68" s="2555">
        <v>0.34</v>
      </c>
      <c r="PJC68" s="2555"/>
      <c r="PJD68" s="2555">
        <v>0.42</v>
      </c>
      <c r="PJE68" s="2553">
        <v>2019</v>
      </c>
      <c r="PJF68" s="2554"/>
      <c r="PJG68" s="2555">
        <v>0.5</v>
      </c>
      <c r="PJH68" s="2555">
        <v>0.5</v>
      </c>
      <c r="PJI68" s="2555">
        <v>0.56000000000000005</v>
      </c>
      <c r="PJJ68" s="2555">
        <v>0.34</v>
      </c>
      <c r="PJK68" s="2555"/>
      <c r="PJL68" s="2555">
        <v>0.42</v>
      </c>
      <c r="PJM68" s="2553">
        <v>2019</v>
      </c>
      <c r="PJN68" s="2554"/>
      <c r="PJO68" s="2555">
        <v>0.5</v>
      </c>
      <c r="PJP68" s="2555">
        <v>0.5</v>
      </c>
      <c r="PJQ68" s="2555">
        <v>0.56000000000000005</v>
      </c>
      <c r="PJR68" s="2555">
        <v>0.34</v>
      </c>
      <c r="PJS68" s="2555"/>
      <c r="PJT68" s="2555">
        <v>0.42</v>
      </c>
      <c r="PJU68" s="2553">
        <v>2019</v>
      </c>
      <c r="PJV68" s="2554"/>
      <c r="PJW68" s="2555">
        <v>0.5</v>
      </c>
      <c r="PJX68" s="2555">
        <v>0.5</v>
      </c>
      <c r="PJY68" s="2555">
        <v>0.56000000000000005</v>
      </c>
      <c r="PJZ68" s="2555">
        <v>0.34</v>
      </c>
      <c r="PKA68" s="2555"/>
      <c r="PKB68" s="2555">
        <v>0.42</v>
      </c>
      <c r="PKC68" s="2553">
        <v>2019</v>
      </c>
      <c r="PKD68" s="2554"/>
      <c r="PKE68" s="2555">
        <v>0.5</v>
      </c>
      <c r="PKF68" s="2555">
        <v>0.5</v>
      </c>
      <c r="PKG68" s="2555">
        <v>0.56000000000000005</v>
      </c>
      <c r="PKH68" s="2555">
        <v>0.34</v>
      </c>
      <c r="PKI68" s="2555"/>
      <c r="PKJ68" s="2555">
        <v>0.42</v>
      </c>
      <c r="PKK68" s="2553">
        <v>2019</v>
      </c>
      <c r="PKL68" s="2554"/>
      <c r="PKM68" s="2555">
        <v>0.5</v>
      </c>
      <c r="PKN68" s="2555">
        <v>0.5</v>
      </c>
      <c r="PKO68" s="2555">
        <v>0.56000000000000005</v>
      </c>
      <c r="PKP68" s="2555">
        <v>0.34</v>
      </c>
      <c r="PKQ68" s="2555"/>
      <c r="PKR68" s="2555">
        <v>0.42</v>
      </c>
      <c r="PKS68" s="2553">
        <v>2019</v>
      </c>
      <c r="PKT68" s="2554"/>
      <c r="PKU68" s="2555">
        <v>0.5</v>
      </c>
      <c r="PKV68" s="2555">
        <v>0.5</v>
      </c>
      <c r="PKW68" s="2555">
        <v>0.56000000000000005</v>
      </c>
      <c r="PKX68" s="2555">
        <v>0.34</v>
      </c>
      <c r="PKY68" s="2555"/>
      <c r="PKZ68" s="2555">
        <v>0.42</v>
      </c>
      <c r="PLA68" s="2553">
        <v>2019</v>
      </c>
      <c r="PLB68" s="2554"/>
      <c r="PLC68" s="2555">
        <v>0.5</v>
      </c>
      <c r="PLD68" s="2555">
        <v>0.5</v>
      </c>
      <c r="PLE68" s="2555">
        <v>0.56000000000000005</v>
      </c>
      <c r="PLF68" s="2555">
        <v>0.34</v>
      </c>
      <c r="PLG68" s="2555"/>
      <c r="PLH68" s="2555">
        <v>0.42</v>
      </c>
      <c r="PLI68" s="2553">
        <v>2019</v>
      </c>
      <c r="PLJ68" s="2554"/>
      <c r="PLK68" s="2555">
        <v>0.5</v>
      </c>
      <c r="PLL68" s="2555">
        <v>0.5</v>
      </c>
      <c r="PLM68" s="2555">
        <v>0.56000000000000005</v>
      </c>
      <c r="PLN68" s="2555">
        <v>0.34</v>
      </c>
      <c r="PLO68" s="2555"/>
      <c r="PLP68" s="2555">
        <v>0.42</v>
      </c>
      <c r="PLQ68" s="2553">
        <v>2019</v>
      </c>
      <c r="PLR68" s="2554"/>
      <c r="PLS68" s="2555">
        <v>0.5</v>
      </c>
      <c r="PLT68" s="2555">
        <v>0.5</v>
      </c>
      <c r="PLU68" s="2555">
        <v>0.56000000000000005</v>
      </c>
      <c r="PLV68" s="2555">
        <v>0.34</v>
      </c>
      <c r="PLW68" s="2555"/>
      <c r="PLX68" s="2555">
        <v>0.42</v>
      </c>
      <c r="PLY68" s="2553">
        <v>2019</v>
      </c>
      <c r="PLZ68" s="2554"/>
      <c r="PMA68" s="2555">
        <v>0.5</v>
      </c>
      <c r="PMB68" s="2555">
        <v>0.5</v>
      </c>
      <c r="PMC68" s="2555">
        <v>0.56000000000000005</v>
      </c>
      <c r="PMD68" s="2555">
        <v>0.34</v>
      </c>
      <c r="PME68" s="2555"/>
      <c r="PMF68" s="2555">
        <v>0.42</v>
      </c>
      <c r="PMG68" s="2553">
        <v>2019</v>
      </c>
      <c r="PMH68" s="2554"/>
      <c r="PMI68" s="2555">
        <v>0.5</v>
      </c>
      <c r="PMJ68" s="2555">
        <v>0.5</v>
      </c>
      <c r="PMK68" s="2555">
        <v>0.56000000000000005</v>
      </c>
      <c r="PML68" s="2555">
        <v>0.34</v>
      </c>
      <c r="PMM68" s="2555"/>
      <c r="PMN68" s="2555">
        <v>0.42</v>
      </c>
      <c r="PMO68" s="2553">
        <v>2019</v>
      </c>
      <c r="PMP68" s="2554"/>
      <c r="PMQ68" s="2555">
        <v>0.5</v>
      </c>
      <c r="PMR68" s="2555">
        <v>0.5</v>
      </c>
      <c r="PMS68" s="2555">
        <v>0.56000000000000005</v>
      </c>
      <c r="PMT68" s="2555">
        <v>0.34</v>
      </c>
      <c r="PMU68" s="2555"/>
      <c r="PMV68" s="2555">
        <v>0.42</v>
      </c>
      <c r="PMW68" s="2553">
        <v>2019</v>
      </c>
      <c r="PMX68" s="2554"/>
      <c r="PMY68" s="2555">
        <v>0.5</v>
      </c>
      <c r="PMZ68" s="2555">
        <v>0.5</v>
      </c>
      <c r="PNA68" s="2555">
        <v>0.56000000000000005</v>
      </c>
      <c r="PNB68" s="2555">
        <v>0.34</v>
      </c>
      <c r="PNC68" s="2555"/>
      <c r="PND68" s="2555">
        <v>0.42</v>
      </c>
      <c r="PNE68" s="2553">
        <v>2019</v>
      </c>
      <c r="PNF68" s="2554"/>
      <c r="PNG68" s="2555">
        <v>0.5</v>
      </c>
      <c r="PNH68" s="2555">
        <v>0.5</v>
      </c>
      <c r="PNI68" s="2555">
        <v>0.56000000000000005</v>
      </c>
      <c r="PNJ68" s="2555">
        <v>0.34</v>
      </c>
      <c r="PNK68" s="2555"/>
      <c r="PNL68" s="2555">
        <v>0.42</v>
      </c>
      <c r="PNM68" s="2553">
        <v>2019</v>
      </c>
      <c r="PNN68" s="2554"/>
      <c r="PNO68" s="2555">
        <v>0.5</v>
      </c>
      <c r="PNP68" s="2555">
        <v>0.5</v>
      </c>
      <c r="PNQ68" s="2555">
        <v>0.56000000000000005</v>
      </c>
      <c r="PNR68" s="2555">
        <v>0.34</v>
      </c>
      <c r="PNS68" s="2555"/>
      <c r="PNT68" s="2555">
        <v>0.42</v>
      </c>
      <c r="PNU68" s="2553">
        <v>2019</v>
      </c>
      <c r="PNV68" s="2554"/>
      <c r="PNW68" s="2555">
        <v>0.5</v>
      </c>
      <c r="PNX68" s="2555">
        <v>0.5</v>
      </c>
      <c r="PNY68" s="2555">
        <v>0.56000000000000005</v>
      </c>
      <c r="PNZ68" s="2555">
        <v>0.34</v>
      </c>
      <c r="POA68" s="2555"/>
      <c r="POB68" s="2555">
        <v>0.42</v>
      </c>
      <c r="POC68" s="2553">
        <v>2019</v>
      </c>
      <c r="POD68" s="2554"/>
      <c r="POE68" s="2555">
        <v>0.5</v>
      </c>
      <c r="POF68" s="2555">
        <v>0.5</v>
      </c>
      <c r="POG68" s="2555">
        <v>0.56000000000000005</v>
      </c>
      <c r="POH68" s="2555">
        <v>0.34</v>
      </c>
      <c r="POI68" s="2555"/>
      <c r="POJ68" s="2555">
        <v>0.42</v>
      </c>
      <c r="POK68" s="2553">
        <v>2019</v>
      </c>
      <c r="POL68" s="2554"/>
      <c r="POM68" s="2555">
        <v>0.5</v>
      </c>
      <c r="PON68" s="2555">
        <v>0.5</v>
      </c>
      <c r="POO68" s="2555">
        <v>0.56000000000000005</v>
      </c>
      <c r="POP68" s="2555">
        <v>0.34</v>
      </c>
      <c r="POQ68" s="2555"/>
      <c r="POR68" s="2555">
        <v>0.42</v>
      </c>
      <c r="POS68" s="2553">
        <v>2019</v>
      </c>
      <c r="POT68" s="2554"/>
      <c r="POU68" s="2555">
        <v>0.5</v>
      </c>
      <c r="POV68" s="2555">
        <v>0.5</v>
      </c>
      <c r="POW68" s="2555">
        <v>0.56000000000000005</v>
      </c>
      <c r="POX68" s="2555">
        <v>0.34</v>
      </c>
      <c r="POY68" s="2555"/>
      <c r="POZ68" s="2555">
        <v>0.42</v>
      </c>
      <c r="PPA68" s="2553">
        <v>2019</v>
      </c>
      <c r="PPB68" s="2554"/>
      <c r="PPC68" s="2555">
        <v>0.5</v>
      </c>
      <c r="PPD68" s="2555">
        <v>0.5</v>
      </c>
      <c r="PPE68" s="2555">
        <v>0.56000000000000005</v>
      </c>
      <c r="PPF68" s="2555">
        <v>0.34</v>
      </c>
      <c r="PPG68" s="2555"/>
      <c r="PPH68" s="2555">
        <v>0.42</v>
      </c>
      <c r="PPI68" s="2553">
        <v>2019</v>
      </c>
      <c r="PPJ68" s="2554"/>
      <c r="PPK68" s="2555">
        <v>0.5</v>
      </c>
      <c r="PPL68" s="2555">
        <v>0.5</v>
      </c>
      <c r="PPM68" s="2555">
        <v>0.56000000000000005</v>
      </c>
      <c r="PPN68" s="2555">
        <v>0.34</v>
      </c>
      <c r="PPO68" s="2555"/>
      <c r="PPP68" s="2555">
        <v>0.42</v>
      </c>
      <c r="PPQ68" s="2553">
        <v>2019</v>
      </c>
      <c r="PPR68" s="2554"/>
      <c r="PPS68" s="2555">
        <v>0.5</v>
      </c>
      <c r="PPT68" s="2555">
        <v>0.5</v>
      </c>
      <c r="PPU68" s="2555">
        <v>0.56000000000000005</v>
      </c>
      <c r="PPV68" s="2555">
        <v>0.34</v>
      </c>
      <c r="PPW68" s="2555"/>
      <c r="PPX68" s="2555">
        <v>0.42</v>
      </c>
      <c r="PPY68" s="2553">
        <v>2019</v>
      </c>
      <c r="PPZ68" s="2554"/>
      <c r="PQA68" s="2555">
        <v>0.5</v>
      </c>
      <c r="PQB68" s="2555">
        <v>0.5</v>
      </c>
      <c r="PQC68" s="2555">
        <v>0.56000000000000005</v>
      </c>
      <c r="PQD68" s="2555">
        <v>0.34</v>
      </c>
      <c r="PQE68" s="2555"/>
      <c r="PQF68" s="2555">
        <v>0.42</v>
      </c>
      <c r="PQG68" s="2553">
        <v>2019</v>
      </c>
      <c r="PQH68" s="2554"/>
      <c r="PQI68" s="2555">
        <v>0.5</v>
      </c>
      <c r="PQJ68" s="2555">
        <v>0.5</v>
      </c>
      <c r="PQK68" s="2555">
        <v>0.56000000000000005</v>
      </c>
      <c r="PQL68" s="2555">
        <v>0.34</v>
      </c>
      <c r="PQM68" s="2555"/>
      <c r="PQN68" s="2555">
        <v>0.42</v>
      </c>
      <c r="PQO68" s="2553">
        <v>2019</v>
      </c>
      <c r="PQP68" s="2554"/>
      <c r="PQQ68" s="2555">
        <v>0.5</v>
      </c>
      <c r="PQR68" s="2555">
        <v>0.5</v>
      </c>
      <c r="PQS68" s="2555">
        <v>0.56000000000000005</v>
      </c>
      <c r="PQT68" s="2555">
        <v>0.34</v>
      </c>
      <c r="PQU68" s="2555"/>
      <c r="PQV68" s="2555">
        <v>0.42</v>
      </c>
      <c r="PQW68" s="2553">
        <v>2019</v>
      </c>
      <c r="PQX68" s="2554"/>
      <c r="PQY68" s="2555">
        <v>0.5</v>
      </c>
      <c r="PQZ68" s="2555">
        <v>0.5</v>
      </c>
      <c r="PRA68" s="2555">
        <v>0.56000000000000005</v>
      </c>
      <c r="PRB68" s="2555">
        <v>0.34</v>
      </c>
      <c r="PRC68" s="2555"/>
      <c r="PRD68" s="2555">
        <v>0.42</v>
      </c>
      <c r="PRE68" s="2553">
        <v>2019</v>
      </c>
      <c r="PRF68" s="2554"/>
      <c r="PRG68" s="2555">
        <v>0.5</v>
      </c>
      <c r="PRH68" s="2555">
        <v>0.5</v>
      </c>
      <c r="PRI68" s="2555">
        <v>0.56000000000000005</v>
      </c>
      <c r="PRJ68" s="2555">
        <v>0.34</v>
      </c>
      <c r="PRK68" s="2555"/>
      <c r="PRL68" s="2555">
        <v>0.42</v>
      </c>
      <c r="PRM68" s="2553">
        <v>2019</v>
      </c>
      <c r="PRN68" s="2554"/>
      <c r="PRO68" s="2555">
        <v>0.5</v>
      </c>
      <c r="PRP68" s="2555">
        <v>0.5</v>
      </c>
      <c r="PRQ68" s="2555">
        <v>0.56000000000000005</v>
      </c>
      <c r="PRR68" s="2555">
        <v>0.34</v>
      </c>
      <c r="PRS68" s="2555"/>
      <c r="PRT68" s="2555">
        <v>0.42</v>
      </c>
      <c r="PRU68" s="2553">
        <v>2019</v>
      </c>
      <c r="PRV68" s="2554"/>
      <c r="PRW68" s="2555">
        <v>0.5</v>
      </c>
      <c r="PRX68" s="2555">
        <v>0.5</v>
      </c>
      <c r="PRY68" s="2555">
        <v>0.56000000000000005</v>
      </c>
      <c r="PRZ68" s="2555">
        <v>0.34</v>
      </c>
      <c r="PSA68" s="2555"/>
      <c r="PSB68" s="2555">
        <v>0.42</v>
      </c>
      <c r="PSC68" s="2553">
        <v>2019</v>
      </c>
      <c r="PSD68" s="2554"/>
      <c r="PSE68" s="2555">
        <v>0.5</v>
      </c>
      <c r="PSF68" s="2555">
        <v>0.5</v>
      </c>
      <c r="PSG68" s="2555">
        <v>0.56000000000000005</v>
      </c>
      <c r="PSH68" s="2555">
        <v>0.34</v>
      </c>
      <c r="PSI68" s="2555"/>
      <c r="PSJ68" s="2555">
        <v>0.42</v>
      </c>
      <c r="PSK68" s="2553">
        <v>2019</v>
      </c>
      <c r="PSL68" s="2554"/>
      <c r="PSM68" s="2555">
        <v>0.5</v>
      </c>
      <c r="PSN68" s="2555">
        <v>0.5</v>
      </c>
      <c r="PSO68" s="2555">
        <v>0.56000000000000005</v>
      </c>
      <c r="PSP68" s="2555">
        <v>0.34</v>
      </c>
      <c r="PSQ68" s="2555"/>
      <c r="PSR68" s="2555">
        <v>0.42</v>
      </c>
      <c r="PSS68" s="2553">
        <v>2019</v>
      </c>
      <c r="PST68" s="2554"/>
      <c r="PSU68" s="2555">
        <v>0.5</v>
      </c>
      <c r="PSV68" s="2555">
        <v>0.5</v>
      </c>
      <c r="PSW68" s="2555">
        <v>0.56000000000000005</v>
      </c>
      <c r="PSX68" s="2555">
        <v>0.34</v>
      </c>
      <c r="PSY68" s="2555"/>
      <c r="PSZ68" s="2555">
        <v>0.42</v>
      </c>
      <c r="PTA68" s="2553">
        <v>2019</v>
      </c>
      <c r="PTB68" s="2554"/>
      <c r="PTC68" s="2555">
        <v>0.5</v>
      </c>
      <c r="PTD68" s="2555">
        <v>0.5</v>
      </c>
      <c r="PTE68" s="2555">
        <v>0.56000000000000005</v>
      </c>
      <c r="PTF68" s="2555">
        <v>0.34</v>
      </c>
      <c r="PTG68" s="2555"/>
      <c r="PTH68" s="2555">
        <v>0.42</v>
      </c>
      <c r="PTI68" s="2553">
        <v>2019</v>
      </c>
      <c r="PTJ68" s="2554"/>
      <c r="PTK68" s="2555">
        <v>0.5</v>
      </c>
      <c r="PTL68" s="2555">
        <v>0.5</v>
      </c>
      <c r="PTM68" s="2555">
        <v>0.56000000000000005</v>
      </c>
      <c r="PTN68" s="2555">
        <v>0.34</v>
      </c>
      <c r="PTO68" s="2555"/>
      <c r="PTP68" s="2555">
        <v>0.42</v>
      </c>
      <c r="PTQ68" s="2553">
        <v>2019</v>
      </c>
      <c r="PTR68" s="2554"/>
      <c r="PTS68" s="2555">
        <v>0.5</v>
      </c>
      <c r="PTT68" s="2555">
        <v>0.5</v>
      </c>
      <c r="PTU68" s="2555">
        <v>0.56000000000000005</v>
      </c>
      <c r="PTV68" s="2555">
        <v>0.34</v>
      </c>
      <c r="PTW68" s="2555"/>
      <c r="PTX68" s="2555">
        <v>0.42</v>
      </c>
      <c r="PTY68" s="2553">
        <v>2019</v>
      </c>
      <c r="PTZ68" s="2554"/>
      <c r="PUA68" s="2555">
        <v>0.5</v>
      </c>
      <c r="PUB68" s="2555">
        <v>0.5</v>
      </c>
      <c r="PUC68" s="2555">
        <v>0.56000000000000005</v>
      </c>
      <c r="PUD68" s="2555">
        <v>0.34</v>
      </c>
      <c r="PUE68" s="2555"/>
      <c r="PUF68" s="2555">
        <v>0.42</v>
      </c>
      <c r="PUG68" s="2553">
        <v>2019</v>
      </c>
      <c r="PUH68" s="2554"/>
      <c r="PUI68" s="2555">
        <v>0.5</v>
      </c>
      <c r="PUJ68" s="2555">
        <v>0.5</v>
      </c>
      <c r="PUK68" s="2555">
        <v>0.56000000000000005</v>
      </c>
      <c r="PUL68" s="2555">
        <v>0.34</v>
      </c>
      <c r="PUM68" s="2555"/>
      <c r="PUN68" s="2555">
        <v>0.42</v>
      </c>
      <c r="PUO68" s="2553">
        <v>2019</v>
      </c>
      <c r="PUP68" s="2554"/>
      <c r="PUQ68" s="2555">
        <v>0.5</v>
      </c>
      <c r="PUR68" s="2555">
        <v>0.5</v>
      </c>
      <c r="PUS68" s="2555">
        <v>0.56000000000000005</v>
      </c>
      <c r="PUT68" s="2555">
        <v>0.34</v>
      </c>
      <c r="PUU68" s="2555"/>
      <c r="PUV68" s="2555">
        <v>0.42</v>
      </c>
      <c r="PUW68" s="2553">
        <v>2019</v>
      </c>
      <c r="PUX68" s="2554"/>
      <c r="PUY68" s="2555">
        <v>0.5</v>
      </c>
      <c r="PUZ68" s="2555">
        <v>0.5</v>
      </c>
      <c r="PVA68" s="2555">
        <v>0.56000000000000005</v>
      </c>
      <c r="PVB68" s="2555">
        <v>0.34</v>
      </c>
      <c r="PVC68" s="2555"/>
      <c r="PVD68" s="2555">
        <v>0.42</v>
      </c>
      <c r="PVE68" s="2553">
        <v>2019</v>
      </c>
      <c r="PVF68" s="2554"/>
      <c r="PVG68" s="2555">
        <v>0.5</v>
      </c>
      <c r="PVH68" s="2555">
        <v>0.5</v>
      </c>
      <c r="PVI68" s="2555">
        <v>0.56000000000000005</v>
      </c>
      <c r="PVJ68" s="2555">
        <v>0.34</v>
      </c>
      <c r="PVK68" s="2555"/>
      <c r="PVL68" s="2555">
        <v>0.42</v>
      </c>
      <c r="PVM68" s="2553">
        <v>2019</v>
      </c>
      <c r="PVN68" s="2554"/>
      <c r="PVO68" s="2555">
        <v>0.5</v>
      </c>
      <c r="PVP68" s="2555">
        <v>0.5</v>
      </c>
      <c r="PVQ68" s="2555">
        <v>0.56000000000000005</v>
      </c>
      <c r="PVR68" s="2555">
        <v>0.34</v>
      </c>
      <c r="PVS68" s="2555"/>
      <c r="PVT68" s="2555">
        <v>0.42</v>
      </c>
      <c r="PVU68" s="2553">
        <v>2019</v>
      </c>
      <c r="PVV68" s="2554"/>
      <c r="PVW68" s="2555">
        <v>0.5</v>
      </c>
      <c r="PVX68" s="2555">
        <v>0.5</v>
      </c>
      <c r="PVY68" s="2555">
        <v>0.56000000000000005</v>
      </c>
      <c r="PVZ68" s="2555">
        <v>0.34</v>
      </c>
      <c r="PWA68" s="2555"/>
      <c r="PWB68" s="2555">
        <v>0.42</v>
      </c>
      <c r="PWC68" s="2553">
        <v>2019</v>
      </c>
      <c r="PWD68" s="2554"/>
      <c r="PWE68" s="2555">
        <v>0.5</v>
      </c>
      <c r="PWF68" s="2555">
        <v>0.5</v>
      </c>
      <c r="PWG68" s="2555">
        <v>0.56000000000000005</v>
      </c>
      <c r="PWH68" s="2555">
        <v>0.34</v>
      </c>
      <c r="PWI68" s="2555"/>
      <c r="PWJ68" s="2555">
        <v>0.42</v>
      </c>
      <c r="PWK68" s="2553">
        <v>2019</v>
      </c>
      <c r="PWL68" s="2554"/>
      <c r="PWM68" s="2555">
        <v>0.5</v>
      </c>
      <c r="PWN68" s="2555">
        <v>0.5</v>
      </c>
      <c r="PWO68" s="2555">
        <v>0.56000000000000005</v>
      </c>
      <c r="PWP68" s="2555">
        <v>0.34</v>
      </c>
      <c r="PWQ68" s="2555"/>
      <c r="PWR68" s="2555">
        <v>0.42</v>
      </c>
      <c r="PWS68" s="2553">
        <v>2019</v>
      </c>
      <c r="PWT68" s="2554"/>
      <c r="PWU68" s="2555">
        <v>0.5</v>
      </c>
      <c r="PWV68" s="2555">
        <v>0.5</v>
      </c>
      <c r="PWW68" s="2555">
        <v>0.56000000000000005</v>
      </c>
      <c r="PWX68" s="2555">
        <v>0.34</v>
      </c>
      <c r="PWY68" s="2555"/>
      <c r="PWZ68" s="2555">
        <v>0.42</v>
      </c>
      <c r="PXA68" s="2553">
        <v>2019</v>
      </c>
      <c r="PXB68" s="2554"/>
      <c r="PXC68" s="2555">
        <v>0.5</v>
      </c>
      <c r="PXD68" s="2555">
        <v>0.5</v>
      </c>
      <c r="PXE68" s="2555">
        <v>0.56000000000000005</v>
      </c>
      <c r="PXF68" s="2555">
        <v>0.34</v>
      </c>
      <c r="PXG68" s="2555"/>
      <c r="PXH68" s="2555">
        <v>0.42</v>
      </c>
      <c r="PXI68" s="2553">
        <v>2019</v>
      </c>
      <c r="PXJ68" s="2554"/>
      <c r="PXK68" s="2555">
        <v>0.5</v>
      </c>
      <c r="PXL68" s="2555">
        <v>0.5</v>
      </c>
      <c r="PXM68" s="2555">
        <v>0.56000000000000005</v>
      </c>
      <c r="PXN68" s="2555">
        <v>0.34</v>
      </c>
      <c r="PXO68" s="2555"/>
      <c r="PXP68" s="2555">
        <v>0.42</v>
      </c>
      <c r="PXQ68" s="2553">
        <v>2019</v>
      </c>
      <c r="PXR68" s="2554"/>
      <c r="PXS68" s="2555">
        <v>0.5</v>
      </c>
      <c r="PXT68" s="2555">
        <v>0.5</v>
      </c>
      <c r="PXU68" s="2555">
        <v>0.56000000000000005</v>
      </c>
      <c r="PXV68" s="2555">
        <v>0.34</v>
      </c>
      <c r="PXW68" s="2555"/>
      <c r="PXX68" s="2555">
        <v>0.42</v>
      </c>
      <c r="PXY68" s="2553">
        <v>2019</v>
      </c>
      <c r="PXZ68" s="2554"/>
      <c r="PYA68" s="2555">
        <v>0.5</v>
      </c>
      <c r="PYB68" s="2555">
        <v>0.5</v>
      </c>
      <c r="PYC68" s="2555">
        <v>0.56000000000000005</v>
      </c>
      <c r="PYD68" s="2555">
        <v>0.34</v>
      </c>
      <c r="PYE68" s="2555"/>
      <c r="PYF68" s="2555">
        <v>0.42</v>
      </c>
      <c r="PYG68" s="2553">
        <v>2019</v>
      </c>
      <c r="PYH68" s="2554"/>
      <c r="PYI68" s="2555">
        <v>0.5</v>
      </c>
      <c r="PYJ68" s="2555">
        <v>0.5</v>
      </c>
      <c r="PYK68" s="2555">
        <v>0.56000000000000005</v>
      </c>
      <c r="PYL68" s="2555">
        <v>0.34</v>
      </c>
      <c r="PYM68" s="2555"/>
      <c r="PYN68" s="2555">
        <v>0.42</v>
      </c>
      <c r="PYO68" s="2553">
        <v>2019</v>
      </c>
      <c r="PYP68" s="2554"/>
      <c r="PYQ68" s="2555">
        <v>0.5</v>
      </c>
      <c r="PYR68" s="2555">
        <v>0.5</v>
      </c>
      <c r="PYS68" s="2555">
        <v>0.56000000000000005</v>
      </c>
      <c r="PYT68" s="2555">
        <v>0.34</v>
      </c>
      <c r="PYU68" s="2555"/>
      <c r="PYV68" s="2555">
        <v>0.42</v>
      </c>
      <c r="PYW68" s="2553">
        <v>2019</v>
      </c>
      <c r="PYX68" s="2554"/>
      <c r="PYY68" s="2555">
        <v>0.5</v>
      </c>
      <c r="PYZ68" s="2555">
        <v>0.5</v>
      </c>
      <c r="PZA68" s="2555">
        <v>0.56000000000000005</v>
      </c>
      <c r="PZB68" s="2555">
        <v>0.34</v>
      </c>
      <c r="PZC68" s="2555"/>
      <c r="PZD68" s="2555">
        <v>0.42</v>
      </c>
      <c r="PZE68" s="2553">
        <v>2019</v>
      </c>
      <c r="PZF68" s="2554"/>
      <c r="PZG68" s="2555">
        <v>0.5</v>
      </c>
      <c r="PZH68" s="2555">
        <v>0.5</v>
      </c>
      <c r="PZI68" s="2555">
        <v>0.56000000000000005</v>
      </c>
      <c r="PZJ68" s="2555">
        <v>0.34</v>
      </c>
      <c r="PZK68" s="2555"/>
      <c r="PZL68" s="2555">
        <v>0.42</v>
      </c>
      <c r="PZM68" s="2553">
        <v>2019</v>
      </c>
      <c r="PZN68" s="2554"/>
      <c r="PZO68" s="2555">
        <v>0.5</v>
      </c>
      <c r="PZP68" s="2555">
        <v>0.5</v>
      </c>
      <c r="PZQ68" s="2555">
        <v>0.56000000000000005</v>
      </c>
      <c r="PZR68" s="2555">
        <v>0.34</v>
      </c>
      <c r="PZS68" s="2555"/>
      <c r="PZT68" s="2555">
        <v>0.42</v>
      </c>
      <c r="PZU68" s="2553">
        <v>2019</v>
      </c>
      <c r="PZV68" s="2554"/>
      <c r="PZW68" s="2555">
        <v>0.5</v>
      </c>
      <c r="PZX68" s="2555">
        <v>0.5</v>
      </c>
      <c r="PZY68" s="2555">
        <v>0.56000000000000005</v>
      </c>
      <c r="PZZ68" s="2555">
        <v>0.34</v>
      </c>
      <c r="QAA68" s="2555"/>
      <c r="QAB68" s="2555">
        <v>0.42</v>
      </c>
      <c r="QAC68" s="2553">
        <v>2019</v>
      </c>
      <c r="QAD68" s="2554"/>
      <c r="QAE68" s="2555">
        <v>0.5</v>
      </c>
      <c r="QAF68" s="2555">
        <v>0.5</v>
      </c>
      <c r="QAG68" s="2555">
        <v>0.56000000000000005</v>
      </c>
      <c r="QAH68" s="2555">
        <v>0.34</v>
      </c>
      <c r="QAI68" s="2555"/>
      <c r="QAJ68" s="2555">
        <v>0.42</v>
      </c>
      <c r="QAK68" s="2553">
        <v>2019</v>
      </c>
      <c r="QAL68" s="2554"/>
      <c r="QAM68" s="2555">
        <v>0.5</v>
      </c>
      <c r="QAN68" s="2555">
        <v>0.5</v>
      </c>
      <c r="QAO68" s="2555">
        <v>0.56000000000000005</v>
      </c>
      <c r="QAP68" s="2555">
        <v>0.34</v>
      </c>
      <c r="QAQ68" s="2555"/>
      <c r="QAR68" s="2555">
        <v>0.42</v>
      </c>
      <c r="QAS68" s="2553">
        <v>2019</v>
      </c>
      <c r="QAT68" s="2554"/>
      <c r="QAU68" s="2555">
        <v>0.5</v>
      </c>
      <c r="QAV68" s="2555">
        <v>0.5</v>
      </c>
      <c r="QAW68" s="2555">
        <v>0.56000000000000005</v>
      </c>
      <c r="QAX68" s="2555">
        <v>0.34</v>
      </c>
      <c r="QAY68" s="2555"/>
      <c r="QAZ68" s="2555">
        <v>0.42</v>
      </c>
      <c r="QBA68" s="2553">
        <v>2019</v>
      </c>
      <c r="QBB68" s="2554"/>
      <c r="QBC68" s="2555">
        <v>0.5</v>
      </c>
      <c r="QBD68" s="2555">
        <v>0.5</v>
      </c>
      <c r="QBE68" s="2555">
        <v>0.56000000000000005</v>
      </c>
      <c r="QBF68" s="2555">
        <v>0.34</v>
      </c>
      <c r="QBG68" s="2555"/>
      <c r="QBH68" s="2555">
        <v>0.42</v>
      </c>
      <c r="QBI68" s="2553">
        <v>2019</v>
      </c>
      <c r="QBJ68" s="2554"/>
      <c r="QBK68" s="2555">
        <v>0.5</v>
      </c>
      <c r="QBL68" s="2555">
        <v>0.5</v>
      </c>
      <c r="QBM68" s="2555">
        <v>0.56000000000000005</v>
      </c>
      <c r="QBN68" s="2555">
        <v>0.34</v>
      </c>
      <c r="QBO68" s="2555"/>
      <c r="QBP68" s="2555">
        <v>0.42</v>
      </c>
      <c r="QBQ68" s="2553">
        <v>2019</v>
      </c>
      <c r="QBR68" s="2554"/>
      <c r="QBS68" s="2555">
        <v>0.5</v>
      </c>
      <c r="QBT68" s="2555">
        <v>0.5</v>
      </c>
      <c r="QBU68" s="2555">
        <v>0.56000000000000005</v>
      </c>
      <c r="QBV68" s="2555">
        <v>0.34</v>
      </c>
      <c r="QBW68" s="2555"/>
      <c r="QBX68" s="2555">
        <v>0.42</v>
      </c>
      <c r="QBY68" s="2553">
        <v>2019</v>
      </c>
      <c r="QBZ68" s="2554"/>
      <c r="QCA68" s="2555">
        <v>0.5</v>
      </c>
      <c r="QCB68" s="2555">
        <v>0.5</v>
      </c>
      <c r="QCC68" s="2555">
        <v>0.56000000000000005</v>
      </c>
      <c r="QCD68" s="2555">
        <v>0.34</v>
      </c>
      <c r="QCE68" s="2555"/>
      <c r="QCF68" s="2555">
        <v>0.42</v>
      </c>
      <c r="QCG68" s="2553">
        <v>2019</v>
      </c>
      <c r="QCH68" s="2554"/>
      <c r="QCI68" s="2555">
        <v>0.5</v>
      </c>
      <c r="QCJ68" s="2555">
        <v>0.5</v>
      </c>
      <c r="QCK68" s="2555">
        <v>0.56000000000000005</v>
      </c>
      <c r="QCL68" s="2555">
        <v>0.34</v>
      </c>
      <c r="QCM68" s="2555"/>
      <c r="QCN68" s="2555">
        <v>0.42</v>
      </c>
      <c r="QCO68" s="2553">
        <v>2019</v>
      </c>
      <c r="QCP68" s="2554"/>
      <c r="QCQ68" s="2555">
        <v>0.5</v>
      </c>
      <c r="QCR68" s="2555">
        <v>0.5</v>
      </c>
      <c r="QCS68" s="2555">
        <v>0.56000000000000005</v>
      </c>
      <c r="QCT68" s="2555">
        <v>0.34</v>
      </c>
      <c r="QCU68" s="2555"/>
      <c r="QCV68" s="2555">
        <v>0.42</v>
      </c>
      <c r="QCW68" s="2553">
        <v>2019</v>
      </c>
      <c r="QCX68" s="2554"/>
      <c r="QCY68" s="2555">
        <v>0.5</v>
      </c>
      <c r="QCZ68" s="2555">
        <v>0.5</v>
      </c>
      <c r="QDA68" s="2555">
        <v>0.56000000000000005</v>
      </c>
      <c r="QDB68" s="2555">
        <v>0.34</v>
      </c>
      <c r="QDC68" s="2555"/>
      <c r="QDD68" s="2555">
        <v>0.42</v>
      </c>
      <c r="QDE68" s="2553">
        <v>2019</v>
      </c>
      <c r="QDF68" s="2554"/>
      <c r="QDG68" s="2555">
        <v>0.5</v>
      </c>
      <c r="QDH68" s="2555">
        <v>0.5</v>
      </c>
      <c r="QDI68" s="2555">
        <v>0.56000000000000005</v>
      </c>
      <c r="QDJ68" s="2555">
        <v>0.34</v>
      </c>
      <c r="QDK68" s="2555"/>
      <c r="QDL68" s="2555">
        <v>0.42</v>
      </c>
      <c r="QDM68" s="2553">
        <v>2019</v>
      </c>
      <c r="QDN68" s="2554"/>
      <c r="QDO68" s="2555">
        <v>0.5</v>
      </c>
      <c r="QDP68" s="2555">
        <v>0.5</v>
      </c>
      <c r="QDQ68" s="2555">
        <v>0.56000000000000005</v>
      </c>
      <c r="QDR68" s="2555">
        <v>0.34</v>
      </c>
      <c r="QDS68" s="2555"/>
      <c r="QDT68" s="2555">
        <v>0.42</v>
      </c>
      <c r="QDU68" s="2553">
        <v>2019</v>
      </c>
      <c r="QDV68" s="2554"/>
      <c r="QDW68" s="2555">
        <v>0.5</v>
      </c>
      <c r="QDX68" s="2555">
        <v>0.5</v>
      </c>
      <c r="QDY68" s="2555">
        <v>0.56000000000000005</v>
      </c>
      <c r="QDZ68" s="2555">
        <v>0.34</v>
      </c>
      <c r="QEA68" s="2555"/>
      <c r="QEB68" s="2555">
        <v>0.42</v>
      </c>
      <c r="QEC68" s="2553">
        <v>2019</v>
      </c>
      <c r="QED68" s="2554"/>
      <c r="QEE68" s="2555">
        <v>0.5</v>
      </c>
      <c r="QEF68" s="2555">
        <v>0.5</v>
      </c>
      <c r="QEG68" s="2555">
        <v>0.56000000000000005</v>
      </c>
      <c r="QEH68" s="2555">
        <v>0.34</v>
      </c>
      <c r="QEI68" s="2555"/>
      <c r="QEJ68" s="2555">
        <v>0.42</v>
      </c>
      <c r="QEK68" s="2553">
        <v>2019</v>
      </c>
      <c r="QEL68" s="2554"/>
      <c r="QEM68" s="2555">
        <v>0.5</v>
      </c>
      <c r="QEN68" s="2555">
        <v>0.5</v>
      </c>
      <c r="QEO68" s="2555">
        <v>0.56000000000000005</v>
      </c>
      <c r="QEP68" s="2555">
        <v>0.34</v>
      </c>
      <c r="QEQ68" s="2555"/>
      <c r="QER68" s="2555">
        <v>0.42</v>
      </c>
      <c r="QES68" s="2553">
        <v>2019</v>
      </c>
      <c r="QET68" s="2554"/>
      <c r="QEU68" s="2555">
        <v>0.5</v>
      </c>
      <c r="QEV68" s="2555">
        <v>0.5</v>
      </c>
      <c r="QEW68" s="2555">
        <v>0.56000000000000005</v>
      </c>
      <c r="QEX68" s="2555">
        <v>0.34</v>
      </c>
      <c r="QEY68" s="2555"/>
      <c r="QEZ68" s="2555">
        <v>0.42</v>
      </c>
      <c r="QFA68" s="2553">
        <v>2019</v>
      </c>
      <c r="QFB68" s="2554"/>
      <c r="QFC68" s="2555">
        <v>0.5</v>
      </c>
      <c r="QFD68" s="2555">
        <v>0.5</v>
      </c>
      <c r="QFE68" s="2555">
        <v>0.56000000000000005</v>
      </c>
      <c r="QFF68" s="2555">
        <v>0.34</v>
      </c>
      <c r="QFG68" s="2555"/>
      <c r="QFH68" s="2555">
        <v>0.42</v>
      </c>
      <c r="QFI68" s="2553">
        <v>2019</v>
      </c>
      <c r="QFJ68" s="2554"/>
      <c r="QFK68" s="2555">
        <v>0.5</v>
      </c>
      <c r="QFL68" s="2555">
        <v>0.5</v>
      </c>
      <c r="QFM68" s="2555">
        <v>0.56000000000000005</v>
      </c>
      <c r="QFN68" s="2555">
        <v>0.34</v>
      </c>
      <c r="QFO68" s="2555"/>
      <c r="QFP68" s="2555">
        <v>0.42</v>
      </c>
      <c r="QFQ68" s="2553">
        <v>2019</v>
      </c>
      <c r="QFR68" s="2554"/>
      <c r="QFS68" s="2555">
        <v>0.5</v>
      </c>
      <c r="QFT68" s="2555">
        <v>0.5</v>
      </c>
      <c r="QFU68" s="2555">
        <v>0.56000000000000005</v>
      </c>
      <c r="QFV68" s="2555">
        <v>0.34</v>
      </c>
      <c r="QFW68" s="2555"/>
      <c r="QFX68" s="2555">
        <v>0.42</v>
      </c>
      <c r="QFY68" s="2553">
        <v>2019</v>
      </c>
      <c r="QFZ68" s="2554"/>
      <c r="QGA68" s="2555">
        <v>0.5</v>
      </c>
      <c r="QGB68" s="2555">
        <v>0.5</v>
      </c>
      <c r="QGC68" s="2555">
        <v>0.56000000000000005</v>
      </c>
      <c r="QGD68" s="2555">
        <v>0.34</v>
      </c>
      <c r="QGE68" s="2555"/>
      <c r="QGF68" s="2555">
        <v>0.42</v>
      </c>
      <c r="QGG68" s="2553">
        <v>2019</v>
      </c>
      <c r="QGH68" s="2554"/>
      <c r="QGI68" s="2555">
        <v>0.5</v>
      </c>
      <c r="QGJ68" s="2555">
        <v>0.5</v>
      </c>
      <c r="QGK68" s="2555">
        <v>0.56000000000000005</v>
      </c>
      <c r="QGL68" s="2555">
        <v>0.34</v>
      </c>
      <c r="QGM68" s="2555"/>
      <c r="QGN68" s="2555">
        <v>0.42</v>
      </c>
      <c r="QGO68" s="2553">
        <v>2019</v>
      </c>
      <c r="QGP68" s="2554"/>
      <c r="QGQ68" s="2555">
        <v>0.5</v>
      </c>
      <c r="QGR68" s="2555">
        <v>0.5</v>
      </c>
      <c r="QGS68" s="2555">
        <v>0.56000000000000005</v>
      </c>
      <c r="QGT68" s="2555">
        <v>0.34</v>
      </c>
      <c r="QGU68" s="2555"/>
      <c r="QGV68" s="2555">
        <v>0.42</v>
      </c>
      <c r="QGW68" s="2553">
        <v>2019</v>
      </c>
      <c r="QGX68" s="2554"/>
      <c r="QGY68" s="2555">
        <v>0.5</v>
      </c>
      <c r="QGZ68" s="2555">
        <v>0.5</v>
      </c>
      <c r="QHA68" s="2555">
        <v>0.56000000000000005</v>
      </c>
      <c r="QHB68" s="2555">
        <v>0.34</v>
      </c>
      <c r="QHC68" s="2555"/>
      <c r="QHD68" s="2555">
        <v>0.42</v>
      </c>
      <c r="QHE68" s="2553">
        <v>2019</v>
      </c>
      <c r="QHF68" s="2554"/>
      <c r="QHG68" s="2555">
        <v>0.5</v>
      </c>
      <c r="QHH68" s="2555">
        <v>0.5</v>
      </c>
      <c r="QHI68" s="2555">
        <v>0.56000000000000005</v>
      </c>
      <c r="QHJ68" s="2555">
        <v>0.34</v>
      </c>
      <c r="QHK68" s="2555"/>
      <c r="QHL68" s="2555">
        <v>0.42</v>
      </c>
      <c r="QHM68" s="2553">
        <v>2019</v>
      </c>
      <c r="QHN68" s="2554"/>
      <c r="QHO68" s="2555">
        <v>0.5</v>
      </c>
      <c r="QHP68" s="2555">
        <v>0.5</v>
      </c>
      <c r="QHQ68" s="2555">
        <v>0.56000000000000005</v>
      </c>
      <c r="QHR68" s="2555">
        <v>0.34</v>
      </c>
      <c r="QHS68" s="2555"/>
      <c r="QHT68" s="2555">
        <v>0.42</v>
      </c>
      <c r="QHU68" s="2553">
        <v>2019</v>
      </c>
      <c r="QHV68" s="2554"/>
      <c r="QHW68" s="2555">
        <v>0.5</v>
      </c>
      <c r="QHX68" s="2555">
        <v>0.5</v>
      </c>
      <c r="QHY68" s="2555">
        <v>0.56000000000000005</v>
      </c>
      <c r="QHZ68" s="2555">
        <v>0.34</v>
      </c>
      <c r="QIA68" s="2555"/>
      <c r="QIB68" s="2555">
        <v>0.42</v>
      </c>
      <c r="QIC68" s="2553">
        <v>2019</v>
      </c>
      <c r="QID68" s="2554"/>
      <c r="QIE68" s="2555">
        <v>0.5</v>
      </c>
      <c r="QIF68" s="2555">
        <v>0.5</v>
      </c>
      <c r="QIG68" s="2555">
        <v>0.56000000000000005</v>
      </c>
      <c r="QIH68" s="2555">
        <v>0.34</v>
      </c>
      <c r="QII68" s="2555"/>
      <c r="QIJ68" s="2555">
        <v>0.42</v>
      </c>
      <c r="QIK68" s="2553">
        <v>2019</v>
      </c>
      <c r="QIL68" s="2554"/>
      <c r="QIM68" s="2555">
        <v>0.5</v>
      </c>
      <c r="QIN68" s="2555">
        <v>0.5</v>
      </c>
      <c r="QIO68" s="2555">
        <v>0.56000000000000005</v>
      </c>
      <c r="QIP68" s="2555">
        <v>0.34</v>
      </c>
      <c r="QIQ68" s="2555"/>
      <c r="QIR68" s="2555">
        <v>0.42</v>
      </c>
      <c r="QIS68" s="2553">
        <v>2019</v>
      </c>
      <c r="QIT68" s="2554"/>
      <c r="QIU68" s="2555">
        <v>0.5</v>
      </c>
      <c r="QIV68" s="2555">
        <v>0.5</v>
      </c>
      <c r="QIW68" s="2555">
        <v>0.56000000000000005</v>
      </c>
      <c r="QIX68" s="2555">
        <v>0.34</v>
      </c>
      <c r="QIY68" s="2555"/>
      <c r="QIZ68" s="2555">
        <v>0.42</v>
      </c>
      <c r="QJA68" s="2553">
        <v>2019</v>
      </c>
      <c r="QJB68" s="2554"/>
      <c r="QJC68" s="2555">
        <v>0.5</v>
      </c>
      <c r="QJD68" s="2555">
        <v>0.5</v>
      </c>
      <c r="QJE68" s="2555">
        <v>0.56000000000000005</v>
      </c>
      <c r="QJF68" s="2555">
        <v>0.34</v>
      </c>
      <c r="QJG68" s="2555"/>
      <c r="QJH68" s="2555">
        <v>0.42</v>
      </c>
      <c r="QJI68" s="2553">
        <v>2019</v>
      </c>
      <c r="QJJ68" s="2554"/>
      <c r="QJK68" s="2555">
        <v>0.5</v>
      </c>
      <c r="QJL68" s="2555">
        <v>0.5</v>
      </c>
      <c r="QJM68" s="2555">
        <v>0.56000000000000005</v>
      </c>
      <c r="QJN68" s="2555">
        <v>0.34</v>
      </c>
      <c r="QJO68" s="2555"/>
      <c r="QJP68" s="2555">
        <v>0.42</v>
      </c>
      <c r="QJQ68" s="2553">
        <v>2019</v>
      </c>
      <c r="QJR68" s="2554"/>
      <c r="QJS68" s="2555">
        <v>0.5</v>
      </c>
      <c r="QJT68" s="2555">
        <v>0.5</v>
      </c>
      <c r="QJU68" s="2555">
        <v>0.56000000000000005</v>
      </c>
      <c r="QJV68" s="2555">
        <v>0.34</v>
      </c>
      <c r="QJW68" s="2555"/>
      <c r="QJX68" s="2555">
        <v>0.42</v>
      </c>
      <c r="QJY68" s="2553">
        <v>2019</v>
      </c>
      <c r="QJZ68" s="2554"/>
      <c r="QKA68" s="2555">
        <v>0.5</v>
      </c>
      <c r="QKB68" s="2555">
        <v>0.5</v>
      </c>
      <c r="QKC68" s="2555">
        <v>0.56000000000000005</v>
      </c>
      <c r="QKD68" s="2555">
        <v>0.34</v>
      </c>
      <c r="QKE68" s="2555"/>
      <c r="QKF68" s="2555">
        <v>0.42</v>
      </c>
      <c r="QKG68" s="2553">
        <v>2019</v>
      </c>
      <c r="QKH68" s="2554"/>
      <c r="QKI68" s="2555">
        <v>0.5</v>
      </c>
      <c r="QKJ68" s="2555">
        <v>0.5</v>
      </c>
      <c r="QKK68" s="2555">
        <v>0.56000000000000005</v>
      </c>
      <c r="QKL68" s="2555">
        <v>0.34</v>
      </c>
      <c r="QKM68" s="2555"/>
      <c r="QKN68" s="2555">
        <v>0.42</v>
      </c>
      <c r="QKO68" s="2553">
        <v>2019</v>
      </c>
      <c r="QKP68" s="2554"/>
      <c r="QKQ68" s="2555">
        <v>0.5</v>
      </c>
      <c r="QKR68" s="2555">
        <v>0.5</v>
      </c>
      <c r="QKS68" s="2555">
        <v>0.56000000000000005</v>
      </c>
      <c r="QKT68" s="2555">
        <v>0.34</v>
      </c>
      <c r="QKU68" s="2555"/>
      <c r="QKV68" s="2555">
        <v>0.42</v>
      </c>
      <c r="QKW68" s="2553">
        <v>2019</v>
      </c>
      <c r="QKX68" s="2554"/>
      <c r="QKY68" s="2555">
        <v>0.5</v>
      </c>
      <c r="QKZ68" s="2555">
        <v>0.5</v>
      </c>
      <c r="QLA68" s="2555">
        <v>0.56000000000000005</v>
      </c>
      <c r="QLB68" s="2555">
        <v>0.34</v>
      </c>
      <c r="QLC68" s="2555"/>
      <c r="QLD68" s="2555">
        <v>0.42</v>
      </c>
      <c r="QLE68" s="2553">
        <v>2019</v>
      </c>
      <c r="QLF68" s="2554"/>
      <c r="QLG68" s="2555">
        <v>0.5</v>
      </c>
      <c r="QLH68" s="2555">
        <v>0.5</v>
      </c>
      <c r="QLI68" s="2555">
        <v>0.56000000000000005</v>
      </c>
      <c r="QLJ68" s="2555">
        <v>0.34</v>
      </c>
      <c r="QLK68" s="2555"/>
      <c r="QLL68" s="2555">
        <v>0.42</v>
      </c>
      <c r="QLM68" s="2553">
        <v>2019</v>
      </c>
      <c r="QLN68" s="2554"/>
      <c r="QLO68" s="2555">
        <v>0.5</v>
      </c>
      <c r="QLP68" s="2555">
        <v>0.5</v>
      </c>
      <c r="QLQ68" s="2555">
        <v>0.56000000000000005</v>
      </c>
      <c r="QLR68" s="2555">
        <v>0.34</v>
      </c>
      <c r="QLS68" s="2555"/>
      <c r="QLT68" s="2555">
        <v>0.42</v>
      </c>
      <c r="QLU68" s="2553">
        <v>2019</v>
      </c>
      <c r="QLV68" s="2554"/>
      <c r="QLW68" s="2555">
        <v>0.5</v>
      </c>
      <c r="QLX68" s="2555">
        <v>0.5</v>
      </c>
      <c r="QLY68" s="2555">
        <v>0.56000000000000005</v>
      </c>
      <c r="QLZ68" s="2555">
        <v>0.34</v>
      </c>
      <c r="QMA68" s="2555"/>
      <c r="QMB68" s="2555">
        <v>0.42</v>
      </c>
      <c r="QMC68" s="2553">
        <v>2019</v>
      </c>
      <c r="QMD68" s="2554"/>
      <c r="QME68" s="2555">
        <v>0.5</v>
      </c>
      <c r="QMF68" s="2555">
        <v>0.5</v>
      </c>
      <c r="QMG68" s="2555">
        <v>0.56000000000000005</v>
      </c>
      <c r="QMH68" s="2555">
        <v>0.34</v>
      </c>
      <c r="QMI68" s="2555"/>
      <c r="QMJ68" s="2555">
        <v>0.42</v>
      </c>
      <c r="QMK68" s="2553">
        <v>2019</v>
      </c>
      <c r="QML68" s="2554"/>
      <c r="QMM68" s="2555">
        <v>0.5</v>
      </c>
      <c r="QMN68" s="2555">
        <v>0.5</v>
      </c>
      <c r="QMO68" s="2555">
        <v>0.56000000000000005</v>
      </c>
      <c r="QMP68" s="2555">
        <v>0.34</v>
      </c>
      <c r="QMQ68" s="2555"/>
      <c r="QMR68" s="2555">
        <v>0.42</v>
      </c>
      <c r="QMS68" s="2553">
        <v>2019</v>
      </c>
      <c r="QMT68" s="2554"/>
      <c r="QMU68" s="2555">
        <v>0.5</v>
      </c>
      <c r="QMV68" s="2555">
        <v>0.5</v>
      </c>
      <c r="QMW68" s="2555">
        <v>0.56000000000000005</v>
      </c>
      <c r="QMX68" s="2555">
        <v>0.34</v>
      </c>
      <c r="QMY68" s="2555"/>
      <c r="QMZ68" s="2555">
        <v>0.42</v>
      </c>
      <c r="QNA68" s="2553">
        <v>2019</v>
      </c>
      <c r="QNB68" s="2554"/>
      <c r="QNC68" s="2555">
        <v>0.5</v>
      </c>
      <c r="QND68" s="2555">
        <v>0.5</v>
      </c>
      <c r="QNE68" s="2555">
        <v>0.56000000000000005</v>
      </c>
      <c r="QNF68" s="2555">
        <v>0.34</v>
      </c>
      <c r="QNG68" s="2555"/>
      <c r="QNH68" s="2555">
        <v>0.42</v>
      </c>
      <c r="QNI68" s="2553">
        <v>2019</v>
      </c>
      <c r="QNJ68" s="2554"/>
      <c r="QNK68" s="2555">
        <v>0.5</v>
      </c>
      <c r="QNL68" s="2555">
        <v>0.5</v>
      </c>
      <c r="QNM68" s="2555">
        <v>0.56000000000000005</v>
      </c>
      <c r="QNN68" s="2555">
        <v>0.34</v>
      </c>
      <c r="QNO68" s="2555"/>
      <c r="QNP68" s="2555">
        <v>0.42</v>
      </c>
      <c r="QNQ68" s="2553">
        <v>2019</v>
      </c>
      <c r="QNR68" s="2554"/>
      <c r="QNS68" s="2555">
        <v>0.5</v>
      </c>
      <c r="QNT68" s="2555">
        <v>0.5</v>
      </c>
      <c r="QNU68" s="2555">
        <v>0.56000000000000005</v>
      </c>
      <c r="QNV68" s="2555">
        <v>0.34</v>
      </c>
      <c r="QNW68" s="2555"/>
      <c r="QNX68" s="2555">
        <v>0.42</v>
      </c>
      <c r="QNY68" s="2553">
        <v>2019</v>
      </c>
      <c r="QNZ68" s="2554"/>
      <c r="QOA68" s="2555">
        <v>0.5</v>
      </c>
      <c r="QOB68" s="2555">
        <v>0.5</v>
      </c>
      <c r="QOC68" s="2555">
        <v>0.56000000000000005</v>
      </c>
      <c r="QOD68" s="2555">
        <v>0.34</v>
      </c>
      <c r="QOE68" s="2555"/>
      <c r="QOF68" s="2555">
        <v>0.42</v>
      </c>
      <c r="QOG68" s="2553">
        <v>2019</v>
      </c>
      <c r="QOH68" s="2554"/>
      <c r="QOI68" s="2555">
        <v>0.5</v>
      </c>
      <c r="QOJ68" s="2555">
        <v>0.5</v>
      </c>
      <c r="QOK68" s="2555">
        <v>0.56000000000000005</v>
      </c>
      <c r="QOL68" s="2555">
        <v>0.34</v>
      </c>
      <c r="QOM68" s="2555"/>
      <c r="QON68" s="2555">
        <v>0.42</v>
      </c>
      <c r="QOO68" s="2553">
        <v>2019</v>
      </c>
      <c r="QOP68" s="2554"/>
      <c r="QOQ68" s="2555">
        <v>0.5</v>
      </c>
      <c r="QOR68" s="2555">
        <v>0.5</v>
      </c>
      <c r="QOS68" s="2555">
        <v>0.56000000000000005</v>
      </c>
      <c r="QOT68" s="2555">
        <v>0.34</v>
      </c>
      <c r="QOU68" s="2555"/>
      <c r="QOV68" s="2555">
        <v>0.42</v>
      </c>
      <c r="QOW68" s="2553">
        <v>2019</v>
      </c>
      <c r="QOX68" s="2554"/>
      <c r="QOY68" s="2555">
        <v>0.5</v>
      </c>
      <c r="QOZ68" s="2555">
        <v>0.5</v>
      </c>
      <c r="QPA68" s="2555">
        <v>0.56000000000000005</v>
      </c>
      <c r="QPB68" s="2555">
        <v>0.34</v>
      </c>
      <c r="QPC68" s="2555"/>
      <c r="QPD68" s="2555">
        <v>0.42</v>
      </c>
      <c r="QPE68" s="2553">
        <v>2019</v>
      </c>
      <c r="QPF68" s="2554"/>
      <c r="QPG68" s="2555">
        <v>0.5</v>
      </c>
      <c r="QPH68" s="2555">
        <v>0.5</v>
      </c>
      <c r="QPI68" s="2555">
        <v>0.56000000000000005</v>
      </c>
      <c r="QPJ68" s="2555">
        <v>0.34</v>
      </c>
      <c r="QPK68" s="2555"/>
      <c r="QPL68" s="2555">
        <v>0.42</v>
      </c>
      <c r="QPM68" s="2553">
        <v>2019</v>
      </c>
      <c r="QPN68" s="2554"/>
      <c r="QPO68" s="2555">
        <v>0.5</v>
      </c>
      <c r="QPP68" s="2555">
        <v>0.5</v>
      </c>
      <c r="QPQ68" s="2555">
        <v>0.56000000000000005</v>
      </c>
      <c r="QPR68" s="2555">
        <v>0.34</v>
      </c>
      <c r="QPS68" s="2555"/>
      <c r="QPT68" s="2555">
        <v>0.42</v>
      </c>
      <c r="QPU68" s="2553">
        <v>2019</v>
      </c>
      <c r="QPV68" s="2554"/>
      <c r="QPW68" s="2555">
        <v>0.5</v>
      </c>
      <c r="QPX68" s="2555">
        <v>0.5</v>
      </c>
      <c r="QPY68" s="2555">
        <v>0.56000000000000005</v>
      </c>
      <c r="QPZ68" s="2555">
        <v>0.34</v>
      </c>
      <c r="QQA68" s="2555"/>
      <c r="QQB68" s="2555">
        <v>0.42</v>
      </c>
      <c r="QQC68" s="2553">
        <v>2019</v>
      </c>
      <c r="QQD68" s="2554"/>
      <c r="QQE68" s="2555">
        <v>0.5</v>
      </c>
      <c r="QQF68" s="2555">
        <v>0.5</v>
      </c>
      <c r="QQG68" s="2555">
        <v>0.56000000000000005</v>
      </c>
      <c r="QQH68" s="2555">
        <v>0.34</v>
      </c>
      <c r="QQI68" s="2555"/>
      <c r="QQJ68" s="2555">
        <v>0.42</v>
      </c>
      <c r="QQK68" s="2553">
        <v>2019</v>
      </c>
      <c r="QQL68" s="2554"/>
      <c r="QQM68" s="2555">
        <v>0.5</v>
      </c>
      <c r="QQN68" s="2555">
        <v>0.5</v>
      </c>
      <c r="QQO68" s="2555">
        <v>0.56000000000000005</v>
      </c>
      <c r="QQP68" s="2555">
        <v>0.34</v>
      </c>
      <c r="QQQ68" s="2555"/>
      <c r="QQR68" s="2555">
        <v>0.42</v>
      </c>
      <c r="QQS68" s="2553">
        <v>2019</v>
      </c>
      <c r="QQT68" s="2554"/>
      <c r="QQU68" s="2555">
        <v>0.5</v>
      </c>
      <c r="QQV68" s="2555">
        <v>0.5</v>
      </c>
      <c r="QQW68" s="2555">
        <v>0.56000000000000005</v>
      </c>
      <c r="QQX68" s="2555">
        <v>0.34</v>
      </c>
      <c r="QQY68" s="2555"/>
      <c r="QQZ68" s="2555">
        <v>0.42</v>
      </c>
      <c r="QRA68" s="2553">
        <v>2019</v>
      </c>
      <c r="QRB68" s="2554"/>
      <c r="QRC68" s="2555">
        <v>0.5</v>
      </c>
      <c r="QRD68" s="2555">
        <v>0.5</v>
      </c>
      <c r="QRE68" s="2555">
        <v>0.56000000000000005</v>
      </c>
      <c r="QRF68" s="2555">
        <v>0.34</v>
      </c>
      <c r="QRG68" s="2555"/>
      <c r="QRH68" s="2555">
        <v>0.42</v>
      </c>
      <c r="QRI68" s="2553">
        <v>2019</v>
      </c>
      <c r="QRJ68" s="2554"/>
      <c r="QRK68" s="2555">
        <v>0.5</v>
      </c>
      <c r="QRL68" s="2555">
        <v>0.5</v>
      </c>
      <c r="QRM68" s="2555">
        <v>0.56000000000000005</v>
      </c>
      <c r="QRN68" s="2555">
        <v>0.34</v>
      </c>
      <c r="QRO68" s="2555"/>
      <c r="QRP68" s="2555">
        <v>0.42</v>
      </c>
      <c r="QRQ68" s="2553">
        <v>2019</v>
      </c>
      <c r="QRR68" s="2554"/>
      <c r="QRS68" s="2555">
        <v>0.5</v>
      </c>
      <c r="QRT68" s="2555">
        <v>0.5</v>
      </c>
      <c r="QRU68" s="2555">
        <v>0.56000000000000005</v>
      </c>
      <c r="QRV68" s="2555">
        <v>0.34</v>
      </c>
      <c r="QRW68" s="2555"/>
      <c r="QRX68" s="2555">
        <v>0.42</v>
      </c>
      <c r="QRY68" s="2553">
        <v>2019</v>
      </c>
      <c r="QRZ68" s="2554"/>
      <c r="QSA68" s="2555">
        <v>0.5</v>
      </c>
      <c r="QSB68" s="2555">
        <v>0.5</v>
      </c>
      <c r="QSC68" s="2555">
        <v>0.56000000000000005</v>
      </c>
      <c r="QSD68" s="2555">
        <v>0.34</v>
      </c>
      <c r="QSE68" s="2555"/>
      <c r="QSF68" s="2555">
        <v>0.42</v>
      </c>
      <c r="QSG68" s="2553">
        <v>2019</v>
      </c>
      <c r="QSH68" s="2554"/>
      <c r="QSI68" s="2555">
        <v>0.5</v>
      </c>
      <c r="QSJ68" s="2555">
        <v>0.5</v>
      </c>
      <c r="QSK68" s="2555">
        <v>0.56000000000000005</v>
      </c>
      <c r="QSL68" s="2555">
        <v>0.34</v>
      </c>
      <c r="QSM68" s="2555"/>
      <c r="QSN68" s="2555">
        <v>0.42</v>
      </c>
      <c r="QSO68" s="2553">
        <v>2019</v>
      </c>
      <c r="QSP68" s="2554"/>
      <c r="QSQ68" s="2555">
        <v>0.5</v>
      </c>
      <c r="QSR68" s="2555">
        <v>0.5</v>
      </c>
      <c r="QSS68" s="2555">
        <v>0.56000000000000005</v>
      </c>
      <c r="QST68" s="2555">
        <v>0.34</v>
      </c>
      <c r="QSU68" s="2555"/>
      <c r="QSV68" s="2555">
        <v>0.42</v>
      </c>
      <c r="QSW68" s="2553">
        <v>2019</v>
      </c>
      <c r="QSX68" s="2554"/>
      <c r="QSY68" s="2555">
        <v>0.5</v>
      </c>
      <c r="QSZ68" s="2555">
        <v>0.5</v>
      </c>
      <c r="QTA68" s="2555">
        <v>0.56000000000000005</v>
      </c>
      <c r="QTB68" s="2555">
        <v>0.34</v>
      </c>
      <c r="QTC68" s="2555"/>
      <c r="QTD68" s="2555">
        <v>0.42</v>
      </c>
      <c r="QTE68" s="2553">
        <v>2019</v>
      </c>
      <c r="QTF68" s="2554"/>
      <c r="QTG68" s="2555">
        <v>0.5</v>
      </c>
      <c r="QTH68" s="2555">
        <v>0.5</v>
      </c>
      <c r="QTI68" s="2555">
        <v>0.56000000000000005</v>
      </c>
      <c r="QTJ68" s="2555">
        <v>0.34</v>
      </c>
      <c r="QTK68" s="2555"/>
      <c r="QTL68" s="2555">
        <v>0.42</v>
      </c>
      <c r="QTM68" s="2553">
        <v>2019</v>
      </c>
      <c r="QTN68" s="2554"/>
      <c r="QTO68" s="2555">
        <v>0.5</v>
      </c>
      <c r="QTP68" s="2555">
        <v>0.5</v>
      </c>
      <c r="QTQ68" s="2555">
        <v>0.56000000000000005</v>
      </c>
      <c r="QTR68" s="2555">
        <v>0.34</v>
      </c>
      <c r="QTS68" s="2555"/>
      <c r="QTT68" s="2555">
        <v>0.42</v>
      </c>
      <c r="QTU68" s="2553">
        <v>2019</v>
      </c>
      <c r="QTV68" s="2554"/>
      <c r="QTW68" s="2555">
        <v>0.5</v>
      </c>
      <c r="QTX68" s="2555">
        <v>0.5</v>
      </c>
      <c r="QTY68" s="2555">
        <v>0.56000000000000005</v>
      </c>
      <c r="QTZ68" s="2555">
        <v>0.34</v>
      </c>
      <c r="QUA68" s="2555"/>
      <c r="QUB68" s="2555">
        <v>0.42</v>
      </c>
      <c r="QUC68" s="2553">
        <v>2019</v>
      </c>
      <c r="QUD68" s="2554"/>
      <c r="QUE68" s="2555">
        <v>0.5</v>
      </c>
      <c r="QUF68" s="2555">
        <v>0.5</v>
      </c>
      <c r="QUG68" s="2555">
        <v>0.56000000000000005</v>
      </c>
      <c r="QUH68" s="2555">
        <v>0.34</v>
      </c>
      <c r="QUI68" s="2555"/>
      <c r="QUJ68" s="2555">
        <v>0.42</v>
      </c>
      <c r="QUK68" s="2553">
        <v>2019</v>
      </c>
      <c r="QUL68" s="2554"/>
      <c r="QUM68" s="2555">
        <v>0.5</v>
      </c>
      <c r="QUN68" s="2555">
        <v>0.5</v>
      </c>
      <c r="QUO68" s="2555">
        <v>0.56000000000000005</v>
      </c>
      <c r="QUP68" s="2555">
        <v>0.34</v>
      </c>
      <c r="QUQ68" s="2555"/>
      <c r="QUR68" s="2555">
        <v>0.42</v>
      </c>
      <c r="QUS68" s="2553">
        <v>2019</v>
      </c>
      <c r="QUT68" s="2554"/>
      <c r="QUU68" s="2555">
        <v>0.5</v>
      </c>
      <c r="QUV68" s="2555">
        <v>0.5</v>
      </c>
      <c r="QUW68" s="2555">
        <v>0.56000000000000005</v>
      </c>
      <c r="QUX68" s="2555">
        <v>0.34</v>
      </c>
      <c r="QUY68" s="2555"/>
      <c r="QUZ68" s="2555">
        <v>0.42</v>
      </c>
      <c r="QVA68" s="2553">
        <v>2019</v>
      </c>
      <c r="QVB68" s="2554"/>
      <c r="QVC68" s="2555">
        <v>0.5</v>
      </c>
      <c r="QVD68" s="2555">
        <v>0.5</v>
      </c>
      <c r="QVE68" s="2555">
        <v>0.56000000000000005</v>
      </c>
      <c r="QVF68" s="2555">
        <v>0.34</v>
      </c>
      <c r="QVG68" s="2555"/>
      <c r="QVH68" s="2555">
        <v>0.42</v>
      </c>
      <c r="QVI68" s="2553">
        <v>2019</v>
      </c>
      <c r="QVJ68" s="2554"/>
      <c r="QVK68" s="2555">
        <v>0.5</v>
      </c>
      <c r="QVL68" s="2555">
        <v>0.5</v>
      </c>
      <c r="QVM68" s="2555">
        <v>0.56000000000000005</v>
      </c>
      <c r="QVN68" s="2555">
        <v>0.34</v>
      </c>
      <c r="QVO68" s="2555"/>
      <c r="QVP68" s="2555">
        <v>0.42</v>
      </c>
      <c r="QVQ68" s="2553">
        <v>2019</v>
      </c>
      <c r="QVR68" s="2554"/>
      <c r="QVS68" s="2555">
        <v>0.5</v>
      </c>
      <c r="QVT68" s="2555">
        <v>0.5</v>
      </c>
      <c r="QVU68" s="2555">
        <v>0.56000000000000005</v>
      </c>
      <c r="QVV68" s="2555">
        <v>0.34</v>
      </c>
      <c r="QVW68" s="2555"/>
      <c r="QVX68" s="2555">
        <v>0.42</v>
      </c>
      <c r="QVY68" s="2553">
        <v>2019</v>
      </c>
      <c r="QVZ68" s="2554"/>
      <c r="QWA68" s="2555">
        <v>0.5</v>
      </c>
      <c r="QWB68" s="2555">
        <v>0.5</v>
      </c>
      <c r="QWC68" s="2555">
        <v>0.56000000000000005</v>
      </c>
      <c r="QWD68" s="2555">
        <v>0.34</v>
      </c>
      <c r="QWE68" s="2555"/>
      <c r="QWF68" s="2555">
        <v>0.42</v>
      </c>
      <c r="QWG68" s="2553">
        <v>2019</v>
      </c>
      <c r="QWH68" s="2554"/>
      <c r="QWI68" s="2555">
        <v>0.5</v>
      </c>
      <c r="QWJ68" s="2555">
        <v>0.5</v>
      </c>
      <c r="QWK68" s="2555">
        <v>0.56000000000000005</v>
      </c>
      <c r="QWL68" s="2555">
        <v>0.34</v>
      </c>
      <c r="QWM68" s="2555"/>
      <c r="QWN68" s="2555">
        <v>0.42</v>
      </c>
      <c r="QWO68" s="2553">
        <v>2019</v>
      </c>
      <c r="QWP68" s="2554"/>
      <c r="QWQ68" s="2555">
        <v>0.5</v>
      </c>
      <c r="QWR68" s="2555">
        <v>0.5</v>
      </c>
      <c r="QWS68" s="2555">
        <v>0.56000000000000005</v>
      </c>
      <c r="QWT68" s="2555">
        <v>0.34</v>
      </c>
      <c r="QWU68" s="2555"/>
      <c r="QWV68" s="2555">
        <v>0.42</v>
      </c>
      <c r="QWW68" s="2553">
        <v>2019</v>
      </c>
      <c r="QWX68" s="2554"/>
      <c r="QWY68" s="2555">
        <v>0.5</v>
      </c>
      <c r="QWZ68" s="2555">
        <v>0.5</v>
      </c>
      <c r="QXA68" s="2555">
        <v>0.56000000000000005</v>
      </c>
      <c r="QXB68" s="2555">
        <v>0.34</v>
      </c>
      <c r="QXC68" s="2555"/>
      <c r="QXD68" s="2555">
        <v>0.42</v>
      </c>
      <c r="QXE68" s="2553">
        <v>2019</v>
      </c>
      <c r="QXF68" s="2554"/>
      <c r="QXG68" s="2555">
        <v>0.5</v>
      </c>
      <c r="QXH68" s="2555">
        <v>0.5</v>
      </c>
      <c r="QXI68" s="2555">
        <v>0.56000000000000005</v>
      </c>
      <c r="QXJ68" s="2555">
        <v>0.34</v>
      </c>
      <c r="QXK68" s="2555"/>
      <c r="QXL68" s="2555">
        <v>0.42</v>
      </c>
      <c r="QXM68" s="2553">
        <v>2019</v>
      </c>
      <c r="QXN68" s="2554"/>
      <c r="QXO68" s="2555">
        <v>0.5</v>
      </c>
      <c r="QXP68" s="2555">
        <v>0.5</v>
      </c>
      <c r="QXQ68" s="2555">
        <v>0.56000000000000005</v>
      </c>
      <c r="QXR68" s="2555">
        <v>0.34</v>
      </c>
      <c r="QXS68" s="2555"/>
      <c r="QXT68" s="2555">
        <v>0.42</v>
      </c>
      <c r="QXU68" s="2553">
        <v>2019</v>
      </c>
      <c r="QXV68" s="2554"/>
      <c r="QXW68" s="2555">
        <v>0.5</v>
      </c>
      <c r="QXX68" s="2555">
        <v>0.5</v>
      </c>
      <c r="QXY68" s="2555">
        <v>0.56000000000000005</v>
      </c>
      <c r="QXZ68" s="2555">
        <v>0.34</v>
      </c>
      <c r="QYA68" s="2555"/>
      <c r="QYB68" s="2555">
        <v>0.42</v>
      </c>
      <c r="QYC68" s="2553">
        <v>2019</v>
      </c>
      <c r="QYD68" s="2554"/>
      <c r="QYE68" s="2555">
        <v>0.5</v>
      </c>
      <c r="QYF68" s="2555">
        <v>0.5</v>
      </c>
      <c r="QYG68" s="2555">
        <v>0.56000000000000005</v>
      </c>
      <c r="QYH68" s="2555">
        <v>0.34</v>
      </c>
      <c r="QYI68" s="2555"/>
      <c r="QYJ68" s="2555">
        <v>0.42</v>
      </c>
      <c r="QYK68" s="2553">
        <v>2019</v>
      </c>
      <c r="QYL68" s="2554"/>
      <c r="QYM68" s="2555">
        <v>0.5</v>
      </c>
      <c r="QYN68" s="2555">
        <v>0.5</v>
      </c>
      <c r="QYO68" s="2555">
        <v>0.56000000000000005</v>
      </c>
      <c r="QYP68" s="2555">
        <v>0.34</v>
      </c>
      <c r="QYQ68" s="2555"/>
      <c r="QYR68" s="2555">
        <v>0.42</v>
      </c>
      <c r="QYS68" s="2553">
        <v>2019</v>
      </c>
      <c r="QYT68" s="2554"/>
      <c r="QYU68" s="2555">
        <v>0.5</v>
      </c>
      <c r="QYV68" s="2555">
        <v>0.5</v>
      </c>
      <c r="QYW68" s="2555">
        <v>0.56000000000000005</v>
      </c>
      <c r="QYX68" s="2555">
        <v>0.34</v>
      </c>
      <c r="QYY68" s="2555"/>
      <c r="QYZ68" s="2555">
        <v>0.42</v>
      </c>
      <c r="QZA68" s="2553">
        <v>2019</v>
      </c>
      <c r="QZB68" s="2554"/>
      <c r="QZC68" s="2555">
        <v>0.5</v>
      </c>
      <c r="QZD68" s="2555">
        <v>0.5</v>
      </c>
      <c r="QZE68" s="2555">
        <v>0.56000000000000005</v>
      </c>
      <c r="QZF68" s="2555">
        <v>0.34</v>
      </c>
      <c r="QZG68" s="2555"/>
      <c r="QZH68" s="2555">
        <v>0.42</v>
      </c>
      <c r="QZI68" s="2553">
        <v>2019</v>
      </c>
      <c r="QZJ68" s="2554"/>
      <c r="QZK68" s="2555">
        <v>0.5</v>
      </c>
      <c r="QZL68" s="2555">
        <v>0.5</v>
      </c>
      <c r="QZM68" s="2555">
        <v>0.56000000000000005</v>
      </c>
      <c r="QZN68" s="2555">
        <v>0.34</v>
      </c>
      <c r="QZO68" s="2555"/>
      <c r="QZP68" s="2555">
        <v>0.42</v>
      </c>
      <c r="QZQ68" s="2553">
        <v>2019</v>
      </c>
      <c r="QZR68" s="2554"/>
      <c r="QZS68" s="2555">
        <v>0.5</v>
      </c>
      <c r="QZT68" s="2555">
        <v>0.5</v>
      </c>
      <c r="QZU68" s="2555">
        <v>0.56000000000000005</v>
      </c>
      <c r="QZV68" s="2555">
        <v>0.34</v>
      </c>
      <c r="QZW68" s="2555"/>
      <c r="QZX68" s="2555">
        <v>0.42</v>
      </c>
      <c r="QZY68" s="2553">
        <v>2019</v>
      </c>
      <c r="QZZ68" s="2554"/>
      <c r="RAA68" s="2555">
        <v>0.5</v>
      </c>
      <c r="RAB68" s="2555">
        <v>0.5</v>
      </c>
      <c r="RAC68" s="2555">
        <v>0.56000000000000005</v>
      </c>
      <c r="RAD68" s="2555">
        <v>0.34</v>
      </c>
      <c r="RAE68" s="2555"/>
      <c r="RAF68" s="2555">
        <v>0.42</v>
      </c>
      <c r="RAG68" s="2553">
        <v>2019</v>
      </c>
      <c r="RAH68" s="2554"/>
      <c r="RAI68" s="2555">
        <v>0.5</v>
      </c>
      <c r="RAJ68" s="2555">
        <v>0.5</v>
      </c>
      <c r="RAK68" s="2555">
        <v>0.56000000000000005</v>
      </c>
      <c r="RAL68" s="2555">
        <v>0.34</v>
      </c>
      <c r="RAM68" s="2555"/>
      <c r="RAN68" s="2555">
        <v>0.42</v>
      </c>
      <c r="RAO68" s="2553">
        <v>2019</v>
      </c>
      <c r="RAP68" s="2554"/>
      <c r="RAQ68" s="2555">
        <v>0.5</v>
      </c>
      <c r="RAR68" s="2555">
        <v>0.5</v>
      </c>
      <c r="RAS68" s="2555">
        <v>0.56000000000000005</v>
      </c>
      <c r="RAT68" s="2555">
        <v>0.34</v>
      </c>
      <c r="RAU68" s="2555"/>
      <c r="RAV68" s="2555">
        <v>0.42</v>
      </c>
      <c r="RAW68" s="2553">
        <v>2019</v>
      </c>
      <c r="RAX68" s="2554"/>
      <c r="RAY68" s="2555">
        <v>0.5</v>
      </c>
      <c r="RAZ68" s="2555">
        <v>0.5</v>
      </c>
      <c r="RBA68" s="2555">
        <v>0.56000000000000005</v>
      </c>
      <c r="RBB68" s="2555">
        <v>0.34</v>
      </c>
      <c r="RBC68" s="2555"/>
      <c r="RBD68" s="2555">
        <v>0.42</v>
      </c>
      <c r="RBE68" s="2553">
        <v>2019</v>
      </c>
      <c r="RBF68" s="2554"/>
      <c r="RBG68" s="2555">
        <v>0.5</v>
      </c>
      <c r="RBH68" s="2555">
        <v>0.5</v>
      </c>
      <c r="RBI68" s="2555">
        <v>0.56000000000000005</v>
      </c>
      <c r="RBJ68" s="2555">
        <v>0.34</v>
      </c>
      <c r="RBK68" s="2555"/>
      <c r="RBL68" s="2555">
        <v>0.42</v>
      </c>
      <c r="RBM68" s="2553">
        <v>2019</v>
      </c>
      <c r="RBN68" s="2554"/>
      <c r="RBO68" s="2555">
        <v>0.5</v>
      </c>
      <c r="RBP68" s="2555">
        <v>0.5</v>
      </c>
      <c r="RBQ68" s="2555">
        <v>0.56000000000000005</v>
      </c>
      <c r="RBR68" s="2555">
        <v>0.34</v>
      </c>
      <c r="RBS68" s="2555"/>
      <c r="RBT68" s="2555">
        <v>0.42</v>
      </c>
      <c r="RBU68" s="2553">
        <v>2019</v>
      </c>
      <c r="RBV68" s="2554"/>
      <c r="RBW68" s="2555">
        <v>0.5</v>
      </c>
      <c r="RBX68" s="2555">
        <v>0.5</v>
      </c>
      <c r="RBY68" s="2555">
        <v>0.56000000000000005</v>
      </c>
      <c r="RBZ68" s="2555">
        <v>0.34</v>
      </c>
      <c r="RCA68" s="2555"/>
      <c r="RCB68" s="2555">
        <v>0.42</v>
      </c>
      <c r="RCC68" s="2553">
        <v>2019</v>
      </c>
      <c r="RCD68" s="2554"/>
      <c r="RCE68" s="2555">
        <v>0.5</v>
      </c>
      <c r="RCF68" s="2555">
        <v>0.5</v>
      </c>
      <c r="RCG68" s="2555">
        <v>0.56000000000000005</v>
      </c>
      <c r="RCH68" s="2555">
        <v>0.34</v>
      </c>
      <c r="RCI68" s="2555"/>
      <c r="RCJ68" s="2555">
        <v>0.42</v>
      </c>
      <c r="RCK68" s="2553">
        <v>2019</v>
      </c>
      <c r="RCL68" s="2554"/>
      <c r="RCM68" s="2555">
        <v>0.5</v>
      </c>
      <c r="RCN68" s="2555">
        <v>0.5</v>
      </c>
      <c r="RCO68" s="2555">
        <v>0.56000000000000005</v>
      </c>
      <c r="RCP68" s="2555">
        <v>0.34</v>
      </c>
      <c r="RCQ68" s="2555"/>
      <c r="RCR68" s="2555">
        <v>0.42</v>
      </c>
      <c r="RCS68" s="2553">
        <v>2019</v>
      </c>
      <c r="RCT68" s="2554"/>
      <c r="RCU68" s="2555">
        <v>0.5</v>
      </c>
      <c r="RCV68" s="2555">
        <v>0.5</v>
      </c>
      <c r="RCW68" s="2555">
        <v>0.56000000000000005</v>
      </c>
      <c r="RCX68" s="2555">
        <v>0.34</v>
      </c>
      <c r="RCY68" s="2555"/>
      <c r="RCZ68" s="2555">
        <v>0.42</v>
      </c>
      <c r="RDA68" s="2553">
        <v>2019</v>
      </c>
      <c r="RDB68" s="2554"/>
      <c r="RDC68" s="2555">
        <v>0.5</v>
      </c>
      <c r="RDD68" s="2555">
        <v>0.5</v>
      </c>
      <c r="RDE68" s="2555">
        <v>0.56000000000000005</v>
      </c>
      <c r="RDF68" s="2555">
        <v>0.34</v>
      </c>
      <c r="RDG68" s="2555"/>
      <c r="RDH68" s="2555">
        <v>0.42</v>
      </c>
      <c r="RDI68" s="2553">
        <v>2019</v>
      </c>
      <c r="RDJ68" s="2554"/>
      <c r="RDK68" s="2555">
        <v>0.5</v>
      </c>
      <c r="RDL68" s="2555">
        <v>0.5</v>
      </c>
      <c r="RDM68" s="2555">
        <v>0.56000000000000005</v>
      </c>
      <c r="RDN68" s="2555">
        <v>0.34</v>
      </c>
      <c r="RDO68" s="2555"/>
      <c r="RDP68" s="2555">
        <v>0.42</v>
      </c>
      <c r="RDQ68" s="2553">
        <v>2019</v>
      </c>
      <c r="RDR68" s="2554"/>
      <c r="RDS68" s="2555">
        <v>0.5</v>
      </c>
      <c r="RDT68" s="2555">
        <v>0.5</v>
      </c>
      <c r="RDU68" s="2555">
        <v>0.56000000000000005</v>
      </c>
      <c r="RDV68" s="2555">
        <v>0.34</v>
      </c>
      <c r="RDW68" s="2555"/>
      <c r="RDX68" s="2555">
        <v>0.42</v>
      </c>
      <c r="RDY68" s="2553">
        <v>2019</v>
      </c>
      <c r="RDZ68" s="2554"/>
      <c r="REA68" s="2555">
        <v>0.5</v>
      </c>
      <c r="REB68" s="2555">
        <v>0.5</v>
      </c>
      <c r="REC68" s="2555">
        <v>0.56000000000000005</v>
      </c>
      <c r="RED68" s="2555">
        <v>0.34</v>
      </c>
      <c r="REE68" s="2555"/>
      <c r="REF68" s="2555">
        <v>0.42</v>
      </c>
      <c r="REG68" s="2553">
        <v>2019</v>
      </c>
      <c r="REH68" s="2554"/>
      <c r="REI68" s="2555">
        <v>0.5</v>
      </c>
      <c r="REJ68" s="2555">
        <v>0.5</v>
      </c>
      <c r="REK68" s="2555">
        <v>0.56000000000000005</v>
      </c>
      <c r="REL68" s="2555">
        <v>0.34</v>
      </c>
      <c r="REM68" s="2555"/>
      <c r="REN68" s="2555">
        <v>0.42</v>
      </c>
      <c r="REO68" s="2553">
        <v>2019</v>
      </c>
      <c r="REP68" s="2554"/>
      <c r="REQ68" s="2555">
        <v>0.5</v>
      </c>
      <c r="RER68" s="2555">
        <v>0.5</v>
      </c>
      <c r="RES68" s="2555">
        <v>0.56000000000000005</v>
      </c>
      <c r="RET68" s="2555">
        <v>0.34</v>
      </c>
      <c r="REU68" s="2555"/>
      <c r="REV68" s="2555">
        <v>0.42</v>
      </c>
      <c r="REW68" s="2553">
        <v>2019</v>
      </c>
      <c r="REX68" s="2554"/>
      <c r="REY68" s="2555">
        <v>0.5</v>
      </c>
      <c r="REZ68" s="2555">
        <v>0.5</v>
      </c>
      <c r="RFA68" s="2555">
        <v>0.56000000000000005</v>
      </c>
      <c r="RFB68" s="2555">
        <v>0.34</v>
      </c>
      <c r="RFC68" s="2555"/>
      <c r="RFD68" s="2555">
        <v>0.42</v>
      </c>
      <c r="RFE68" s="2553">
        <v>2019</v>
      </c>
      <c r="RFF68" s="2554"/>
      <c r="RFG68" s="2555">
        <v>0.5</v>
      </c>
      <c r="RFH68" s="2555">
        <v>0.5</v>
      </c>
      <c r="RFI68" s="2555">
        <v>0.56000000000000005</v>
      </c>
      <c r="RFJ68" s="2555">
        <v>0.34</v>
      </c>
      <c r="RFK68" s="2555"/>
      <c r="RFL68" s="2555">
        <v>0.42</v>
      </c>
      <c r="RFM68" s="2553">
        <v>2019</v>
      </c>
      <c r="RFN68" s="2554"/>
      <c r="RFO68" s="2555">
        <v>0.5</v>
      </c>
      <c r="RFP68" s="2555">
        <v>0.5</v>
      </c>
      <c r="RFQ68" s="2555">
        <v>0.56000000000000005</v>
      </c>
      <c r="RFR68" s="2555">
        <v>0.34</v>
      </c>
      <c r="RFS68" s="2555"/>
      <c r="RFT68" s="2555">
        <v>0.42</v>
      </c>
      <c r="RFU68" s="2553">
        <v>2019</v>
      </c>
      <c r="RFV68" s="2554"/>
      <c r="RFW68" s="2555">
        <v>0.5</v>
      </c>
      <c r="RFX68" s="2555">
        <v>0.5</v>
      </c>
      <c r="RFY68" s="2555">
        <v>0.56000000000000005</v>
      </c>
      <c r="RFZ68" s="2555">
        <v>0.34</v>
      </c>
      <c r="RGA68" s="2555"/>
      <c r="RGB68" s="2555">
        <v>0.42</v>
      </c>
      <c r="RGC68" s="2553">
        <v>2019</v>
      </c>
      <c r="RGD68" s="2554"/>
      <c r="RGE68" s="2555">
        <v>0.5</v>
      </c>
      <c r="RGF68" s="2555">
        <v>0.5</v>
      </c>
      <c r="RGG68" s="2555">
        <v>0.56000000000000005</v>
      </c>
      <c r="RGH68" s="2555">
        <v>0.34</v>
      </c>
      <c r="RGI68" s="2555"/>
      <c r="RGJ68" s="2555">
        <v>0.42</v>
      </c>
      <c r="RGK68" s="2553">
        <v>2019</v>
      </c>
      <c r="RGL68" s="2554"/>
      <c r="RGM68" s="2555">
        <v>0.5</v>
      </c>
      <c r="RGN68" s="2555">
        <v>0.5</v>
      </c>
      <c r="RGO68" s="2555">
        <v>0.56000000000000005</v>
      </c>
      <c r="RGP68" s="2555">
        <v>0.34</v>
      </c>
      <c r="RGQ68" s="2555"/>
      <c r="RGR68" s="2555">
        <v>0.42</v>
      </c>
      <c r="RGS68" s="2553">
        <v>2019</v>
      </c>
      <c r="RGT68" s="2554"/>
      <c r="RGU68" s="2555">
        <v>0.5</v>
      </c>
      <c r="RGV68" s="2555">
        <v>0.5</v>
      </c>
      <c r="RGW68" s="2555">
        <v>0.56000000000000005</v>
      </c>
      <c r="RGX68" s="2555">
        <v>0.34</v>
      </c>
      <c r="RGY68" s="2555"/>
      <c r="RGZ68" s="2555">
        <v>0.42</v>
      </c>
      <c r="RHA68" s="2553">
        <v>2019</v>
      </c>
      <c r="RHB68" s="2554"/>
      <c r="RHC68" s="2555">
        <v>0.5</v>
      </c>
      <c r="RHD68" s="2555">
        <v>0.5</v>
      </c>
      <c r="RHE68" s="2555">
        <v>0.56000000000000005</v>
      </c>
      <c r="RHF68" s="2555">
        <v>0.34</v>
      </c>
      <c r="RHG68" s="2555"/>
      <c r="RHH68" s="2555">
        <v>0.42</v>
      </c>
      <c r="RHI68" s="2553">
        <v>2019</v>
      </c>
      <c r="RHJ68" s="2554"/>
      <c r="RHK68" s="2555">
        <v>0.5</v>
      </c>
      <c r="RHL68" s="2555">
        <v>0.5</v>
      </c>
      <c r="RHM68" s="2555">
        <v>0.56000000000000005</v>
      </c>
      <c r="RHN68" s="2555">
        <v>0.34</v>
      </c>
      <c r="RHO68" s="2555"/>
      <c r="RHP68" s="2555">
        <v>0.42</v>
      </c>
      <c r="RHQ68" s="2553">
        <v>2019</v>
      </c>
      <c r="RHR68" s="2554"/>
      <c r="RHS68" s="2555">
        <v>0.5</v>
      </c>
      <c r="RHT68" s="2555">
        <v>0.5</v>
      </c>
      <c r="RHU68" s="2555">
        <v>0.56000000000000005</v>
      </c>
      <c r="RHV68" s="2555">
        <v>0.34</v>
      </c>
      <c r="RHW68" s="2555"/>
      <c r="RHX68" s="2555">
        <v>0.42</v>
      </c>
      <c r="RHY68" s="2553">
        <v>2019</v>
      </c>
      <c r="RHZ68" s="2554"/>
      <c r="RIA68" s="2555">
        <v>0.5</v>
      </c>
      <c r="RIB68" s="2555">
        <v>0.5</v>
      </c>
      <c r="RIC68" s="2555">
        <v>0.56000000000000005</v>
      </c>
      <c r="RID68" s="2555">
        <v>0.34</v>
      </c>
      <c r="RIE68" s="2555"/>
      <c r="RIF68" s="2555">
        <v>0.42</v>
      </c>
      <c r="RIG68" s="2553">
        <v>2019</v>
      </c>
      <c r="RIH68" s="2554"/>
      <c r="RII68" s="2555">
        <v>0.5</v>
      </c>
      <c r="RIJ68" s="2555">
        <v>0.5</v>
      </c>
      <c r="RIK68" s="2555">
        <v>0.56000000000000005</v>
      </c>
      <c r="RIL68" s="2555">
        <v>0.34</v>
      </c>
      <c r="RIM68" s="2555"/>
      <c r="RIN68" s="2555">
        <v>0.42</v>
      </c>
      <c r="RIO68" s="2553">
        <v>2019</v>
      </c>
      <c r="RIP68" s="2554"/>
      <c r="RIQ68" s="2555">
        <v>0.5</v>
      </c>
      <c r="RIR68" s="2555">
        <v>0.5</v>
      </c>
      <c r="RIS68" s="2555">
        <v>0.56000000000000005</v>
      </c>
      <c r="RIT68" s="2555">
        <v>0.34</v>
      </c>
      <c r="RIU68" s="2555"/>
      <c r="RIV68" s="2555">
        <v>0.42</v>
      </c>
      <c r="RIW68" s="2553">
        <v>2019</v>
      </c>
      <c r="RIX68" s="2554"/>
      <c r="RIY68" s="2555">
        <v>0.5</v>
      </c>
      <c r="RIZ68" s="2555">
        <v>0.5</v>
      </c>
      <c r="RJA68" s="2555">
        <v>0.56000000000000005</v>
      </c>
      <c r="RJB68" s="2555">
        <v>0.34</v>
      </c>
      <c r="RJC68" s="2555"/>
      <c r="RJD68" s="2555">
        <v>0.42</v>
      </c>
      <c r="RJE68" s="2553">
        <v>2019</v>
      </c>
      <c r="RJF68" s="2554"/>
      <c r="RJG68" s="2555">
        <v>0.5</v>
      </c>
      <c r="RJH68" s="2555">
        <v>0.5</v>
      </c>
      <c r="RJI68" s="2555">
        <v>0.56000000000000005</v>
      </c>
      <c r="RJJ68" s="2555">
        <v>0.34</v>
      </c>
      <c r="RJK68" s="2555"/>
      <c r="RJL68" s="2555">
        <v>0.42</v>
      </c>
      <c r="RJM68" s="2553">
        <v>2019</v>
      </c>
      <c r="RJN68" s="2554"/>
      <c r="RJO68" s="2555">
        <v>0.5</v>
      </c>
      <c r="RJP68" s="2555">
        <v>0.5</v>
      </c>
      <c r="RJQ68" s="2555">
        <v>0.56000000000000005</v>
      </c>
      <c r="RJR68" s="2555">
        <v>0.34</v>
      </c>
      <c r="RJS68" s="2555"/>
      <c r="RJT68" s="2555">
        <v>0.42</v>
      </c>
      <c r="RJU68" s="2553">
        <v>2019</v>
      </c>
      <c r="RJV68" s="2554"/>
      <c r="RJW68" s="2555">
        <v>0.5</v>
      </c>
      <c r="RJX68" s="2555">
        <v>0.5</v>
      </c>
      <c r="RJY68" s="2555">
        <v>0.56000000000000005</v>
      </c>
      <c r="RJZ68" s="2555">
        <v>0.34</v>
      </c>
      <c r="RKA68" s="2555"/>
      <c r="RKB68" s="2555">
        <v>0.42</v>
      </c>
      <c r="RKC68" s="2553">
        <v>2019</v>
      </c>
      <c r="RKD68" s="2554"/>
      <c r="RKE68" s="2555">
        <v>0.5</v>
      </c>
      <c r="RKF68" s="2555">
        <v>0.5</v>
      </c>
      <c r="RKG68" s="2555">
        <v>0.56000000000000005</v>
      </c>
      <c r="RKH68" s="2555">
        <v>0.34</v>
      </c>
      <c r="RKI68" s="2555"/>
      <c r="RKJ68" s="2555">
        <v>0.42</v>
      </c>
      <c r="RKK68" s="2553">
        <v>2019</v>
      </c>
      <c r="RKL68" s="2554"/>
      <c r="RKM68" s="2555">
        <v>0.5</v>
      </c>
      <c r="RKN68" s="2555">
        <v>0.5</v>
      </c>
      <c r="RKO68" s="2555">
        <v>0.56000000000000005</v>
      </c>
      <c r="RKP68" s="2555">
        <v>0.34</v>
      </c>
      <c r="RKQ68" s="2555"/>
      <c r="RKR68" s="2555">
        <v>0.42</v>
      </c>
      <c r="RKS68" s="2553">
        <v>2019</v>
      </c>
      <c r="RKT68" s="2554"/>
      <c r="RKU68" s="2555">
        <v>0.5</v>
      </c>
      <c r="RKV68" s="2555">
        <v>0.5</v>
      </c>
      <c r="RKW68" s="2555">
        <v>0.56000000000000005</v>
      </c>
      <c r="RKX68" s="2555">
        <v>0.34</v>
      </c>
      <c r="RKY68" s="2555"/>
      <c r="RKZ68" s="2555">
        <v>0.42</v>
      </c>
      <c r="RLA68" s="2553">
        <v>2019</v>
      </c>
      <c r="RLB68" s="2554"/>
      <c r="RLC68" s="2555">
        <v>0.5</v>
      </c>
      <c r="RLD68" s="2555">
        <v>0.5</v>
      </c>
      <c r="RLE68" s="2555">
        <v>0.56000000000000005</v>
      </c>
      <c r="RLF68" s="2555">
        <v>0.34</v>
      </c>
      <c r="RLG68" s="2555"/>
      <c r="RLH68" s="2555">
        <v>0.42</v>
      </c>
      <c r="RLI68" s="2553">
        <v>2019</v>
      </c>
      <c r="RLJ68" s="2554"/>
      <c r="RLK68" s="2555">
        <v>0.5</v>
      </c>
      <c r="RLL68" s="2555">
        <v>0.5</v>
      </c>
      <c r="RLM68" s="2555">
        <v>0.56000000000000005</v>
      </c>
      <c r="RLN68" s="2555">
        <v>0.34</v>
      </c>
      <c r="RLO68" s="2555"/>
      <c r="RLP68" s="2555">
        <v>0.42</v>
      </c>
      <c r="RLQ68" s="2553">
        <v>2019</v>
      </c>
      <c r="RLR68" s="2554"/>
      <c r="RLS68" s="2555">
        <v>0.5</v>
      </c>
      <c r="RLT68" s="2555">
        <v>0.5</v>
      </c>
      <c r="RLU68" s="2555">
        <v>0.56000000000000005</v>
      </c>
      <c r="RLV68" s="2555">
        <v>0.34</v>
      </c>
      <c r="RLW68" s="2555"/>
      <c r="RLX68" s="2555">
        <v>0.42</v>
      </c>
      <c r="RLY68" s="2553">
        <v>2019</v>
      </c>
      <c r="RLZ68" s="2554"/>
      <c r="RMA68" s="2555">
        <v>0.5</v>
      </c>
      <c r="RMB68" s="2555">
        <v>0.5</v>
      </c>
      <c r="RMC68" s="2555">
        <v>0.56000000000000005</v>
      </c>
      <c r="RMD68" s="2555">
        <v>0.34</v>
      </c>
      <c r="RME68" s="2555"/>
      <c r="RMF68" s="2555">
        <v>0.42</v>
      </c>
      <c r="RMG68" s="2553">
        <v>2019</v>
      </c>
      <c r="RMH68" s="2554"/>
      <c r="RMI68" s="2555">
        <v>0.5</v>
      </c>
      <c r="RMJ68" s="2555">
        <v>0.5</v>
      </c>
      <c r="RMK68" s="2555">
        <v>0.56000000000000005</v>
      </c>
      <c r="RML68" s="2555">
        <v>0.34</v>
      </c>
      <c r="RMM68" s="2555"/>
      <c r="RMN68" s="2555">
        <v>0.42</v>
      </c>
      <c r="RMO68" s="2553">
        <v>2019</v>
      </c>
      <c r="RMP68" s="2554"/>
      <c r="RMQ68" s="2555">
        <v>0.5</v>
      </c>
      <c r="RMR68" s="2555">
        <v>0.5</v>
      </c>
      <c r="RMS68" s="2555">
        <v>0.56000000000000005</v>
      </c>
      <c r="RMT68" s="2555">
        <v>0.34</v>
      </c>
      <c r="RMU68" s="2555"/>
      <c r="RMV68" s="2555">
        <v>0.42</v>
      </c>
      <c r="RMW68" s="2553">
        <v>2019</v>
      </c>
      <c r="RMX68" s="2554"/>
      <c r="RMY68" s="2555">
        <v>0.5</v>
      </c>
      <c r="RMZ68" s="2555">
        <v>0.5</v>
      </c>
      <c r="RNA68" s="2555">
        <v>0.56000000000000005</v>
      </c>
      <c r="RNB68" s="2555">
        <v>0.34</v>
      </c>
      <c r="RNC68" s="2555"/>
      <c r="RND68" s="2555">
        <v>0.42</v>
      </c>
      <c r="RNE68" s="2553">
        <v>2019</v>
      </c>
      <c r="RNF68" s="2554"/>
      <c r="RNG68" s="2555">
        <v>0.5</v>
      </c>
      <c r="RNH68" s="2555">
        <v>0.5</v>
      </c>
      <c r="RNI68" s="2555">
        <v>0.56000000000000005</v>
      </c>
      <c r="RNJ68" s="2555">
        <v>0.34</v>
      </c>
      <c r="RNK68" s="2555"/>
      <c r="RNL68" s="2555">
        <v>0.42</v>
      </c>
      <c r="RNM68" s="2553">
        <v>2019</v>
      </c>
      <c r="RNN68" s="2554"/>
      <c r="RNO68" s="2555">
        <v>0.5</v>
      </c>
      <c r="RNP68" s="2555">
        <v>0.5</v>
      </c>
      <c r="RNQ68" s="2555">
        <v>0.56000000000000005</v>
      </c>
      <c r="RNR68" s="2555">
        <v>0.34</v>
      </c>
      <c r="RNS68" s="2555"/>
      <c r="RNT68" s="2555">
        <v>0.42</v>
      </c>
      <c r="RNU68" s="2553">
        <v>2019</v>
      </c>
      <c r="RNV68" s="2554"/>
      <c r="RNW68" s="2555">
        <v>0.5</v>
      </c>
      <c r="RNX68" s="2555">
        <v>0.5</v>
      </c>
      <c r="RNY68" s="2555">
        <v>0.56000000000000005</v>
      </c>
      <c r="RNZ68" s="2555">
        <v>0.34</v>
      </c>
      <c r="ROA68" s="2555"/>
      <c r="ROB68" s="2555">
        <v>0.42</v>
      </c>
      <c r="ROC68" s="2553">
        <v>2019</v>
      </c>
      <c r="ROD68" s="2554"/>
      <c r="ROE68" s="2555">
        <v>0.5</v>
      </c>
      <c r="ROF68" s="2555">
        <v>0.5</v>
      </c>
      <c r="ROG68" s="2555">
        <v>0.56000000000000005</v>
      </c>
      <c r="ROH68" s="2555">
        <v>0.34</v>
      </c>
      <c r="ROI68" s="2555"/>
      <c r="ROJ68" s="2555">
        <v>0.42</v>
      </c>
      <c r="ROK68" s="2553">
        <v>2019</v>
      </c>
      <c r="ROL68" s="2554"/>
      <c r="ROM68" s="2555">
        <v>0.5</v>
      </c>
      <c r="RON68" s="2555">
        <v>0.5</v>
      </c>
      <c r="ROO68" s="2555">
        <v>0.56000000000000005</v>
      </c>
      <c r="ROP68" s="2555">
        <v>0.34</v>
      </c>
      <c r="ROQ68" s="2555"/>
      <c r="ROR68" s="2555">
        <v>0.42</v>
      </c>
      <c r="ROS68" s="2553">
        <v>2019</v>
      </c>
      <c r="ROT68" s="2554"/>
      <c r="ROU68" s="2555">
        <v>0.5</v>
      </c>
      <c r="ROV68" s="2555">
        <v>0.5</v>
      </c>
      <c r="ROW68" s="2555">
        <v>0.56000000000000005</v>
      </c>
      <c r="ROX68" s="2555">
        <v>0.34</v>
      </c>
      <c r="ROY68" s="2555"/>
      <c r="ROZ68" s="2555">
        <v>0.42</v>
      </c>
      <c r="RPA68" s="2553">
        <v>2019</v>
      </c>
      <c r="RPB68" s="2554"/>
      <c r="RPC68" s="2555">
        <v>0.5</v>
      </c>
      <c r="RPD68" s="2555">
        <v>0.5</v>
      </c>
      <c r="RPE68" s="2555">
        <v>0.56000000000000005</v>
      </c>
      <c r="RPF68" s="2555">
        <v>0.34</v>
      </c>
      <c r="RPG68" s="2555"/>
      <c r="RPH68" s="2555">
        <v>0.42</v>
      </c>
      <c r="RPI68" s="2553">
        <v>2019</v>
      </c>
      <c r="RPJ68" s="2554"/>
      <c r="RPK68" s="2555">
        <v>0.5</v>
      </c>
      <c r="RPL68" s="2555">
        <v>0.5</v>
      </c>
      <c r="RPM68" s="2555">
        <v>0.56000000000000005</v>
      </c>
      <c r="RPN68" s="2555">
        <v>0.34</v>
      </c>
      <c r="RPO68" s="2555"/>
      <c r="RPP68" s="2555">
        <v>0.42</v>
      </c>
      <c r="RPQ68" s="2553">
        <v>2019</v>
      </c>
      <c r="RPR68" s="2554"/>
      <c r="RPS68" s="2555">
        <v>0.5</v>
      </c>
      <c r="RPT68" s="2555">
        <v>0.5</v>
      </c>
      <c r="RPU68" s="2555">
        <v>0.56000000000000005</v>
      </c>
      <c r="RPV68" s="2555">
        <v>0.34</v>
      </c>
      <c r="RPW68" s="2555"/>
      <c r="RPX68" s="2555">
        <v>0.42</v>
      </c>
      <c r="RPY68" s="2553">
        <v>2019</v>
      </c>
      <c r="RPZ68" s="2554"/>
      <c r="RQA68" s="2555">
        <v>0.5</v>
      </c>
      <c r="RQB68" s="2555">
        <v>0.5</v>
      </c>
      <c r="RQC68" s="2555">
        <v>0.56000000000000005</v>
      </c>
      <c r="RQD68" s="2555">
        <v>0.34</v>
      </c>
      <c r="RQE68" s="2555"/>
      <c r="RQF68" s="2555">
        <v>0.42</v>
      </c>
      <c r="RQG68" s="2553">
        <v>2019</v>
      </c>
      <c r="RQH68" s="2554"/>
      <c r="RQI68" s="2555">
        <v>0.5</v>
      </c>
      <c r="RQJ68" s="2555">
        <v>0.5</v>
      </c>
      <c r="RQK68" s="2555">
        <v>0.56000000000000005</v>
      </c>
      <c r="RQL68" s="2555">
        <v>0.34</v>
      </c>
      <c r="RQM68" s="2555"/>
      <c r="RQN68" s="2555">
        <v>0.42</v>
      </c>
      <c r="RQO68" s="2553">
        <v>2019</v>
      </c>
      <c r="RQP68" s="2554"/>
      <c r="RQQ68" s="2555">
        <v>0.5</v>
      </c>
      <c r="RQR68" s="2555">
        <v>0.5</v>
      </c>
      <c r="RQS68" s="2555">
        <v>0.56000000000000005</v>
      </c>
      <c r="RQT68" s="2555">
        <v>0.34</v>
      </c>
      <c r="RQU68" s="2555"/>
      <c r="RQV68" s="2555">
        <v>0.42</v>
      </c>
      <c r="RQW68" s="2553">
        <v>2019</v>
      </c>
      <c r="RQX68" s="2554"/>
      <c r="RQY68" s="2555">
        <v>0.5</v>
      </c>
      <c r="RQZ68" s="2555">
        <v>0.5</v>
      </c>
      <c r="RRA68" s="2555">
        <v>0.56000000000000005</v>
      </c>
      <c r="RRB68" s="2555">
        <v>0.34</v>
      </c>
      <c r="RRC68" s="2555"/>
      <c r="RRD68" s="2555">
        <v>0.42</v>
      </c>
      <c r="RRE68" s="2553">
        <v>2019</v>
      </c>
      <c r="RRF68" s="2554"/>
      <c r="RRG68" s="2555">
        <v>0.5</v>
      </c>
      <c r="RRH68" s="2555">
        <v>0.5</v>
      </c>
      <c r="RRI68" s="2555">
        <v>0.56000000000000005</v>
      </c>
      <c r="RRJ68" s="2555">
        <v>0.34</v>
      </c>
      <c r="RRK68" s="2555"/>
      <c r="RRL68" s="2555">
        <v>0.42</v>
      </c>
      <c r="RRM68" s="2553">
        <v>2019</v>
      </c>
      <c r="RRN68" s="2554"/>
      <c r="RRO68" s="2555">
        <v>0.5</v>
      </c>
      <c r="RRP68" s="2555">
        <v>0.5</v>
      </c>
      <c r="RRQ68" s="2555">
        <v>0.56000000000000005</v>
      </c>
      <c r="RRR68" s="2555">
        <v>0.34</v>
      </c>
      <c r="RRS68" s="2555"/>
      <c r="RRT68" s="2555">
        <v>0.42</v>
      </c>
      <c r="RRU68" s="2553">
        <v>2019</v>
      </c>
      <c r="RRV68" s="2554"/>
      <c r="RRW68" s="2555">
        <v>0.5</v>
      </c>
      <c r="RRX68" s="2555">
        <v>0.5</v>
      </c>
      <c r="RRY68" s="2555">
        <v>0.56000000000000005</v>
      </c>
      <c r="RRZ68" s="2555">
        <v>0.34</v>
      </c>
      <c r="RSA68" s="2555"/>
      <c r="RSB68" s="2555">
        <v>0.42</v>
      </c>
      <c r="RSC68" s="2553">
        <v>2019</v>
      </c>
      <c r="RSD68" s="2554"/>
      <c r="RSE68" s="2555">
        <v>0.5</v>
      </c>
      <c r="RSF68" s="2555">
        <v>0.5</v>
      </c>
      <c r="RSG68" s="2555">
        <v>0.56000000000000005</v>
      </c>
      <c r="RSH68" s="2555">
        <v>0.34</v>
      </c>
      <c r="RSI68" s="2555"/>
      <c r="RSJ68" s="2555">
        <v>0.42</v>
      </c>
      <c r="RSK68" s="2553">
        <v>2019</v>
      </c>
      <c r="RSL68" s="2554"/>
      <c r="RSM68" s="2555">
        <v>0.5</v>
      </c>
      <c r="RSN68" s="2555">
        <v>0.5</v>
      </c>
      <c r="RSO68" s="2555">
        <v>0.56000000000000005</v>
      </c>
      <c r="RSP68" s="2555">
        <v>0.34</v>
      </c>
      <c r="RSQ68" s="2555"/>
      <c r="RSR68" s="2555">
        <v>0.42</v>
      </c>
      <c r="RSS68" s="2553">
        <v>2019</v>
      </c>
      <c r="RST68" s="2554"/>
      <c r="RSU68" s="2555">
        <v>0.5</v>
      </c>
      <c r="RSV68" s="2555">
        <v>0.5</v>
      </c>
      <c r="RSW68" s="2555">
        <v>0.56000000000000005</v>
      </c>
      <c r="RSX68" s="2555">
        <v>0.34</v>
      </c>
      <c r="RSY68" s="2555"/>
      <c r="RSZ68" s="2555">
        <v>0.42</v>
      </c>
      <c r="RTA68" s="2553">
        <v>2019</v>
      </c>
      <c r="RTB68" s="2554"/>
      <c r="RTC68" s="2555">
        <v>0.5</v>
      </c>
      <c r="RTD68" s="2555">
        <v>0.5</v>
      </c>
      <c r="RTE68" s="2555">
        <v>0.56000000000000005</v>
      </c>
      <c r="RTF68" s="2555">
        <v>0.34</v>
      </c>
      <c r="RTG68" s="2555"/>
      <c r="RTH68" s="2555">
        <v>0.42</v>
      </c>
      <c r="RTI68" s="2553">
        <v>2019</v>
      </c>
      <c r="RTJ68" s="2554"/>
      <c r="RTK68" s="2555">
        <v>0.5</v>
      </c>
      <c r="RTL68" s="2555">
        <v>0.5</v>
      </c>
      <c r="RTM68" s="2555">
        <v>0.56000000000000005</v>
      </c>
      <c r="RTN68" s="2555">
        <v>0.34</v>
      </c>
      <c r="RTO68" s="2555"/>
      <c r="RTP68" s="2555">
        <v>0.42</v>
      </c>
      <c r="RTQ68" s="2553">
        <v>2019</v>
      </c>
      <c r="RTR68" s="2554"/>
      <c r="RTS68" s="2555">
        <v>0.5</v>
      </c>
      <c r="RTT68" s="2555">
        <v>0.5</v>
      </c>
      <c r="RTU68" s="2555">
        <v>0.56000000000000005</v>
      </c>
      <c r="RTV68" s="2555">
        <v>0.34</v>
      </c>
      <c r="RTW68" s="2555"/>
      <c r="RTX68" s="2555">
        <v>0.42</v>
      </c>
      <c r="RTY68" s="2553">
        <v>2019</v>
      </c>
      <c r="RTZ68" s="2554"/>
      <c r="RUA68" s="2555">
        <v>0.5</v>
      </c>
      <c r="RUB68" s="2555">
        <v>0.5</v>
      </c>
      <c r="RUC68" s="2555">
        <v>0.56000000000000005</v>
      </c>
      <c r="RUD68" s="2555">
        <v>0.34</v>
      </c>
      <c r="RUE68" s="2555"/>
      <c r="RUF68" s="2555">
        <v>0.42</v>
      </c>
      <c r="RUG68" s="2553">
        <v>2019</v>
      </c>
      <c r="RUH68" s="2554"/>
      <c r="RUI68" s="2555">
        <v>0.5</v>
      </c>
      <c r="RUJ68" s="2555">
        <v>0.5</v>
      </c>
      <c r="RUK68" s="2555">
        <v>0.56000000000000005</v>
      </c>
      <c r="RUL68" s="2555">
        <v>0.34</v>
      </c>
      <c r="RUM68" s="2555"/>
      <c r="RUN68" s="2555">
        <v>0.42</v>
      </c>
      <c r="RUO68" s="2553">
        <v>2019</v>
      </c>
      <c r="RUP68" s="2554"/>
      <c r="RUQ68" s="2555">
        <v>0.5</v>
      </c>
      <c r="RUR68" s="2555">
        <v>0.5</v>
      </c>
      <c r="RUS68" s="2555">
        <v>0.56000000000000005</v>
      </c>
      <c r="RUT68" s="2555">
        <v>0.34</v>
      </c>
      <c r="RUU68" s="2555"/>
      <c r="RUV68" s="2555">
        <v>0.42</v>
      </c>
      <c r="RUW68" s="2553">
        <v>2019</v>
      </c>
      <c r="RUX68" s="2554"/>
      <c r="RUY68" s="2555">
        <v>0.5</v>
      </c>
      <c r="RUZ68" s="2555">
        <v>0.5</v>
      </c>
      <c r="RVA68" s="2555">
        <v>0.56000000000000005</v>
      </c>
      <c r="RVB68" s="2555">
        <v>0.34</v>
      </c>
      <c r="RVC68" s="2555"/>
      <c r="RVD68" s="2555">
        <v>0.42</v>
      </c>
      <c r="RVE68" s="2553">
        <v>2019</v>
      </c>
      <c r="RVF68" s="2554"/>
      <c r="RVG68" s="2555">
        <v>0.5</v>
      </c>
      <c r="RVH68" s="2555">
        <v>0.5</v>
      </c>
      <c r="RVI68" s="2555">
        <v>0.56000000000000005</v>
      </c>
      <c r="RVJ68" s="2555">
        <v>0.34</v>
      </c>
      <c r="RVK68" s="2555"/>
      <c r="RVL68" s="2555">
        <v>0.42</v>
      </c>
      <c r="RVM68" s="2553">
        <v>2019</v>
      </c>
      <c r="RVN68" s="2554"/>
      <c r="RVO68" s="2555">
        <v>0.5</v>
      </c>
      <c r="RVP68" s="2555">
        <v>0.5</v>
      </c>
      <c r="RVQ68" s="2555">
        <v>0.56000000000000005</v>
      </c>
      <c r="RVR68" s="2555">
        <v>0.34</v>
      </c>
      <c r="RVS68" s="2555"/>
      <c r="RVT68" s="2555">
        <v>0.42</v>
      </c>
      <c r="RVU68" s="2553">
        <v>2019</v>
      </c>
      <c r="RVV68" s="2554"/>
      <c r="RVW68" s="2555">
        <v>0.5</v>
      </c>
      <c r="RVX68" s="2555">
        <v>0.5</v>
      </c>
      <c r="RVY68" s="2555">
        <v>0.56000000000000005</v>
      </c>
      <c r="RVZ68" s="2555">
        <v>0.34</v>
      </c>
      <c r="RWA68" s="2555"/>
      <c r="RWB68" s="2555">
        <v>0.42</v>
      </c>
      <c r="RWC68" s="2553">
        <v>2019</v>
      </c>
      <c r="RWD68" s="2554"/>
      <c r="RWE68" s="2555">
        <v>0.5</v>
      </c>
      <c r="RWF68" s="2555">
        <v>0.5</v>
      </c>
      <c r="RWG68" s="2555">
        <v>0.56000000000000005</v>
      </c>
      <c r="RWH68" s="2555">
        <v>0.34</v>
      </c>
      <c r="RWI68" s="2555"/>
      <c r="RWJ68" s="2555">
        <v>0.42</v>
      </c>
      <c r="RWK68" s="2553">
        <v>2019</v>
      </c>
      <c r="RWL68" s="2554"/>
      <c r="RWM68" s="2555">
        <v>0.5</v>
      </c>
      <c r="RWN68" s="2555">
        <v>0.5</v>
      </c>
      <c r="RWO68" s="2555">
        <v>0.56000000000000005</v>
      </c>
      <c r="RWP68" s="2555">
        <v>0.34</v>
      </c>
      <c r="RWQ68" s="2555"/>
      <c r="RWR68" s="2555">
        <v>0.42</v>
      </c>
      <c r="RWS68" s="2553">
        <v>2019</v>
      </c>
      <c r="RWT68" s="2554"/>
      <c r="RWU68" s="2555">
        <v>0.5</v>
      </c>
      <c r="RWV68" s="2555">
        <v>0.5</v>
      </c>
      <c r="RWW68" s="2555">
        <v>0.56000000000000005</v>
      </c>
      <c r="RWX68" s="2555">
        <v>0.34</v>
      </c>
      <c r="RWY68" s="2555"/>
      <c r="RWZ68" s="2555">
        <v>0.42</v>
      </c>
      <c r="RXA68" s="2553">
        <v>2019</v>
      </c>
      <c r="RXB68" s="2554"/>
      <c r="RXC68" s="2555">
        <v>0.5</v>
      </c>
      <c r="RXD68" s="2555">
        <v>0.5</v>
      </c>
      <c r="RXE68" s="2555">
        <v>0.56000000000000005</v>
      </c>
      <c r="RXF68" s="2555">
        <v>0.34</v>
      </c>
      <c r="RXG68" s="2555"/>
      <c r="RXH68" s="2555">
        <v>0.42</v>
      </c>
      <c r="RXI68" s="2553">
        <v>2019</v>
      </c>
      <c r="RXJ68" s="2554"/>
      <c r="RXK68" s="2555">
        <v>0.5</v>
      </c>
      <c r="RXL68" s="2555">
        <v>0.5</v>
      </c>
      <c r="RXM68" s="2555">
        <v>0.56000000000000005</v>
      </c>
      <c r="RXN68" s="2555">
        <v>0.34</v>
      </c>
      <c r="RXO68" s="2555"/>
      <c r="RXP68" s="2555">
        <v>0.42</v>
      </c>
      <c r="RXQ68" s="2553">
        <v>2019</v>
      </c>
      <c r="RXR68" s="2554"/>
      <c r="RXS68" s="2555">
        <v>0.5</v>
      </c>
      <c r="RXT68" s="2555">
        <v>0.5</v>
      </c>
      <c r="RXU68" s="2555">
        <v>0.56000000000000005</v>
      </c>
      <c r="RXV68" s="2555">
        <v>0.34</v>
      </c>
      <c r="RXW68" s="2555"/>
      <c r="RXX68" s="2555">
        <v>0.42</v>
      </c>
      <c r="RXY68" s="2553">
        <v>2019</v>
      </c>
      <c r="RXZ68" s="2554"/>
      <c r="RYA68" s="2555">
        <v>0.5</v>
      </c>
      <c r="RYB68" s="2555">
        <v>0.5</v>
      </c>
      <c r="RYC68" s="2555">
        <v>0.56000000000000005</v>
      </c>
      <c r="RYD68" s="2555">
        <v>0.34</v>
      </c>
      <c r="RYE68" s="2555"/>
      <c r="RYF68" s="2555">
        <v>0.42</v>
      </c>
      <c r="RYG68" s="2553">
        <v>2019</v>
      </c>
      <c r="RYH68" s="2554"/>
      <c r="RYI68" s="2555">
        <v>0.5</v>
      </c>
      <c r="RYJ68" s="2555">
        <v>0.5</v>
      </c>
      <c r="RYK68" s="2555">
        <v>0.56000000000000005</v>
      </c>
      <c r="RYL68" s="2555">
        <v>0.34</v>
      </c>
      <c r="RYM68" s="2555"/>
      <c r="RYN68" s="2555">
        <v>0.42</v>
      </c>
      <c r="RYO68" s="2553">
        <v>2019</v>
      </c>
      <c r="RYP68" s="2554"/>
      <c r="RYQ68" s="2555">
        <v>0.5</v>
      </c>
      <c r="RYR68" s="2555">
        <v>0.5</v>
      </c>
      <c r="RYS68" s="2555">
        <v>0.56000000000000005</v>
      </c>
      <c r="RYT68" s="2555">
        <v>0.34</v>
      </c>
      <c r="RYU68" s="2555"/>
      <c r="RYV68" s="2555">
        <v>0.42</v>
      </c>
      <c r="RYW68" s="2553">
        <v>2019</v>
      </c>
      <c r="RYX68" s="2554"/>
      <c r="RYY68" s="2555">
        <v>0.5</v>
      </c>
      <c r="RYZ68" s="2555">
        <v>0.5</v>
      </c>
      <c r="RZA68" s="2555">
        <v>0.56000000000000005</v>
      </c>
      <c r="RZB68" s="2555">
        <v>0.34</v>
      </c>
      <c r="RZC68" s="2555"/>
      <c r="RZD68" s="2555">
        <v>0.42</v>
      </c>
      <c r="RZE68" s="2553">
        <v>2019</v>
      </c>
      <c r="RZF68" s="2554"/>
      <c r="RZG68" s="2555">
        <v>0.5</v>
      </c>
      <c r="RZH68" s="2555">
        <v>0.5</v>
      </c>
      <c r="RZI68" s="2555">
        <v>0.56000000000000005</v>
      </c>
      <c r="RZJ68" s="2555">
        <v>0.34</v>
      </c>
      <c r="RZK68" s="2555"/>
      <c r="RZL68" s="2555">
        <v>0.42</v>
      </c>
      <c r="RZM68" s="2553">
        <v>2019</v>
      </c>
      <c r="RZN68" s="2554"/>
      <c r="RZO68" s="2555">
        <v>0.5</v>
      </c>
      <c r="RZP68" s="2555">
        <v>0.5</v>
      </c>
      <c r="RZQ68" s="2555">
        <v>0.56000000000000005</v>
      </c>
      <c r="RZR68" s="2555">
        <v>0.34</v>
      </c>
      <c r="RZS68" s="2555"/>
      <c r="RZT68" s="2555">
        <v>0.42</v>
      </c>
      <c r="RZU68" s="2553">
        <v>2019</v>
      </c>
      <c r="RZV68" s="2554"/>
      <c r="RZW68" s="2555">
        <v>0.5</v>
      </c>
      <c r="RZX68" s="2555">
        <v>0.5</v>
      </c>
      <c r="RZY68" s="2555">
        <v>0.56000000000000005</v>
      </c>
      <c r="RZZ68" s="2555">
        <v>0.34</v>
      </c>
      <c r="SAA68" s="2555"/>
      <c r="SAB68" s="2555">
        <v>0.42</v>
      </c>
      <c r="SAC68" s="2553">
        <v>2019</v>
      </c>
      <c r="SAD68" s="2554"/>
      <c r="SAE68" s="2555">
        <v>0.5</v>
      </c>
      <c r="SAF68" s="2555">
        <v>0.5</v>
      </c>
      <c r="SAG68" s="2555">
        <v>0.56000000000000005</v>
      </c>
      <c r="SAH68" s="2555">
        <v>0.34</v>
      </c>
      <c r="SAI68" s="2555"/>
      <c r="SAJ68" s="2555">
        <v>0.42</v>
      </c>
      <c r="SAK68" s="2553">
        <v>2019</v>
      </c>
      <c r="SAL68" s="2554"/>
      <c r="SAM68" s="2555">
        <v>0.5</v>
      </c>
      <c r="SAN68" s="2555">
        <v>0.5</v>
      </c>
      <c r="SAO68" s="2555">
        <v>0.56000000000000005</v>
      </c>
      <c r="SAP68" s="2555">
        <v>0.34</v>
      </c>
      <c r="SAQ68" s="2555"/>
      <c r="SAR68" s="2555">
        <v>0.42</v>
      </c>
      <c r="SAS68" s="2553">
        <v>2019</v>
      </c>
      <c r="SAT68" s="2554"/>
      <c r="SAU68" s="2555">
        <v>0.5</v>
      </c>
      <c r="SAV68" s="2555">
        <v>0.5</v>
      </c>
      <c r="SAW68" s="2555">
        <v>0.56000000000000005</v>
      </c>
      <c r="SAX68" s="2555">
        <v>0.34</v>
      </c>
      <c r="SAY68" s="2555"/>
      <c r="SAZ68" s="2555">
        <v>0.42</v>
      </c>
      <c r="SBA68" s="2553">
        <v>2019</v>
      </c>
      <c r="SBB68" s="2554"/>
      <c r="SBC68" s="2555">
        <v>0.5</v>
      </c>
      <c r="SBD68" s="2555">
        <v>0.5</v>
      </c>
      <c r="SBE68" s="2555">
        <v>0.56000000000000005</v>
      </c>
      <c r="SBF68" s="2555">
        <v>0.34</v>
      </c>
      <c r="SBG68" s="2555"/>
      <c r="SBH68" s="2555">
        <v>0.42</v>
      </c>
      <c r="SBI68" s="2553">
        <v>2019</v>
      </c>
      <c r="SBJ68" s="2554"/>
      <c r="SBK68" s="2555">
        <v>0.5</v>
      </c>
      <c r="SBL68" s="2555">
        <v>0.5</v>
      </c>
      <c r="SBM68" s="2555">
        <v>0.56000000000000005</v>
      </c>
      <c r="SBN68" s="2555">
        <v>0.34</v>
      </c>
      <c r="SBO68" s="2555"/>
      <c r="SBP68" s="2555">
        <v>0.42</v>
      </c>
      <c r="SBQ68" s="2553">
        <v>2019</v>
      </c>
      <c r="SBR68" s="2554"/>
      <c r="SBS68" s="2555">
        <v>0.5</v>
      </c>
      <c r="SBT68" s="2555">
        <v>0.5</v>
      </c>
      <c r="SBU68" s="2555">
        <v>0.56000000000000005</v>
      </c>
      <c r="SBV68" s="2555">
        <v>0.34</v>
      </c>
      <c r="SBW68" s="2555"/>
      <c r="SBX68" s="2555">
        <v>0.42</v>
      </c>
      <c r="SBY68" s="2553">
        <v>2019</v>
      </c>
      <c r="SBZ68" s="2554"/>
      <c r="SCA68" s="2555">
        <v>0.5</v>
      </c>
      <c r="SCB68" s="2555">
        <v>0.5</v>
      </c>
      <c r="SCC68" s="2555">
        <v>0.56000000000000005</v>
      </c>
      <c r="SCD68" s="2555">
        <v>0.34</v>
      </c>
      <c r="SCE68" s="2555"/>
      <c r="SCF68" s="2555">
        <v>0.42</v>
      </c>
      <c r="SCG68" s="2553">
        <v>2019</v>
      </c>
      <c r="SCH68" s="2554"/>
      <c r="SCI68" s="2555">
        <v>0.5</v>
      </c>
      <c r="SCJ68" s="2555">
        <v>0.5</v>
      </c>
      <c r="SCK68" s="2555">
        <v>0.56000000000000005</v>
      </c>
      <c r="SCL68" s="2555">
        <v>0.34</v>
      </c>
      <c r="SCM68" s="2555"/>
      <c r="SCN68" s="2555">
        <v>0.42</v>
      </c>
      <c r="SCO68" s="2553">
        <v>2019</v>
      </c>
      <c r="SCP68" s="2554"/>
      <c r="SCQ68" s="2555">
        <v>0.5</v>
      </c>
      <c r="SCR68" s="2555">
        <v>0.5</v>
      </c>
      <c r="SCS68" s="2555">
        <v>0.56000000000000005</v>
      </c>
      <c r="SCT68" s="2555">
        <v>0.34</v>
      </c>
      <c r="SCU68" s="2555"/>
      <c r="SCV68" s="2555">
        <v>0.42</v>
      </c>
      <c r="SCW68" s="2553">
        <v>2019</v>
      </c>
      <c r="SCX68" s="2554"/>
      <c r="SCY68" s="2555">
        <v>0.5</v>
      </c>
      <c r="SCZ68" s="2555">
        <v>0.5</v>
      </c>
      <c r="SDA68" s="2555">
        <v>0.56000000000000005</v>
      </c>
      <c r="SDB68" s="2555">
        <v>0.34</v>
      </c>
      <c r="SDC68" s="2555"/>
      <c r="SDD68" s="2555">
        <v>0.42</v>
      </c>
      <c r="SDE68" s="2553">
        <v>2019</v>
      </c>
      <c r="SDF68" s="2554"/>
      <c r="SDG68" s="2555">
        <v>0.5</v>
      </c>
      <c r="SDH68" s="2555">
        <v>0.5</v>
      </c>
      <c r="SDI68" s="2555">
        <v>0.56000000000000005</v>
      </c>
      <c r="SDJ68" s="2555">
        <v>0.34</v>
      </c>
      <c r="SDK68" s="2555"/>
      <c r="SDL68" s="2555">
        <v>0.42</v>
      </c>
      <c r="SDM68" s="2553">
        <v>2019</v>
      </c>
      <c r="SDN68" s="2554"/>
      <c r="SDO68" s="2555">
        <v>0.5</v>
      </c>
      <c r="SDP68" s="2555">
        <v>0.5</v>
      </c>
      <c r="SDQ68" s="2555">
        <v>0.56000000000000005</v>
      </c>
      <c r="SDR68" s="2555">
        <v>0.34</v>
      </c>
      <c r="SDS68" s="2555"/>
      <c r="SDT68" s="2555">
        <v>0.42</v>
      </c>
      <c r="SDU68" s="2553">
        <v>2019</v>
      </c>
      <c r="SDV68" s="2554"/>
      <c r="SDW68" s="2555">
        <v>0.5</v>
      </c>
      <c r="SDX68" s="2555">
        <v>0.5</v>
      </c>
      <c r="SDY68" s="2555">
        <v>0.56000000000000005</v>
      </c>
      <c r="SDZ68" s="2555">
        <v>0.34</v>
      </c>
      <c r="SEA68" s="2555"/>
      <c r="SEB68" s="2555">
        <v>0.42</v>
      </c>
      <c r="SEC68" s="2553">
        <v>2019</v>
      </c>
      <c r="SED68" s="2554"/>
      <c r="SEE68" s="2555">
        <v>0.5</v>
      </c>
      <c r="SEF68" s="2555">
        <v>0.5</v>
      </c>
      <c r="SEG68" s="2555">
        <v>0.56000000000000005</v>
      </c>
      <c r="SEH68" s="2555">
        <v>0.34</v>
      </c>
      <c r="SEI68" s="2555"/>
      <c r="SEJ68" s="2555">
        <v>0.42</v>
      </c>
      <c r="SEK68" s="2553">
        <v>2019</v>
      </c>
      <c r="SEL68" s="2554"/>
      <c r="SEM68" s="2555">
        <v>0.5</v>
      </c>
      <c r="SEN68" s="2555">
        <v>0.5</v>
      </c>
      <c r="SEO68" s="2555">
        <v>0.56000000000000005</v>
      </c>
      <c r="SEP68" s="2555">
        <v>0.34</v>
      </c>
      <c r="SEQ68" s="2555"/>
      <c r="SER68" s="2555">
        <v>0.42</v>
      </c>
      <c r="SES68" s="2553">
        <v>2019</v>
      </c>
      <c r="SET68" s="2554"/>
      <c r="SEU68" s="2555">
        <v>0.5</v>
      </c>
      <c r="SEV68" s="2555">
        <v>0.5</v>
      </c>
      <c r="SEW68" s="2555">
        <v>0.56000000000000005</v>
      </c>
      <c r="SEX68" s="2555">
        <v>0.34</v>
      </c>
      <c r="SEY68" s="2555"/>
      <c r="SEZ68" s="2555">
        <v>0.42</v>
      </c>
      <c r="SFA68" s="2553">
        <v>2019</v>
      </c>
      <c r="SFB68" s="2554"/>
      <c r="SFC68" s="2555">
        <v>0.5</v>
      </c>
      <c r="SFD68" s="2555">
        <v>0.5</v>
      </c>
      <c r="SFE68" s="2555">
        <v>0.56000000000000005</v>
      </c>
      <c r="SFF68" s="2555">
        <v>0.34</v>
      </c>
      <c r="SFG68" s="2555"/>
      <c r="SFH68" s="2555">
        <v>0.42</v>
      </c>
      <c r="SFI68" s="2553">
        <v>2019</v>
      </c>
      <c r="SFJ68" s="2554"/>
      <c r="SFK68" s="2555">
        <v>0.5</v>
      </c>
      <c r="SFL68" s="2555">
        <v>0.5</v>
      </c>
      <c r="SFM68" s="2555">
        <v>0.56000000000000005</v>
      </c>
      <c r="SFN68" s="2555">
        <v>0.34</v>
      </c>
      <c r="SFO68" s="2555"/>
      <c r="SFP68" s="2555">
        <v>0.42</v>
      </c>
      <c r="SFQ68" s="2553">
        <v>2019</v>
      </c>
      <c r="SFR68" s="2554"/>
      <c r="SFS68" s="2555">
        <v>0.5</v>
      </c>
      <c r="SFT68" s="2555">
        <v>0.5</v>
      </c>
      <c r="SFU68" s="2555">
        <v>0.56000000000000005</v>
      </c>
      <c r="SFV68" s="2555">
        <v>0.34</v>
      </c>
      <c r="SFW68" s="2555"/>
      <c r="SFX68" s="2555">
        <v>0.42</v>
      </c>
      <c r="SFY68" s="2553">
        <v>2019</v>
      </c>
      <c r="SFZ68" s="2554"/>
      <c r="SGA68" s="2555">
        <v>0.5</v>
      </c>
      <c r="SGB68" s="2555">
        <v>0.5</v>
      </c>
      <c r="SGC68" s="2555">
        <v>0.56000000000000005</v>
      </c>
      <c r="SGD68" s="2555">
        <v>0.34</v>
      </c>
      <c r="SGE68" s="2555"/>
      <c r="SGF68" s="2555">
        <v>0.42</v>
      </c>
      <c r="SGG68" s="2553">
        <v>2019</v>
      </c>
      <c r="SGH68" s="2554"/>
      <c r="SGI68" s="2555">
        <v>0.5</v>
      </c>
      <c r="SGJ68" s="2555">
        <v>0.5</v>
      </c>
      <c r="SGK68" s="2555">
        <v>0.56000000000000005</v>
      </c>
      <c r="SGL68" s="2555">
        <v>0.34</v>
      </c>
      <c r="SGM68" s="2555"/>
      <c r="SGN68" s="2555">
        <v>0.42</v>
      </c>
      <c r="SGO68" s="2553">
        <v>2019</v>
      </c>
      <c r="SGP68" s="2554"/>
      <c r="SGQ68" s="2555">
        <v>0.5</v>
      </c>
      <c r="SGR68" s="2555">
        <v>0.5</v>
      </c>
      <c r="SGS68" s="2555">
        <v>0.56000000000000005</v>
      </c>
      <c r="SGT68" s="2555">
        <v>0.34</v>
      </c>
      <c r="SGU68" s="2555"/>
      <c r="SGV68" s="2555">
        <v>0.42</v>
      </c>
      <c r="SGW68" s="2553">
        <v>2019</v>
      </c>
      <c r="SGX68" s="2554"/>
      <c r="SGY68" s="2555">
        <v>0.5</v>
      </c>
      <c r="SGZ68" s="2555">
        <v>0.5</v>
      </c>
      <c r="SHA68" s="2555">
        <v>0.56000000000000005</v>
      </c>
      <c r="SHB68" s="2555">
        <v>0.34</v>
      </c>
      <c r="SHC68" s="2555"/>
      <c r="SHD68" s="2555">
        <v>0.42</v>
      </c>
      <c r="SHE68" s="2553">
        <v>2019</v>
      </c>
      <c r="SHF68" s="2554"/>
      <c r="SHG68" s="2555">
        <v>0.5</v>
      </c>
      <c r="SHH68" s="2555">
        <v>0.5</v>
      </c>
      <c r="SHI68" s="2555">
        <v>0.56000000000000005</v>
      </c>
      <c r="SHJ68" s="2555">
        <v>0.34</v>
      </c>
      <c r="SHK68" s="2555"/>
      <c r="SHL68" s="2555">
        <v>0.42</v>
      </c>
      <c r="SHM68" s="2553">
        <v>2019</v>
      </c>
      <c r="SHN68" s="2554"/>
      <c r="SHO68" s="2555">
        <v>0.5</v>
      </c>
      <c r="SHP68" s="2555">
        <v>0.5</v>
      </c>
      <c r="SHQ68" s="2555">
        <v>0.56000000000000005</v>
      </c>
      <c r="SHR68" s="2555">
        <v>0.34</v>
      </c>
      <c r="SHS68" s="2555"/>
      <c r="SHT68" s="2555">
        <v>0.42</v>
      </c>
      <c r="SHU68" s="2553">
        <v>2019</v>
      </c>
      <c r="SHV68" s="2554"/>
      <c r="SHW68" s="2555">
        <v>0.5</v>
      </c>
      <c r="SHX68" s="2555">
        <v>0.5</v>
      </c>
      <c r="SHY68" s="2555">
        <v>0.56000000000000005</v>
      </c>
      <c r="SHZ68" s="2555">
        <v>0.34</v>
      </c>
      <c r="SIA68" s="2555"/>
      <c r="SIB68" s="2555">
        <v>0.42</v>
      </c>
      <c r="SIC68" s="2553">
        <v>2019</v>
      </c>
      <c r="SID68" s="2554"/>
      <c r="SIE68" s="2555">
        <v>0.5</v>
      </c>
      <c r="SIF68" s="2555">
        <v>0.5</v>
      </c>
      <c r="SIG68" s="2555">
        <v>0.56000000000000005</v>
      </c>
      <c r="SIH68" s="2555">
        <v>0.34</v>
      </c>
      <c r="SII68" s="2555"/>
      <c r="SIJ68" s="2555">
        <v>0.42</v>
      </c>
      <c r="SIK68" s="2553">
        <v>2019</v>
      </c>
      <c r="SIL68" s="2554"/>
      <c r="SIM68" s="2555">
        <v>0.5</v>
      </c>
      <c r="SIN68" s="2555">
        <v>0.5</v>
      </c>
      <c r="SIO68" s="2555">
        <v>0.56000000000000005</v>
      </c>
      <c r="SIP68" s="2555">
        <v>0.34</v>
      </c>
      <c r="SIQ68" s="2555"/>
      <c r="SIR68" s="2555">
        <v>0.42</v>
      </c>
      <c r="SIS68" s="2553">
        <v>2019</v>
      </c>
      <c r="SIT68" s="2554"/>
      <c r="SIU68" s="2555">
        <v>0.5</v>
      </c>
      <c r="SIV68" s="2555">
        <v>0.5</v>
      </c>
      <c r="SIW68" s="2555">
        <v>0.56000000000000005</v>
      </c>
      <c r="SIX68" s="2555">
        <v>0.34</v>
      </c>
      <c r="SIY68" s="2555"/>
      <c r="SIZ68" s="2555">
        <v>0.42</v>
      </c>
      <c r="SJA68" s="2553">
        <v>2019</v>
      </c>
      <c r="SJB68" s="2554"/>
      <c r="SJC68" s="2555">
        <v>0.5</v>
      </c>
      <c r="SJD68" s="2555">
        <v>0.5</v>
      </c>
      <c r="SJE68" s="2555">
        <v>0.56000000000000005</v>
      </c>
      <c r="SJF68" s="2555">
        <v>0.34</v>
      </c>
      <c r="SJG68" s="2555"/>
      <c r="SJH68" s="2555">
        <v>0.42</v>
      </c>
      <c r="SJI68" s="2553">
        <v>2019</v>
      </c>
      <c r="SJJ68" s="2554"/>
      <c r="SJK68" s="2555">
        <v>0.5</v>
      </c>
      <c r="SJL68" s="2555">
        <v>0.5</v>
      </c>
      <c r="SJM68" s="2555">
        <v>0.56000000000000005</v>
      </c>
      <c r="SJN68" s="2555">
        <v>0.34</v>
      </c>
      <c r="SJO68" s="2555"/>
      <c r="SJP68" s="2555">
        <v>0.42</v>
      </c>
      <c r="SJQ68" s="2553">
        <v>2019</v>
      </c>
      <c r="SJR68" s="2554"/>
      <c r="SJS68" s="2555">
        <v>0.5</v>
      </c>
      <c r="SJT68" s="2555">
        <v>0.5</v>
      </c>
      <c r="SJU68" s="2555">
        <v>0.56000000000000005</v>
      </c>
      <c r="SJV68" s="2555">
        <v>0.34</v>
      </c>
      <c r="SJW68" s="2555"/>
      <c r="SJX68" s="2555">
        <v>0.42</v>
      </c>
      <c r="SJY68" s="2553">
        <v>2019</v>
      </c>
      <c r="SJZ68" s="2554"/>
      <c r="SKA68" s="2555">
        <v>0.5</v>
      </c>
      <c r="SKB68" s="2555">
        <v>0.5</v>
      </c>
      <c r="SKC68" s="2555">
        <v>0.56000000000000005</v>
      </c>
      <c r="SKD68" s="2555">
        <v>0.34</v>
      </c>
      <c r="SKE68" s="2555"/>
      <c r="SKF68" s="2555">
        <v>0.42</v>
      </c>
      <c r="SKG68" s="2553">
        <v>2019</v>
      </c>
      <c r="SKH68" s="2554"/>
      <c r="SKI68" s="2555">
        <v>0.5</v>
      </c>
      <c r="SKJ68" s="2555">
        <v>0.5</v>
      </c>
      <c r="SKK68" s="2555">
        <v>0.56000000000000005</v>
      </c>
      <c r="SKL68" s="2555">
        <v>0.34</v>
      </c>
      <c r="SKM68" s="2555"/>
      <c r="SKN68" s="2555">
        <v>0.42</v>
      </c>
      <c r="SKO68" s="2553">
        <v>2019</v>
      </c>
      <c r="SKP68" s="2554"/>
      <c r="SKQ68" s="2555">
        <v>0.5</v>
      </c>
      <c r="SKR68" s="2555">
        <v>0.5</v>
      </c>
      <c r="SKS68" s="2555">
        <v>0.56000000000000005</v>
      </c>
      <c r="SKT68" s="2555">
        <v>0.34</v>
      </c>
      <c r="SKU68" s="2555"/>
      <c r="SKV68" s="2555">
        <v>0.42</v>
      </c>
      <c r="SKW68" s="2553">
        <v>2019</v>
      </c>
      <c r="SKX68" s="2554"/>
      <c r="SKY68" s="2555">
        <v>0.5</v>
      </c>
      <c r="SKZ68" s="2555">
        <v>0.5</v>
      </c>
      <c r="SLA68" s="2555">
        <v>0.56000000000000005</v>
      </c>
      <c r="SLB68" s="2555">
        <v>0.34</v>
      </c>
      <c r="SLC68" s="2555"/>
      <c r="SLD68" s="2555">
        <v>0.42</v>
      </c>
      <c r="SLE68" s="2553">
        <v>2019</v>
      </c>
      <c r="SLF68" s="2554"/>
      <c r="SLG68" s="2555">
        <v>0.5</v>
      </c>
      <c r="SLH68" s="2555">
        <v>0.5</v>
      </c>
      <c r="SLI68" s="2555">
        <v>0.56000000000000005</v>
      </c>
      <c r="SLJ68" s="2555">
        <v>0.34</v>
      </c>
      <c r="SLK68" s="2555"/>
      <c r="SLL68" s="2555">
        <v>0.42</v>
      </c>
      <c r="SLM68" s="2553">
        <v>2019</v>
      </c>
      <c r="SLN68" s="2554"/>
      <c r="SLO68" s="2555">
        <v>0.5</v>
      </c>
      <c r="SLP68" s="2555">
        <v>0.5</v>
      </c>
      <c r="SLQ68" s="2555">
        <v>0.56000000000000005</v>
      </c>
      <c r="SLR68" s="2555">
        <v>0.34</v>
      </c>
      <c r="SLS68" s="2555"/>
      <c r="SLT68" s="2555">
        <v>0.42</v>
      </c>
      <c r="SLU68" s="2553">
        <v>2019</v>
      </c>
      <c r="SLV68" s="2554"/>
      <c r="SLW68" s="2555">
        <v>0.5</v>
      </c>
      <c r="SLX68" s="2555">
        <v>0.5</v>
      </c>
      <c r="SLY68" s="2555">
        <v>0.56000000000000005</v>
      </c>
      <c r="SLZ68" s="2555">
        <v>0.34</v>
      </c>
      <c r="SMA68" s="2555"/>
      <c r="SMB68" s="2555">
        <v>0.42</v>
      </c>
      <c r="SMC68" s="2553">
        <v>2019</v>
      </c>
      <c r="SMD68" s="2554"/>
      <c r="SME68" s="2555">
        <v>0.5</v>
      </c>
      <c r="SMF68" s="2555">
        <v>0.5</v>
      </c>
      <c r="SMG68" s="2555">
        <v>0.56000000000000005</v>
      </c>
      <c r="SMH68" s="2555">
        <v>0.34</v>
      </c>
      <c r="SMI68" s="2555"/>
      <c r="SMJ68" s="2555">
        <v>0.42</v>
      </c>
      <c r="SMK68" s="2553">
        <v>2019</v>
      </c>
      <c r="SML68" s="2554"/>
      <c r="SMM68" s="2555">
        <v>0.5</v>
      </c>
      <c r="SMN68" s="2555">
        <v>0.5</v>
      </c>
      <c r="SMO68" s="2555">
        <v>0.56000000000000005</v>
      </c>
      <c r="SMP68" s="2555">
        <v>0.34</v>
      </c>
      <c r="SMQ68" s="2555"/>
      <c r="SMR68" s="2555">
        <v>0.42</v>
      </c>
      <c r="SMS68" s="2553">
        <v>2019</v>
      </c>
      <c r="SMT68" s="2554"/>
      <c r="SMU68" s="2555">
        <v>0.5</v>
      </c>
      <c r="SMV68" s="2555">
        <v>0.5</v>
      </c>
      <c r="SMW68" s="2555">
        <v>0.56000000000000005</v>
      </c>
      <c r="SMX68" s="2555">
        <v>0.34</v>
      </c>
      <c r="SMY68" s="2555"/>
      <c r="SMZ68" s="2555">
        <v>0.42</v>
      </c>
      <c r="SNA68" s="2553">
        <v>2019</v>
      </c>
      <c r="SNB68" s="2554"/>
      <c r="SNC68" s="2555">
        <v>0.5</v>
      </c>
      <c r="SND68" s="2555">
        <v>0.5</v>
      </c>
      <c r="SNE68" s="2555">
        <v>0.56000000000000005</v>
      </c>
      <c r="SNF68" s="2555">
        <v>0.34</v>
      </c>
      <c r="SNG68" s="2555"/>
      <c r="SNH68" s="2555">
        <v>0.42</v>
      </c>
      <c r="SNI68" s="2553">
        <v>2019</v>
      </c>
      <c r="SNJ68" s="2554"/>
      <c r="SNK68" s="2555">
        <v>0.5</v>
      </c>
      <c r="SNL68" s="2555">
        <v>0.5</v>
      </c>
      <c r="SNM68" s="2555">
        <v>0.56000000000000005</v>
      </c>
      <c r="SNN68" s="2555">
        <v>0.34</v>
      </c>
      <c r="SNO68" s="2555"/>
      <c r="SNP68" s="2555">
        <v>0.42</v>
      </c>
      <c r="SNQ68" s="2553">
        <v>2019</v>
      </c>
      <c r="SNR68" s="2554"/>
      <c r="SNS68" s="2555">
        <v>0.5</v>
      </c>
      <c r="SNT68" s="2555">
        <v>0.5</v>
      </c>
      <c r="SNU68" s="2555">
        <v>0.56000000000000005</v>
      </c>
      <c r="SNV68" s="2555">
        <v>0.34</v>
      </c>
      <c r="SNW68" s="2555"/>
      <c r="SNX68" s="2555">
        <v>0.42</v>
      </c>
      <c r="SNY68" s="2553">
        <v>2019</v>
      </c>
      <c r="SNZ68" s="2554"/>
      <c r="SOA68" s="2555">
        <v>0.5</v>
      </c>
      <c r="SOB68" s="2555">
        <v>0.5</v>
      </c>
      <c r="SOC68" s="2555">
        <v>0.56000000000000005</v>
      </c>
      <c r="SOD68" s="2555">
        <v>0.34</v>
      </c>
      <c r="SOE68" s="2555"/>
      <c r="SOF68" s="2555">
        <v>0.42</v>
      </c>
      <c r="SOG68" s="2553">
        <v>2019</v>
      </c>
      <c r="SOH68" s="2554"/>
      <c r="SOI68" s="2555">
        <v>0.5</v>
      </c>
      <c r="SOJ68" s="2555">
        <v>0.5</v>
      </c>
      <c r="SOK68" s="2555">
        <v>0.56000000000000005</v>
      </c>
      <c r="SOL68" s="2555">
        <v>0.34</v>
      </c>
      <c r="SOM68" s="2555"/>
      <c r="SON68" s="2555">
        <v>0.42</v>
      </c>
      <c r="SOO68" s="2553">
        <v>2019</v>
      </c>
      <c r="SOP68" s="2554"/>
      <c r="SOQ68" s="2555">
        <v>0.5</v>
      </c>
      <c r="SOR68" s="2555">
        <v>0.5</v>
      </c>
      <c r="SOS68" s="2555">
        <v>0.56000000000000005</v>
      </c>
      <c r="SOT68" s="2555">
        <v>0.34</v>
      </c>
      <c r="SOU68" s="2555"/>
      <c r="SOV68" s="2555">
        <v>0.42</v>
      </c>
      <c r="SOW68" s="2553">
        <v>2019</v>
      </c>
      <c r="SOX68" s="2554"/>
      <c r="SOY68" s="2555">
        <v>0.5</v>
      </c>
      <c r="SOZ68" s="2555">
        <v>0.5</v>
      </c>
      <c r="SPA68" s="2555">
        <v>0.56000000000000005</v>
      </c>
      <c r="SPB68" s="2555">
        <v>0.34</v>
      </c>
      <c r="SPC68" s="2555"/>
      <c r="SPD68" s="2555">
        <v>0.42</v>
      </c>
      <c r="SPE68" s="2553">
        <v>2019</v>
      </c>
      <c r="SPF68" s="2554"/>
      <c r="SPG68" s="2555">
        <v>0.5</v>
      </c>
      <c r="SPH68" s="2555">
        <v>0.5</v>
      </c>
      <c r="SPI68" s="2555">
        <v>0.56000000000000005</v>
      </c>
      <c r="SPJ68" s="2555">
        <v>0.34</v>
      </c>
      <c r="SPK68" s="2555"/>
      <c r="SPL68" s="2555">
        <v>0.42</v>
      </c>
      <c r="SPM68" s="2553">
        <v>2019</v>
      </c>
      <c r="SPN68" s="2554"/>
      <c r="SPO68" s="2555">
        <v>0.5</v>
      </c>
      <c r="SPP68" s="2555">
        <v>0.5</v>
      </c>
      <c r="SPQ68" s="2555">
        <v>0.56000000000000005</v>
      </c>
      <c r="SPR68" s="2555">
        <v>0.34</v>
      </c>
      <c r="SPS68" s="2555"/>
      <c r="SPT68" s="2555">
        <v>0.42</v>
      </c>
      <c r="SPU68" s="2553">
        <v>2019</v>
      </c>
      <c r="SPV68" s="2554"/>
      <c r="SPW68" s="2555">
        <v>0.5</v>
      </c>
      <c r="SPX68" s="2555">
        <v>0.5</v>
      </c>
      <c r="SPY68" s="2555">
        <v>0.56000000000000005</v>
      </c>
      <c r="SPZ68" s="2555">
        <v>0.34</v>
      </c>
      <c r="SQA68" s="2555"/>
      <c r="SQB68" s="2555">
        <v>0.42</v>
      </c>
      <c r="SQC68" s="2553">
        <v>2019</v>
      </c>
      <c r="SQD68" s="2554"/>
      <c r="SQE68" s="2555">
        <v>0.5</v>
      </c>
      <c r="SQF68" s="2555">
        <v>0.5</v>
      </c>
      <c r="SQG68" s="2555">
        <v>0.56000000000000005</v>
      </c>
      <c r="SQH68" s="2555">
        <v>0.34</v>
      </c>
      <c r="SQI68" s="2555"/>
      <c r="SQJ68" s="2555">
        <v>0.42</v>
      </c>
      <c r="SQK68" s="2553">
        <v>2019</v>
      </c>
      <c r="SQL68" s="2554"/>
      <c r="SQM68" s="2555">
        <v>0.5</v>
      </c>
      <c r="SQN68" s="2555">
        <v>0.5</v>
      </c>
      <c r="SQO68" s="2555">
        <v>0.56000000000000005</v>
      </c>
      <c r="SQP68" s="2555">
        <v>0.34</v>
      </c>
      <c r="SQQ68" s="2555"/>
      <c r="SQR68" s="2555">
        <v>0.42</v>
      </c>
      <c r="SQS68" s="2553">
        <v>2019</v>
      </c>
      <c r="SQT68" s="2554"/>
      <c r="SQU68" s="2555">
        <v>0.5</v>
      </c>
      <c r="SQV68" s="2555">
        <v>0.5</v>
      </c>
      <c r="SQW68" s="2555">
        <v>0.56000000000000005</v>
      </c>
      <c r="SQX68" s="2555">
        <v>0.34</v>
      </c>
      <c r="SQY68" s="2555"/>
      <c r="SQZ68" s="2555">
        <v>0.42</v>
      </c>
      <c r="SRA68" s="2553">
        <v>2019</v>
      </c>
      <c r="SRB68" s="2554"/>
      <c r="SRC68" s="2555">
        <v>0.5</v>
      </c>
      <c r="SRD68" s="2555">
        <v>0.5</v>
      </c>
      <c r="SRE68" s="2555">
        <v>0.56000000000000005</v>
      </c>
      <c r="SRF68" s="2555">
        <v>0.34</v>
      </c>
      <c r="SRG68" s="2555"/>
      <c r="SRH68" s="2555">
        <v>0.42</v>
      </c>
      <c r="SRI68" s="2553">
        <v>2019</v>
      </c>
      <c r="SRJ68" s="2554"/>
      <c r="SRK68" s="2555">
        <v>0.5</v>
      </c>
      <c r="SRL68" s="2555">
        <v>0.5</v>
      </c>
      <c r="SRM68" s="2555">
        <v>0.56000000000000005</v>
      </c>
      <c r="SRN68" s="2555">
        <v>0.34</v>
      </c>
      <c r="SRO68" s="2555"/>
      <c r="SRP68" s="2555">
        <v>0.42</v>
      </c>
      <c r="SRQ68" s="2553">
        <v>2019</v>
      </c>
      <c r="SRR68" s="2554"/>
      <c r="SRS68" s="2555">
        <v>0.5</v>
      </c>
      <c r="SRT68" s="2555">
        <v>0.5</v>
      </c>
      <c r="SRU68" s="2555">
        <v>0.56000000000000005</v>
      </c>
      <c r="SRV68" s="2555">
        <v>0.34</v>
      </c>
      <c r="SRW68" s="2555"/>
      <c r="SRX68" s="2555">
        <v>0.42</v>
      </c>
      <c r="SRY68" s="2553">
        <v>2019</v>
      </c>
      <c r="SRZ68" s="2554"/>
      <c r="SSA68" s="2555">
        <v>0.5</v>
      </c>
      <c r="SSB68" s="2555">
        <v>0.5</v>
      </c>
      <c r="SSC68" s="2555">
        <v>0.56000000000000005</v>
      </c>
      <c r="SSD68" s="2555">
        <v>0.34</v>
      </c>
      <c r="SSE68" s="2555"/>
      <c r="SSF68" s="2555">
        <v>0.42</v>
      </c>
      <c r="SSG68" s="2553">
        <v>2019</v>
      </c>
      <c r="SSH68" s="2554"/>
      <c r="SSI68" s="2555">
        <v>0.5</v>
      </c>
      <c r="SSJ68" s="2555">
        <v>0.5</v>
      </c>
      <c r="SSK68" s="2555">
        <v>0.56000000000000005</v>
      </c>
      <c r="SSL68" s="2555">
        <v>0.34</v>
      </c>
      <c r="SSM68" s="2555"/>
      <c r="SSN68" s="2555">
        <v>0.42</v>
      </c>
      <c r="SSO68" s="2553">
        <v>2019</v>
      </c>
      <c r="SSP68" s="2554"/>
      <c r="SSQ68" s="2555">
        <v>0.5</v>
      </c>
      <c r="SSR68" s="2555">
        <v>0.5</v>
      </c>
      <c r="SSS68" s="2555">
        <v>0.56000000000000005</v>
      </c>
      <c r="SST68" s="2555">
        <v>0.34</v>
      </c>
      <c r="SSU68" s="2555"/>
      <c r="SSV68" s="2555">
        <v>0.42</v>
      </c>
      <c r="SSW68" s="2553">
        <v>2019</v>
      </c>
      <c r="SSX68" s="2554"/>
      <c r="SSY68" s="2555">
        <v>0.5</v>
      </c>
      <c r="SSZ68" s="2555">
        <v>0.5</v>
      </c>
      <c r="STA68" s="2555">
        <v>0.56000000000000005</v>
      </c>
      <c r="STB68" s="2555">
        <v>0.34</v>
      </c>
      <c r="STC68" s="2555"/>
      <c r="STD68" s="2555">
        <v>0.42</v>
      </c>
      <c r="STE68" s="2553">
        <v>2019</v>
      </c>
      <c r="STF68" s="2554"/>
      <c r="STG68" s="2555">
        <v>0.5</v>
      </c>
      <c r="STH68" s="2555">
        <v>0.5</v>
      </c>
      <c r="STI68" s="2555">
        <v>0.56000000000000005</v>
      </c>
      <c r="STJ68" s="2555">
        <v>0.34</v>
      </c>
      <c r="STK68" s="2555"/>
      <c r="STL68" s="2555">
        <v>0.42</v>
      </c>
      <c r="STM68" s="2553">
        <v>2019</v>
      </c>
      <c r="STN68" s="2554"/>
      <c r="STO68" s="2555">
        <v>0.5</v>
      </c>
      <c r="STP68" s="2555">
        <v>0.5</v>
      </c>
      <c r="STQ68" s="2555">
        <v>0.56000000000000005</v>
      </c>
      <c r="STR68" s="2555">
        <v>0.34</v>
      </c>
      <c r="STS68" s="2555"/>
      <c r="STT68" s="2555">
        <v>0.42</v>
      </c>
      <c r="STU68" s="2553">
        <v>2019</v>
      </c>
      <c r="STV68" s="2554"/>
      <c r="STW68" s="2555">
        <v>0.5</v>
      </c>
      <c r="STX68" s="2555">
        <v>0.5</v>
      </c>
      <c r="STY68" s="2555">
        <v>0.56000000000000005</v>
      </c>
      <c r="STZ68" s="2555">
        <v>0.34</v>
      </c>
      <c r="SUA68" s="2555"/>
      <c r="SUB68" s="2555">
        <v>0.42</v>
      </c>
      <c r="SUC68" s="2553">
        <v>2019</v>
      </c>
      <c r="SUD68" s="2554"/>
      <c r="SUE68" s="2555">
        <v>0.5</v>
      </c>
      <c r="SUF68" s="2555">
        <v>0.5</v>
      </c>
      <c r="SUG68" s="2555">
        <v>0.56000000000000005</v>
      </c>
      <c r="SUH68" s="2555">
        <v>0.34</v>
      </c>
      <c r="SUI68" s="2555"/>
      <c r="SUJ68" s="2555">
        <v>0.42</v>
      </c>
      <c r="SUK68" s="2553">
        <v>2019</v>
      </c>
      <c r="SUL68" s="2554"/>
      <c r="SUM68" s="2555">
        <v>0.5</v>
      </c>
      <c r="SUN68" s="2555">
        <v>0.5</v>
      </c>
      <c r="SUO68" s="2555">
        <v>0.56000000000000005</v>
      </c>
      <c r="SUP68" s="2555">
        <v>0.34</v>
      </c>
      <c r="SUQ68" s="2555"/>
      <c r="SUR68" s="2555">
        <v>0.42</v>
      </c>
      <c r="SUS68" s="2553">
        <v>2019</v>
      </c>
      <c r="SUT68" s="2554"/>
      <c r="SUU68" s="2555">
        <v>0.5</v>
      </c>
      <c r="SUV68" s="2555">
        <v>0.5</v>
      </c>
      <c r="SUW68" s="2555">
        <v>0.56000000000000005</v>
      </c>
      <c r="SUX68" s="2555">
        <v>0.34</v>
      </c>
      <c r="SUY68" s="2555"/>
      <c r="SUZ68" s="2555">
        <v>0.42</v>
      </c>
      <c r="SVA68" s="2553">
        <v>2019</v>
      </c>
      <c r="SVB68" s="2554"/>
      <c r="SVC68" s="2555">
        <v>0.5</v>
      </c>
      <c r="SVD68" s="2555">
        <v>0.5</v>
      </c>
      <c r="SVE68" s="2555">
        <v>0.56000000000000005</v>
      </c>
      <c r="SVF68" s="2555">
        <v>0.34</v>
      </c>
      <c r="SVG68" s="2555"/>
      <c r="SVH68" s="2555">
        <v>0.42</v>
      </c>
      <c r="SVI68" s="2553">
        <v>2019</v>
      </c>
      <c r="SVJ68" s="2554"/>
      <c r="SVK68" s="2555">
        <v>0.5</v>
      </c>
      <c r="SVL68" s="2555">
        <v>0.5</v>
      </c>
      <c r="SVM68" s="2555">
        <v>0.56000000000000005</v>
      </c>
      <c r="SVN68" s="2555">
        <v>0.34</v>
      </c>
      <c r="SVO68" s="2555"/>
      <c r="SVP68" s="2555">
        <v>0.42</v>
      </c>
      <c r="SVQ68" s="2553">
        <v>2019</v>
      </c>
      <c r="SVR68" s="2554"/>
      <c r="SVS68" s="2555">
        <v>0.5</v>
      </c>
      <c r="SVT68" s="2555">
        <v>0.5</v>
      </c>
      <c r="SVU68" s="2555">
        <v>0.56000000000000005</v>
      </c>
      <c r="SVV68" s="2555">
        <v>0.34</v>
      </c>
      <c r="SVW68" s="2555"/>
      <c r="SVX68" s="2555">
        <v>0.42</v>
      </c>
      <c r="SVY68" s="2553">
        <v>2019</v>
      </c>
      <c r="SVZ68" s="2554"/>
      <c r="SWA68" s="2555">
        <v>0.5</v>
      </c>
      <c r="SWB68" s="2555">
        <v>0.5</v>
      </c>
      <c r="SWC68" s="2555">
        <v>0.56000000000000005</v>
      </c>
      <c r="SWD68" s="2555">
        <v>0.34</v>
      </c>
      <c r="SWE68" s="2555"/>
      <c r="SWF68" s="2555">
        <v>0.42</v>
      </c>
      <c r="SWG68" s="2553">
        <v>2019</v>
      </c>
      <c r="SWH68" s="2554"/>
      <c r="SWI68" s="2555">
        <v>0.5</v>
      </c>
      <c r="SWJ68" s="2555">
        <v>0.5</v>
      </c>
      <c r="SWK68" s="2555">
        <v>0.56000000000000005</v>
      </c>
      <c r="SWL68" s="2555">
        <v>0.34</v>
      </c>
      <c r="SWM68" s="2555"/>
      <c r="SWN68" s="2555">
        <v>0.42</v>
      </c>
      <c r="SWO68" s="2553">
        <v>2019</v>
      </c>
      <c r="SWP68" s="2554"/>
      <c r="SWQ68" s="2555">
        <v>0.5</v>
      </c>
      <c r="SWR68" s="2555">
        <v>0.5</v>
      </c>
      <c r="SWS68" s="2555">
        <v>0.56000000000000005</v>
      </c>
      <c r="SWT68" s="2555">
        <v>0.34</v>
      </c>
      <c r="SWU68" s="2555"/>
      <c r="SWV68" s="2555">
        <v>0.42</v>
      </c>
      <c r="SWW68" s="2553">
        <v>2019</v>
      </c>
      <c r="SWX68" s="2554"/>
      <c r="SWY68" s="2555">
        <v>0.5</v>
      </c>
      <c r="SWZ68" s="2555">
        <v>0.5</v>
      </c>
      <c r="SXA68" s="2555">
        <v>0.56000000000000005</v>
      </c>
      <c r="SXB68" s="2555">
        <v>0.34</v>
      </c>
      <c r="SXC68" s="2555"/>
      <c r="SXD68" s="2555">
        <v>0.42</v>
      </c>
      <c r="SXE68" s="2553">
        <v>2019</v>
      </c>
      <c r="SXF68" s="2554"/>
      <c r="SXG68" s="2555">
        <v>0.5</v>
      </c>
      <c r="SXH68" s="2555">
        <v>0.5</v>
      </c>
      <c r="SXI68" s="2555">
        <v>0.56000000000000005</v>
      </c>
      <c r="SXJ68" s="2555">
        <v>0.34</v>
      </c>
      <c r="SXK68" s="2555"/>
      <c r="SXL68" s="2555">
        <v>0.42</v>
      </c>
      <c r="SXM68" s="2553">
        <v>2019</v>
      </c>
      <c r="SXN68" s="2554"/>
      <c r="SXO68" s="2555">
        <v>0.5</v>
      </c>
      <c r="SXP68" s="2555">
        <v>0.5</v>
      </c>
      <c r="SXQ68" s="2555">
        <v>0.56000000000000005</v>
      </c>
      <c r="SXR68" s="2555">
        <v>0.34</v>
      </c>
      <c r="SXS68" s="2555"/>
      <c r="SXT68" s="2555">
        <v>0.42</v>
      </c>
      <c r="SXU68" s="2553">
        <v>2019</v>
      </c>
      <c r="SXV68" s="2554"/>
      <c r="SXW68" s="2555">
        <v>0.5</v>
      </c>
      <c r="SXX68" s="2555">
        <v>0.5</v>
      </c>
      <c r="SXY68" s="2555">
        <v>0.56000000000000005</v>
      </c>
      <c r="SXZ68" s="2555">
        <v>0.34</v>
      </c>
      <c r="SYA68" s="2555"/>
      <c r="SYB68" s="2555">
        <v>0.42</v>
      </c>
      <c r="SYC68" s="2553">
        <v>2019</v>
      </c>
      <c r="SYD68" s="2554"/>
      <c r="SYE68" s="2555">
        <v>0.5</v>
      </c>
      <c r="SYF68" s="2555">
        <v>0.5</v>
      </c>
      <c r="SYG68" s="2555">
        <v>0.56000000000000005</v>
      </c>
      <c r="SYH68" s="2555">
        <v>0.34</v>
      </c>
      <c r="SYI68" s="2555"/>
      <c r="SYJ68" s="2555">
        <v>0.42</v>
      </c>
      <c r="SYK68" s="2553">
        <v>2019</v>
      </c>
      <c r="SYL68" s="2554"/>
      <c r="SYM68" s="2555">
        <v>0.5</v>
      </c>
      <c r="SYN68" s="2555">
        <v>0.5</v>
      </c>
      <c r="SYO68" s="2555">
        <v>0.56000000000000005</v>
      </c>
      <c r="SYP68" s="2555">
        <v>0.34</v>
      </c>
      <c r="SYQ68" s="2555"/>
      <c r="SYR68" s="2555">
        <v>0.42</v>
      </c>
      <c r="SYS68" s="2553">
        <v>2019</v>
      </c>
      <c r="SYT68" s="2554"/>
      <c r="SYU68" s="2555">
        <v>0.5</v>
      </c>
      <c r="SYV68" s="2555">
        <v>0.5</v>
      </c>
      <c r="SYW68" s="2555">
        <v>0.56000000000000005</v>
      </c>
      <c r="SYX68" s="2555">
        <v>0.34</v>
      </c>
      <c r="SYY68" s="2555"/>
      <c r="SYZ68" s="2555">
        <v>0.42</v>
      </c>
      <c r="SZA68" s="2553">
        <v>2019</v>
      </c>
      <c r="SZB68" s="2554"/>
      <c r="SZC68" s="2555">
        <v>0.5</v>
      </c>
      <c r="SZD68" s="2555">
        <v>0.5</v>
      </c>
      <c r="SZE68" s="2555">
        <v>0.56000000000000005</v>
      </c>
      <c r="SZF68" s="2555">
        <v>0.34</v>
      </c>
      <c r="SZG68" s="2555"/>
      <c r="SZH68" s="2555">
        <v>0.42</v>
      </c>
      <c r="SZI68" s="2553">
        <v>2019</v>
      </c>
      <c r="SZJ68" s="2554"/>
      <c r="SZK68" s="2555">
        <v>0.5</v>
      </c>
      <c r="SZL68" s="2555">
        <v>0.5</v>
      </c>
      <c r="SZM68" s="2555">
        <v>0.56000000000000005</v>
      </c>
      <c r="SZN68" s="2555">
        <v>0.34</v>
      </c>
      <c r="SZO68" s="2555"/>
      <c r="SZP68" s="2555">
        <v>0.42</v>
      </c>
      <c r="SZQ68" s="2553">
        <v>2019</v>
      </c>
      <c r="SZR68" s="2554"/>
      <c r="SZS68" s="2555">
        <v>0.5</v>
      </c>
      <c r="SZT68" s="2555">
        <v>0.5</v>
      </c>
      <c r="SZU68" s="2555">
        <v>0.56000000000000005</v>
      </c>
      <c r="SZV68" s="2555">
        <v>0.34</v>
      </c>
      <c r="SZW68" s="2555"/>
      <c r="SZX68" s="2555">
        <v>0.42</v>
      </c>
      <c r="SZY68" s="2553">
        <v>2019</v>
      </c>
      <c r="SZZ68" s="2554"/>
      <c r="TAA68" s="2555">
        <v>0.5</v>
      </c>
      <c r="TAB68" s="2555">
        <v>0.5</v>
      </c>
      <c r="TAC68" s="2555">
        <v>0.56000000000000005</v>
      </c>
      <c r="TAD68" s="2555">
        <v>0.34</v>
      </c>
      <c r="TAE68" s="2555"/>
      <c r="TAF68" s="2555">
        <v>0.42</v>
      </c>
      <c r="TAG68" s="2553">
        <v>2019</v>
      </c>
      <c r="TAH68" s="2554"/>
      <c r="TAI68" s="2555">
        <v>0.5</v>
      </c>
      <c r="TAJ68" s="2555">
        <v>0.5</v>
      </c>
      <c r="TAK68" s="2555">
        <v>0.56000000000000005</v>
      </c>
      <c r="TAL68" s="2555">
        <v>0.34</v>
      </c>
      <c r="TAM68" s="2555"/>
      <c r="TAN68" s="2555">
        <v>0.42</v>
      </c>
      <c r="TAO68" s="2553">
        <v>2019</v>
      </c>
      <c r="TAP68" s="2554"/>
      <c r="TAQ68" s="2555">
        <v>0.5</v>
      </c>
      <c r="TAR68" s="2555">
        <v>0.5</v>
      </c>
      <c r="TAS68" s="2555">
        <v>0.56000000000000005</v>
      </c>
      <c r="TAT68" s="2555">
        <v>0.34</v>
      </c>
      <c r="TAU68" s="2555"/>
      <c r="TAV68" s="2555">
        <v>0.42</v>
      </c>
      <c r="TAW68" s="2553">
        <v>2019</v>
      </c>
      <c r="TAX68" s="2554"/>
      <c r="TAY68" s="2555">
        <v>0.5</v>
      </c>
      <c r="TAZ68" s="2555">
        <v>0.5</v>
      </c>
      <c r="TBA68" s="2555">
        <v>0.56000000000000005</v>
      </c>
      <c r="TBB68" s="2555">
        <v>0.34</v>
      </c>
      <c r="TBC68" s="2555"/>
      <c r="TBD68" s="2555">
        <v>0.42</v>
      </c>
      <c r="TBE68" s="2553">
        <v>2019</v>
      </c>
      <c r="TBF68" s="2554"/>
      <c r="TBG68" s="2555">
        <v>0.5</v>
      </c>
      <c r="TBH68" s="2555">
        <v>0.5</v>
      </c>
      <c r="TBI68" s="2555">
        <v>0.56000000000000005</v>
      </c>
      <c r="TBJ68" s="2555">
        <v>0.34</v>
      </c>
      <c r="TBK68" s="2555"/>
      <c r="TBL68" s="2555">
        <v>0.42</v>
      </c>
      <c r="TBM68" s="2553">
        <v>2019</v>
      </c>
      <c r="TBN68" s="2554"/>
      <c r="TBO68" s="2555">
        <v>0.5</v>
      </c>
      <c r="TBP68" s="2555">
        <v>0.5</v>
      </c>
      <c r="TBQ68" s="2555">
        <v>0.56000000000000005</v>
      </c>
      <c r="TBR68" s="2555">
        <v>0.34</v>
      </c>
      <c r="TBS68" s="2555"/>
      <c r="TBT68" s="2555">
        <v>0.42</v>
      </c>
      <c r="TBU68" s="2553">
        <v>2019</v>
      </c>
      <c r="TBV68" s="2554"/>
      <c r="TBW68" s="2555">
        <v>0.5</v>
      </c>
      <c r="TBX68" s="2555">
        <v>0.5</v>
      </c>
      <c r="TBY68" s="2555">
        <v>0.56000000000000005</v>
      </c>
      <c r="TBZ68" s="2555">
        <v>0.34</v>
      </c>
      <c r="TCA68" s="2555"/>
      <c r="TCB68" s="2555">
        <v>0.42</v>
      </c>
      <c r="TCC68" s="2553">
        <v>2019</v>
      </c>
      <c r="TCD68" s="2554"/>
      <c r="TCE68" s="2555">
        <v>0.5</v>
      </c>
      <c r="TCF68" s="2555">
        <v>0.5</v>
      </c>
      <c r="TCG68" s="2555">
        <v>0.56000000000000005</v>
      </c>
      <c r="TCH68" s="2555">
        <v>0.34</v>
      </c>
      <c r="TCI68" s="2555"/>
      <c r="TCJ68" s="2555">
        <v>0.42</v>
      </c>
      <c r="TCK68" s="2553">
        <v>2019</v>
      </c>
      <c r="TCL68" s="2554"/>
      <c r="TCM68" s="2555">
        <v>0.5</v>
      </c>
      <c r="TCN68" s="2555">
        <v>0.5</v>
      </c>
      <c r="TCO68" s="2555">
        <v>0.56000000000000005</v>
      </c>
      <c r="TCP68" s="2555">
        <v>0.34</v>
      </c>
      <c r="TCQ68" s="2555"/>
      <c r="TCR68" s="2555">
        <v>0.42</v>
      </c>
      <c r="TCS68" s="2553">
        <v>2019</v>
      </c>
      <c r="TCT68" s="2554"/>
      <c r="TCU68" s="2555">
        <v>0.5</v>
      </c>
      <c r="TCV68" s="2555">
        <v>0.5</v>
      </c>
      <c r="TCW68" s="2555">
        <v>0.56000000000000005</v>
      </c>
      <c r="TCX68" s="2555">
        <v>0.34</v>
      </c>
      <c r="TCY68" s="2555"/>
      <c r="TCZ68" s="2555">
        <v>0.42</v>
      </c>
      <c r="TDA68" s="2553">
        <v>2019</v>
      </c>
      <c r="TDB68" s="2554"/>
      <c r="TDC68" s="2555">
        <v>0.5</v>
      </c>
      <c r="TDD68" s="2555">
        <v>0.5</v>
      </c>
      <c r="TDE68" s="2555">
        <v>0.56000000000000005</v>
      </c>
      <c r="TDF68" s="2555">
        <v>0.34</v>
      </c>
      <c r="TDG68" s="2555"/>
      <c r="TDH68" s="2555">
        <v>0.42</v>
      </c>
      <c r="TDI68" s="2553">
        <v>2019</v>
      </c>
      <c r="TDJ68" s="2554"/>
      <c r="TDK68" s="2555">
        <v>0.5</v>
      </c>
      <c r="TDL68" s="2555">
        <v>0.5</v>
      </c>
      <c r="TDM68" s="2555">
        <v>0.56000000000000005</v>
      </c>
      <c r="TDN68" s="2555">
        <v>0.34</v>
      </c>
      <c r="TDO68" s="2555"/>
      <c r="TDP68" s="2555">
        <v>0.42</v>
      </c>
      <c r="TDQ68" s="2553">
        <v>2019</v>
      </c>
      <c r="TDR68" s="2554"/>
      <c r="TDS68" s="2555">
        <v>0.5</v>
      </c>
      <c r="TDT68" s="2555">
        <v>0.5</v>
      </c>
      <c r="TDU68" s="2555">
        <v>0.56000000000000005</v>
      </c>
      <c r="TDV68" s="2555">
        <v>0.34</v>
      </c>
      <c r="TDW68" s="2555"/>
      <c r="TDX68" s="2555">
        <v>0.42</v>
      </c>
      <c r="TDY68" s="2553">
        <v>2019</v>
      </c>
      <c r="TDZ68" s="2554"/>
      <c r="TEA68" s="2555">
        <v>0.5</v>
      </c>
      <c r="TEB68" s="2555">
        <v>0.5</v>
      </c>
      <c r="TEC68" s="2555">
        <v>0.56000000000000005</v>
      </c>
      <c r="TED68" s="2555">
        <v>0.34</v>
      </c>
      <c r="TEE68" s="2555"/>
      <c r="TEF68" s="2555">
        <v>0.42</v>
      </c>
      <c r="TEG68" s="2553">
        <v>2019</v>
      </c>
      <c r="TEH68" s="2554"/>
      <c r="TEI68" s="2555">
        <v>0.5</v>
      </c>
      <c r="TEJ68" s="2555">
        <v>0.5</v>
      </c>
      <c r="TEK68" s="2555">
        <v>0.56000000000000005</v>
      </c>
      <c r="TEL68" s="2555">
        <v>0.34</v>
      </c>
      <c r="TEM68" s="2555"/>
      <c r="TEN68" s="2555">
        <v>0.42</v>
      </c>
      <c r="TEO68" s="2553">
        <v>2019</v>
      </c>
      <c r="TEP68" s="2554"/>
      <c r="TEQ68" s="2555">
        <v>0.5</v>
      </c>
      <c r="TER68" s="2555">
        <v>0.5</v>
      </c>
      <c r="TES68" s="2555">
        <v>0.56000000000000005</v>
      </c>
      <c r="TET68" s="2555">
        <v>0.34</v>
      </c>
      <c r="TEU68" s="2555"/>
      <c r="TEV68" s="2555">
        <v>0.42</v>
      </c>
      <c r="TEW68" s="2553">
        <v>2019</v>
      </c>
      <c r="TEX68" s="2554"/>
      <c r="TEY68" s="2555">
        <v>0.5</v>
      </c>
      <c r="TEZ68" s="2555">
        <v>0.5</v>
      </c>
      <c r="TFA68" s="2555">
        <v>0.56000000000000005</v>
      </c>
      <c r="TFB68" s="2555">
        <v>0.34</v>
      </c>
      <c r="TFC68" s="2555"/>
      <c r="TFD68" s="2555">
        <v>0.42</v>
      </c>
      <c r="TFE68" s="2553">
        <v>2019</v>
      </c>
      <c r="TFF68" s="2554"/>
      <c r="TFG68" s="2555">
        <v>0.5</v>
      </c>
      <c r="TFH68" s="2555">
        <v>0.5</v>
      </c>
      <c r="TFI68" s="2555">
        <v>0.56000000000000005</v>
      </c>
      <c r="TFJ68" s="2555">
        <v>0.34</v>
      </c>
      <c r="TFK68" s="2555"/>
      <c r="TFL68" s="2555">
        <v>0.42</v>
      </c>
      <c r="TFM68" s="2553">
        <v>2019</v>
      </c>
      <c r="TFN68" s="2554"/>
      <c r="TFO68" s="2555">
        <v>0.5</v>
      </c>
      <c r="TFP68" s="2555">
        <v>0.5</v>
      </c>
      <c r="TFQ68" s="2555">
        <v>0.56000000000000005</v>
      </c>
      <c r="TFR68" s="2555">
        <v>0.34</v>
      </c>
      <c r="TFS68" s="2555"/>
      <c r="TFT68" s="2555">
        <v>0.42</v>
      </c>
      <c r="TFU68" s="2553">
        <v>2019</v>
      </c>
      <c r="TFV68" s="2554"/>
      <c r="TFW68" s="2555">
        <v>0.5</v>
      </c>
      <c r="TFX68" s="2555">
        <v>0.5</v>
      </c>
      <c r="TFY68" s="2555">
        <v>0.56000000000000005</v>
      </c>
      <c r="TFZ68" s="2555">
        <v>0.34</v>
      </c>
      <c r="TGA68" s="2555"/>
      <c r="TGB68" s="2555">
        <v>0.42</v>
      </c>
      <c r="TGC68" s="2553">
        <v>2019</v>
      </c>
      <c r="TGD68" s="2554"/>
      <c r="TGE68" s="2555">
        <v>0.5</v>
      </c>
      <c r="TGF68" s="2555">
        <v>0.5</v>
      </c>
      <c r="TGG68" s="2555">
        <v>0.56000000000000005</v>
      </c>
      <c r="TGH68" s="2555">
        <v>0.34</v>
      </c>
      <c r="TGI68" s="2555"/>
      <c r="TGJ68" s="2555">
        <v>0.42</v>
      </c>
      <c r="TGK68" s="2553">
        <v>2019</v>
      </c>
      <c r="TGL68" s="2554"/>
      <c r="TGM68" s="2555">
        <v>0.5</v>
      </c>
      <c r="TGN68" s="2555">
        <v>0.5</v>
      </c>
      <c r="TGO68" s="2555">
        <v>0.56000000000000005</v>
      </c>
      <c r="TGP68" s="2555">
        <v>0.34</v>
      </c>
      <c r="TGQ68" s="2555"/>
      <c r="TGR68" s="2555">
        <v>0.42</v>
      </c>
      <c r="TGS68" s="2553">
        <v>2019</v>
      </c>
      <c r="TGT68" s="2554"/>
      <c r="TGU68" s="2555">
        <v>0.5</v>
      </c>
      <c r="TGV68" s="2555">
        <v>0.5</v>
      </c>
      <c r="TGW68" s="2555">
        <v>0.56000000000000005</v>
      </c>
      <c r="TGX68" s="2555">
        <v>0.34</v>
      </c>
      <c r="TGY68" s="2555"/>
      <c r="TGZ68" s="2555">
        <v>0.42</v>
      </c>
      <c r="THA68" s="2553">
        <v>2019</v>
      </c>
      <c r="THB68" s="2554"/>
      <c r="THC68" s="2555">
        <v>0.5</v>
      </c>
      <c r="THD68" s="2555">
        <v>0.5</v>
      </c>
      <c r="THE68" s="2555">
        <v>0.56000000000000005</v>
      </c>
      <c r="THF68" s="2555">
        <v>0.34</v>
      </c>
      <c r="THG68" s="2555"/>
      <c r="THH68" s="2555">
        <v>0.42</v>
      </c>
      <c r="THI68" s="2553">
        <v>2019</v>
      </c>
      <c r="THJ68" s="2554"/>
      <c r="THK68" s="2555">
        <v>0.5</v>
      </c>
      <c r="THL68" s="2555">
        <v>0.5</v>
      </c>
      <c r="THM68" s="2555">
        <v>0.56000000000000005</v>
      </c>
      <c r="THN68" s="2555">
        <v>0.34</v>
      </c>
      <c r="THO68" s="2555"/>
      <c r="THP68" s="2555">
        <v>0.42</v>
      </c>
      <c r="THQ68" s="2553">
        <v>2019</v>
      </c>
      <c r="THR68" s="2554"/>
      <c r="THS68" s="2555">
        <v>0.5</v>
      </c>
      <c r="THT68" s="2555">
        <v>0.5</v>
      </c>
      <c r="THU68" s="2555">
        <v>0.56000000000000005</v>
      </c>
      <c r="THV68" s="2555">
        <v>0.34</v>
      </c>
      <c r="THW68" s="2555"/>
      <c r="THX68" s="2555">
        <v>0.42</v>
      </c>
      <c r="THY68" s="2553">
        <v>2019</v>
      </c>
      <c r="THZ68" s="2554"/>
      <c r="TIA68" s="2555">
        <v>0.5</v>
      </c>
      <c r="TIB68" s="2555">
        <v>0.5</v>
      </c>
      <c r="TIC68" s="2555">
        <v>0.56000000000000005</v>
      </c>
      <c r="TID68" s="2555">
        <v>0.34</v>
      </c>
      <c r="TIE68" s="2555"/>
      <c r="TIF68" s="2555">
        <v>0.42</v>
      </c>
      <c r="TIG68" s="2553">
        <v>2019</v>
      </c>
      <c r="TIH68" s="2554"/>
      <c r="TII68" s="2555">
        <v>0.5</v>
      </c>
      <c r="TIJ68" s="2555">
        <v>0.5</v>
      </c>
      <c r="TIK68" s="2555">
        <v>0.56000000000000005</v>
      </c>
      <c r="TIL68" s="2555">
        <v>0.34</v>
      </c>
      <c r="TIM68" s="2555"/>
      <c r="TIN68" s="2555">
        <v>0.42</v>
      </c>
      <c r="TIO68" s="2553">
        <v>2019</v>
      </c>
      <c r="TIP68" s="2554"/>
      <c r="TIQ68" s="2555">
        <v>0.5</v>
      </c>
      <c r="TIR68" s="2555">
        <v>0.5</v>
      </c>
      <c r="TIS68" s="2555">
        <v>0.56000000000000005</v>
      </c>
      <c r="TIT68" s="2555">
        <v>0.34</v>
      </c>
      <c r="TIU68" s="2555"/>
      <c r="TIV68" s="2555">
        <v>0.42</v>
      </c>
      <c r="TIW68" s="2553">
        <v>2019</v>
      </c>
      <c r="TIX68" s="2554"/>
      <c r="TIY68" s="2555">
        <v>0.5</v>
      </c>
      <c r="TIZ68" s="2555">
        <v>0.5</v>
      </c>
      <c r="TJA68" s="2555">
        <v>0.56000000000000005</v>
      </c>
      <c r="TJB68" s="2555">
        <v>0.34</v>
      </c>
      <c r="TJC68" s="2555"/>
      <c r="TJD68" s="2555">
        <v>0.42</v>
      </c>
      <c r="TJE68" s="2553">
        <v>2019</v>
      </c>
      <c r="TJF68" s="2554"/>
      <c r="TJG68" s="2555">
        <v>0.5</v>
      </c>
      <c r="TJH68" s="2555">
        <v>0.5</v>
      </c>
      <c r="TJI68" s="2555">
        <v>0.56000000000000005</v>
      </c>
      <c r="TJJ68" s="2555">
        <v>0.34</v>
      </c>
      <c r="TJK68" s="2555"/>
      <c r="TJL68" s="2555">
        <v>0.42</v>
      </c>
      <c r="TJM68" s="2553">
        <v>2019</v>
      </c>
      <c r="TJN68" s="2554"/>
      <c r="TJO68" s="2555">
        <v>0.5</v>
      </c>
      <c r="TJP68" s="2555">
        <v>0.5</v>
      </c>
      <c r="TJQ68" s="2555">
        <v>0.56000000000000005</v>
      </c>
      <c r="TJR68" s="2555">
        <v>0.34</v>
      </c>
      <c r="TJS68" s="2555"/>
      <c r="TJT68" s="2555">
        <v>0.42</v>
      </c>
      <c r="TJU68" s="2553">
        <v>2019</v>
      </c>
      <c r="TJV68" s="2554"/>
      <c r="TJW68" s="2555">
        <v>0.5</v>
      </c>
      <c r="TJX68" s="2555">
        <v>0.5</v>
      </c>
      <c r="TJY68" s="2555">
        <v>0.56000000000000005</v>
      </c>
      <c r="TJZ68" s="2555">
        <v>0.34</v>
      </c>
      <c r="TKA68" s="2555"/>
      <c r="TKB68" s="2555">
        <v>0.42</v>
      </c>
      <c r="TKC68" s="2553">
        <v>2019</v>
      </c>
      <c r="TKD68" s="2554"/>
      <c r="TKE68" s="2555">
        <v>0.5</v>
      </c>
      <c r="TKF68" s="2555">
        <v>0.5</v>
      </c>
      <c r="TKG68" s="2555">
        <v>0.56000000000000005</v>
      </c>
      <c r="TKH68" s="2555">
        <v>0.34</v>
      </c>
      <c r="TKI68" s="2555"/>
      <c r="TKJ68" s="2555">
        <v>0.42</v>
      </c>
      <c r="TKK68" s="2553">
        <v>2019</v>
      </c>
      <c r="TKL68" s="2554"/>
      <c r="TKM68" s="2555">
        <v>0.5</v>
      </c>
      <c r="TKN68" s="2555">
        <v>0.5</v>
      </c>
      <c r="TKO68" s="2555">
        <v>0.56000000000000005</v>
      </c>
      <c r="TKP68" s="2555">
        <v>0.34</v>
      </c>
      <c r="TKQ68" s="2555"/>
      <c r="TKR68" s="2555">
        <v>0.42</v>
      </c>
      <c r="TKS68" s="2553">
        <v>2019</v>
      </c>
      <c r="TKT68" s="2554"/>
      <c r="TKU68" s="2555">
        <v>0.5</v>
      </c>
      <c r="TKV68" s="2555">
        <v>0.5</v>
      </c>
      <c r="TKW68" s="2555">
        <v>0.56000000000000005</v>
      </c>
      <c r="TKX68" s="2555">
        <v>0.34</v>
      </c>
      <c r="TKY68" s="2555"/>
      <c r="TKZ68" s="2555">
        <v>0.42</v>
      </c>
      <c r="TLA68" s="2553">
        <v>2019</v>
      </c>
      <c r="TLB68" s="2554"/>
      <c r="TLC68" s="2555">
        <v>0.5</v>
      </c>
      <c r="TLD68" s="2555">
        <v>0.5</v>
      </c>
      <c r="TLE68" s="2555">
        <v>0.56000000000000005</v>
      </c>
      <c r="TLF68" s="2555">
        <v>0.34</v>
      </c>
      <c r="TLG68" s="2555"/>
      <c r="TLH68" s="2555">
        <v>0.42</v>
      </c>
      <c r="TLI68" s="2553">
        <v>2019</v>
      </c>
      <c r="TLJ68" s="2554"/>
      <c r="TLK68" s="2555">
        <v>0.5</v>
      </c>
      <c r="TLL68" s="2555">
        <v>0.5</v>
      </c>
      <c r="TLM68" s="2555">
        <v>0.56000000000000005</v>
      </c>
      <c r="TLN68" s="2555">
        <v>0.34</v>
      </c>
      <c r="TLO68" s="2555"/>
      <c r="TLP68" s="2555">
        <v>0.42</v>
      </c>
      <c r="TLQ68" s="2553">
        <v>2019</v>
      </c>
      <c r="TLR68" s="2554"/>
      <c r="TLS68" s="2555">
        <v>0.5</v>
      </c>
      <c r="TLT68" s="2555">
        <v>0.5</v>
      </c>
      <c r="TLU68" s="2555">
        <v>0.56000000000000005</v>
      </c>
      <c r="TLV68" s="2555">
        <v>0.34</v>
      </c>
      <c r="TLW68" s="2555"/>
      <c r="TLX68" s="2555">
        <v>0.42</v>
      </c>
      <c r="TLY68" s="2553">
        <v>2019</v>
      </c>
      <c r="TLZ68" s="2554"/>
      <c r="TMA68" s="2555">
        <v>0.5</v>
      </c>
      <c r="TMB68" s="2555">
        <v>0.5</v>
      </c>
      <c r="TMC68" s="2555">
        <v>0.56000000000000005</v>
      </c>
      <c r="TMD68" s="2555">
        <v>0.34</v>
      </c>
      <c r="TME68" s="2555"/>
      <c r="TMF68" s="2555">
        <v>0.42</v>
      </c>
      <c r="TMG68" s="2553">
        <v>2019</v>
      </c>
      <c r="TMH68" s="2554"/>
      <c r="TMI68" s="2555">
        <v>0.5</v>
      </c>
      <c r="TMJ68" s="2555">
        <v>0.5</v>
      </c>
      <c r="TMK68" s="2555">
        <v>0.56000000000000005</v>
      </c>
      <c r="TML68" s="2555">
        <v>0.34</v>
      </c>
      <c r="TMM68" s="2555"/>
      <c r="TMN68" s="2555">
        <v>0.42</v>
      </c>
      <c r="TMO68" s="2553">
        <v>2019</v>
      </c>
      <c r="TMP68" s="2554"/>
      <c r="TMQ68" s="2555">
        <v>0.5</v>
      </c>
      <c r="TMR68" s="2555">
        <v>0.5</v>
      </c>
      <c r="TMS68" s="2555">
        <v>0.56000000000000005</v>
      </c>
      <c r="TMT68" s="2555">
        <v>0.34</v>
      </c>
      <c r="TMU68" s="2555"/>
      <c r="TMV68" s="2555">
        <v>0.42</v>
      </c>
      <c r="TMW68" s="2553">
        <v>2019</v>
      </c>
      <c r="TMX68" s="2554"/>
      <c r="TMY68" s="2555">
        <v>0.5</v>
      </c>
      <c r="TMZ68" s="2555">
        <v>0.5</v>
      </c>
      <c r="TNA68" s="2555">
        <v>0.56000000000000005</v>
      </c>
      <c r="TNB68" s="2555">
        <v>0.34</v>
      </c>
      <c r="TNC68" s="2555"/>
      <c r="TND68" s="2555">
        <v>0.42</v>
      </c>
      <c r="TNE68" s="2553">
        <v>2019</v>
      </c>
      <c r="TNF68" s="2554"/>
      <c r="TNG68" s="2555">
        <v>0.5</v>
      </c>
      <c r="TNH68" s="2555">
        <v>0.5</v>
      </c>
      <c r="TNI68" s="2555">
        <v>0.56000000000000005</v>
      </c>
      <c r="TNJ68" s="2555">
        <v>0.34</v>
      </c>
      <c r="TNK68" s="2555"/>
      <c r="TNL68" s="2555">
        <v>0.42</v>
      </c>
      <c r="TNM68" s="2553">
        <v>2019</v>
      </c>
      <c r="TNN68" s="2554"/>
      <c r="TNO68" s="2555">
        <v>0.5</v>
      </c>
      <c r="TNP68" s="2555">
        <v>0.5</v>
      </c>
      <c r="TNQ68" s="2555">
        <v>0.56000000000000005</v>
      </c>
      <c r="TNR68" s="2555">
        <v>0.34</v>
      </c>
      <c r="TNS68" s="2555"/>
      <c r="TNT68" s="2555">
        <v>0.42</v>
      </c>
      <c r="TNU68" s="2553">
        <v>2019</v>
      </c>
      <c r="TNV68" s="2554"/>
      <c r="TNW68" s="2555">
        <v>0.5</v>
      </c>
      <c r="TNX68" s="2555">
        <v>0.5</v>
      </c>
      <c r="TNY68" s="2555">
        <v>0.56000000000000005</v>
      </c>
      <c r="TNZ68" s="2555">
        <v>0.34</v>
      </c>
      <c r="TOA68" s="2555"/>
      <c r="TOB68" s="2555">
        <v>0.42</v>
      </c>
      <c r="TOC68" s="2553">
        <v>2019</v>
      </c>
      <c r="TOD68" s="2554"/>
      <c r="TOE68" s="2555">
        <v>0.5</v>
      </c>
      <c r="TOF68" s="2555">
        <v>0.5</v>
      </c>
      <c r="TOG68" s="2555">
        <v>0.56000000000000005</v>
      </c>
      <c r="TOH68" s="2555">
        <v>0.34</v>
      </c>
      <c r="TOI68" s="2555"/>
      <c r="TOJ68" s="2555">
        <v>0.42</v>
      </c>
      <c r="TOK68" s="2553">
        <v>2019</v>
      </c>
      <c r="TOL68" s="2554"/>
      <c r="TOM68" s="2555">
        <v>0.5</v>
      </c>
      <c r="TON68" s="2555">
        <v>0.5</v>
      </c>
      <c r="TOO68" s="2555">
        <v>0.56000000000000005</v>
      </c>
      <c r="TOP68" s="2555">
        <v>0.34</v>
      </c>
      <c r="TOQ68" s="2555"/>
      <c r="TOR68" s="2555">
        <v>0.42</v>
      </c>
      <c r="TOS68" s="2553">
        <v>2019</v>
      </c>
      <c r="TOT68" s="2554"/>
      <c r="TOU68" s="2555">
        <v>0.5</v>
      </c>
      <c r="TOV68" s="2555">
        <v>0.5</v>
      </c>
      <c r="TOW68" s="2555">
        <v>0.56000000000000005</v>
      </c>
      <c r="TOX68" s="2555">
        <v>0.34</v>
      </c>
      <c r="TOY68" s="2555"/>
      <c r="TOZ68" s="2555">
        <v>0.42</v>
      </c>
      <c r="TPA68" s="2553">
        <v>2019</v>
      </c>
      <c r="TPB68" s="2554"/>
      <c r="TPC68" s="2555">
        <v>0.5</v>
      </c>
      <c r="TPD68" s="2555">
        <v>0.5</v>
      </c>
      <c r="TPE68" s="2555">
        <v>0.56000000000000005</v>
      </c>
      <c r="TPF68" s="2555">
        <v>0.34</v>
      </c>
      <c r="TPG68" s="2555"/>
      <c r="TPH68" s="2555">
        <v>0.42</v>
      </c>
      <c r="TPI68" s="2553">
        <v>2019</v>
      </c>
      <c r="TPJ68" s="2554"/>
      <c r="TPK68" s="2555">
        <v>0.5</v>
      </c>
      <c r="TPL68" s="2555">
        <v>0.5</v>
      </c>
      <c r="TPM68" s="2555">
        <v>0.56000000000000005</v>
      </c>
      <c r="TPN68" s="2555">
        <v>0.34</v>
      </c>
      <c r="TPO68" s="2555"/>
      <c r="TPP68" s="2555">
        <v>0.42</v>
      </c>
      <c r="TPQ68" s="2553">
        <v>2019</v>
      </c>
      <c r="TPR68" s="2554"/>
      <c r="TPS68" s="2555">
        <v>0.5</v>
      </c>
      <c r="TPT68" s="2555">
        <v>0.5</v>
      </c>
      <c r="TPU68" s="2555">
        <v>0.56000000000000005</v>
      </c>
      <c r="TPV68" s="2555">
        <v>0.34</v>
      </c>
      <c r="TPW68" s="2555"/>
      <c r="TPX68" s="2555">
        <v>0.42</v>
      </c>
      <c r="TPY68" s="2553">
        <v>2019</v>
      </c>
      <c r="TPZ68" s="2554"/>
      <c r="TQA68" s="2555">
        <v>0.5</v>
      </c>
      <c r="TQB68" s="2555">
        <v>0.5</v>
      </c>
      <c r="TQC68" s="2555">
        <v>0.56000000000000005</v>
      </c>
      <c r="TQD68" s="2555">
        <v>0.34</v>
      </c>
      <c r="TQE68" s="2555"/>
      <c r="TQF68" s="2555">
        <v>0.42</v>
      </c>
      <c r="TQG68" s="2553">
        <v>2019</v>
      </c>
      <c r="TQH68" s="2554"/>
      <c r="TQI68" s="2555">
        <v>0.5</v>
      </c>
      <c r="TQJ68" s="2555">
        <v>0.5</v>
      </c>
      <c r="TQK68" s="2555">
        <v>0.56000000000000005</v>
      </c>
      <c r="TQL68" s="2555">
        <v>0.34</v>
      </c>
      <c r="TQM68" s="2555"/>
      <c r="TQN68" s="2555">
        <v>0.42</v>
      </c>
      <c r="TQO68" s="2553">
        <v>2019</v>
      </c>
      <c r="TQP68" s="2554"/>
      <c r="TQQ68" s="2555">
        <v>0.5</v>
      </c>
      <c r="TQR68" s="2555">
        <v>0.5</v>
      </c>
      <c r="TQS68" s="2555">
        <v>0.56000000000000005</v>
      </c>
      <c r="TQT68" s="2555">
        <v>0.34</v>
      </c>
      <c r="TQU68" s="2555"/>
      <c r="TQV68" s="2555">
        <v>0.42</v>
      </c>
      <c r="TQW68" s="2553">
        <v>2019</v>
      </c>
      <c r="TQX68" s="2554"/>
      <c r="TQY68" s="2555">
        <v>0.5</v>
      </c>
      <c r="TQZ68" s="2555">
        <v>0.5</v>
      </c>
      <c r="TRA68" s="2555">
        <v>0.56000000000000005</v>
      </c>
      <c r="TRB68" s="2555">
        <v>0.34</v>
      </c>
      <c r="TRC68" s="2555"/>
      <c r="TRD68" s="2555">
        <v>0.42</v>
      </c>
      <c r="TRE68" s="2553">
        <v>2019</v>
      </c>
      <c r="TRF68" s="2554"/>
      <c r="TRG68" s="2555">
        <v>0.5</v>
      </c>
      <c r="TRH68" s="2555">
        <v>0.5</v>
      </c>
      <c r="TRI68" s="2555">
        <v>0.56000000000000005</v>
      </c>
      <c r="TRJ68" s="2555">
        <v>0.34</v>
      </c>
      <c r="TRK68" s="2555"/>
      <c r="TRL68" s="2555">
        <v>0.42</v>
      </c>
      <c r="TRM68" s="2553">
        <v>2019</v>
      </c>
      <c r="TRN68" s="2554"/>
      <c r="TRO68" s="2555">
        <v>0.5</v>
      </c>
      <c r="TRP68" s="2555">
        <v>0.5</v>
      </c>
      <c r="TRQ68" s="2555">
        <v>0.56000000000000005</v>
      </c>
      <c r="TRR68" s="2555">
        <v>0.34</v>
      </c>
      <c r="TRS68" s="2555"/>
      <c r="TRT68" s="2555">
        <v>0.42</v>
      </c>
      <c r="TRU68" s="2553">
        <v>2019</v>
      </c>
      <c r="TRV68" s="2554"/>
      <c r="TRW68" s="2555">
        <v>0.5</v>
      </c>
      <c r="TRX68" s="2555">
        <v>0.5</v>
      </c>
      <c r="TRY68" s="2555">
        <v>0.56000000000000005</v>
      </c>
      <c r="TRZ68" s="2555">
        <v>0.34</v>
      </c>
      <c r="TSA68" s="2555"/>
      <c r="TSB68" s="2555">
        <v>0.42</v>
      </c>
      <c r="TSC68" s="2553">
        <v>2019</v>
      </c>
      <c r="TSD68" s="2554"/>
      <c r="TSE68" s="2555">
        <v>0.5</v>
      </c>
      <c r="TSF68" s="2555">
        <v>0.5</v>
      </c>
      <c r="TSG68" s="2555">
        <v>0.56000000000000005</v>
      </c>
      <c r="TSH68" s="2555">
        <v>0.34</v>
      </c>
      <c r="TSI68" s="2555"/>
      <c r="TSJ68" s="2555">
        <v>0.42</v>
      </c>
      <c r="TSK68" s="2553">
        <v>2019</v>
      </c>
      <c r="TSL68" s="2554"/>
      <c r="TSM68" s="2555">
        <v>0.5</v>
      </c>
      <c r="TSN68" s="2555">
        <v>0.5</v>
      </c>
      <c r="TSO68" s="2555">
        <v>0.56000000000000005</v>
      </c>
      <c r="TSP68" s="2555">
        <v>0.34</v>
      </c>
      <c r="TSQ68" s="2555"/>
      <c r="TSR68" s="2555">
        <v>0.42</v>
      </c>
      <c r="TSS68" s="2553">
        <v>2019</v>
      </c>
      <c r="TST68" s="2554"/>
      <c r="TSU68" s="2555">
        <v>0.5</v>
      </c>
      <c r="TSV68" s="2555">
        <v>0.5</v>
      </c>
      <c r="TSW68" s="2555">
        <v>0.56000000000000005</v>
      </c>
      <c r="TSX68" s="2555">
        <v>0.34</v>
      </c>
      <c r="TSY68" s="2555"/>
      <c r="TSZ68" s="2555">
        <v>0.42</v>
      </c>
      <c r="TTA68" s="2553">
        <v>2019</v>
      </c>
      <c r="TTB68" s="2554"/>
      <c r="TTC68" s="2555">
        <v>0.5</v>
      </c>
      <c r="TTD68" s="2555">
        <v>0.5</v>
      </c>
      <c r="TTE68" s="2555">
        <v>0.56000000000000005</v>
      </c>
      <c r="TTF68" s="2555">
        <v>0.34</v>
      </c>
      <c r="TTG68" s="2555"/>
      <c r="TTH68" s="2555">
        <v>0.42</v>
      </c>
      <c r="TTI68" s="2553">
        <v>2019</v>
      </c>
      <c r="TTJ68" s="2554"/>
      <c r="TTK68" s="2555">
        <v>0.5</v>
      </c>
      <c r="TTL68" s="2555">
        <v>0.5</v>
      </c>
      <c r="TTM68" s="2555">
        <v>0.56000000000000005</v>
      </c>
      <c r="TTN68" s="2555">
        <v>0.34</v>
      </c>
      <c r="TTO68" s="2555"/>
      <c r="TTP68" s="2555">
        <v>0.42</v>
      </c>
      <c r="TTQ68" s="2553">
        <v>2019</v>
      </c>
      <c r="TTR68" s="2554"/>
      <c r="TTS68" s="2555">
        <v>0.5</v>
      </c>
      <c r="TTT68" s="2555">
        <v>0.5</v>
      </c>
      <c r="TTU68" s="2555">
        <v>0.56000000000000005</v>
      </c>
      <c r="TTV68" s="2555">
        <v>0.34</v>
      </c>
      <c r="TTW68" s="2555"/>
      <c r="TTX68" s="2555">
        <v>0.42</v>
      </c>
      <c r="TTY68" s="2553">
        <v>2019</v>
      </c>
      <c r="TTZ68" s="2554"/>
      <c r="TUA68" s="2555">
        <v>0.5</v>
      </c>
      <c r="TUB68" s="2555">
        <v>0.5</v>
      </c>
      <c r="TUC68" s="2555">
        <v>0.56000000000000005</v>
      </c>
      <c r="TUD68" s="2555">
        <v>0.34</v>
      </c>
      <c r="TUE68" s="2555"/>
      <c r="TUF68" s="2555">
        <v>0.42</v>
      </c>
      <c r="TUG68" s="2553">
        <v>2019</v>
      </c>
      <c r="TUH68" s="2554"/>
      <c r="TUI68" s="2555">
        <v>0.5</v>
      </c>
      <c r="TUJ68" s="2555">
        <v>0.5</v>
      </c>
      <c r="TUK68" s="2555">
        <v>0.56000000000000005</v>
      </c>
      <c r="TUL68" s="2555">
        <v>0.34</v>
      </c>
      <c r="TUM68" s="2555"/>
      <c r="TUN68" s="2555">
        <v>0.42</v>
      </c>
      <c r="TUO68" s="2553">
        <v>2019</v>
      </c>
      <c r="TUP68" s="2554"/>
      <c r="TUQ68" s="2555">
        <v>0.5</v>
      </c>
      <c r="TUR68" s="2555">
        <v>0.5</v>
      </c>
      <c r="TUS68" s="2555">
        <v>0.56000000000000005</v>
      </c>
      <c r="TUT68" s="2555">
        <v>0.34</v>
      </c>
      <c r="TUU68" s="2555"/>
      <c r="TUV68" s="2555">
        <v>0.42</v>
      </c>
      <c r="TUW68" s="2553">
        <v>2019</v>
      </c>
      <c r="TUX68" s="2554"/>
      <c r="TUY68" s="2555">
        <v>0.5</v>
      </c>
      <c r="TUZ68" s="2555">
        <v>0.5</v>
      </c>
      <c r="TVA68" s="2555">
        <v>0.56000000000000005</v>
      </c>
      <c r="TVB68" s="2555">
        <v>0.34</v>
      </c>
      <c r="TVC68" s="2555"/>
      <c r="TVD68" s="2555">
        <v>0.42</v>
      </c>
      <c r="TVE68" s="2553">
        <v>2019</v>
      </c>
      <c r="TVF68" s="2554"/>
      <c r="TVG68" s="2555">
        <v>0.5</v>
      </c>
      <c r="TVH68" s="2555">
        <v>0.5</v>
      </c>
      <c r="TVI68" s="2555">
        <v>0.56000000000000005</v>
      </c>
      <c r="TVJ68" s="2555">
        <v>0.34</v>
      </c>
      <c r="TVK68" s="2555"/>
      <c r="TVL68" s="2555">
        <v>0.42</v>
      </c>
      <c r="TVM68" s="2553">
        <v>2019</v>
      </c>
      <c r="TVN68" s="2554"/>
      <c r="TVO68" s="2555">
        <v>0.5</v>
      </c>
      <c r="TVP68" s="2555">
        <v>0.5</v>
      </c>
      <c r="TVQ68" s="2555">
        <v>0.56000000000000005</v>
      </c>
      <c r="TVR68" s="2555">
        <v>0.34</v>
      </c>
      <c r="TVS68" s="2555"/>
      <c r="TVT68" s="2555">
        <v>0.42</v>
      </c>
      <c r="TVU68" s="2553">
        <v>2019</v>
      </c>
      <c r="TVV68" s="2554"/>
      <c r="TVW68" s="2555">
        <v>0.5</v>
      </c>
      <c r="TVX68" s="2555">
        <v>0.5</v>
      </c>
      <c r="TVY68" s="2555">
        <v>0.56000000000000005</v>
      </c>
      <c r="TVZ68" s="2555">
        <v>0.34</v>
      </c>
      <c r="TWA68" s="2555"/>
      <c r="TWB68" s="2555">
        <v>0.42</v>
      </c>
      <c r="TWC68" s="2553">
        <v>2019</v>
      </c>
      <c r="TWD68" s="2554"/>
      <c r="TWE68" s="2555">
        <v>0.5</v>
      </c>
      <c r="TWF68" s="2555">
        <v>0.5</v>
      </c>
      <c r="TWG68" s="2555">
        <v>0.56000000000000005</v>
      </c>
      <c r="TWH68" s="2555">
        <v>0.34</v>
      </c>
      <c r="TWI68" s="2555"/>
      <c r="TWJ68" s="2555">
        <v>0.42</v>
      </c>
      <c r="TWK68" s="2553">
        <v>2019</v>
      </c>
      <c r="TWL68" s="2554"/>
      <c r="TWM68" s="2555">
        <v>0.5</v>
      </c>
      <c r="TWN68" s="2555">
        <v>0.5</v>
      </c>
      <c r="TWO68" s="2555">
        <v>0.56000000000000005</v>
      </c>
      <c r="TWP68" s="2555">
        <v>0.34</v>
      </c>
      <c r="TWQ68" s="2555"/>
      <c r="TWR68" s="2555">
        <v>0.42</v>
      </c>
      <c r="TWS68" s="2553">
        <v>2019</v>
      </c>
      <c r="TWT68" s="2554"/>
      <c r="TWU68" s="2555">
        <v>0.5</v>
      </c>
      <c r="TWV68" s="2555">
        <v>0.5</v>
      </c>
      <c r="TWW68" s="2555">
        <v>0.56000000000000005</v>
      </c>
      <c r="TWX68" s="2555">
        <v>0.34</v>
      </c>
      <c r="TWY68" s="2555"/>
      <c r="TWZ68" s="2555">
        <v>0.42</v>
      </c>
      <c r="TXA68" s="2553">
        <v>2019</v>
      </c>
      <c r="TXB68" s="2554"/>
      <c r="TXC68" s="2555">
        <v>0.5</v>
      </c>
      <c r="TXD68" s="2555">
        <v>0.5</v>
      </c>
      <c r="TXE68" s="2555">
        <v>0.56000000000000005</v>
      </c>
      <c r="TXF68" s="2555">
        <v>0.34</v>
      </c>
      <c r="TXG68" s="2555"/>
      <c r="TXH68" s="2555">
        <v>0.42</v>
      </c>
      <c r="TXI68" s="2553">
        <v>2019</v>
      </c>
      <c r="TXJ68" s="2554"/>
      <c r="TXK68" s="2555">
        <v>0.5</v>
      </c>
      <c r="TXL68" s="2555">
        <v>0.5</v>
      </c>
      <c r="TXM68" s="2555">
        <v>0.56000000000000005</v>
      </c>
      <c r="TXN68" s="2555">
        <v>0.34</v>
      </c>
      <c r="TXO68" s="2555"/>
      <c r="TXP68" s="2555">
        <v>0.42</v>
      </c>
      <c r="TXQ68" s="2553">
        <v>2019</v>
      </c>
      <c r="TXR68" s="2554"/>
      <c r="TXS68" s="2555">
        <v>0.5</v>
      </c>
      <c r="TXT68" s="2555">
        <v>0.5</v>
      </c>
      <c r="TXU68" s="2555">
        <v>0.56000000000000005</v>
      </c>
      <c r="TXV68" s="2555">
        <v>0.34</v>
      </c>
      <c r="TXW68" s="2555"/>
      <c r="TXX68" s="2555">
        <v>0.42</v>
      </c>
      <c r="TXY68" s="2553">
        <v>2019</v>
      </c>
      <c r="TXZ68" s="2554"/>
      <c r="TYA68" s="2555">
        <v>0.5</v>
      </c>
      <c r="TYB68" s="2555">
        <v>0.5</v>
      </c>
      <c r="TYC68" s="2555">
        <v>0.56000000000000005</v>
      </c>
      <c r="TYD68" s="2555">
        <v>0.34</v>
      </c>
      <c r="TYE68" s="2555"/>
      <c r="TYF68" s="2555">
        <v>0.42</v>
      </c>
      <c r="TYG68" s="2553">
        <v>2019</v>
      </c>
      <c r="TYH68" s="2554"/>
      <c r="TYI68" s="2555">
        <v>0.5</v>
      </c>
      <c r="TYJ68" s="2555">
        <v>0.5</v>
      </c>
      <c r="TYK68" s="2555">
        <v>0.56000000000000005</v>
      </c>
      <c r="TYL68" s="2555">
        <v>0.34</v>
      </c>
      <c r="TYM68" s="2555"/>
      <c r="TYN68" s="2555">
        <v>0.42</v>
      </c>
      <c r="TYO68" s="2553">
        <v>2019</v>
      </c>
      <c r="TYP68" s="2554"/>
      <c r="TYQ68" s="2555">
        <v>0.5</v>
      </c>
      <c r="TYR68" s="2555">
        <v>0.5</v>
      </c>
      <c r="TYS68" s="2555">
        <v>0.56000000000000005</v>
      </c>
      <c r="TYT68" s="2555">
        <v>0.34</v>
      </c>
      <c r="TYU68" s="2555"/>
      <c r="TYV68" s="2555">
        <v>0.42</v>
      </c>
      <c r="TYW68" s="2553">
        <v>2019</v>
      </c>
      <c r="TYX68" s="2554"/>
      <c r="TYY68" s="2555">
        <v>0.5</v>
      </c>
      <c r="TYZ68" s="2555">
        <v>0.5</v>
      </c>
      <c r="TZA68" s="2555">
        <v>0.56000000000000005</v>
      </c>
      <c r="TZB68" s="2555">
        <v>0.34</v>
      </c>
      <c r="TZC68" s="2555"/>
      <c r="TZD68" s="2555">
        <v>0.42</v>
      </c>
      <c r="TZE68" s="2553">
        <v>2019</v>
      </c>
      <c r="TZF68" s="2554"/>
      <c r="TZG68" s="2555">
        <v>0.5</v>
      </c>
      <c r="TZH68" s="2555">
        <v>0.5</v>
      </c>
      <c r="TZI68" s="2555">
        <v>0.56000000000000005</v>
      </c>
      <c r="TZJ68" s="2555">
        <v>0.34</v>
      </c>
      <c r="TZK68" s="2555"/>
      <c r="TZL68" s="2555">
        <v>0.42</v>
      </c>
      <c r="TZM68" s="2553">
        <v>2019</v>
      </c>
      <c r="TZN68" s="2554"/>
      <c r="TZO68" s="2555">
        <v>0.5</v>
      </c>
      <c r="TZP68" s="2555">
        <v>0.5</v>
      </c>
      <c r="TZQ68" s="2555">
        <v>0.56000000000000005</v>
      </c>
      <c r="TZR68" s="2555">
        <v>0.34</v>
      </c>
      <c r="TZS68" s="2555"/>
      <c r="TZT68" s="2555">
        <v>0.42</v>
      </c>
      <c r="TZU68" s="2553">
        <v>2019</v>
      </c>
      <c r="TZV68" s="2554"/>
      <c r="TZW68" s="2555">
        <v>0.5</v>
      </c>
      <c r="TZX68" s="2555">
        <v>0.5</v>
      </c>
      <c r="TZY68" s="2555">
        <v>0.56000000000000005</v>
      </c>
      <c r="TZZ68" s="2555">
        <v>0.34</v>
      </c>
      <c r="UAA68" s="2555"/>
      <c r="UAB68" s="2555">
        <v>0.42</v>
      </c>
      <c r="UAC68" s="2553">
        <v>2019</v>
      </c>
      <c r="UAD68" s="2554"/>
      <c r="UAE68" s="2555">
        <v>0.5</v>
      </c>
      <c r="UAF68" s="2555">
        <v>0.5</v>
      </c>
      <c r="UAG68" s="2555">
        <v>0.56000000000000005</v>
      </c>
      <c r="UAH68" s="2555">
        <v>0.34</v>
      </c>
      <c r="UAI68" s="2555"/>
      <c r="UAJ68" s="2555">
        <v>0.42</v>
      </c>
      <c r="UAK68" s="2553">
        <v>2019</v>
      </c>
      <c r="UAL68" s="2554"/>
      <c r="UAM68" s="2555">
        <v>0.5</v>
      </c>
      <c r="UAN68" s="2555">
        <v>0.5</v>
      </c>
      <c r="UAO68" s="2555">
        <v>0.56000000000000005</v>
      </c>
      <c r="UAP68" s="2555">
        <v>0.34</v>
      </c>
      <c r="UAQ68" s="2555"/>
      <c r="UAR68" s="2555">
        <v>0.42</v>
      </c>
      <c r="UAS68" s="2553">
        <v>2019</v>
      </c>
      <c r="UAT68" s="2554"/>
      <c r="UAU68" s="2555">
        <v>0.5</v>
      </c>
      <c r="UAV68" s="2555">
        <v>0.5</v>
      </c>
      <c r="UAW68" s="2555">
        <v>0.56000000000000005</v>
      </c>
      <c r="UAX68" s="2555">
        <v>0.34</v>
      </c>
      <c r="UAY68" s="2555"/>
      <c r="UAZ68" s="2555">
        <v>0.42</v>
      </c>
      <c r="UBA68" s="2553">
        <v>2019</v>
      </c>
      <c r="UBB68" s="2554"/>
      <c r="UBC68" s="2555">
        <v>0.5</v>
      </c>
      <c r="UBD68" s="2555">
        <v>0.5</v>
      </c>
      <c r="UBE68" s="2555">
        <v>0.56000000000000005</v>
      </c>
      <c r="UBF68" s="2555">
        <v>0.34</v>
      </c>
      <c r="UBG68" s="2555"/>
      <c r="UBH68" s="2555">
        <v>0.42</v>
      </c>
      <c r="UBI68" s="2553">
        <v>2019</v>
      </c>
      <c r="UBJ68" s="2554"/>
      <c r="UBK68" s="2555">
        <v>0.5</v>
      </c>
      <c r="UBL68" s="2555">
        <v>0.5</v>
      </c>
      <c r="UBM68" s="2555">
        <v>0.56000000000000005</v>
      </c>
      <c r="UBN68" s="2555">
        <v>0.34</v>
      </c>
      <c r="UBO68" s="2555"/>
      <c r="UBP68" s="2555">
        <v>0.42</v>
      </c>
      <c r="UBQ68" s="2553">
        <v>2019</v>
      </c>
      <c r="UBR68" s="2554"/>
      <c r="UBS68" s="2555">
        <v>0.5</v>
      </c>
      <c r="UBT68" s="2555">
        <v>0.5</v>
      </c>
      <c r="UBU68" s="2555">
        <v>0.56000000000000005</v>
      </c>
      <c r="UBV68" s="2555">
        <v>0.34</v>
      </c>
      <c r="UBW68" s="2555"/>
      <c r="UBX68" s="2555">
        <v>0.42</v>
      </c>
      <c r="UBY68" s="2553">
        <v>2019</v>
      </c>
      <c r="UBZ68" s="2554"/>
      <c r="UCA68" s="2555">
        <v>0.5</v>
      </c>
      <c r="UCB68" s="2555">
        <v>0.5</v>
      </c>
      <c r="UCC68" s="2555">
        <v>0.56000000000000005</v>
      </c>
      <c r="UCD68" s="2555">
        <v>0.34</v>
      </c>
      <c r="UCE68" s="2555"/>
      <c r="UCF68" s="2555">
        <v>0.42</v>
      </c>
      <c r="UCG68" s="2553">
        <v>2019</v>
      </c>
      <c r="UCH68" s="2554"/>
      <c r="UCI68" s="2555">
        <v>0.5</v>
      </c>
      <c r="UCJ68" s="2555">
        <v>0.5</v>
      </c>
      <c r="UCK68" s="2555">
        <v>0.56000000000000005</v>
      </c>
      <c r="UCL68" s="2555">
        <v>0.34</v>
      </c>
      <c r="UCM68" s="2555"/>
      <c r="UCN68" s="2555">
        <v>0.42</v>
      </c>
      <c r="UCO68" s="2553">
        <v>2019</v>
      </c>
      <c r="UCP68" s="2554"/>
      <c r="UCQ68" s="2555">
        <v>0.5</v>
      </c>
      <c r="UCR68" s="2555">
        <v>0.5</v>
      </c>
      <c r="UCS68" s="2555">
        <v>0.56000000000000005</v>
      </c>
      <c r="UCT68" s="2555">
        <v>0.34</v>
      </c>
      <c r="UCU68" s="2555"/>
      <c r="UCV68" s="2555">
        <v>0.42</v>
      </c>
      <c r="UCW68" s="2553">
        <v>2019</v>
      </c>
      <c r="UCX68" s="2554"/>
      <c r="UCY68" s="2555">
        <v>0.5</v>
      </c>
      <c r="UCZ68" s="2555">
        <v>0.5</v>
      </c>
      <c r="UDA68" s="2555">
        <v>0.56000000000000005</v>
      </c>
      <c r="UDB68" s="2555">
        <v>0.34</v>
      </c>
      <c r="UDC68" s="2555"/>
      <c r="UDD68" s="2555">
        <v>0.42</v>
      </c>
      <c r="UDE68" s="2553">
        <v>2019</v>
      </c>
      <c r="UDF68" s="2554"/>
      <c r="UDG68" s="2555">
        <v>0.5</v>
      </c>
      <c r="UDH68" s="2555">
        <v>0.5</v>
      </c>
      <c r="UDI68" s="2555">
        <v>0.56000000000000005</v>
      </c>
      <c r="UDJ68" s="2555">
        <v>0.34</v>
      </c>
      <c r="UDK68" s="2555"/>
      <c r="UDL68" s="2555">
        <v>0.42</v>
      </c>
      <c r="UDM68" s="2553">
        <v>2019</v>
      </c>
      <c r="UDN68" s="2554"/>
      <c r="UDO68" s="2555">
        <v>0.5</v>
      </c>
      <c r="UDP68" s="2555">
        <v>0.5</v>
      </c>
      <c r="UDQ68" s="2555">
        <v>0.56000000000000005</v>
      </c>
      <c r="UDR68" s="2555">
        <v>0.34</v>
      </c>
      <c r="UDS68" s="2555"/>
      <c r="UDT68" s="2555">
        <v>0.42</v>
      </c>
      <c r="UDU68" s="2553">
        <v>2019</v>
      </c>
      <c r="UDV68" s="2554"/>
      <c r="UDW68" s="2555">
        <v>0.5</v>
      </c>
      <c r="UDX68" s="2555">
        <v>0.5</v>
      </c>
      <c r="UDY68" s="2555">
        <v>0.56000000000000005</v>
      </c>
      <c r="UDZ68" s="2555">
        <v>0.34</v>
      </c>
      <c r="UEA68" s="2555"/>
      <c r="UEB68" s="2555">
        <v>0.42</v>
      </c>
      <c r="UEC68" s="2553">
        <v>2019</v>
      </c>
      <c r="UED68" s="2554"/>
      <c r="UEE68" s="2555">
        <v>0.5</v>
      </c>
      <c r="UEF68" s="2555">
        <v>0.5</v>
      </c>
      <c r="UEG68" s="2555">
        <v>0.56000000000000005</v>
      </c>
      <c r="UEH68" s="2555">
        <v>0.34</v>
      </c>
      <c r="UEI68" s="2555"/>
      <c r="UEJ68" s="2555">
        <v>0.42</v>
      </c>
      <c r="UEK68" s="2553">
        <v>2019</v>
      </c>
      <c r="UEL68" s="2554"/>
      <c r="UEM68" s="2555">
        <v>0.5</v>
      </c>
      <c r="UEN68" s="2555">
        <v>0.5</v>
      </c>
      <c r="UEO68" s="2555">
        <v>0.56000000000000005</v>
      </c>
      <c r="UEP68" s="2555">
        <v>0.34</v>
      </c>
      <c r="UEQ68" s="2555"/>
      <c r="UER68" s="2555">
        <v>0.42</v>
      </c>
      <c r="UES68" s="2553">
        <v>2019</v>
      </c>
      <c r="UET68" s="2554"/>
      <c r="UEU68" s="2555">
        <v>0.5</v>
      </c>
      <c r="UEV68" s="2555">
        <v>0.5</v>
      </c>
      <c r="UEW68" s="2555">
        <v>0.56000000000000005</v>
      </c>
      <c r="UEX68" s="2555">
        <v>0.34</v>
      </c>
      <c r="UEY68" s="2555"/>
      <c r="UEZ68" s="2555">
        <v>0.42</v>
      </c>
      <c r="UFA68" s="2553">
        <v>2019</v>
      </c>
      <c r="UFB68" s="2554"/>
      <c r="UFC68" s="2555">
        <v>0.5</v>
      </c>
      <c r="UFD68" s="2555">
        <v>0.5</v>
      </c>
      <c r="UFE68" s="2555">
        <v>0.56000000000000005</v>
      </c>
      <c r="UFF68" s="2555">
        <v>0.34</v>
      </c>
      <c r="UFG68" s="2555"/>
      <c r="UFH68" s="2555">
        <v>0.42</v>
      </c>
      <c r="UFI68" s="2553">
        <v>2019</v>
      </c>
      <c r="UFJ68" s="2554"/>
      <c r="UFK68" s="2555">
        <v>0.5</v>
      </c>
      <c r="UFL68" s="2555">
        <v>0.5</v>
      </c>
      <c r="UFM68" s="2555">
        <v>0.56000000000000005</v>
      </c>
      <c r="UFN68" s="2555">
        <v>0.34</v>
      </c>
      <c r="UFO68" s="2555"/>
      <c r="UFP68" s="2555">
        <v>0.42</v>
      </c>
      <c r="UFQ68" s="2553">
        <v>2019</v>
      </c>
      <c r="UFR68" s="2554"/>
      <c r="UFS68" s="2555">
        <v>0.5</v>
      </c>
      <c r="UFT68" s="2555">
        <v>0.5</v>
      </c>
      <c r="UFU68" s="2555">
        <v>0.56000000000000005</v>
      </c>
      <c r="UFV68" s="2555">
        <v>0.34</v>
      </c>
      <c r="UFW68" s="2555"/>
      <c r="UFX68" s="2555">
        <v>0.42</v>
      </c>
      <c r="UFY68" s="2553">
        <v>2019</v>
      </c>
      <c r="UFZ68" s="2554"/>
      <c r="UGA68" s="2555">
        <v>0.5</v>
      </c>
      <c r="UGB68" s="2555">
        <v>0.5</v>
      </c>
      <c r="UGC68" s="2555">
        <v>0.56000000000000005</v>
      </c>
      <c r="UGD68" s="2555">
        <v>0.34</v>
      </c>
      <c r="UGE68" s="2555"/>
      <c r="UGF68" s="2555">
        <v>0.42</v>
      </c>
      <c r="UGG68" s="2553">
        <v>2019</v>
      </c>
      <c r="UGH68" s="2554"/>
      <c r="UGI68" s="2555">
        <v>0.5</v>
      </c>
      <c r="UGJ68" s="2555">
        <v>0.5</v>
      </c>
      <c r="UGK68" s="2555">
        <v>0.56000000000000005</v>
      </c>
      <c r="UGL68" s="2555">
        <v>0.34</v>
      </c>
      <c r="UGM68" s="2555"/>
      <c r="UGN68" s="2555">
        <v>0.42</v>
      </c>
      <c r="UGO68" s="2553">
        <v>2019</v>
      </c>
      <c r="UGP68" s="2554"/>
      <c r="UGQ68" s="2555">
        <v>0.5</v>
      </c>
      <c r="UGR68" s="2555">
        <v>0.5</v>
      </c>
      <c r="UGS68" s="2555">
        <v>0.56000000000000005</v>
      </c>
      <c r="UGT68" s="2555">
        <v>0.34</v>
      </c>
      <c r="UGU68" s="2555"/>
      <c r="UGV68" s="2555">
        <v>0.42</v>
      </c>
      <c r="UGW68" s="2553">
        <v>2019</v>
      </c>
      <c r="UGX68" s="2554"/>
      <c r="UGY68" s="2555">
        <v>0.5</v>
      </c>
      <c r="UGZ68" s="2555">
        <v>0.5</v>
      </c>
      <c r="UHA68" s="2555">
        <v>0.56000000000000005</v>
      </c>
      <c r="UHB68" s="2555">
        <v>0.34</v>
      </c>
      <c r="UHC68" s="2555"/>
      <c r="UHD68" s="2555">
        <v>0.42</v>
      </c>
      <c r="UHE68" s="2553">
        <v>2019</v>
      </c>
      <c r="UHF68" s="2554"/>
      <c r="UHG68" s="2555">
        <v>0.5</v>
      </c>
      <c r="UHH68" s="2555">
        <v>0.5</v>
      </c>
      <c r="UHI68" s="2555">
        <v>0.56000000000000005</v>
      </c>
      <c r="UHJ68" s="2555">
        <v>0.34</v>
      </c>
      <c r="UHK68" s="2555"/>
      <c r="UHL68" s="2555">
        <v>0.42</v>
      </c>
      <c r="UHM68" s="2553">
        <v>2019</v>
      </c>
      <c r="UHN68" s="2554"/>
      <c r="UHO68" s="2555">
        <v>0.5</v>
      </c>
      <c r="UHP68" s="2555">
        <v>0.5</v>
      </c>
      <c r="UHQ68" s="2555">
        <v>0.56000000000000005</v>
      </c>
      <c r="UHR68" s="2555">
        <v>0.34</v>
      </c>
      <c r="UHS68" s="2555"/>
      <c r="UHT68" s="2555">
        <v>0.42</v>
      </c>
      <c r="UHU68" s="2553">
        <v>2019</v>
      </c>
      <c r="UHV68" s="2554"/>
      <c r="UHW68" s="2555">
        <v>0.5</v>
      </c>
      <c r="UHX68" s="2555">
        <v>0.5</v>
      </c>
      <c r="UHY68" s="2555">
        <v>0.56000000000000005</v>
      </c>
      <c r="UHZ68" s="2555">
        <v>0.34</v>
      </c>
      <c r="UIA68" s="2555"/>
      <c r="UIB68" s="2555">
        <v>0.42</v>
      </c>
      <c r="UIC68" s="2553">
        <v>2019</v>
      </c>
      <c r="UID68" s="2554"/>
      <c r="UIE68" s="2555">
        <v>0.5</v>
      </c>
      <c r="UIF68" s="2555">
        <v>0.5</v>
      </c>
      <c r="UIG68" s="2555">
        <v>0.56000000000000005</v>
      </c>
      <c r="UIH68" s="2555">
        <v>0.34</v>
      </c>
      <c r="UII68" s="2555"/>
      <c r="UIJ68" s="2555">
        <v>0.42</v>
      </c>
      <c r="UIK68" s="2553">
        <v>2019</v>
      </c>
      <c r="UIL68" s="2554"/>
      <c r="UIM68" s="2555">
        <v>0.5</v>
      </c>
      <c r="UIN68" s="2555">
        <v>0.5</v>
      </c>
      <c r="UIO68" s="2555">
        <v>0.56000000000000005</v>
      </c>
      <c r="UIP68" s="2555">
        <v>0.34</v>
      </c>
      <c r="UIQ68" s="2555"/>
      <c r="UIR68" s="2555">
        <v>0.42</v>
      </c>
      <c r="UIS68" s="2553">
        <v>2019</v>
      </c>
      <c r="UIT68" s="2554"/>
      <c r="UIU68" s="2555">
        <v>0.5</v>
      </c>
      <c r="UIV68" s="2555">
        <v>0.5</v>
      </c>
      <c r="UIW68" s="2555">
        <v>0.56000000000000005</v>
      </c>
      <c r="UIX68" s="2555">
        <v>0.34</v>
      </c>
      <c r="UIY68" s="2555"/>
      <c r="UIZ68" s="2555">
        <v>0.42</v>
      </c>
      <c r="UJA68" s="2553">
        <v>2019</v>
      </c>
      <c r="UJB68" s="2554"/>
      <c r="UJC68" s="2555">
        <v>0.5</v>
      </c>
      <c r="UJD68" s="2555">
        <v>0.5</v>
      </c>
      <c r="UJE68" s="2555">
        <v>0.56000000000000005</v>
      </c>
      <c r="UJF68" s="2555">
        <v>0.34</v>
      </c>
      <c r="UJG68" s="2555"/>
      <c r="UJH68" s="2555">
        <v>0.42</v>
      </c>
      <c r="UJI68" s="2553">
        <v>2019</v>
      </c>
      <c r="UJJ68" s="2554"/>
      <c r="UJK68" s="2555">
        <v>0.5</v>
      </c>
      <c r="UJL68" s="2555">
        <v>0.5</v>
      </c>
      <c r="UJM68" s="2555">
        <v>0.56000000000000005</v>
      </c>
      <c r="UJN68" s="2555">
        <v>0.34</v>
      </c>
      <c r="UJO68" s="2555"/>
      <c r="UJP68" s="2555">
        <v>0.42</v>
      </c>
      <c r="UJQ68" s="2553">
        <v>2019</v>
      </c>
      <c r="UJR68" s="2554"/>
      <c r="UJS68" s="2555">
        <v>0.5</v>
      </c>
      <c r="UJT68" s="2555">
        <v>0.5</v>
      </c>
      <c r="UJU68" s="2555">
        <v>0.56000000000000005</v>
      </c>
      <c r="UJV68" s="2555">
        <v>0.34</v>
      </c>
      <c r="UJW68" s="2555"/>
      <c r="UJX68" s="2555">
        <v>0.42</v>
      </c>
      <c r="UJY68" s="2553">
        <v>2019</v>
      </c>
      <c r="UJZ68" s="2554"/>
      <c r="UKA68" s="2555">
        <v>0.5</v>
      </c>
      <c r="UKB68" s="2555">
        <v>0.5</v>
      </c>
      <c r="UKC68" s="2555">
        <v>0.56000000000000005</v>
      </c>
      <c r="UKD68" s="2555">
        <v>0.34</v>
      </c>
      <c r="UKE68" s="2555"/>
      <c r="UKF68" s="2555">
        <v>0.42</v>
      </c>
      <c r="UKG68" s="2553">
        <v>2019</v>
      </c>
      <c r="UKH68" s="2554"/>
      <c r="UKI68" s="2555">
        <v>0.5</v>
      </c>
      <c r="UKJ68" s="2555">
        <v>0.5</v>
      </c>
      <c r="UKK68" s="2555">
        <v>0.56000000000000005</v>
      </c>
      <c r="UKL68" s="2555">
        <v>0.34</v>
      </c>
      <c r="UKM68" s="2555"/>
      <c r="UKN68" s="2555">
        <v>0.42</v>
      </c>
      <c r="UKO68" s="2553">
        <v>2019</v>
      </c>
      <c r="UKP68" s="2554"/>
      <c r="UKQ68" s="2555">
        <v>0.5</v>
      </c>
      <c r="UKR68" s="2555">
        <v>0.5</v>
      </c>
      <c r="UKS68" s="2555">
        <v>0.56000000000000005</v>
      </c>
      <c r="UKT68" s="2555">
        <v>0.34</v>
      </c>
      <c r="UKU68" s="2555"/>
      <c r="UKV68" s="2555">
        <v>0.42</v>
      </c>
      <c r="UKW68" s="2553">
        <v>2019</v>
      </c>
      <c r="UKX68" s="2554"/>
      <c r="UKY68" s="2555">
        <v>0.5</v>
      </c>
      <c r="UKZ68" s="2555">
        <v>0.5</v>
      </c>
      <c r="ULA68" s="2555">
        <v>0.56000000000000005</v>
      </c>
      <c r="ULB68" s="2555">
        <v>0.34</v>
      </c>
      <c r="ULC68" s="2555"/>
      <c r="ULD68" s="2555">
        <v>0.42</v>
      </c>
      <c r="ULE68" s="2553">
        <v>2019</v>
      </c>
      <c r="ULF68" s="2554"/>
      <c r="ULG68" s="2555">
        <v>0.5</v>
      </c>
      <c r="ULH68" s="2555">
        <v>0.5</v>
      </c>
      <c r="ULI68" s="2555">
        <v>0.56000000000000005</v>
      </c>
      <c r="ULJ68" s="2555">
        <v>0.34</v>
      </c>
      <c r="ULK68" s="2555"/>
      <c r="ULL68" s="2555">
        <v>0.42</v>
      </c>
      <c r="ULM68" s="2553">
        <v>2019</v>
      </c>
      <c r="ULN68" s="2554"/>
      <c r="ULO68" s="2555">
        <v>0.5</v>
      </c>
      <c r="ULP68" s="2555">
        <v>0.5</v>
      </c>
      <c r="ULQ68" s="2555">
        <v>0.56000000000000005</v>
      </c>
      <c r="ULR68" s="2555">
        <v>0.34</v>
      </c>
      <c r="ULS68" s="2555"/>
      <c r="ULT68" s="2555">
        <v>0.42</v>
      </c>
      <c r="ULU68" s="2553">
        <v>2019</v>
      </c>
      <c r="ULV68" s="2554"/>
      <c r="ULW68" s="2555">
        <v>0.5</v>
      </c>
      <c r="ULX68" s="2555">
        <v>0.5</v>
      </c>
      <c r="ULY68" s="2555">
        <v>0.56000000000000005</v>
      </c>
      <c r="ULZ68" s="2555">
        <v>0.34</v>
      </c>
      <c r="UMA68" s="2555"/>
      <c r="UMB68" s="2555">
        <v>0.42</v>
      </c>
      <c r="UMC68" s="2553">
        <v>2019</v>
      </c>
      <c r="UMD68" s="2554"/>
      <c r="UME68" s="2555">
        <v>0.5</v>
      </c>
      <c r="UMF68" s="2555">
        <v>0.5</v>
      </c>
      <c r="UMG68" s="2555">
        <v>0.56000000000000005</v>
      </c>
      <c r="UMH68" s="2555">
        <v>0.34</v>
      </c>
      <c r="UMI68" s="2555"/>
      <c r="UMJ68" s="2555">
        <v>0.42</v>
      </c>
      <c r="UMK68" s="2553">
        <v>2019</v>
      </c>
      <c r="UML68" s="2554"/>
      <c r="UMM68" s="2555">
        <v>0.5</v>
      </c>
      <c r="UMN68" s="2555">
        <v>0.5</v>
      </c>
      <c r="UMO68" s="2555">
        <v>0.56000000000000005</v>
      </c>
      <c r="UMP68" s="2555">
        <v>0.34</v>
      </c>
      <c r="UMQ68" s="2555"/>
      <c r="UMR68" s="2555">
        <v>0.42</v>
      </c>
      <c r="UMS68" s="2553">
        <v>2019</v>
      </c>
      <c r="UMT68" s="2554"/>
      <c r="UMU68" s="2555">
        <v>0.5</v>
      </c>
      <c r="UMV68" s="2555">
        <v>0.5</v>
      </c>
      <c r="UMW68" s="2555">
        <v>0.56000000000000005</v>
      </c>
      <c r="UMX68" s="2555">
        <v>0.34</v>
      </c>
      <c r="UMY68" s="2555"/>
      <c r="UMZ68" s="2555">
        <v>0.42</v>
      </c>
      <c r="UNA68" s="2553">
        <v>2019</v>
      </c>
      <c r="UNB68" s="2554"/>
      <c r="UNC68" s="2555">
        <v>0.5</v>
      </c>
      <c r="UND68" s="2555">
        <v>0.5</v>
      </c>
      <c r="UNE68" s="2555">
        <v>0.56000000000000005</v>
      </c>
      <c r="UNF68" s="2555">
        <v>0.34</v>
      </c>
      <c r="UNG68" s="2555"/>
      <c r="UNH68" s="2555">
        <v>0.42</v>
      </c>
      <c r="UNI68" s="2553">
        <v>2019</v>
      </c>
      <c r="UNJ68" s="2554"/>
      <c r="UNK68" s="2555">
        <v>0.5</v>
      </c>
      <c r="UNL68" s="2555">
        <v>0.5</v>
      </c>
      <c r="UNM68" s="2555">
        <v>0.56000000000000005</v>
      </c>
      <c r="UNN68" s="2555">
        <v>0.34</v>
      </c>
      <c r="UNO68" s="2555"/>
      <c r="UNP68" s="2555">
        <v>0.42</v>
      </c>
      <c r="UNQ68" s="2553">
        <v>2019</v>
      </c>
      <c r="UNR68" s="2554"/>
      <c r="UNS68" s="2555">
        <v>0.5</v>
      </c>
      <c r="UNT68" s="2555">
        <v>0.5</v>
      </c>
      <c r="UNU68" s="2555">
        <v>0.56000000000000005</v>
      </c>
      <c r="UNV68" s="2555">
        <v>0.34</v>
      </c>
      <c r="UNW68" s="2555"/>
      <c r="UNX68" s="2555">
        <v>0.42</v>
      </c>
      <c r="UNY68" s="2553">
        <v>2019</v>
      </c>
      <c r="UNZ68" s="2554"/>
      <c r="UOA68" s="2555">
        <v>0.5</v>
      </c>
      <c r="UOB68" s="2555">
        <v>0.5</v>
      </c>
      <c r="UOC68" s="2555">
        <v>0.56000000000000005</v>
      </c>
      <c r="UOD68" s="2555">
        <v>0.34</v>
      </c>
      <c r="UOE68" s="2555"/>
      <c r="UOF68" s="2555">
        <v>0.42</v>
      </c>
      <c r="UOG68" s="2553">
        <v>2019</v>
      </c>
      <c r="UOH68" s="2554"/>
      <c r="UOI68" s="2555">
        <v>0.5</v>
      </c>
      <c r="UOJ68" s="2555">
        <v>0.5</v>
      </c>
      <c r="UOK68" s="2555">
        <v>0.56000000000000005</v>
      </c>
      <c r="UOL68" s="2555">
        <v>0.34</v>
      </c>
      <c r="UOM68" s="2555"/>
      <c r="UON68" s="2555">
        <v>0.42</v>
      </c>
      <c r="UOO68" s="2553">
        <v>2019</v>
      </c>
      <c r="UOP68" s="2554"/>
      <c r="UOQ68" s="2555">
        <v>0.5</v>
      </c>
      <c r="UOR68" s="2555">
        <v>0.5</v>
      </c>
      <c r="UOS68" s="2555">
        <v>0.56000000000000005</v>
      </c>
      <c r="UOT68" s="2555">
        <v>0.34</v>
      </c>
      <c r="UOU68" s="2555"/>
      <c r="UOV68" s="2555">
        <v>0.42</v>
      </c>
      <c r="UOW68" s="2553">
        <v>2019</v>
      </c>
      <c r="UOX68" s="2554"/>
      <c r="UOY68" s="2555">
        <v>0.5</v>
      </c>
      <c r="UOZ68" s="2555">
        <v>0.5</v>
      </c>
      <c r="UPA68" s="2555">
        <v>0.56000000000000005</v>
      </c>
      <c r="UPB68" s="2555">
        <v>0.34</v>
      </c>
      <c r="UPC68" s="2555"/>
      <c r="UPD68" s="2555">
        <v>0.42</v>
      </c>
      <c r="UPE68" s="2553">
        <v>2019</v>
      </c>
      <c r="UPF68" s="2554"/>
      <c r="UPG68" s="2555">
        <v>0.5</v>
      </c>
      <c r="UPH68" s="2555">
        <v>0.5</v>
      </c>
      <c r="UPI68" s="2555">
        <v>0.56000000000000005</v>
      </c>
      <c r="UPJ68" s="2555">
        <v>0.34</v>
      </c>
      <c r="UPK68" s="2555"/>
      <c r="UPL68" s="2555">
        <v>0.42</v>
      </c>
      <c r="UPM68" s="2553">
        <v>2019</v>
      </c>
      <c r="UPN68" s="2554"/>
      <c r="UPO68" s="2555">
        <v>0.5</v>
      </c>
      <c r="UPP68" s="2555">
        <v>0.5</v>
      </c>
      <c r="UPQ68" s="2555">
        <v>0.56000000000000005</v>
      </c>
      <c r="UPR68" s="2555">
        <v>0.34</v>
      </c>
      <c r="UPS68" s="2555"/>
      <c r="UPT68" s="2555">
        <v>0.42</v>
      </c>
      <c r="UPU68" s="2553">
        <v>2019</v>
      </c>
      <c r="UPV68" s="2554"/>
      <c r="UPW68" s="2555">
        <v>0.5</v>
      </c>
      <c r="UPX68" s="2555">
        <v>0.5</v>
      </c>
      <c r="UPY68" s="2555">
        <v>0.56000000000000005</v>
      </c>
      <c r="UPZ68" s="2555">
        <v>0.34</v>
      </c>
      <c r="UQA68" s="2555"/>
      <c r="UQB68" s="2555">
        <v>0.42</v>
      </c>
      <c r="UQC68" s="2553">
        <v>2019</v>
      </c>
      <c r="UQD68" s="2554"/>
      <c r="UQE68" s="2555">
        <v>0.5</v>
      </c>
      <c r="UQF68" s="2555">
        <v>0.5</v>
      </c>
      <c r="UQG68" s="2555">
        <v>0.56000000000000005</v>
      </c>
      <c r="UQH68" s="2555">
        <v>0.34</v>
      </c>
      <c r="UQI68" s="2555"/>
      <c r="UQJ68" s="2555">
        <v>0.42</v>
      </c>
      <c r="UQK68" s="2553">
        <v>2019</v>
      </c>
      <c r="UQL68" s="2554"/>
      <c r="UQM68" s="2555">
        <v>0.5</v>
      </c>
      <c r="UQN68" s="2555">
        <v>0.5</v>
      </c>
      <c r="UQO68" s="2555">
        <v>0.56000000000000005</v>
      </c>
      <c r="UQP68" s="2555">
        <v>0.34</v>
      </c>
      <c r="UQQ68" s="2555"/>
      <c r="UQR68" s="2555">
        <v>0.42</v>
      </c>
      <c r="UQS68" s="2553">
        <v>2019</v>
      </c>
      <c r="UQT68" s="2554"/>
      <c r="UQU68" s="2555">
        <v>0.5</v>
      </c>
      <c r="UQV68" s="2555">
        <v>0.5</v>
      </c>
      <c r="UQW68" s="2555">
        <v>0.56000000000000005</v>
      </c>
      <c r="UQX68" s="2555">
        <v>0.34</v>
      </c>
      <c r="UQY68" s="2555"/>
      <c r="UQZ68" s="2555">
        <v>0.42</v>
      </c>
      <c r="URA68" s="2553">
        <v>2019</v>
      </c>
      <c r="URB68" s="2554"/>
      <c r="URC68" s="2555">
        <v>0.5</v>
      </c>
      <c r="URD68" s="2555">
        <v>0.5</v>
      </c>
      <c r="URE68" s="2555">
        <v>0.56000000000000005</v>
      </c>
      <c r="URF68" s="2555">
        <v>0.34</v>
      </c>
      <c r="URG68" s="2555"/>
      <c r="URH68" s="2555">
        <v>0.42</v>
      </c>
      <c r="URI68" s="2553">
        <v>2019</v>
      </c>
      <c r="URJ68" s="2554"/>
      <c r="URK68" s="2555">
        <v>0.5</v>
      </c>
      <c r="URL68" s="2555">
        <v>0.5</v>
      </c>
      <c r="URM68" s="2555">
        <v>0.56000000000000005</v>
      </c>
      <c r="URN68" s="2555">
        <v>0.34</v>
      </c>
      <c r="URO68" s="2555"/>
      <c r="URP68" s="2555">
        <v>0.42</v>
      </c>
      <c r="URQ68" s="2553">
        <v>2019</v>
      </c>
      <c r="URR68" s="2554"/>
      <c r="URS68" s="2555">
        <v>0.5</v>
      </c>
      <c r="URT68" s="2555">
        <v>0.5</v>
      </c>
      <c r="URU68" s="2555">
        <v>0.56000000000000005</v>
      </c>
      <c r="URV68" s="2555">
        <v>0.34</v>
      </c>
      <c r="URW68" s="2555"/>
      <c r="URX68" s="2555">
        <v>0.42</v>
      </c>
      <c r="URY68" s="2553">
        <v>2019</v>
      </c>
      <c r="URZ68" s="2554"/>
      <c r="USA68" s="2555">
        <v>0.5</v>
      </c>
      <c r="USB68" s="2555">
        <v>0.5</v>
      </c>
      <c r="USC68" s="2555">
        <v>0.56000000000000005</v>
      </c>
      <c r="USD68" s="2555">
        <v>0.34</v>
      </c>
      <c r="USE68" s="2555"/>
      <c r="USF68" s="2555">
        <v>0.42</v>
      </c>
      <c r="USG68" s="2553">
        <v>2019</v>
      </c>
      <c r="USH68" s="2554"/>
      <c r="USI68" s="2555">
        <v>0.5</v>
      </c>
      <c r="USJ68" s="2555">
        <v>0.5</v>
      </c>
      <c r="USK68" s="2555">
        <v>0.56000000000000005</v>
      </c>
      <c r="USL68" s="2555">
        <v>0.34</v>
      </c>
      <c r="USM68" s="2555"/>
      <c r="USN68" s="2555">
        <v>0.42</v>
      </c>
      <c r="USO68" s="2553">
        <v>2019</v>
      </c>
      <c r="USP68" s="2554"/>
      <c r="USQ68" s="2555">
        <v>0.5</v>
      </c>
      <c r="USR68" s="2555">
        <v>0.5</v>
      </c>
      <c r="USS68" s="2555">
        <v>0.56000000000000005</v>
      </c>
      <c r="UST68" s="2555">
        <v>0.34</v>
      </c>
      <c r="USU68" s="2555"/>
      <c r="USV68" s="2555">
        <v>0.42</v>
      </c>
      <c r="USW68" s="2553">
        <v>2019</v>
      </c>
      <c r="USX68" s="2554"/>
      <c r="USY68" s="2555">
        <v>0.5</v>
      </c>
      <c r="USZ68" s="2555">
        <v>0.5</v>
      </c>
      <c r="UTA68" s="2555">
        <v>0.56000000000000005</v>
      </c>
      <c r="UTB68" s="2555">
        <v>0.34</v>
      </c>
      <c r="UTC68" s="2555"/>
      <c r="UTD68" s="2555">
        <v>0.42</v>
      </c>
      <c r="UTE68" s="2553">
        <v>2019</v>
      </c>
      <c r="UTF68" s="2554"/>
      <c r="UTG68" s="2555">
        <v>0.5</v>
      </c>
      <c r="UTH68" s="2555">
        <v>0.5</v>
      </c>
      <c r="UTI68" s="2555">
        <v>0.56000000000000005</v>
      </c>
      <c r="UTJ68" s="2555">
        <v>0.34</v>
      </c>
      <c r="UTK68" s="2555"/>
      <c r="UTL68" s="2555">
        <v>0.42</v>
      </c>
      <c r="UTM68" s="2553">
        <v>2019</v>
      </c>
      <c r="UTN68" s="2554"/>
      <c r="UTO68" s="2555">
        <v>0.5</v>
      </c>
      <c r="UTP68" s="2555">
        <v>0.5</v>
      </c>
      <c r="UTQ68" s="2555">
        <v>0.56000000000000005</v>
      </c>
      <c r="UTR68" s="2555">
        <v>0.34</v>
      </c>
      <c r="UTS68" s="2555"/>
      <c r="UTT68" s="2555">
        <v>0.42</v>
      </c>
      <c r="UTU68" s="2553">
        <v>2019</v>
      </c>
      <c r="UTV68" s="2554"/>
      <c r="UTW68" s="2555">
        <v>0.5</v>
      </c>
      <c r="UTX68" s="2555">
        <v>0.5</v>
      </c>
      <c r="UTY68" s="2555">
        <v>0.56000000000000005</v>
      </c>
      <c r="UTZ68" s="2555">
        <v>0.34</v>
      </c>
      <c r="UUA68" s="2555"/>
      <c r="UUB68" s="2555">
        <v>0.42</v>
      </c>
      <c r="UUC68" s="2553">
        <v>2019</v>
      </c>
      <c r="UUD68" s="2554"/>
      <c r="UUE68" s="2555">
        <v>0.5</v>
      </c>
      <c r="UUF68" s="2555">
        <v>0.5</v>
      </c>
      <c r="UUG68" s="2555">
        <v>0.56000000000000005</v>
      </c>
      <c r="UUH68" s="2555">
        <v>0.34</v>
      </c>
      <c r="UUI68" s="2555"/>
      <c r="UUJ68" s="2555">
        <v>0.42</v>
      </c>
      <c r="UUK68" s="2553">
        <v>2019</v>
      </c>
      <c r="UUL68" s="2554"/>
      <c r="UUM68" s="2555">
        <v>0.5</v>
      </c>
      <c r="UUN68" s="2555">
        <v>0.5</v>
      </c>
      <c r="UUO68" s="2555">
        <v>0.56000000000000005</v>
      </c>
      <c r="UUP68" s="2555">
        <v>0.34</v>
      </c>
      <c r="UUQ68" s="2555"/>
      <c r="UUR68" s="2555">
        <v>0.42</v>
      </c>
      <c r="UUS68" s="2553">
        <v>2019</v>
      </c>
      <c r="UUT68" s="2554"/>
      <c r="UUU68" s="2555">
        <v>0.5</v>
      </c>
      <c r="UUV68" s="2555">
        <v>0.5</v>
      </c>
      <c r="UUW68" s="2555">
        <v>0.56000000000000005</v>
      </c>
      <c r="UUX68" s="2555">
        <v>0.34</v>
      </c>
      <c r="UUY68" s="2555"/>
      <c r="UUZ68" s="2555">
        <v>0.42</v>
      </c>
      <c r="UVA68" s="2553">
        <v>2019</v>
      </c>
      <c r="UVB68" s="2554"/>
      <c r="UVC68" s="2555">
        <v>0.5</v>
      </c>
      <c r="UVD68" s="2555">
        <v>0.5</v>
      </c>
      <c r="UVE68" s="2555">
        <v>0.56000000000000005</v>
      </c>
      <c r="UVF68" s="2555">
        <v>0.34</v>
      </c>
      <c r="UVG68" s="2555"/>
      <c r="UVH68" s="2555">
        <v>0.42</v>
      </c>
      <c r="UVI68" s="2553">
        <v>2019</v>
      </c>
      <c r="UVJ68" s="2554"/>
      <c r="UVK68" s="2555">
        <v>0.5</v>
      </c>
      <c r="UVL68" s="2555">
        <v>0.5</v>
      </c>
      <c r="UVM68" s="2555">
        <v>0.56000000000000005</v>
      </c>
      <c r="UVN68" s="2555">
        <v>0.34</v>
      </c>
      <c r="UVO68" s="2555"/>
      <c r="UVP68" s="2555">
        <v>0.42</v>
      </c>
      <c r="UVQ68" s="2553">
        <v>2019</v>
      </c>
      <c r="UVR68" s="2554"/>
      <c r="UVS68" s="2555">
        <v>0.5</v>
      </c>
      <c r="UVT68" s="2555">
        <v>0.5</v>
      </c>
      <c r="UVU68" s="2555">
        <v>0.56000000000000005</v>
      </c>
      <c r="UVV68" s="2555">
        <v>0.34</v>
      </c>
      <c r="UVW68" s="2555"/>
      <c r="UVX68" s="2555">
        <v>0.42</v>
      </c>
      <c r="UVY68" s="2553">
        <v>2019</v>
      </c>
      <c r="UVZ68" s="2554"/>
      <c r="UWA68" s="2555">
        <v>0.5</v>
      </c>
      <c r="UWB68" s="2555">
        <v>0.5</v>
      </c>
      <c r="UWC68" s="2555">
        <v>0.56000000000000005</v>
      </c>
      <c r="UWD68" s="2555">
        <v>0.34</v>
      </c>
      <c r="UWE68" s="2555"/>
      <c r="UWF68" s="2555">
        <v>0.42</v>
      </c>
      <c r="UWG68" s="2553">
        <v>2019</v>
      </c>
      <c r="UWH68" s="2554"/>
      <c r="UWI68" s="2555">
        <v>0.5</v>
      </c>
      <c r="UWJ68" s="2555">
        <v>0.5</v>
      </c>
      <c r="UWK68" s="2555">
        <v>0.56000000000000005</v>
      </c>
      <c r="UWL68" s="2555">
        <v>0.34</v>
      </c>
      <c r="UWM68" s="2555"/>
      <c r="UWN68" s="2555">
        <v>0.42</v>
      </c>
      <c r="UWO68" s="2553">
        <v>2019</v>
      </c>
      <c r="UWP68" s="2554"/>
      <c r="UWQ68" s="2555">
        <v>0.5</v>
      </c>
      <c r="UWR68" s="2555">
        <v>0.5</v>
      </c>
      <c r="UWS68" s="2555">
        <v>0.56000000000000005</v>
      </c>
      <c r="UWT68" s="2555">
        <v>0.34</v>
      </c>
      <c r="UWU68" s="2555"/>
      <c r="UWV68" s="2555">
        <v>0.42</v>
      </c>
      <c r="UWW68" s="2553">
        <v>2019</v>
      </c>
      <c r="UWX68" s="2554"/>
      <c r="UWY68" s="2555">
        <v>0.5</v>
      </c>
      <c r="UWZ68" s="2555">
        <v>0.5</v>
      </c>
      <c r="UXA68" s="2555">
        <v>0.56000000000000005</v>
      </c>
      <c r="UXB68" s="2555">
        <v>0.34</v>
      </c>
      <c r="UXC68" s="2555"/>
      <c r="UXD68" s="2555">
        <v>0.42</v>
      </c>
      <c r="UXE68" s="2553">
        <v>2019</v>
      </c>
      <c r="UXF68" s="2554"/>
      <c r="UXG68" s="2555">
        <v>0.5</v>
      </c>
      <c r="UXH68" s="2555">
        <v>0.5</v>
      </c>
      <c r="UXI68" s="2555">
        <v>0.56000000000000005</v>
      </c>
      <c r="UXJ68" s="2555">
        <v>0.34</v>
      </c>
      <c r="UXK68" s="2555"/>
      <c r="UXL68" s="2555">
        <v>0.42</v>
      </c>
      <c r="UXM68" s="2553">
        <v>2019</v>
      </c>
      <c r="UXN68" s="2554"/>
      <c r="UXO68" s="2555">
        <v>0.5</v>
      </c>
      <c r="UXP68" s="2555">
        <v>0.5</v>
      </c>
      <c r="UXQ68" s="2555">
        <v>0.56000000000000005</v>
      </c>
      <c r="UXR68" s="2555">
        <v>0.34</v>
      </c>
      <c r="UXS68" s="2555"/>
      <c r="UXT68" s="2555">
        <v>0.42</v>
      </c>
      <c r="UXU68" s="2553">
        <v>2019</v>
      </c>
      <c r="UXV68" s="2554"/>
      <c r="UXW68" s="2555">
        <v>0.5</v>
      </c>
      <c r="UXX68" s="2555">
        <v>0.5</v>
      </c>
      <c r="UXY68" s="2555">
        <v>0.56000000000000005</v>
      </c>
      <c r="UXZ68" s="2555">
        <v>0.34</v>
      </c>
      <c r="UYA68" s="2555"/>
      <c r="UYB68" s="2555">
        <v>0.42</v>
      </c>
      <c r="UYC68" s="2553">
        <v>2019</v>
      </c>
      <c r="UYD68" s="2554"/>
      <c r="UYE68" s="2555">
        <v>0.5</v>
      </c>
      <c r="UYF68" s="2555">
        <v>0.5</v>
      </c>
      <c r="UYG68" s="2555">
        <v>0.56000000000000005</v>
      </c>
      <c r="UYH68" s="2555">
        <v>0.34</v>
      </c>
      <c r="UYI68" s="2555"/>
      <c r="UYJ68" s="2555">
        <v>0.42</v>
      </c>
      <c r="UYK68" s="2553">
        <v>2019</v>
      </c>
      <c r="UYL68" s="2554"/>
      <c r="UYM68" s="2555">
        <v>0.5</v>
      </c>
      <c r="UYN68" s="2555">
        <v>0.5</v>
      </c>
      <c r="UYO68" s="2555">
        <v>0.56000000000000005</v>
      </c>
      <c r="UYP68" s="2555">
        <v>0.34</v>
      </c>
      <c r="UYQ68" s="2555"/>
      <c r="UYR68" s="2555">
        <v>0.42</v>
      </c>
      <c r="UYS68" s="2553">
        <v>2019</v>
      </c>
      <c r="UYT68" s="2554"/>
      <c r="UYU68" s="2555">
        <v>0.5</v>
      </c>
      <c r="UYV68" s="2555">
        <v>0.5</v>
      </c>
      <c r="UYW68" s="2555">
        <v>0.56000000000000005</v>
      </c>
      <c r="UYX68" s="2555">
        <v>0.34</v>
      </c>
      <c r="UYY68" s="2555"/>
      <c r="UYZ68" s="2555">
        <v>0.42</v>
      </c>
      <c r="UZA68" s="2553">
        <v>2019</v>
      </c>
      <c r="UZB68" s="2554"/>
      <c r="UZC68" s="2555">
        <v>0.5</v>
      </c>
      <c r="UZD68" s="2555">
        <v>0.5</v>
      </c>
      <c r="UZE68" s="2555">
        <v>0.56000000000000005</v>
      </c>
      <c r="UZF68" s="2555">
        <v>0.34</v>
      </c>
      <c r="UZG68" s="2555"/>
      <c r="UZH68" s="2555">
        <v>0.42</v>
      </c>
      <c r="UZI68" s="2553">
        <v>2019</v>
      </c>
      <c r="UZJ68" s="2554"/>
      <c r="UZK68" s="2555">
        <v>0.5</v>
      </c>
      <c r="UZL68" s="2555">
        <v>0.5</v>
      </c>
      <c r="UZM68" s="2555">
        <v>0.56000000000000005</v>
      </c>
      <c r="UZN68" s="2555">
        <v>0.34</v>
      </c>
      <c r="UZO68" s="2555"/>
      <c r="UZP68" s="2555">
        <v>0.42</v>
      </c>
      <c r="UZQ68" s="2553">
        <v>2019</v>
      </c>
      <c r="UZR68" s="2554"/>
      <c r="UZS68" s="2555">
        <v>0.5</v>
      </c>
      <c r="UZT68" s="2555">
        <v>0.5</v>
      </c>
      <c r="UZU68" s="2555">
        <v>0.56000000000000005</v>
      </c>
      <c r="UZV68" s="2555">
        <v>0.34</v>
      </c>
      <c r="UZW68" s="2555"/>
      <c r="UZX68" s="2555">
        <v>0.42</v>
      </c>
      <c r="UZY68" s="2553">
        <v>2019</v>
      </c>
      <c r="UZZ68" s="2554"/>
      <c r="VAA68" s="2555">
        <v>0.5</v>
      </c>
      <c r="VAB68" s="2555">
        <v>0.5</v>
      </c>
      <c r="VAC68" s="2555">
        <v>0.56000000000000005</v>
      </c>
      <c r="VAD68" s="2555">
        <v>0.34</v>
      </c>
      <c r="VAE68" s="2555"/>
      <c r="VAF68" s="2555">
        <v>0.42</v>
      </c>
      <c r="VAG68" s="2553">
        <v>2019</v>
      </c>
      <c r="VAH68" s="2554"/>
      <c r="VAI68" s="2555">
        <v>0.5</v>
      </c>
      <c r="VAJ68" s="2555">
        <v>0.5</v>
      </c>
      <c r="VAK68" s="2555">
        <v>0.56000000000000005</v>
      </c>
      <c r="VAL68" s="2555">
        <v>0.34</v>
      </c>
      <c r="VAM68" s="2555"/>
      <c r="VAN68" s="2555">
        <v>0.42</v>
      </c>
      <c r="VAO68" s="2553">
        <v>2019</v>
      </c>
      <c r="VAP68" s="2554"/>
      <c r="VAQ68" s="2555">
        <v>0.5</v>
      </c>
      <c r="VAR68" s="2555">
        <v>0.5</v>
      </c>
      <c r="VAS68" s="2555">
        <v>0.56000000000000005</v>
      </c>
      <c r="VAT68" s="2555">
        <v>0.34</v>
      </c>
      <c r="VAU68" s="2555"/>
      <c r="VAV68" s="2555">
        <v>0.42</v>
      </c>
      <c r="VAW68" s="2553">
        <v>2019</v>
      </c>
      <c r="VAX68" s="2554"/>
      <c r="VAY68" s="2555">
        <v>0.5</v>
      </c>
      <c r="VAZ68" s="2555">
        <v>0.5</v>
      </c>
      <c r="VBA68" s="2555">
        <v>0.56000000000000005</v>
      </c>
      <c r="VBB68" s="2555">
        <v>0.34</v>
      </c>
      <c r="VBC68" s="2555"/>
      <c r="VBD68" s="2555">
        <v>0.42</v>
      </c>
      <c r="VBE68" s="2553">
        <v>2019</v>
      </c>
      <c r="VBF68" s="2554"/>
      <c r="VBG68" s="2555">
        <v>0.5</v>
      </c>
      <c r="VBH68" s="2555">
        <v>0.5</v>
      </c>
      <c r="VBI68" s="2555">
        <v>0.56000000000000005</v>
      </c>
      <c r="VBJ68" s="2555">
        <v>0.34</v>
      </c>
      <c r="VBK68" s="2555"/>
      <c r="VBL68" s="2555">
        <v>0.42</v>
      </c>
      <c r="VBM68" s="2553">
        <v>2019</v>
      </c>
      <c r="VBN68" s="2554"/>
      <c r="VBO68" s="2555">
        <v>0.5</v>
      </c>
      <c r="VBP68" s="2555">
        <v>0.5</v>
      </c>
      <c r="VBQ68" s="2555">
        <v>0.56000000000000005</v>
      </c>
      <c r="VBR68" s="2555">
        <v>0.34</v>
      </c>
      <c r="VBS68" s="2555"/>
      <c r="VBT68" s="2555">
        <v>0.42</v>
      </c>
      <c r="VBU68" s="2553">
        <v>2019</v>
      </c>
      <c r="VBV68" s="2554"/>
      <c r="VBW68" s="2555">
        <v>0.5</v>
      </c>
      <c r="VBX68" s="2555">
        <v>0.5</v>
      </c>
      <c r="VBY68" s="2555">
        <v>0.56000000000000005</v>
      </c>
      <c r="VBZ68" s="2555">
        <v>0.34</v>
      </c>
      <c r="VCA68" s="2555"/>
      <c r="VCB68" s="2555">
        <v>0.42</v>
      </c>
      <c r="VCC68" s="2553">
        <v>2019</v>
      </c>
      <c r="VCD68" s="2554"/>
      <c r="VCE68" s="2555">
        <v>0.5</v>
      </c>
      <c r="VCF68" s="2555">
        <v>0.5</v>
      </c>
      <c r="VCG68" s="2555">
        <v>0.56000000000000005</v>
      </c>
      <c r="VCH68" s="2555">
        <v>0.34</v>
      </c>
      <c r="VCI68" s="2555"/>
      <c r="VCJ68" s="2555">
        <v>0.42</v>
      </c>
      <c r="VCK68" s="2553">
        <v>2019</v>
      </c>
      <c r="VCL68" s="2554"/>
      <c r="VCM68" s="2555">
        <v>0.5</v>
      </c>
      <c r="VCN68" s="2555">
        <v>0.5</v>
      </c>
      <c r="VCO68" s="2555">
        <v>0.56000000000000005</v>
      </c>
      <c r="VCP68" s="2555">
        <v>0.34</v>
      </c>
      <c r="VCQ68" s="2555"/>
      <c r="VCR68" s="2555">
        <v>0.42</v>
      </c>
      <c r="VCS68" s="2553">
        <v>2019</v>
      </c>
      <c r="VCT68" s="2554"/>
      <c r="VCU68" s="2555">
        <v>0.5</v>
      </c>
      <c r="VCV68" s="2555">
        <v>0.5</v>
      </c>
      <c r="VCW68" s="2555">
        <v>0.56000000000000005</v>
      </c>
      <c r="VCX68" s="2555">
        <v>0.34</v>
      </c>
      <c r="VCY68" s="2555"/>
      <c r="VCZ68" s="2555">
        <v>0.42</v>
      </c>
      <c r="VDA68" s="2553">
        <v>2019</v>
      </c>
      <c r="VDB68" s="2554"/>
      <c r="VDC68" s="2555">
        <v>0.5</v>
      </c>
      <c r="VDD68" s="2555">
        <v>0.5</v>
      </c>
      <c r="VDE68" s="2555">
        <v>0.56000000000000005</v>
      </c>
      <c r="VDF68" s="2555">
        <v>0.34</v>
      </c>
      <c r="VDG68" s="2555"/>
      <c r="VDH68" s="2555">
        <v>0.42</v>
      </c>
      <c r="VDI68" s="2553">
        <v>2019</v>
      </c>
      <c r="VDJ68" s="2554"/>
      <c r="VDK68" s="2555">
        <v>0.5</v>
      </c>
      <c r="VDL68" s="2555">
        <v>0.5</v>
      </c>
      <c r="VDM68" s="2555">
        <v>0.56000000000000005</v>
      </c>
      <c r="VDN68" s="2555">
        <v>0.34</v>
      </c>
      <c r="VDO68" s="2555"/>
      <c r="VDP68" s="2555">
        <v>0.42</v>
      </c>
      <c r="VDQ68" s="2553">
        <v>2019</v>
      </c>
      <c r="VDR68" s="2554"/>
      <c r="VDS68" s="2555">
        <v>0.5</v>
      </c>
      <c r="VDT68" s="2555">
        <v>0.5</v>
      </c>
      <c r="VDU68" s="2555">
        <v>0.56000000000000005</v>
      </c>
      <c r="VDV68" s="2555">
        <v>0.34</v>
      </c>
      <c r="VDW68" s="2555"/>
      <c r="VDX68" s="2555">
        <v>0.42</v>
      </c>
      <c r="VDY68" s="2553">
        <v>2019</v>
      </c>
      <c r="VDZ68" s="2554"/>
      <c r="VEA68" s="2555">
        <v>0.5</v>
      </c>
      <c r="VEB68" s="2555">
        <v>0.5</v>
      </c>
      <c r="VEC68" s="2555">
        <v>0.56000000000000005</v>
      </c>
      <c r="VED68" s="2555">
        <v>0.34</v>
      </c>
      <c r="VEE68" s="2555"/>
      <c r="VEF68" s="2555">
        <v>0.42</v>
      </c>
      <c r="VEG68" s="2553">
        <v>2019</v>
      </c>
      <c r="VEH68" s="2554"/>
      <c r="VEI68" s="2555">
        <v>0.5</v>
      </c>
      <c r="VEJ68" s="2555">
        <v>0.5</v>
      </c>
      <c r="VEK68" s="2555">
        <v>0.56000000000000005</v>
      </c>
      <c r="VEL68" s="2555">
        <v>0.34</v>
      </c>
      <c r="VEM68" s="2555"/>
      <c r="VEN68" s="2555">
        <v>0.42</v>
      </c>
      <c r="VEO68" s="2553">
        <v>2019</v>
      </c>
      <c r="VEP68" s="2554"/>
      <c r="VEQ68" s="2555">
        <v>0.5</v>
      </c>
      <c r="VER68" s="2555">
        <v>0.5</v>
      </c>
      <c r="VES68" s="2555">
        <v>0.56000000000000005</v>
      </c>
      <c r="VET68" s="2555">
        <v>0.34</v>
      </c>
      <c r="VEU68" s="2555"/>
      <c r="VEV68" s="2555">
        <v>0.42</v>
      </c>
      <c r="VEW68" s="2553">
        <v>2019</v>
      </c>
      <c r="VEX68" s="2554"/>
      <c r="VEY68" s="2555">
        <v>0.5</v>
      </c>
      <c r="VEZ68" s="2555">
        <v>0.5</v>
      </c>
      <c r="VFA68" s="2555">
        <v>0.56000000000000005</v>
      </c>
      <c r="VFB68" s="2555">
        <v>0.34</v>
      </c>
      <c r="VFC68" s="2555"/>
      <c r="VFD68" s="2555">
        <v>0.42</v>
      </c>
      <c r="VFE68" s="2553">
        <v>2019</v>
      </c>
      <c r="VFF68" s="2554"/>
      <c r="VFG68" s="2555">
        <v>0.5</v>
      </c>
      <c r="VFH68" s="2555">
        <v>0.5</v>
      </c>
      <c r="VFI68" s="2555">
        <v>0.56000000000000005</v>
      </c>
      <c r="VFJ68" s="2555">
        <v>0.34</v>
      </c>
      <c r="VFK68" s="2555"/>
      <c r="VFL68" s="2555">
        <v>0.42</v>
      </c>
      <c r="VFM68" s="2553">
        <v>2019</v>
      </c>
      <c r="VFN68" s="2554"/>
      <c r="VFO68" s="2555">
        <v>0.5</v>
      </c>
      <c r="VFP68" s="2555">
        <v>0.5</v>
      </c>
      <c r="VFQ68" s="2555">
        <v>0.56000000000000005</v>
      </c>
      <c r="VFR68" s="2555">
        <v>0.34</v>
      </c>
      <c r="VFS68" s="2555"/>
      <c r="VFT68" s="2555">
        <v>0.42</v>
      </c>
      <c r="VFU68" s="2553">
        <v>2019</v>
      </c>
      <c r="VFV68" s="2554"/>
      <c r="VFW68" s="2555">
        <v>0.5</v>
      </c>
      <c r="VFX68" s="2555">
        <v>0.5</v>
      </c>
      <c r="VFY68" s="2555">
        <v>0.56000000000000005</v>
      </c>
      <c r="VFZ68" s="2555">
        <v>0.34</v>
      </c>
      <c r="VGA68" s="2555"/>
      <c r="VGB68" s="2555">
        <v>0.42</v>
      </c>
      <c r="VGC68" s="2553">
        <v>2019</v>
      </c>
      <c r="VGD68" s="2554"/>
      <c r="VGE68" s="2555">
        <v>0.5</v>
      </c>
      <c r="VGF68" s="2555">
        <v>0.5</v>
      </c>
      <c r="VGG68" s="2555">
        <v>0.56000000000000005</v>
      </c>
      <c r="VGH68" s="2555">
        <v>0.34</v>
      </c>
      <c r="VGI68" s="2555"/>
      <c r="VGJ68" s="2555">
        <v>0.42</v>
      </c>
      <c r="VGK68" s="2553">
        <v>2019</v>
      </c>
      <c r="VGL68" s="2554"/>
      <c r="VGM68" s="2555">
        <v>0.5</v>
      </c>
      <c r="VGN68" s="2555">
        <v>0.5</v>
      </c>
      <c r="VGO68" s="2555">
        <v>0.56000000000000005</v>
      </c>
      <c r="VGP68" s="2555">
        <v>0.34</v>
      </c>
      <c r="VGQ68" s="2555"/>
      <c r="VGR68" s="2555">
        <v>0.42</v>
      </c>
      <c r="VGS68" s="2553">
        <v>2019</v>
      </c>
      <c r="VGT68" s="2554"/>
      <c r="VGU68" s="2555">
        <v>0.5</v>
      </c>
      <c r="VGV68" s="2555">
        <v>0.5</v>
      </c>
      <c r="VGW68" s="2555">
        <v>0.56000000000000005</v>
      </c>
      <c r="VGX68" s="2555">
        <v>0.34</v>
      </c>
      <c r="VGY68" s="2555"/>
      <c r="VGZ68" s="2555">
        <v>0.42</v>
      </c>
      <c r="VHA68" s="2553">
        <v>2019</v>
      </c>
      <c r="VHB68" s="2554"/>
      <c r="VHC68" s="2555">
        <v>0.5</v>
      </c>
      <c r="VHD68" s="2555">
        <v>0.5</v>
      </c>
      <c r="VHE68" s="2555">
        <v>0.56000000000000005</v>
      </c>
      <c r="VHF68" s="2555">
        <v>0.34</v>
      </c>
      <c r="VHG68" s="2555"/>
      <c r="VHH68" s="2555">
        <v>0.42</v>
      </c>
      <c r="VHI68" s="2553">
        <v>2019</v>
      </c>
      <c r="VHJ68" s="2554"/>
      <c r="VHK68" s="2555">
        <v>0.5</v>
      </c>
      <c r="VHL68" s="2555">
        <v>0.5</v>
      </c>
      <c r="VHM68" s="2555">
        <v>0.56000000000000005</v>
      </c>
      <c r="VHN68" s="2555">
        <v>0.34</v>
      </c>
      <c r="VHO68" s="2555"/>
      <c r="VHP68" s="2555">
        <v>0.42</v>
      </c>
      <c r="VHQ68" s="2553">
        <v>2019</v>
      </c>
      <c r="VHR68" s="2554"/>
      <c r="VHS68" s="2555">
        <v>0.5</v>
      </c>
      <c r="VHT68" s="2555">
        <v>0.5</v>
      </c>
      <c r="VHU68" s="2555">
        <v>0.56000000000000005</v>
      </c>
      <c r="VHV68" s="2555">
        <v>0.34</v>
      </c>
      <c r="VHW68" s="2555"/>
      <c r="VHX68" s="2555">
        <v>0.42</v>
      </c>
      <c r="VHY68" s="2553">
        <v>2019</v>
      </c>
      <c r="VHZ68" s="2554"/>
      <c r="VIA68" s="2555">
        <v>0.5</v>
      </c>
      <c r="VIB68" s="2555">
        <v>0.5</v>
      </c>
      <c r="VIC68" s="2555">
        <v>0.56000000000000005</v>
      </c>
      <c r="VID68" s="2555">
        <v>0.34</v>
      </c>
      <c r="VIE68" s="2555"/>
      <c r="VIF68" s="2555">
        <v>0.42</v>
      </c>
      <c r="VIG68" s="2553">
        <v>2019</v>
      </c>
      <c r="VIH68" s="2554"/>
      <c r="VII68" s="2555">
        <v>0.5</v>
      </c>
      <c r="VIJ68" s="2555">
        <v>0.5</v>
      </c>
      <c r="VIK68" s="2555">
        <v>0.56000000000000005</v>
      </c>
      <c r="VIL68" s="2555">
        <v>0.34</v>
      </c>
      <c r="VIM68" s="2555"/>
      <c r="VIN68" s="2555">
        <v>0.42</v>
      </c>
      <c r="VIO68" s="2553">
        <v>2019</v>
      </c>
      <c r="VIP68" s="2554"/>
      <c r="VIQ68" s="2555">
        <v>0.5</v>
      </c>
      <c r="VIR68" s="2555">
        <v>0.5</v>
      </c>
      <c r="VIS68" s="2555">
        <v>0.56000000000000005</v>
      </c>
      <c r="VIT68" s="2555">
        <v>0.34</v>
      </c>
      <c r="VIU68" s="2555"/>
      <c r="VIV68" s="2555">
        <v>0.42</v>
      </c>
      <c r="VIW68" s="2553">
        <v>2019</v>
      </c>
      <c r="VIX68" s="2554"/>
      <c r="VIY68" s="2555">
        <v>0.5</v>
      </c>
      <c r="VIZ68" s="2555">
        <v>0.5</v>
      </c>
      <c r="VJA68" s="2555">
        <v>0.56000000000000005</v>
      </c>
      <c r="VJB68" s="2555">
        <v>0.34</v>
      </c>
      <c r="VJC68" s="2555"/>
      <c r="VJD68" s="2555">
        <v>0.42</v>
      </c>
      <c r="VJE68" s="2553">
        <v>2019</v>
      </c>
      <c r="VJF68" s="2554"/>
      <c r="VJG68" s="2555">
        <v>0.5</v>
      </c>
      <c r="VJH68" s="2555">
        <v>0.5</v>
      </c>
      <c r="VJI68" s="2555">
        <v>0.56000000000000005</v>
      </c>
      <c r="VJJ68" s="2555">
        <v>0.34</v>
      </c>
      <c r="VJK68" s="2555"/>
      <c r="VJL68" s="2555">
        <v>0.42</v>
      </c>
      <c r="VJM68" s="2553">
        <v>2019</v>
      </c>
      <c r="VJN68" s="2554"/>
      <c r="VJO68" s="2555">
        <v>0.5</v>
      </c>
      <c r="VJP68" s="2555">
        <v>0.5</v>
      </c>
      <c r="VJQ68" s="2555">
        <v>0.56000000000000005</v>
      </c>
      <c r="VJR68" s="2555">
        <v>0.34</v>
      </c>
      <c r="VJS68" s="2555"/>
      <c r="VJT68" s="2555">
        <v>0.42</v>
      </c>
      <c r="VJU68" s="2553">
        <v>2019</v>
      </c>
      <c r="VJV68" s="2554"/>
      <c r="VJW68" s="2555">
        <v>0.5</v>
      </c>
      <c r="VJX68" s="2555">
        <v>0.5</v>
      </c>
      <c r="VJY68" s="2555">
        <v>0.56000000000000005</v>
      </c>
      <c r="VJZ68" s="2555">
        <v>0.34</v>
      </c>
      <c r="VKA68" s="2555"/>
      <c r="VKB68" s="2555">
        <v>0.42</v>
      </c>
      <c r="VKC68" s="2553">
        <v>2019</v>
      </c>
      <c r="VKD68" s="2554"/>
      <c r="VKE68" s="2555">
        <v>0.5</v>
      </c>
      <c r="VKF68" s="2555">
        <v>0.5</v>
      </c>
      <c r="VKG68" s="2555">
        <v>0.56000000000000005</v>
      </c>
      <c r="VKH68" s="2555">
        <v>0.34</v>
      </c>
      <c r="VKI68" s="2555"/>
      <c r="VKJ68" s="2555">
        <v>0.42</v>
      </c>
      <c r="VKK68" s="2553">
        <v>2019</v>
      </c>
      <c r="VKL68" s="2554"/>
      <c r="VKM68" s="2555">
        <v>0.5</v>
      </c>
      <c r="VKN68" s="2555">
        <v>0.5</v>
      </c>
      <c r="VKO68" s="2555">
        <v>0.56000000000000005</v>
      </c>
      <c r="VKP68" s="2555">
        <v>0.34</v>
      </c>
      <c r="VKQ68" s="2555"/>
      <c r="VKR68" s="2555">
        <v>0.42</v>
      </c>
      <c r="VKS68" s="2553">
        <v>2019</v>
      </c>
      <c r="VKT68" s="2554"/>
      <c r="VKU68" s="2555">
        <v>0.5</v>
      </c>
      <c r="VKV68" s="2555">
        <v>0.5</v>
      </c>
      <c r="VKW68" s="2555">
        <v>0.56000000000000005</v>
      </c>
      <c r="VKX68" s="2555">
        <v>0.34</v>
      </c>
      <c r="VKY68" s="2555"/>
      <c r="VKZ68" s="2555">
        <v>0.42</v>
      </c>
      <c r="VLA68" s="2553">
        <v>2019</v>
      </c>
      <c r="VLB68" s="2554"/>
      <c r="VLC68" s="2555">
        <v>0.5</v>
      </c>
      <c r="VLD68" s="2555">
        <v>0.5</v>
      </c>
      <c r="VLE68" s="2555">
        <v>0.56000000000000005</v>
      </c>
      <c r="VLF68" s="2555">
        <v>0.34</v>
      </c>
      <c r="VLG68" s="2555"/>
      <c r="VLH68" s="2555">
        <v>0.42</v>
      </c>
      <c r="VLI68" s="2553">
        <v>2019</v>
      </c>
      <c r="VLJ68" s="2554"/>
      <c r="VLK68" s="2555">
        <v>0.5</v>
      </c>
      <c r="VLL68" s="2555">
        <v>0.5</v>
      </c>
      <c r="VLM68" s="2555">
        <v>0.56000000000000005</v>
      </c>
      <c r="VLN68" s="2555">
        <v>0.34</v>
      </c>
      <c r="VLO68" s="2555"/>
      <c r="VLP68" s="2555">
        <v>0.42</v>
      </c>
      <c r="VLQ68" s="2553">
        <v>2019</v>
      </c>
      <c r="VLR68" s="2554"/>
      <c r="VLS68" s="2555">
        <v>0.5</v>
      </c>
      <c r="VLT68" s="2555">
        <v>0.5</v>
      </c>
      <c r="VLU68" s="2555">
        <v>0.56000000000000005</v>
      </c>
      <c r="VLV68" s="2555">
        <v>0.34</v>
      </c>
      <c r="VLW68" s="2555"/>
      <c r="VLX68" s="2555">
        <v>0.42</v>
      </c>
      <c r="VLY68" s="2553">
        <v>2019</v>
      </c>
      <c r="VLZ68" s="2554"/>
      <c r="VMA68" s="2555">
        <v>0.5</v>
      </c>
      <c r="VMB68" s="2555">
        <v>0.5</v>
      </c>
      <c r="VMC68" s="2555">
        <v>0.56000000000000005</v>
      </c>
      <c r="VMD68" s="2555">
        <v>0.34</v>
      </c>
      <c r="VME68" s="2555"/>
      <c r="VMF68" s="2555">
        <v>0.42</v>
      </c>
      <c r="VMG68" s="2553">
        <v>2019</v>
      </c>
      <c r="VMH68" s="2554"/>
      <c r="VMI68" s="2555">
        <v>0.5</v>
      </c>
      <c r="VMJ68" s="2555">
        <v>0.5</v>
      </c>
      <c r="VMK68" s="2555">
        <v>0.56000000000000005</v>
      </c>
      <c r="VML68" s="2555">
        <v>0.34</v>
      </c>
      <c r="VMM68" s="2555"/>
      <c r="VMN68" s="2555">
        <v>0.42</v>
      </c>
      <c r="VMO68" s="2553">
        <v>2019</v>
      </c>
      <c r="VMP68" s="2554"/>
      <c r="VMQ68" s="2555">
        <v>0.5</v>
      </c>
      <c r="VMR68" s="2555">
        <v>0.5</v>
      </c>
      <c r="VMS68" s="2555">
        <v>0.56000000000000005</v>
      </c>
      <c r="VMT68" s="2555">
        <v>0.34</v>
      </c>
      <c r="VMU68" s="2555"/>
      <c r="VMV68" s="2555">
        <v>0.42</v>
      </c>
      <c r="VMW68" s="2553">
        <v>2019</v>
      </c>
      <c r="VMX68" s="2554"/>
      <c r="VMY68" s="2555">
        <v>0.5</v>
      </c>
      <c r="VMZ68" s="2555">
        <v>0.5</v>
      </c>
      <c r="VNA68" s="2555">
        <v>0.56000000000000005</v>
      </c>
      <c r="VNB68" s="2555">
        <v>0.34</v>
      </c>
      <c r="VNC68" s="2555"/>
      <c r="VND68" s="2555">
        <v>0.42</v>
      </c>
      <c r="VNE68" s="2553">
        <v>2019</v>
      </c>
      <c r="VNF68" s="2554"/>
      <c r="VNG68" s="2555">
        <v>0.5</v>
      </c>
      <c r="VNH68" s="2555">
        <v>0.5</v>
      </c>
      <c r="VNI68" s="2555">
        <v>0.56000000000000005</v>
      </c>
      <c r="VNJ68" s="2555">
        <v>0.34</v>
      </c>
      <c r="VNK68" s="2555"/>
      <c r="VNL68" s="2555">
        <v>0.42</v>
      </c>
      <c r="VNM68" s="2553">
        <v>2019</v>
      </c>
      <c r="VNN68" s="2554"/>
      <c r="VNO68" s="2555">
        <v>0.5</v>
      </c>
      <c r="VNP68" s="2555">
        <v>0.5</v>
      </c>
      <c r="VNQ68" s="2555">
        <v>0.56000000000000005</v>
      </c>
      <c r="VNR68" s="2555">
        <v>0.34</v>
      </c>
      <c r="VNS68" s="2555"/>
      <c r="VNT68" s="2555">
        <v>0.42</v>
      </c>
      <c r="VNU68" s="2553">
        <v>2019</v>
      </c>
      <c r="VNV68" s="2554"/>
      <c r="VNW68" s="2555">
        <v>0.5</v>
      </c>
      <c r="VNX68" s="2555">
        <v>0.5</v>
      </c>
      <c r="VNY68" s="2555">
        <v>0.56000000000000005</v>
      </c>
      <c r="VNZ68" s="2555">
        <v>0.34</v>
      </c>
      <c r="VOA68" s="2555"/>
      <c r="VOB68" s="2555">
        <v>0.42</v>
      </c>
      <c r="VOC68" s="2553">
        <v>2019</v>
      </c>
      <c r="VOD68" s="2554"/>
      <c r="VOE68" s="2555">
        <v>0.5</v>
      </c>
      <c r="VOF68" s="2555">
        <v>0.5</v>
      </c>
      <c r="VOG68" s="2555">
        <v>0.56000000000000005</v>
      </c>
      <c r="VOH68" s="2555">
        <v>0.34</v>
      </c>
      <c r="VOI68" s="2555"/>
      <c r="VOJ68" s="2555">
        <v>0.42</v>
      </c>
      <c r="VOK68" s="2553">
        <v>2019</v>
      </c>
      <c r="VOL68" s="2554"/>
      <c r="VOM68" s="2555">
        <v>0.5</v>
      </c>
      <c r="VON68" s="2555">
        <v>0.5</v>
      </c>
      <c r="VOO68" s="2555">
        <v>0.56000000000000005</v>
      </c>
      <c r="VOP68" s="2555">
        <v>0.34</v>
      </c>
      <c r="VOQ68" s="2555"/>
      <c r="VOR68" s="2555">
        <v>0.42</v>
      </c>
      <c r="VOS68" s="2553">
        <v>2019</v>
      </c>
      <c r="VOT68" s="2554"/>
      <c r="VOU68" s="2555">
        <v>0.5</v>
      </c>
      <c r="VOV68" s="2555">
        <v>0.5</v>
      </c>
      <c r="VOW68" s="2555">
        <v>0.56000000000000005</v>
      </c>
      <c r="VOX68" s="2555">
        <v>0.34</v>
      </c>
      <c r="VOY68" s="2555"/>
      <c r="VOZ68" s="2555">
        <v>0.42</v>
      </c>
      <c r="VPA68" s="2553">
        <v>2019</v>
      </c>
      <c r="VPB68" s="2554"/>
      <c r="VPC68" s="2555">
        <v>0.5</v>
      </c>
      <c r="VPD68" s="2555">
        <v>0.5</v>
      </c>
      <c r="VPE68" s="2555">
        <v>0.56000000000000005</v>
      </c>
      <c r="VPF68" s="2555">
        <v>0.34</v>
      </c>
      <c r="VPG68" s="2555"/>
      <c r="VPH68" s="2555">
        <v>0.42</v>
      </c>
      <c r="VPI68" s="2553">
        <v>2019</v>
      </c>
      <c r="VPJ68" s="2554"/>
      <c r="VPK68" s="2555">
        <v>0.5</v>
      </c>
      <c r="VPL68" s="2555">
        <v>0.5</v>
      </c>
      <c r="VPM68" s="2555">
        <v>0.56000000000000005</v>
      </c>
      <c r="VPN68" s="2555">
        <v>0.34</v>
      </c>
      <c r="VPO68" s="2555"/>
      <c r="VPP68" s="2555">
        <v>0.42</v>
      </c>
      <c r="VPQ68" s="2553">
        <v>2019</v>
      </c>
      <c r="VPR68" s="2554"/>
      <c r="VPS68" s="2555">
        <v>0.5</v>
      </c>
      <c r="VPT68" s="2555">
        <v>0.5</v>
      </c>
      <c r="VPU68" s="2555">
        <v>0.56000000000000005</v>
      </c>
      <c r="VPV68" s="2555">
        <v>0.34</v>
      </c>
      <c r="VPW68" s="2555"/>
      <c r="VPX68" s="2555">
        <v>0.42</v>
      </c>
      <c r="VPY68" s="2553">
        <v>2019</v>
      </c>
      <c r="VPZ68" s="2554"/>
      <c r="VQA68" s="2555">
        <v>0.5</v>
      </c>
      <c r="VQB68" s="2555">
        <v>0.5</v>
      </c>
      <c r="VQC68" s="2555">
        <v>0.56000000000000005</v>
      </c>
      <c r="VQD68" s="2555">
        <v>0.34</v>
      </c>
      <c r="VQE68" s="2555"/>
      <c r="VQF68" s="2555">
        <v>0.42</v>
      </c>
      <c r="VQG68" s="2553">
        <v>2019</v>
      </c>
      <c r="VQH68" s="2554"/>
      <c r="VQI68" s="2555">
        <v>0.5</v>
      </c>
      <c r="VQJ68" s="2555">
        <v>0.5</v>
      </c>
      <c r="VQK68" s="2555">
        <v>0.56000000000000005</v>
      </c>
      <c r="VQL68" s="2555">
        <v>0.34</v>
      </c>
      <c r="VQM68" s="2555"/>
      <c r="VQN68" s="2555">
        <v>0.42</v>
      </c>
      <c r="VQO68" s="2553">
        <v>2019</v>
      </c>
      <c r="VQP68" s="2554"/>
      <c r="VQQ68" s="2555">
        <v>0.5</v>
      </c>
      <c r="VQR68" s="2555">
        <v>0.5</v>
      </c>
      <c r="VQS68" s="2555">
        <v>0.56000000000000005</v>
      </c>
      <c r="VQT68" s="2555">
        <v>0.34</v>
      </c>
      <c r="VQU68" s="2555"/>
      <c r="VQV68" s="2555">
        <v>0.42</v>
      </c>
      <c r="VQW68" s="2553">
        <v>2019</v>
      </c>
      <c r="VQX68" s="2554"/>
      <c r="VQY68" s="2555">
        <v>0.5</v>
      </c>
      <c r="VQZ68" s="2555">
        <v>0.5</v>
      </c>
      <c r="VRA68" s="2555">
        <v>0.56000000000000005</v>
      </c>
      <c r="VRB68" s="2555">
        <v>0.34</v>
      </c>
      <c r="VRC68" s="2555"/>
      <c r="VRD68" s="2555">
        <v>0.42</v>
      </c>
      <c r="VRE68" s="2553">
        <v>2019</v>
      </c>
      <c r="VRF68" s="2554"/>
      <c r="VRG68" s="2555">
        <v>0.5</v>
      </c>
      <c r="VRH68" s="2555">
        <v>0.5</v>
      </c>
      <c r="VRI68" s="2555">
        <v>0.56000000000000005</v>
      </c>
      <c r="VRJ68" s="2555">
        <v>0.34</v>
      </c>
      <c r="VRK68" s="2555"/>
      <c r="VRL68" s="2555">
        <v>0.42</v>
      </c>
      <c r="VRM68" s="2553">
        <v>2019</v>
      </c>
      <c r="VRN68" s="2554"/>
      <c r="VRO68" s="2555">
        <v>0.5</v>
      </c>
      <c r="VRP68" s="2555">
        <v>0.5</v>
      </c>
      <c r="VRQ68" s="2555">
        <v>0.56000000000000005</v>
      </c>
      <c r="VRR68" s="2555">
        <v>0.34</v>
      </c>
      <c r="VRS68" s="2555"/>
      <c r="VRT68" s="2555">
        <v>0.42</v>
      </c>
      <c r="VRU68" s="2553">
        <v>2019</v>
      </c>
      <c r="VRV68" s="2554"/>
      <c r="VRW68" s="2555">
        <v>0.5</v>
      </c>
      <c r="VRX68" s="2555">
        <v>0.5</v>
      </c>
      <c r="VRY68" s="2555">
        <v>0.56000000000000005</v>
      </c>
      <c r="VRZ68" s="2555">
        <v>0.34</v>
      </c>
      <c r="VSA68" s="2555"/>
      <c r="VSB68" s="2555">
        <v>0.42</v>
      </c>
      <c r="VSC68" s="2553">
        <v>2019</v>
      </c>
      <c r="VSD68" s="2554"/>
      <c r="VSE68" s="2555">
        <v>0.5</v>
      </c>
      <c r="VSF68" s="2555">
        <v>0.5</v>
      </c>
      <c r="VSG68" s="2555">
        <v>0.56000000000000005</v>
      </c>
      <c r="VSH68" s="2555">
        <v>0.34</v>
      </c>
      <c r="VSI68" s="2555"/>
      <c r="VSJ68" s="2555">
        <v>0.42</v>
      </c>
      <c r="VSK68" s="2553">
        <v>2019</v>
      </c>
      <c r="VSL68" s="2554"/>
      <c r="VSM68" s="2555">
        <v>0.5</v>
      </c>
      <c r="VSN68" s="2555">
        <v>0.5</v>
      </c>
      <c r="VSO68" s="2555">
        <v>0.56000000000000005</v>
      </c>
      <c r="VSP68" s="2555">
        <v>0.34</v>
      </c>
      <c r="VSQ68" s="2555"/>
      <c r="VSR68" s="2555">
        <v>0.42</v>
      </c>
      <c r="VSS68" s="2553">
        <v>2019</v>
      </c>
      <c r="VST68" s="2554"/>
      <c r="VSU68" s="2555">
        <v>0.5</v>
      </c>
      <c r="VSV68" s="2555">
        <v>0.5</v>
      </c>
      <c r="VSW68" s="2555">
        <v>0.56000000000000005</v>
      </c>
      <c r="VSX68" s="2555">
        <v>0.34</v>
      </c>
      <c r="VSY68" s="2555"/>
      <c r="VSZ68" s="2555">
        <v>0.42</v>
      </c>
      <c r="VTA68" s="2553">
        <v>2019</v>
      </c>
      <c r="VTB68" s="2554"/>
      <c r="VTC68" s="2555">
        <v>0.5</v>
      </c>
      <c r="VTD68" s="2555">
        <v>0.5</v>
      </c>
      <c r="VTE68" s="2555">
        <v>0.56000000000000005</v>
      </c>
      <c r="VTF68" s="2555">
        <v>0.34</v>
      </c>
      <c r="VTG68" s="2555"/>
      <c r="VTH68" s="2555">
        <v>0.42</v>
      </c>
      <c r="VTI68" s="2553">
        <v>2019</v>
      </c>
      <c r="VTJ68" s="2554"/>
      <c r="VTK68" s="2555">
        <v>0.5</v>
      </c>
      <c r="VTL68" s="2555">
        <v>0.5</v>
      </c>
      <c r="VTM68" s="2555">
        <v>0.56000000000000005</v>
      </c>
      <c r="VTN68" s="2555">
        <v>0.34</v>
      </c>
      <c r="VTO68" s="2555"/>
      <c r="VTP68" s="2555">
        <v>0.42</v>
      </c>
      <c r="VTQ68" s="2553">
        <v>2019</v>
      </c>
      <c r="VTR68" s="2554"/>
      <c r="VTS68" s="2555">
        <v>0.5</v>
      </c>
      <c r="VTT68" s="2555">
        <v>0.5</v>
      </c>
      <c r="VTU68" s="2555">
        <v>0.56000000000000005</v>
      </c>
      <c r="VTV68" s="2555">
        <v>0.34</v>
      </c>
      <c r="VTW68" s="2555"/>
      <c r="VTX68" s="2555">
        <v>0.42</v>
      </c>
      <c r="VTY68" s="2553">
        <v>2019</v>
      </c>
      <c r="VTZ68" s="2554"/>
      <c r="VUA68" s="2555">
        <v>0.5</v>
      </c>
      <c r="VUB68" s="2555">
        <v>0.5</v>
      </c>
      <c r="VUC68" s="2555">
        <v>0.56000000000000005</v>
      </c>
      <c r="VUD68" s="2555">
        <v>0.34</v>
      </c>
      <c r="VUE68" s="2555"/>
      <c r="VUF68" s="2555">
        <v>0.42</v>
      </c>
      <c r="VUG68" s="2553">
        <v>2019</v>
      </c>
      <c r="VUH68" s="2554"/>
      <c r="VUI68" s="2555">
        <v>0.5</v>
      </c>
      <c r="VUJ68" s="2555">
        <v>0.5</v>
      </c>
      <c r="VUK68" s="2555">
        <v>0.56000000000000005</v>
      </c>
      <c r="VUL68" s="2555">
        <v>0.34</v>
      </c>
      <c r="VUM68" s="2555"/>
      <c r="VUN68" s="2555">
        <v>0.42</v>
      </c>
      <c r="VUO68" s="2553">
        <v>2019</v>
      </c>
      <c r="VUP68" s="2554"/>
      <c r="VUQ68" s="2555">
        <v>0.5</v>
      </c>
      <c r="VUR68" s="2555">
        <v>0.5</v>
      </c>
      <c r="VUS68" s="2555">
        <v>0.56000000000000005</v>
      </c>
      <c r="VUT68" s="2555">
        <v>0.34</v>
      </c>
      <c r="VUU68" s="2555"/>
      <c r="VUV68" s="2555">
        <v>0.42</v>
      </c>
      <c r="VUW68" s="2553">
        <v>2019</v>
      </c>
      <c r="VUX68" s="2554"/>
      <c r="VUY68" s="2555">
        <v>0.5</v>
      </c>
      <c r="VUZ68" s="2555">
        <v>0.5</v>
      </c>
      <c r="VVA68" s="2555">
        <v>0.56000000000000005</v>
      </c>
      <c r="VVB68" s="2555">
        <v>0.34</v>
      </c>
      <c r="VVC68" s="2555"/>
      <c r="VVD68" s="2555">
        <v>0.42</v>
      </c>
      <c r="VVE68" s="2553">
        <v>2019</v>
      </c>
      <c r="VVF68" s="2554"/>
      <c r="VVG68" s="2555">
        <v>0.5</v>
      </c>
      <c r="VVH68" s="2555">
        <v>0.5</v>
      </c>
      <c r="VVI68" s="2555">
        <v>0.56000000000000005</v>
      </c>
      <c r="VVJ68" s="2555">
        <v>0.34</v>
      </c>
      <c r="VVK68" s="2555"/>
      <c r="VVL68" s="2555">
        <v>0.42</v>
      </c>
      <c r="VVM68" s="2553">
        <v>2019</v>
      </c>
      <c r="VVN68" s="2554"/>
      <c r="VVO68" s="2555">
        <v>0.5</v>
      </c>
      <c r="VVP68" s="2555">
        <v>0.5</v>
      </c>
      <c r="VVQ68" s="2555">
        <v>0.56000000000000005</v>
      </c>
      <c r="VVR68" s="2555">
        <v>0.34</v>
      </c>
      <c r="VVS68" s="2555"/>
      <c r="VVT68" s="2555">
        <v>0.42</v>
      </c>
      <c r="VVU68" s="2553">
        <v>2019</v>
      </c>
      <c r="VVV68" s="2554"/>
      <c r="VVW68" s="2555">
        <v>0.5</v>
      </c>
      <c r="VVX68" s="2555">
        <v>0.5</v>
      </c>
      <c r="VVY68" s="2555">
        <v>0.56000000000000005</v>
      </c>
      <c r="VVZ68" s="2555">
        <v>0.34</v>
      </c>
      <c r="VWA68" s="2555"/>
      <c r="VWB68" s="2555">
        <v>0.42</v>
      </c>
      <c r="VWC68" s="2553">
        <v>2019</v>
      </c>
      <c r="VWD68" s="2554"/>
      <c r="VWE68" s="2555">
        <v>0.5</v>
      </c>
      <c r="VWF68" s="2555">
        <v>0.5</v>
      </c>
      <c r="VWG68" s="2555">
        <v>0.56000000000000005</v>
      </c>
      <c r="VWH68" s="2555">
        <v>0.34</v>
      </c>
      <c r="VWI68" s="2555"/>
      <c r="VWJ68" s="2555">
        <v>0.42</v>
      </c>
      <c r="VWK68" s="2553">
        <v>2019</v>
      </c>
      <c r="VWL68" s="2554"/>
      <c r="VWM68" s="2555">
        <v>0.5</v>
      </c>
      <c r="VWN68" s="2555">
        <v>0.5</v>
      </c>
      <c r="VWO68" s="2555">
        <v>0.56000000000000005</v>
      </c>
      <c r="VWP68" s="2555">
        <v>0.34</v>
      </c>
      <c r="VWQ68" s="2555"/>
      <c r="VWR68" s="2555">
        <v>0.42</v>
      </c>
      <c r="VWS68" s="2553">
        <v>2019</v>
      </c>
      <c r="VWT68" s="2554"/>
      <c r="VWU68" s="2555">
        <v>0.5</v>
      </c>
      <c r="VWV68" s="2555">
        <v>0.5</v>
      </c>
      <c r="VWW68" s="2555">
        <v>0.56000000000000005</v>
      </c>
      <c r="VWX68" s="2555">
        <v>0.34</v>
      </c>
      <c r="VWY68" s="2555"/>
      <c r="VWZ68" s="2555">
        <v>0.42</v>
      </c>
      <c r="VXA68" s="2553">
        <v>2019</v>
      </c>
      <c r="VXB68" s="2554"/>
      <c r="VXC68" s="2555">
        <v>0.5</v>
      </c>
      <c r="VXD68" s="2555">
        <v>0.5</v>
      </c>
      <c r="VXE68" s="2555">
        <v>0.56000000000000005</v>
      </c>
      <c r="VXF68" s="2555">
        <v>0.34</v>
      </c>
      <c r="VXG68" s="2555"/>
      <c r="VXH68" s="2555">
        <v>0.42</v>
      </c>
      <c r="VXI68" s="2553">
        <v>2019</v>
      </c>
      <c r="VXJ68" s="2554"/>
      <c r="VXK68" s="2555">
        <v>0.5</v>
      </c>
      <c r="VXL68" s="2555">
        <v>0.5</v>
      </c>
      <c r="VXM68" s="2555">
        <v>0.56000000000000005</v>
      </c>
      <c r="VXN68" s="2555">
        <v>0.34</v>
      </c>
      <c r="VXO68" s="2555"/>
      <c r="VXP68" s="2555">
        <v>0.42</v>
      </c>
      <c r="VXQ68" s="2553">
        <v>2019</v>
      </c>
      <c r="VXR68" s="2554"/>
      <c r="VXS68" s="2555">
        <v>0.5</v>
      </c>
      <c r="VXT68" s="2555">
        <v>0.5</v>
      </c>
      <c r="VXU68" s="2555">
        <v>0.56000000000000005</v>
      </c>
      <c r="VXV68" s="2555">
        <v>0.34</v>
      </c>
      <c r="VXW68" s="2555"/>
      <c r="VXX68" s="2555">
        <v>0.42</v>
      </c>
      <c r="VXY68" s="2553">
        <v>2019</v>
      </c>
      <c r="VXZ68" s="2554"/>
      <c r="VYA68" s="2555">
        <v>0.5</v>
      </c>
      <c r="VYB68" s="2555">
        <v>0.5</v>
      </c>
      <c r="VYC68" s="2555">
        <v>0.56000000000000005</v>
      </c>
      <c r="VYD68" s="2555">
        <v>0.34</v>
      </c>
      <c r="VYE68" s="2555"/>
      <c r="VYF68" s="2555">
        <v>0.42</v>
      </c>
      <c r="VYG68" s="2553">
        <v>2019</v>
      </c>
      <c r="VYH68" s="2554"/>
      <c r="VYI68" s="2555">
        <v>0.5</v>
      </c>
      <c r="VYJ68" s="2555">
        <v>0.5</v>
      </c>
      <c r="VYK68" s="2555">
        <v>0.56000000000000005</v>
      </c>
      <c r="VYL68" s="2555">
        <v>0.34</v>
      </c>
      <c r="VYM68" s="2555"/>
      <c r="VYN68" s="2555">
        <v>0.42</v>
      </c>
      <c r="VYO68" s="2553">
        <v>2019</v>
      </c>
      <c r="VYP68" s="2554"/>
      <c r="VYQ68" s="2555">
        <v>0.5</v>
      </c>
      <c r="VYR68" s="2555">
        <v>0.5</v>
      </c>
      <c r="VYS68" s="2555">
        <v>0.56000000000000005</v>
      </c>
      <c r="VYT68" s="2555">
        <v>0.34</v>
      </c>
      <c r="VYU68" s="2555"/>
      <c r="VYV68" s="2555">
        <v>0.42</v>
      </c>
      <c r="VYW68" s="2553">
        <v>2019</v>
      </c>
      <c r="VYX68" s="2554"/>
      <c r="VYY68" s="2555">
        <v>0.5</v>
      </c>
      <c r="VYZ68" s="2555">
        <v>0.5</v>
      </c>
      <c r="VZA68" s="2555">
        <v>0.56000000000000005</v>
      </c>
      <c r="VZB68" s="2555">
        <v>0.34</v>
      </c>
      <c r="VZC68" s="2555"/>
      <c r="VZD68" s="2555">
        <v>0.42</v>
      </c>
      <c r="VZE68" s="2553">
        <v>2019</v>
      </c>
      <c r="VZF68" s="2554"/>
      <c r="VZG68" s="2555">
        <v>0.5</v>
      </c>
      <c r="VZH68" s="2555">
        <v>0.5</v>
      </c>
      <c r="VZI68" s="2555">
        <v>0.56000000000000005</v>
      </c>
      <c r="VZJ68" s="2555">
        <v>0.34</v>
      </c>
      <c r="VZK68" s="2555"/>
      <c r="VZL68" s="2555">
        <v>0.42</v>
      </c>
      <c r="VZM68" s="2553">
        <v>2019</v>
      </c>
      <c r="VZN68" s="2554"/>
      <c r="VZO68" s="2555">
        <v>0.5</v>
      </c>
      <c r="VZP68" s="2555">
        <v>0.5</v>
      </c>
      <c r="VZQ68" s="2555">
        <v>0.56000000000000005</v>
      </c>
      <c r="VZR68" s="2555">
        <v>0.34</v>
      </c>
      <c r="VZS68" s="2555"/>
      <c r="VZT68" s="2555">
        <v>0.42</v>
      </c>
      <c r="VZU68" s="2553">
        <v>2019</v>
      </c>
      <c r="VZV68" s="2554"/>
      <c r="VZW68" s="2555">
        <v>0.5</v>
      </c>
      <c r="VZX68" s="2555">
        <v>0.5</v>
      </c>
      <c r="VZY68" s="2555">
        <v>0.56000000000000005</v>
      </c>
      <c r="VZZ68" s="2555">
        <v>0.34</v>
      </c>
      <c r="WAA68" s="2555"/>
      <c r="WAB68" s="2555">
        <v>0.42</v>
      </c>
      <c r="WAC68" s="2553">
        <v>2019</v>
      </c>
      <c r="WAD68" s="2554"/>
      <c r="WAE68" s="2555">
        <v>0.5</v>
      </c>
      <c r="WAF68" s="2555">
        <v>0.5</v>
      </c>
      <c r="WAG68" s="2555">
        <v>0.56000000000000005</v>
      </c>
      <c r="WAH68" s="2555">
        <v>0.34</v>
      </c>
      <c r="WAI68" s="2555"/>
      <c r="WAJ68" s="2555">
        <v>0.42</v>
      </c>
      <c r="WAK68" s="2553">
        <v>2019</v>
      </c>
      <c r="WAL68" s="2554"/>
      <c r="WAM68" s="2555">
        <v>0.5</v>
      </c>
      <c r="WAN68" s="2555">
        <v>0.5</v>
      </c>
      <c r="WAO68" s="2555">
        <v>0.56000000000000005</v>
      </c>
      <c r="WAP68" s="2555">
        <v>0.34</v>
      </c>
      <c r="WAQ68" s="2555"/>
      <c r="WAR68" s="2555">
        <v>0.42</v>
      </c>
      <c r="WAS68" s="2553">
        <v>2019</v>
      </c>
      <c r="WAT68" s="2554"/>
      <c r="WAU68" s="2555">
        <v>0.5</v>
      </c>
      <c r="WAV68" s="2555">
        <v>0.5</v>
      </c>
      <c r="WAW68" s="2555">
        <v>0.56000000000000005</v>
      </c>
      <c r="WAX68" s="2555">
        <v>0.34</v>
      </c>
      <c r="WAY68" s="2555"/>
      <c r="WAZ68" s="2555">
        <v>0.42</v>
      </c>
      <c r="WBA68" s="2553">
        <v>2019</v>
      </c>
      <c r="WBB68" s="2554"/>
      <c r="WBC68" s="2555">
        <v>0.5</v>
      </c>
      <c r="WBD68" s="2555">
        <v>0.5</v>
      </c>
      <c r="WBE68" s="2555">
        <v>0.56000000000000005</v>
      </c>
      <c r="WBF68" s="2555">
        <v>0.34</v>
      </c>
      <c r="WBG68" s="2555"/>
      <c r="WBH68" s="2555">
        <v>0.42</v>
      </c>
      <c r="WBI68" s="2553">
        <v>2019</v>
      </c>
      <c r="WBJ68" s="2554"/>
      <c r="WBK68" s="2555">
        <v>0.5</v>
      </c>
      <c r="WBL68" s="2555">
        <v>0.5</v>
      </c>
      <c r="WBM68" s="2555">
        <v>0.56000000000000005</v>
      </c>
      <c r="WBN68" s="2555">
        <v>0.34</v>
      </c>
      <c r="WBO68" s="2555"/>
      <c r="WBP68" s="2555">
        <v>0.42</v>
      </c>
      <c r="WBQ68" s="2553">
        <v>2019</v>
      </c>
      <c r="WBR68" s="2554"/>
      <c r="WBS68" s="2555">
        <v>0.5</v>
      </c>
      <c r="WBT68" s="2555">
        <v>0.5</v>
      </c>
      <c r="WBU68" s="2555">
        <v>0.56000000000000005</v>
      </c>
      <c r="WBV68" s="2555">
        <v>0.34</v>
      </c>
      <c r="WBW68" s="2555"/>
      <c r="WBX68" s="2555">
        <v>0.42</v>
      </c>
      <c r="WBY68" s="2553">
        <v>2019</v>
      </c>
      <c r="WBZ68" s="2554"/>
      <c r="WCA68" s="2555">
        <v>0.5</v>
      </c>
      <c r="WCB68" s="2555">
        <v>0.5</v>
      </c>
      <c r="WCC68" s="2555">
        <v>0.56000000000000005</v>
      </c>
      <c r="WCD68" s="2555">
        <v>0.34</v>
      </c>
      <c r="WCE68" s="2555"/>
      <c r="WCF68" s="2555">
        <v>0.42</v>
      </c>
      <c r="WCG68" s="2553">
        <v>2019</v>
      </c>
      <c r="WCH68" s="2554"/>
      <c r="WCI68" s="2555">
        <v>0.5</v>
      </c>
      <c r="WCJ68" s="2555">
        <v>0.5</v>
      </c>
      <c r="WCK68" s="2555">
        <v>0.56000000000000005</v>
      </c>
      <c r="WCL68" s="2555">
        <v>0.34</v>
      </c>
      <c r="WCM68" s="2555"/>
      <c r="WCN68" s="2555">
        <v>0.42</v>
      </c>
      <c r="WCO68" s="2553">
        <v>2019</v>
      </c>
      <c r="WCP68" s="2554"/>
      <c r="WCQ68" s="2555">
        <v>0.5</v>
      </c>
      <c r="WCR68" s="2555">
        <v>0.5</v>
      </c>
      <c r="WCS68" s="2555">
        <v>0.56000000000000005</v>
      </c>
      <c r="WCT68" s="2555">
        <v>0.34</v>
      </c>
      <c r="WCU68" s="2555"/>
      <c r="WCV68" s="2555">
        <v>0.42</v>
      </c>
      <c r="WCW68" s="2553">
        <v>2019</v>
      </c>
      <c r="WCX68" s="2554"/>
      <c r="WCY68" s="2555">
        <v>0.5</v>
      </c>
      <c r="WCZ68" s="2555">
        <v>0.5</v>
      </c>
      <c r="WDA68" s="2555">
        <v>0.56000000000000005</v>
      </c>
      <c r="WDB68" s="2555">
        <v>0.34</v>
      </c>
      <c r="WDC68" s="2555"/>
      <c r="WDD68" s="2555">
        <v>0.42</v>
      </c>
      <c r="WDE68" s="2553">
        <v>2019</v>
      </c>
      <c r="WDF68" s="2554"/>
      <c r="WDG68" s="2555">
        <v>0.5</v>
      </c>
      <c r="WDH68" s="2555">
        <v>0.5</v>
      </c>
      <c r="WDI68" s="2555">
        <v>0.56000000000000005</v>
      </c>
      <c r="WDJ68" s="2555">
        <v>0.34</v>
      </c>
      <c r="WDK68" s="2555"/>
      <c r="WDL68" s="2555">
        <v>0.42</v>
      </c>
      <c r="WDM68" s="2553">
        <v>2019</v>
      </c>
      <c r="WDN68" s="2554"/>
      <c r="WDO68" s="2555">
        <v>0.5</v>
      </c>
      <c r="WDP68" s="2555">
        <v>0.5</v>
      </c>
      <c r="WDQ68" s="2555">
        <v>0.56000000000000005</v>
      </c>
      <c r="WDR68" s="2555">
        <v>0.34</v>
      </c>
      <c r="WDS68" s="2555"/>
      <c r="WDT68" s="2555">
        <v>0.42</v>
      </c>
      <c r="WDU68" s="2553">
        <v>2019</v>
      </c>
      <c r="WDV68" s="2554"/>
      <c r="WDW68" s="2555">
        <v>0.5</v>
      </c>
      <c r="WDX68" s="2555">
        <v>0.5</v>
      </c>
      <c r="WDY68" s="2555">
        <v>0.56000000000000005</v>
      </c>
      <c r="WDZ68" s="2555">
        <v>0.34</v>
      </c>
      <c r="WEA68" s="2555"/>
      <c r="WEB68" s="2555">
        <v>0.42</v>
      </c>
      <c r="WEC68" s="2553">
        <v>2019</v>
      </c>
      <c r="WED68" s="2554"/>
      <c r="WEE68" s="2555">
        <v>0.5</v>
      </c>
      <c r="WEF68" s="2555">
        <v>0.5</v>
      </c>
      <c r="WEG68" s="2555">
        <v>0.56000000000000005</v>
      </c>
      <c r="WEH68" s="2555">
        <v>0.34</v>
      </c>
      <c r="WEI68" s="2555"/>
      <c r="WEJ68" s="2555">
        <v>0.42</v>
      </c>
      <c r="WEK68" s="2553">
        <v>2019</v>
      </c>
      <c r="WEL68" s="2554"/>
      <c r="WEM68" s="2555">
        <v>0.5</v>
      </c>
      <c r="WEN68" s="2555">
        <v>0.5</v>
      </c>
      <c r="WEO68" s="2555">
        <v>0.56000000000000005</v>
      </c>
      <c r="WEP68" s="2555">
        <v>0.34</v>
      </c>
      <c r="WEQ68" s="2555"/>
      <c r="WER68" s="2555">
        <v>0.42</v>
      </c>
      <c r="WES68" s="2553">
        <v>2019</v>
      </c>
      <c r="WET68" s="2554"/>
      <c r="WEU68" s="2555">
        <v>0.5</v>
      </c>
      <c r="WEV68" s="2555">
        <v>0.5</v>
      </c>
      <c r="WEW68" s="2555">
        <v>0.56000000000000005</v>
      </c>
      <c r="WEX68" s="2555">
        <v>0.34</v>
      </c>
      <c r="WEY68" s="2555"/>
      <c r="WEZ68" s="2555">
        <v>0.42</v>
      </c>
      <c r="WFA68" s="2553">
        <v>2019</v>
      </c>
      <c r="WFB68" s="2554"/>
      <c r="WFC68" s="2555">
        <v>0.5</v>
      </c>
      <c r="WFD68" s="2555">
        <v>0.5</v>
      </c>
      <c r="WFE68" s="2555">
        <v>0.56000000000000005</v>
      </c>
      <c r="WFF68" s="2555">
        <v>0.34</v>
      </c>
      <c r="WFG68" s="2555"/>
      <c r="WFH68" s="2555">
        <v>0.42</v>
      </c>
      <c r="WFI68" s="2553">
        <v>2019</v>
      </c>
      <c r="WFJ68" s="2554"/>
      <c r="WFK68" s="2555">
        <v>0.5</v>
      </c>
      <c r="WFL68" s="2555">
        <v>0.5</v>
      </c>
      <c r="WFM68" s="2555">
        <v>0.56000000000000005</v>
      </c>
      <c r="WFN68" s="2555">
        <v>0.34</v>
      </c>
      <c r="WFO68" s="2555"/>
      <c r="WFP68" s="2555">
        <v>0.42</v>
      </c>
      <c r="WFQ68" s="2553">
        <v>2019</v>
      </c>
      <c r="WFR68" s="2554"/>
      <c r="WFS68" s="2555">
        <v>0.5</v>
      </c>
      <c r="WFT68" s="2555">
        <v>0.5</v>
      </c>
      <c r="WFU68" s="2555">
        <v>0.56000000000000005</v>
      </c>
      <c r="WFV68" s="2555">
        <v>0.34</v>
      </c>
      <c r="WFW68" s="2555"/>
      <c r="WFX68" s="2555">
        <v>0.42</v>
      </c>
      <c r="WFY68" s="2553">
        <v>2019</v>
      </c>
      <c r="WFZ68" s="2554"/>
      <c r="WGA68" s="2555">
        <v>0.5</v>
      </c>
      <c r="WGB68" s="2555">
        <v>0.5</v>
      </c>
      <c r="WGC68" s="2555">
        <v>0.56000000000000005</v>
      </c>
      <c r="WGD68" s="2555">
        <v>0.34</v>
      </c>
      <c r="WGE68" s="2555"/>
      <c r="WGF68" s="2555">
        <v>0.42</v>
      </c>
      <c r="WGG68" s="2553">
        <v>2019</v>
      </c>
      <c r="WGH68" s="2554"/>
      <c r="WGI68" s="2555">
        <v>0.5</v>
      </c>
      <c r="WGJ68" s="2555">
        <v>0.5</v>
      </c>
      <c r="WGK68" s="2555">
        <v>0.56000000000000005</v>
      </c>
      <c r="WGL68" s="2555">
        <v>0.34</v>
      </c>
      <c r="WGM68" s="2555"/>
      <c r="WGN68" s="2555">
        <v>0.42</v>
      </c>
      <c r="WGO68" s="2553">
        <v>2019</v>
      </c>
      <c r="WGP68" s="2554"/>
      <c r="WGQ68" s="2555">
        <v>0.5</v>
      </c>
      <c r="WGR68" s="2555">
        <v>0.5</v>
      </c>
      <c r="WGS68" s="2555">
        <v>0.56000000000000005</v>
      </c>
      <c r="WGT68" s="2555">
        <v>0.34</v>
      </c>
      <c r="WGU68" s="2555"/>
      <c r="WGV68" s="2555">
        <v>0.42</v>
      </c>
      <c r="WGW68" s="2553">
        <v>2019</v>
      </c>
      <c r="WGX68" s="2554"/>
      <c r="WGY68" s="2555">
        <v>0.5</v>
      </c>
      <c r="WGZ68" s="2555">
        <v>0.5</v>
      </c>
      <c r="WHA68" s="2555">
        <v>0.56000000000000005</v>
      </c>
      <c r="WHB68" s="2555">
        <v>0.34</v>
      </c>
      <c r="WHC68" s="2555"/>
      <c r="WHD68" s="2555">
        <v>0.42</v>
      </c>
      <c r="WHE68" s="2553">
        <v>2019</v>
      </c>
      <c r="WHF68" s="2554"/>
      <c r="WHG68" s="2555">
        <v>0.5</v>
      </c>
      <c r="WHH68" s="2555">
        <v>0.5</v>
      </c>
      <c r="WHI68" s="2555">
        <v>0.56000000000000005</v>
      </c>
      <c r="WHJ68" s="2555">
        <v>0.34</v>
      </c>
      <c r="WHK68" s="2555"/>
      <c r="WHL68" s="2555">
        <v>0.42</v>
      </c>
      <c r="WHM68" s="2553">
        <v>2019</v>
      </c>
      <c r="WHN68" s="2554"/>
      <c r="WHO68" s="2555">
        <v>0.5</v>
      </c>
      <c r="WHP68" s="2555">
        <v>0.5</v>
      </c>
      <c r="WHQ68" s="2555">
        <v>0.56000000000000005</v>
      </c>
      <c r="WHR68" s="2555">
        <v>0.34</v>
      </c>
      <c r="WHS68" s="2555"/>
      <c r="WHT68" s="2555">
        <v>0.42</v>
      </c>
      <c r="WHU68" s="2553">
        <v>2019</v>
      </c>
      <c r="WHV68" s="2554"/>
      <c r="WHW68" s="2555">
        <v>0.5</v>
      </c>
      <c r="WHX68" s="2555">
        <v>0.5</v>
      </c>
      <c r="WHY68" s="2555">
        <v>0.56000000000000005</v>
      </c>
      <c r="WHZ68" s="2555">
        <v>0.34</v>
      </c>
      <c r="WIA68" s="2555"/>
      <c r="WIB68" s="2555">
        <v>0.42</v>
      </c>
      <c r="WIC68" s="2553">
        <v>2019</v>
      </c>
      <c r="WID68" s="2554"/>
      <c r="WIE68" s="2555">
        <v>0.5</v>
      </c>
      <c r="WIF68" s="2555">
        <v>0.5</v>
      </c>
      <c r="WIG68" s="2555">
        <v>0.56000000000000005</v>
      </c>
      <c r="WIH68" s="2555">
        <v>0.34</v>
      </c>
      <c r="WII68" s="2555"/>
      <c r="WIJ68" s="2555">
        <v>0.42</v>
      </c>
      <c r="WIK68" s="2553">
        <v>2019</v>
      </c>
      <c r="WIL68" s="2554"/>
      <c r="WIM68" s="2555">
        <v>0.5</v>
      </c>
      <c r="WIN68" s="2555">
        <v>0.5</v>
      </c>
      <c r="WIO68" s="2555">
        <v>0.56000000000000005</v>
      </c>
      <c r="WIP68" s="2555">
        <v>0.34</v>
      </c>
      <c r="WIQ68" s="2555"/>
      <c r="WIR68" s="2555">
        <v>0.42</v>
      </c>
      <c r="WIS68" s="2553">
        <v>2019</v>
      </c>
      <c r="WIT68" s="2554"/>
      <c r="WIU68" s="2555">
        <v>0.5</v>
      </c>
      <c r="WIV68" s="2555">
        <v>0.5</v>
      </c>
      <c r="WIW68" s="2555">
        <v>0.56000000000000005</v>
      </c>
      <c r="WIX68" s="2555">
        <v>0.34</v>
      </c>
      <c r="WIY68" s="2555"/>
      <c r="WIZ68" s="2555">
        <v>0.42</v>
      </c>
      <c r="WJA68" s="2553">
        <v>2019</v>
      </c>
      <c r="WJB68" s="2554"/>
      <c r="WJC68" s="2555">
        <v>0.5</v>
      </c>
      <c r="WJD68" s="2555">
        <v>0.5</v>
      </c>
      <c r="WJE68" s="2555">
        <v>0.56000000000000005</v>
      </c>
      <c r="WJF68" s="2555">
        <v>0.34</v>
      </c>
      <c r="WJG68" s="2555"/>
      <c r="WJH68" s="2555">
        <v>0.42</v>
      </c>
      <c r="WJI68" s="2553">
        <v>2019</v>
      </c>
      <c r="WJJ68" s="2554"/>
      <c r="WJK68" s="2555">
        <v>0.5</v>
      </c>
      <c r="WJL68" s="2555">
        <v>0.5</v>
      </c>
      <c r="WJM68" s="2555">
        <v>0.56000000000000005</v>
      </c>
      <c r="WJN68" s="2555">
        <v>0.34</v>
      </c>
      <c r="WJO68" s="2555"/>
      <c r="WJP68" s="2555">
        <v>0.42</v>
      </c>
      <c r="WJQ68" s="2553">
        <v>2019</v>
      </c>
      <c r="WJR68" s="2554"/>
      <c r="WJS68" s="2555">
        <v>0.5</v>
      </c>
      <c r="WJT68" s="2555">
        <v>0.5</v>
      </c>
      <c r="WJU68" s="2555">
        <v>0.56000000000000005</v>
      </c>
      <c r="WJV68" s="2555">
        <v>0.34</v>
      </c>
      <c r="WJW68" s="2555"/>
      <c r="WJX68" s="2555">
        <v>0.42</v>
      </c>
      <c r="WJY68" s="2553">
        <v>2019</v>
      </c>
      <c r="WJZ68" s="2554"/>
      <c r="WKA68" s="2555">
        <v>0.5</v>
      </c>
      <c r="WKB68" s="2555">
        <v>0.5</v>
      </c>
      <c r="WKC68" s="2555">
        <v>0.56000000000000005</v>
      </c>
      <c r="WKD68" s="2555">
        <v>0.34</v>
      </c>
      <c r="WKE68" s="2555"/>
      <c r="WKF68" s="2555">
        <v>0.42</v>
      </c>
      <c r="WKG68" s="2553">
        <v>2019</v>
      </c>
      <c r="WKH68" s="2554"/>
      <c r="WKI68" s="2555">
        <v>0.5</v>
      </c>
      <c r="WKJ68" s="2555">
        <v>0.5</v>
      </c>
      <c r="WKK68" s="2555">
        <v>0.56000000000000005</v>
      </c>
      <c r="WKL68" s="2555">
        <v>0.34</v>
      </c>
      <c r="WKM68" s="2555"/>
      <c r="WKN68" s="2555">
        <v>0.42</v>
      </c>
      <c r="WKO68" s="2553">
        <v>2019</v>
      </c>
      <c r="WKP68" s="2554"/>
      <c r="WKQ68" s="2555">
        <v>0.5</v>
      </c>
      <c r="WKR68" s="2555">
        <v>0.5</v>
      </c>
      <c r="WKS68" s="2555">
        <v>0.56000000000000005</v>
      </c>
      <c r="WKT68" s="2555">
        <v>0.34</v>
      </c>
      <c r="WKU68" s="2555"/>
      <c r="WKV68" s="2555">
        <v>0.42</v>
      </c>
      <c r="WKW68" s="2553">
        <v>2019</v>
      </c>
      <c r="WKX68" s="2554"/>
      <c r="WKY68" s="2555">
        <v>0.5</v>
      </c>
      <c r="WKZ68" s="2555">
        <v>0.5</v>
      </c>
      <c r="WLA68" s="2555">
        <v>0.56000000000000005</v>
      </c>
      <c r="WLB68" s="2555">
        <v>0.34</v>
      </c>
      <c r="WLC68" s="2555"/>
      <c r="WLD68" s="2555">
        <v>0.42</v>
      </c>
      <c r="WLE68" s="2553">
        <v>2019</v>
      </c>
      <c r="WLF68" s="2554"/>
      <c r="WLG68" s="2555">
        <v>0.5</v>
      </c>
      <c r="WLH68" s="2555">
        <v>0.5</v>
      </c>
      <c r="WLI68" s="2555">
        <v>0.56000000000000005</v>
      </c>
      <c r="WLJ68" s="2555">
        <v>0.34</v>
      </c>
      <c r="WLK68" s="2555"/>
      <c r="WLL68" s="2555">
        <v>0.42</v>
      </c>
      <c r="WLM68" s="2553">
        <v>2019</v>
      </c>
      <c r="WLN68" s="2554"/>
      <c r="WLO68" s="2555">
        <v>0.5</v>
      </c>
      <c r="WLP68" s="2555">
        <v>0.5</v>
      </c>
      <c r="WLQ68" s="2555">
        <v>0.56000000000000005</v>
      </c>
      <c r="WLR68" s="2555">
        <v>0.34</v>
      </c>
      <c r="WLS68" s="2555"/>
      <c r="WLT68" s="2555">
        <v>0.42</v>
      </c>
      <c r="WLU68" s="2553">
        <v>2019</v>
      </c>
      <c r="WLV68" s="2554"/>
      <c r="WLW68" s="2555">
        <v>0.5</v>
      </c>
      <c r="WLX68" s="2555">
        <v>0.5</v>
      </c>
      <c r="WLY68" s="2555">
        <v>0.56000000000000005</v>
      </c>
      <c r="WLZ68" s="2555">
        <v>0.34</v>
      </c>
      <c r="WMA68" s="2555"/>
      <c r="WMB68" s="2555">
        <v>0.42</v>
      </c>
      <c r="WMC68" s="2553">
        <v>2019</v>
      </c>
      <c r="WMD68" s="2554"/>
      <c r="WME68" s="2555">
        <v>0.5</v>
      </c>
      <c r="WMF68" s="2555">
        <v>0.5</v>
      </c>
      <c r="WMG68" s="2555">
        <v>0.56000000000000005</v>
      </c>
      <c r="WMH68" s="2555">
        <v>0.34</v>
      </c>
      <c r="WMI68" s="2555"/>
      <c r="WMJ68" s="2555">
        <v>0.42</v>
      </c>
      <c r="WMK68" s="2553">
        <v>2019</v>
      </c>
      <c r="WML68" s="2554"/>
      <c r="WMM68" s="2555">
        <v>0.5</v>
      </c>
      <c r="WMN68" s="2555">
        <v>0.5</v>
      </c>
      <c r="WMO68" s="2555">
        <v>0.56000000000000005</v>
      </c>
      <c r="WMP68" s="2555">
        <v>0.34</v>
      </c>
      <c r="WMQ68" s="2555"/>
      <c r="WMR68" s="2555">
        <v>0.42</v>
      </c>
      <c r="WMS68" s="2553">
        <v>2019</v>
      </c>
      <c r="WMT68" s="2554"/>
      <c r="WMU68" s="2555">
        <v>0.5</v>
      </c>
      <c r="WMV68" s="2555">
        <v>0.5</v>
      </c>
      <c r="WMW68" s="2555">
        <v>0.56000000000000005</v>
      </c>
      <c r="WMX68" s="2555">
        <v>0.34</v>
      </c>
      <c r="WMY68" s="2555"/>
      <c r="WMZ68" s="2555">
        <v>0.42</v>
      </c>
      <c r="WNA68" s="2553">
        <v>2019</v>
      </c>
      <c r="WNB68" s="2554"/>
      <c r="WNC68" s="2555">
        <v>0.5</v>
      </c>
      <c r="WND68" s="2555">
        <v>0.5</v>
      </c>
      <c r="WNE68" s="2555">
        <v>0.56000000000000005</v>
      </c>
      <c r="WNF68" s="2555">
        <v>0.34</v>
      </c>
      <c r="WNG68" s="2555"/>
      <c r="WNH68" s="2555">
        <v>0.42</v>
      </c>
      <c r="WNI68" s="2553">
        <v>2019</v>
      </c>
      <c r="WNJ68" s="2554"/>
      <c r="WNK68" s="2555">
        <v>0.5</v>
      </c>
      <c r="WNL68" s="2555">
        <v>0.5</v>
      </c>
      <c r="WNM68" s="2555">
        <v>0.56000000000000005</v>
      </c>
      <c r="WNN68" s="2555">
        <v>0.34</v>
      </c>
      <c r="WNO68" s="2555"/>
      <c r="WNP68" s="2555">
        <v>0.42</v>
      </c>
      <c r="WNQ68" s="2553">
        <v>2019</v>
      </c>
      <c r="WNR68" s="2554"/>
      <c r="WNS68" s="2555">
        <v>0.5</v>
      </c>
      <c r="WNT68" s="2555">
        <v>0.5</v>
      </c>
      <c r="WNU68" s="2555">
        <v>0.56000000000000005</v>
      </c>
      <c r="WNV68" s="2555">
        <v>0.34</v>
      </c>
      <c r="WNW68" s="2555"/>
      <c r="WNX68" s="2555">
        <v>0.42</v>
      </c>
      <c r="WNY68" s="2553">
        <v>2019</v>
      </c>
      <c r="WNZ68" s="2554"/>
      <c r="WOA68" s="2555">
        <v>0.5</v>
      </c>
      <c r="WOB68" s="2555">
        <v>0.5</v>
      </c>
      <c r="WOC68" s="2555">
        <v>0.56000000000000005</v>
      </c>
      <c r="WOD68" s="2555">
        <v>0.34</v>
      </c>
      <c r="WOE68" s="2555"/>
      <c r="WOF68" s="2555">
        <v>0.42</v>
      </c>
      <c r="WOG68" s="2553">
        <v>2019</v>
      </c>
      <c r="WOH68" s="2554"/>
      <c r="WOI68" s="2555">
        <v>0.5</v>
      </c>
      <c r="WOJ68" s="2555">
        <v>0.5</v>
      </c>
      <c r="WOK68" s="2555">
        <v>0.56000000000000005</v>
      </c>
      <c r="WOL68" s="2555">
        <v>0.34</v>
      </c>
      <c r="WOM68" s="2555"/>
      <c r="WON68" s="2555">
        <v>0.42</v>
      </c>
      <c r="WOO68" s="2553">
        <v>2019</v>
      </c>
      <c r="WOP68" s="2554"/>
      <c r="WOQ68" s="2555">
        <v>0.5</v>
      </c>
      <c r="WOR68" s="2555">
        <v>0.5</v>
      </c>
      <c r="WOS68" s="2555">
        <v>0.56000000000000005</v>
      </c>
      <c r="WOT68" s="2555">
        <v>0.34</v>
      </c>
      <c r="WOU68" s="2555"/>
      <c r="WOV68" s="2555">
        <v>0.42</v>
      </c>
      <c r="WOW68" s="2553">
        <v>2019</v>
      </c>
      <c r="WOX68" s="2554"/>
      <c r="WOY68" s="2555">
        <v>0.5</v>
      </c>
      <c r="WOZ68" s="2555">
        <v>0.5</v>
      </c>
      <c r="WPA68" s="2555">
        <v>0.56000000000000005</v>
      </c>
      <c r="WPB68" s="2555">
        <v>0.34</v>
      </c>
      <c r="WPC68" s="2555"/>
      <c r="WPD68" s="2555">
        <v>0.42</v>
      </c>
      <c r="WPE68" s="2553">
        <v>2019</v>
      </c>
      <c r="WPF68" s="2554"/>
      <c r="WPG68" s="2555">
        <v>0.5</v>
      </c>
      <c r="WPH68" s="2555">
        <v>0.5</v>
      </c>
      <c r="WPI68" s="2555">
        <v>0.56000000000000005</v>
      </c>
      <c r="WPJ68" s="2555">
        <v>0.34</v>
      </c>
      <c r="WPK68" s="2555"/>
      <c r="WPL68" s="2555">
        <v>0.42</v>
      </c>
      <c r="WPM68" s="2553">
        <v>2019</v>
      </c>
      <c r="WPN68" s="2554"/>
      <c r="WPO68" s="2555">
        <v>0.5</v>
      </c>
      <c r="WPP68" s="2555">
        <v>0.5</v>
      </c>
      <c r="WPQ68" s="2555">
        <v>0.56000000000000005</v>
      </c>
      <c r="WPR68" s="2555">
        <v>0.34</v>
      </c>
      <c r="WPS68" s="2555"/>
      <c r="WPT68" s="2555">
        <v>0.42</v>
      </c>
      <c r="WPU68" s="2553">
        <v>2019</v>
      </c>
      <c r="WPV68" s="2554"/>
      <c r="WPW68" s="2555">
        <v>0.5</v>
      </c>
      <c r="WPX68" s="2555">
        <v>0.5</v>
      </c>
      <c r="WPY68" s="2555">
        <v>0.56000000000000005</v>
      </c>
      <c r="WPZ68" s="2555">
        <v>0.34</v>
      </c>
      <c r="WQA68" s="2555"/>
      <c r="WQB68" s="2555">
        <v>0.42</v>
      </c>
      <c r="WQC68" s="2553">
        <v>2019</v>
      </c>
      <c r="WQD68" s="2554"/>
      <c r="WQE68" s="2555">
        <v>0.5</v>
      </c>
      <c r="WQF68" s="2555">
        <v>0.5</v>
      </c>
      <c r="WQG68" s="2555">
        <v>0.56000000000000005</v>
      </c>
      <c r="WQH68" s="2555">
        <v>0.34</v>
      </c>
      <c r="WQI68" s="2555"/>
      <c r="WQJ68" s="2555">
        <v>0.42</v>
      </c>
      <c r="WQK68" s="2553">
        <v>2019</v>
      </c>
      <c r="WQL68" s="2554"/>
      <c r="WQM68" s="2555">
        <v>0.5</v>
      </c>
      <c r="WQN68" s="2555">
        <v>0.5</v>
      </c>
      <c r="WQO68" s="2555">
        <v>0.56000000000000005</v>
      </c>
      <c r="WQP68" s="2555">
        <v>0.34</v>
      </c>
      <c r="WQQ68" s="2555"/>
      <c r="WQR68" s="2555">
        <v>0.42</v>
      </c>
      <c r="WQS68" s="2553">
        <v>2019</v>
      </c>
      <c r="WQT68" s="2554"/>
      <c r="WQU68" s="2555">
        <v>0.5</v>
      </c>
      <c r="WQV68" s="2555">
        <v>0.5</v>
      </c>
      <c r="WQW68" s="2555">
        <v>0.56000000000000005</v>
      </c>
      <c r="WQX68" s="2555">
        <v>0.34</v>
      </c>
      <c r="WQY68" s="2555"/>
      <c r="WQZ68" s="2555">
        <v>0.42</v>
      </c>
      <c r="WRA68" s="2553">
        <v>2019</v>
      </c>
      <c r="WRB68" s="2554"/>
      <c r="WRC68" s="2555">
        <v>0.5</v>
      </c>
      <c r="WRD68" s="2555">
        <v>0.5</v>
      </c>
      <c r="WRE68" s="2555">
        <v>0.56000000000000005</v>
      </c>
      <c r="WRF68" s="2555">
        <v>0.34</v>
      </c>
      <c r="WRG68" s="2555"/>
      <c r="WRH68" s="2555">
        <v>0.42</v>
      </c>
      <c r="WRI68" s="2553">
        <v>2019</v>
      </c>
      <c r="WRJ68" s="2554"/>
      <c r="WRK68" s="2555">
        <v>0.5</v>
      </c>
      <c r="WRL68" s="2555">
        <v>0.5</v>
      </c>
      <c r="WRM68" s="2555">
        <v>0.56000000000000005</v>
      </c>
      <c r="WRN68" s="2555">
        <v>0.34</v>
      </c>
      <c r="WRO68" s="2555"/>
      <c r="WRP68" s="2555">
        <v>0.42</v>
      </c>
      <c r="WRQ68" s="2553">
        <v>2019</v>
      </c>
      <c r="WRR68" s="2554"/>
      <c r="WRS68" s="2555">
        <v>0.5</v>
      </c>
      <c r="WRT68" s="2555">
        <v>0.5</v>
      </c>
      <c r="WRU68" s="2555">
        <v>0.56000000000000005</v>
      </c>
      <c r="WRV68" s="2555">
        <v>0.34</v>
      </c>
      <c r="WRW68" s="2555"/>
      <c r="WRX68" s="2555">
        <v>0.42</v>
      </c>
      <c r="WRY68" s="2553">
        <v>2019</v>
      </c>
      <c r="WRZ68" s="2554"/>
      <c r="WSA68" s="2555">
        <v>0.5</v>
      </c>
      <c r="WSB68" s="2555">
        <v>0.5</v>
      </c>
      <c r="WSC68" s="2555">
        <v>0.56000000000000005</v>
      </c>
      <c r="WSD68" s="2555">
        <v>0.34</v>
      </c>
      <c r="WSE68" s="2555"/>
      <c r="WSF68" s="2555">
        <v>0.42</v>
      </c>
      <c r="WSG68" s="2553">
        <v>2019</v>
      </c>
      <c r="WSH68" s="2554"/>
      <c r="WSI68" s="2555">
        <v>0.5</v>
      </c>
      <c r="WSJ68" s="2555">
        <v>0.5</v>
      </c>
      <c r="WSK68" s="2555">
        <v>0.56000000000000005</v>
      </c>
      <c r="WSL68" s="2555">
        <v>0.34</v>
      </c>
      <c r="WSM68" s="2555"/>
      <c r="WSN68" s="2555">
        <v>0.42</v>
      </c>
      <c r="WSO68" s="2553">
        <v>2019</v>
      </c>
      <c r="WSP68" s="2554"/>
      <c r="WSQ68" s="2555">
        <v>0.5</v>
      </c>
      <c r="WSR68" s="2555">
        <v>0.5</v>
      </c>
      <c r="WSS68" s="2555">
        <v>0.56000000000000005</v>
      </c>
      <c r="WST68" s="2555">
        <v>0.34</v>
      </c>
      <c r="WSU68" s="2555"/>
      <c r="WSV68" s="2555">
        <v>0.42</v>
      </c>
      <c r="WSW68" s="2553">
        <v>2019</v>
      </c>
      <c r="WSX68" s="2554"/>
      <c r="WSY68" s="2555">
        <v>0.5</v>
      </c>
      <c r="WSZ68" s="2555">
        <v>0.5</v>
      </c>
      <c r="WTA68" s="2555">
        <v>0.56000000000000005</v>
      </c>
      <c r="WTB68" s="2555">
        <v>0.34</v>
      </c>
      <c r="WTC68" s="2555"/>
      <c r="WTD68" s="2555">
        <v>0.42</v>
      </c>
      <c r="WTE68" s="2553">
        <v>2019</v>
      </c>
      <c r="WTF68" s="2554"/>
      <c r="WTG68" s="2555">
        <v>0.5</v>
      </c>
      <c r="WTH68" s="2555">
        <v>0.5</v>
      </c>
      <c r="WTI68" s="2555">
        <v>0.56000000000000005</v>
      </c>
      <c r="WTJ68" s="2555">
        <v>0.34</v>
      </c>
      <c r="WTK68" s="2555"/>
      <c r="WTL68" s="2555">
        <v>0.42</v>
      </c>
      <c r="WTM68" s="2553">
        <v>2019</v>
      </c>
      <c r="WTN68" s="2554"/>
      <c r="WTO68" s="2555">
        <v>0.5</v>
      </c>
      <c r="WTP68" s="2555">
        <v>0.5</v>
      </c>
      <c r="WTQ68" s="2555">
        <v>0.56000000000000005</v>
      </c>
      <c r="WTR68" s="2555">
        <v>0.34</v>
      </c>
      <c r="WTS68" s="2555"/>
      <c r="WTT68" s="2555">
        <v>0.42</v>
      </c>
      <c r="WTU68" s="2553">
        <v>2019</v>
      </c>
      <c r="WTV68" s="2554"/>
      <c r="WTW68" s="2555">
        <v>0.5</v>
      </c>
      <c r="WTX68" s="2555">
        <v>0.5</v>
      </c>
      <c r="WTY68" s="2555">
        <v>0.56000000000000005</v>
      </c>
      <c r="WTZ68" s="2555">
        <v>0.34</v>
      </c>
      <c r="WUA68" s="2555"/>
      <c r="WUB68" s="2555">
        <v>0.42</v>
      </c>
      <c r="WUC68" s="2553">
        <v>2019</v>
      </c>
      <c r="WUD68" s="2554"/>
      <c r="WUE68" s="2555">
        <v>0.5</v>
      </c>
      <c r="WUF68" s="2555">
        <v>0.5</v>
      </c>
      <c r="WUG68" s="2555">
        <v>0.56000000000000005</v>
      </c>
      <c r="WUH68" s="2555">
        <v>0.34</v>
      </c>
      <c r="WUI68" s="2555"/>
      <c r="WUJ68" s="2555">
        <v>0.42</v>
      </c>
      <c r="WUK68" s="2553">
        <v>2019</v>
      </c>
      <c r="WUL68" s="2554"/>
      <c r="WUM68" s="2555">
        <v>0.5</v>
      </c>
      <c r="WUN68" s="2555">
        <v>0.5</v>
      </c>
      <c r="WUO68" s="2555">
        <v>0.56000000000000005</v>
      </c>
      <c r="WUP68" s="2555">
        <v>0.34</v>
      </c>
      <c r="WUQ68" s="2555"/>
      <c r="WUR68" s="2555">
        <v>0.42</v>
      </c>
      <c r="WUS68" s="2553">
        <v>2019</v>
      </c>
      <c r="WUT68" s="2554"/>
      <c r="WUU68" s="2555">
        <v>0.5</v>
      </c>
      <c r="WUV68" s="2555">
        <v>0.5</v>
      </c>
      <c r="WUW68" s="2555">
        <v>0.56000000000000005</v>
      </c>
      <c r="WUX68" s="2555">
        <v>0.34</v>
      </c>
      <c r="WUY68" s="2555"/>
      <c r="WUZ68" s="2555">
        <v>0.42</v>
      </c>
      <c r="WVA68" s="2553">
        <v>2019</v>
      </c>
      <c r="WVB68" s="2554"/>
      <c r="WVC68" s="2555">
        <v>0.5</v>
      </c>
      <c r="WVD68" s="2555">
        <v>0.5</v>
      </c>
      <c r="WVE68" s="2555">
        <v>0.56000000000000005</v>
      </c>
      <c r="WVF68" s="2555">
        <v>0.34</v>
      </c>
      <c r="WVG68" s="2555"/>
      <c r="WVH68" s="2555">
        <v>0.42</v>
      </c>
      <c r="WVI68" s="2553">
        <v>2019</v>
      </c>
      <c r="WVJ68" s="2554"/>
      <c r="WVK68" s="2555">
        <v>0.5</v>
      </c>
      <c r="WVL68" s="2555">
        <v>0.5</v>
      </c>
      <c r="WVM68" s="2555">
        <v>0.56000000000000005</v>
      </c>
      <c r="WVN68" s="2555">
        <v>0.34</v>
      </c>
      <c r="WVO68" s="2555"/>
      <c r="WVP68" s="2555">
        <v>0.42</v>
      </c>
      <c r="WVQ68" s="2553">
        <v>2019</v>
      </c>
      <c r="WVR68" s="2554"/>
      <c r="WVS68" s="2555">
        <v>0.5</v>
      </c>
      <c r="WVT68" s="2555">
        <v>0.5</v>
      </c>
      <c r="WVU68" s="2555">
        <v>0.56000000000000005</v>
      </c>
      <c r="WVV68" s="2555">
        <v>0.34</v>
      </c>
      <c r="WVW68" s="2555"/>
      <c r="WVX68" s="2555">
        <v>0.42</v>
      </c>
      <c r="WVY68" s="2553">
        <v>2019</v>
      </c>
      <c r="WVZ68" s="2554"/>
      <c r="WWA68" s="2555">
        <v>0.5</v>
      </c>
      <c r="WWB68" s="2555">
        <v>0.5</v>
      </c>
      <c r="WWC68" s="2555">
        <v>0.56000000000000005</v>
      </c>
      <c r="WWD68" s="2555">
        <v>0.34</v>
      </c>
      <c r="WWE68" s="2555"/>
      <c r="WWF68" s="2555">
        <v>0.42</v>
      </c>
      <c r="WWG68" s="2553">
        <v>2019</v>
      </c>
      <c r="WWH68" s="2554"/>
      <c r="WWI68" s="2555">
        <v>0.5</v>
      </c>
      <c r="WWJ68" s="2555">
        <v>0.5</v>
      </c>
      <c r="WWK68" s="2555">
        <v>0.56000000000000005</v>
      </c>
      <c r="WWL68" s="2555">
        <v>0.34</v>
      </c>
      <c r="WWM68" s="2555"/>
      <c r="WWN68" s="2555">
        <v>0.42</v>
      </c>
      <c r="WWO68" s="2553">
        <v>2019</v>
      </c>
      <c r="WWP68" s="2554"/>
      <c r="WWQ68" s="2555">
        <v>0.5</v>
      </c>
      <c r="WWR68" s="2555">
        <v>0.5</v>
      </c>
      <c r="WWS68" s="2555">
        <v>0.56000000000000005</v>
      </c>
      <c r="WWT68" s="2555">
        <v>0.34</v>
      </c>
      <c r="WWU68" s="2555"/>
      <c r="WWV68" s="2555">
        <v>0.42</v>
      </c>
      <c r="WWW68" s="2553">
        <v>2019</v>
      </c>
      <c r="WWX68" s="2554"/>
      <c r="WWY68" s="2555">
        <v>0.5</v>
      </c>
      <c r="WWZ68" s="2555">
        <v>0.5</v>
      </c>
      <c r="WXA68" s="2555">
        <v>0.56000000000000005</v>
      </c>
      <c r="WXB68" s="2555">
        <v>0.34</v>
      </c>
      <c r="WXC68" s="2555"/>
      <c r="WXD68" s="2555">
        <v>0.42</v>
      </c>
      <c r="WXE68" s="2553">
        <v>2019</v>
      </c>
      <c r="WXF68" s="2554"/>
      <c r="WXG68" s="2555">
        <v>0.5</v>
      </c>
      <c r="WXH68" s="2555">
        <v>0.5</v>
      </c>
      <c r="WXI68" s="2555">
        <v>0.56000000000000005</v>
      </c>
      <c r="WXJ68" s="2555">
        <v>0.34</v>
      </c>
      <c r="WXK68" s="2555"/>
      <c r="WXL68" s="2555">
        <v>0.42</v>
      </c>
      <c r="WXM68" s="2553">
        <v>2019</v>
      </c>
      <c r="WXN68" s="2554"/>
      <c r="WXO68" s="2555">
        <v>0.5</v>
      </c>
      <c r="WXP68" s="2555">
        <v>0.5</v>
      </c>
      <c r="WXQ68" s="2555">
        <v>0.56000000000000005</v>
      </c>
      <c r="WXR68" s="2555">
        <v>0.34</v>
      </c>
      <c r="WXS68" s="2555"/>
      <c r="WXT68" s="2555">
        <v>0.42</v>
      </c>
      <c r="WXU68" s="2553">
        <v>2019</v>
      </c>
      <c r="WXV68" s="2554"/>
      <c r="WXW68" s="2555">
        <v>0.5</v>
      </c>
      <c r="WXX68" s="2555">
        <v>0.5</v>
      </c>
      <c r="WXY68" s="2555">
        <v>0.56000000000000005</v>
      </c>
      <c r="WXZ68" s="2555">
        <v>0.34</v>
      </c>
      <c r="WYA68" s="2555"/>
      <c r="WYB68" s="2555">
        <v>0.42</v>
      </c>
      <c r="WYC68" s="2553">
        <v>2019</v>
      </c>
      <c r="WYD68" s="2554"/>
      <c r="WYE68" s="2555">
        <v>0.5</v>
      </c>
      <c r="WYF68" s="2555">
        <v>0.5</v>
      </c>
      <c r="WYG68" s="2555">
        <v>0.56000000000000005</v>
      </c>
      <c r="WYH68" s="2555">
        <v>0.34</v>
      </c>
      <c r="WYI68" s="2555"/>
      <c r="WYJ68" s="2555">
        <v>0.42</v>
      </c>
      <c r="WYK68" s="2553">
        <v>2019</v>
      </c>
      <c r="WYL68" s="2554"/>
      <c r="WYM68" s="2555">
        <v>0.5</v>
      </c>
      <c r="WYN68" s="2555">
        <v>0.5</v>
      </c>
      <c r="WYO68" s="2555">
        <v>0.56000000000000005</v>
      </c>
      <c r="WYP68" s="2555">
        <v>0.34</v>
      </c>
      <c r="WYQ68" s="2555"/>
      <c r="WYR68" s="2555">
        <v>0.42</v>
      </c>
      <c r="WYS68" s="2553">
        <v>2019</v>
      </c>
      <c r="WYT68" s="2554"/>
      <c r="WYU68" s="2555">
        <v>0.5</v>
      </c>
      <c r="WYV68" s="2555">
        <v>0.5</v>
      </c>
      <c r="WYW68" s="2555">
        <v>0.56000000000000005</v>
      </c>
      <c r="WYX68" s="2555">
        <v>0.34</v>
      </c>
      <c r="WYY68" s="2555"/>
      <c r="WYZ68" s="2555">
        <v>0.42</v>
      </c>
      <c r="WZA68" s="2553">
        <v>2019</v>
      </c>
      <c r="WZB68" s="2554"/>
      <c r="WZC68" s="2555">
        <v>0.5</v>
      </c>
      <c r="WZD68" s="2555">
        <v>0.5</v>
      </c>
      <c r="WZE68" s="2555">
        <v>0.56000000000000005</v>
      </c>
      <c r="WZF68" s="2555">
        <v>0.34</v>
      </c>
      <c r="WZG68" s="2555"/>
      <c r="WZH68" s="2555">
        <v>0.42</v>
      </c>
      <c r="WZI68" s="2553">
        <v>2019</v>
      </c>
      <c r="WZJ68" s="2554"/>
      <c r="WZK68" s="2555">
        <v>0.5</v>
      </c>
      <c r="WZL68" s="2555">
        <v>0.5</v>
      </c>
      <c r="WZM68" s="2555">
        <v>0.56000000000000005</v>
      </c>
      <c r="WZN68" s="2555">
        <v>0.34</v>
      </c>
      <c r="WZO68" s="2555"/>
      <c r="WZP68" s="2555">
        <v>0.42</v>
      </c>
      <c r="WZQ68" s="2553">
        <v>2019</v>
      </c>
      <c r="WZR68" s="2554"/>
      <c r="WZS68" s="2555">
        <v>0.5</v>
      </c>
      <c r="WZT68" s="2555">
        <v>0.5</v>
      </c>
      <c r="WZU68" s="2555">
        <v>0.56000000000000005</v>
      </c>
      <c r="WZV68" s="2555">
        <v>0.34</v>
      </c>
      <c r="WZW68" s="2555"/>
      <c r="WZX68" s="2555">
        <v>0.42</v>
      </c>
      <c r="WZY68" s="2553">
        <v>2019</v>
      </c>
      <c r="WZZ68" s="2554"/>
      <c r="XAA68" s="2555">
        <v>0.5</v>
      </c>
      <c r="XAB68" s="2555">
        <v>0.5</v>
      </c>
      <c r="XAC68" s="2555">
        <v>0.56000000000000005</v>
      </c>
      <c r="XAD68" s="2555">
        <v>0.34</v>
      </c>
      <c r="XAE68" s="2555"/>
      <c r="XAF68" s="2555">
        <v>0.42</v>
      </c>
      <c r="XAG68" s="2553">
        <v>2019</v>
      </c>
      <c r="XAH68" s="2554"/>
      <c r="XAI68" s="2555">
        <v>0.5</v>
      </c>
      <c r="XAJ68" s="2555">
        <v>0.5</v>
      </c>
      <c r="XAK68" s="2555">
        <v>0.56000000000000005</v>
      </c>
      <c r="XAL68" s="2555">
        <v>0.34</v>
      </c>
      <c r="XAM68" s="2555"/>
      <c r="XAN68" s="2555">
        <v>0.42</v>
      </c>
      <c r="XAO68" s="2553">
        <v>2019</v>
      </c>
      <c r="XAP68" s="2554"/>
      <c r="XAQ68" s="2555">
        <v>0.5</v>
      </c>
      <c r="XAR68" s="2555">
        <v>0.5</v>
      </c>
      <c r="XAS68" s="2555">
        <v>0.56000000000000005</v>
      </c>
      <c r="XAT68" s="2555">
        <v>0.34</v>
      </c>
      <c r="XAU68" s="2555"/>
      <c r="XAV68" s="2555">
        <v>0.42</v>
      </c>
      <c r="XAW68" s="2553">
        <v>2019</v>
      </c>
      <c r="XAX68" s="2554"/>
      <c r="XAY68" s="2555">
        <v>0.5</v>
      </c>
      <c r="XAZ68" s="2555">
        <v>0.5</v>
      </c>
      <c r="XBA68" s="2555">
        <v>0.56000000000000005</v>
      </c>
      <c r="XBB68" s="2555">
        <v>0.34</v>
      </c>
      <c r="XBC68" s="2555"/>
      <c r="XBD68" s="2555">
        <v>0.42</v>
      </c>
      <c r="XBE68" s="2553">
        <v>2019</v>
      </c>
      <c r="XBF68" s="2554"/>
      <c r="XBG68" s="2555">
        <v>0.5</v>
      </c>
      <c r="XBH68" s="2555">
        <v>0.5</v>
      </c>
      <c r="XBI68" s="2555">
        <v>0.56000000000000005</v>
      </c>
      <c r="XBJ68" s="2555">
        <v>0.34</v>
      </c>
      <c r="XBK68" s="2555"/>
      <c r="XBL68" s="2555">
        <v>0.42</v>
      </c>
      <c r="XBM68" s="2553">
        <v>2019</v>
      </c>
      <c r="XBN68" s="2554"/>
      <c r="XBO68" s="2555">
        <v>0.5</v>
      </c>
      <c r="XBP68" s="2555">
        <v>0.5</v>
      </c>
      <c r="XBQ68" s="2555">
        <v>0.56000000000000005</v>
      </c>
      <c r="XBR68" s="2555">
        <v>0.34</v>
      </c>
      <c r="XBS68" s="2555"/>
      <c r="XBT68" s="2555">
        <v>0.42</v>
      </c>
      <c r="XBU68" s="2553">
        <v>2019</v>
      </c>
      <c r="XBV68" s="2554"/>
      <c r="XBW68" s="2555">
        <v>0.5</v>
      </c>
      <c r="XBX68" s="2555">
        <v>0.5</v>
      </c>
      <c r="XBY68" s="2555">
        <v>0.56000000000000005</v>
      </c>
      <c r="XBZ68" s="2555">
        <v>0.34</v>
      </c>
      <c r="XCA68" s="2555"/>
      <c r="XCB68" s="2555">
        <v>0.42</v>
      </c>
      <c r="XCC68" s="2553">
        <v>2019</v>
      </c>
      <c r="XCD68" s="2554"/>
      <c r="XCE68" s="2555">
        <v>0.5</v>
      </c>
      <c r="XCF68" s="2555">
        <v>0.5</v>
      </c>
      <c r="XCG68" s="2555">
        <v>0.56000000000000005</v>
      </c>
      <c r="XCH68" s="2555">
        <v>0.34</v>
      </c>
      <c r="XCI68" s="2555"/>
      <c r="XCJ68" s="2555">
        <v>0.42</v>
      </c>
      <c r="XCK68" s="2553">
        <v>2019</v>
      </c>
      <c r="XCL68" s="2554"/>
      <c r="XCM68" s="2555">
        <v>0.5</v>
      </c>
      <c r="XCN68" s="2555">
        <v>0.5</v>
      </c>
      <c r="XCO68" s="2555">
        <v>0.56000000000000005</v>
      </c>
      <c r="XCP68" s="2555">
        <v>0.34</v>
      </c>
      <c r="XCQ68" s="2555"/>
      <c r="XCR68" s="2555">
        <v>0.42</v>
      </c>
      <c r="XCS68" s="2553">
        <v>2019</v>
      </c>
      <c r="XCT68" s="2554"/>
      <c r="XCU68" s="2555">
        <v>0.5</v>
      </c>
      <c r="XCV68" s="2555">
        <v>0.5</v>
      </c>
      <c r="XCW68" s="2555">
        <v>0.56000000000000005</v>
      </c>
      <c r="XCX68" s="2555">
        <v>0.34</v>
      </c>
      <c r="XCY68" s="2555"/>
      <c r="XCZ68" s="2555">
        <v>0.42</v>
      </c>
      <c r="XDA68" s="2553">
        <v>2019</v>
      </c>
      <c r="XDB68" s="2554"/>
      <c r="XDC68" s="2555">
        <v>0.5</v>
      </c>
      <c r="XDD68" s="2555">
        <v>0.5</v>
      </c>
      <c r="XDE68" s="2555">
        <v>0.56000000000000005</v>
      </c>
      <c r="XDF68" s="2555">
        <v>0.34</v>
      </c>
      <c r="XDG68" s="2555"/>
      <c r="XDH68" s="2555">
        <v>0.42</v>
      </c>
      <c r="XDI68" s="2553">
        <v>2019</v>
      </c>
      <c r="XDJ68" s="2554"/>
      <c r="XDK68" s="2555">
        <v>0.5</v>
      </c>
      <c r="XDL68" s="2555">
        <v>0.5</v>
      </c>
      <c r="XDM68" s="2555">
        <v>0.56000000000000005</v>
      </c>
      <c r="XDN68" s="2555">
        <v>0.34</v>
      </c>
      <c r="XDO68" s="2555"/>
      <c r="XDP68" s="2555">
        <v>0.42</v>
      </c>
      <c r="XDQ68" s="2553">
        <v>2019</v>
      </c>
      <c r="XDR68" s="2554"/>
      <c r="XDS68" s="2555">
        <v>0.5</v>
      </c>
      <c r="XDT68" s="2555">
        <v>0.5</v>
      </c>
      <c r="XDU68" s="2555">
        <v>0.56000000000000005</v>
      </c>
      <c r="XDV68" s="2555">
        <v>0.34</v>
      </c>
      <c r="XDW68" s="2555"/>
      <c r="XDX68" s="2555">
        <v>0.42</v>
      </c>
      <c r="XDY68" s="2553">
        <v>2019</v>
      </c>
      <c r="XDZ68" s="2554"/>
      <c r="XEA68" s="2555">
        <v>0.5</v>
      </c>
      <c r="XEB68" s="2555">
        <v>0.5</v>
      </c>
      <c r="XEC68" s="2555">
        <v>0.56000000000000005</v>
      </c>
      <c r="XED68" s="2555">
        <v>0.34</v>
      </c>
      <c r="XEE68" s="2555"/>
      <c r="XEF68" s="2555">
        <v>0.42</v>
      </c>
      <c r="XEG68" s="2553">
        <v>2019</v>
      </c>
      <c r="XEH68" s="2554"/>
      <c r="XEI68" s="2555">
        <v>0.5</v>
      </c>
      <c r="XEJ68" s="2555">
        <v>0.5</v>
      </c>
      <c r="XEK68" s="2555">
        <v>0.56000000000000005</v>
      </c>
      <c r="XEL68" s="2555">
        <v>0.34</v>
      </c>
      <c r="XEM68" s="2555"/>
      <c r="XEN68" s="2555">
        <v>0.42</v>
      </c>
      <c r="XEO68" s="2553">
        <v>2019</v>
      </c>
      <c r="XEP68" s="2554"/>
      <c r="XEQ68" s="2555">
        <v>0.5</v>
      </c>
      <c r="XER68" s="2555">
        <v>0.5</v>
      </c>
      <c r="XES68" s="2555">
        <v>0.56000000000000005</v>
      </c>
      <c r="XET68" s="2555">
        <v>0.34</v>
      </c>
      <c r="XEU68" s="2555"/>
      <c r="XEV68" s="2555">
        <v>0.42</v>
      </c>
      <c r="XEW68" s="2553">
        <v>2019</v>
      </c>
      <c r="XEX68" s="2554"/>
      <c r="XEY68" s="2555">
        <v>0.5</v>
      </c>
      <c r="XEZ68" s="2555">
        <v>0.5</v>
      </c>
      <c r="XFA68" s="2555">
        <v>0.56000000000000005</v>
      </c>
      <c r="XFB68" s="2555">
        <v>0.34</v>
      </c>
      <c r="XFC68" s="2555"/>
      <c r="XFD68" s="2555">
        <v>0.42</v>
      </c>
    </row>
    <row r="69" spans="1:16384" s="1579" customFormat="1" ht="4.5" customHeight="1">
      <c r="A69" s="1615"/>
      <c r="B69" s="1616"/>
      <c r="C69" s="1616"/>
      <c r="D69" s="1616"/>
      <c r="E69" s="1616"/>
      <c r="F69" s="1616"/>
      <c r="G69" s="1616"/>
      <c r="H69" s="1616"/>
      <c r="L69" s="1580"/>
      <c r="M69" s="1580"/>
      <c r="N69" s="1580"/>
      <c r="P69" s="1580"/>
      <c r="Q69" s="1580"/>
      <c r="R69" s="1580"/>
      <c r="T69" s="1580"/>
      <c r="U69" s="1580"/>
      <c r="V69" s="1580"/>
      <c r="X69" s="1580"/>
      <c r="Y69" s="1580"/>
      <c r="Z69" s="1580"/>
    </row>
    <row r="70" spans="1:16384" s="1597" customFormat="1" ht="11">
      <c r="A70" s="1596" t="s">
        <v>21</v>
      </c>
      <c r="L70" s="1598"/>
      <c r="M70" s="1598"/>
      <c r="N70" s="1598"/>
      <c r="P70" s="1598"/>
      <c r="Q70" s="1598"/>
      <c r="R70" s="1598"/>
      <c r="T70" s="1598"/>
      <c r="U70" s="1598"/>
      <c r="V70" s="1598"/>
      <c r="X70" s="1598"/>
      <c r="Y70" s="1598"/>
      <c r="Z70" s="1598"/>
    </row>
    <row r="71" spans="1:16384" s="1597" customFormat="1" ht="11">
      <c r="A71" s="1596" t="s">
        <v>2359</v>
      </c>
      <c r="L71" s="1598"/>
      <c r="M71" s="1598"/>
      <c r="N71" s="1598"/>
      <c r="P71" s="1598"/>
      <c r="Q71" s="1598"/>
      <c r="R71" s="1598"/>
      <c r="T71" s="1598"/>
      <c r="U71" s="1598"/>
      <c r="V71" s="1598"/>
      <c r="X71" s="1598"/>
      <c r="Y71" s="1598"/>
      <c r="Z71" s="1598"/>
    </row>
    <row r="72" spans="1:16384" s="1600" customFormat="1" ht="11">
      <c r="A72" s="1599" t="s">
        <v>2360</v>
      </c>
      <c r="L72" s="1601"/>
      <c r="M72" s="1601"/>
      <c r="N72" s="1601"/>
      <c r="P72" s="1601"/>
      <c r="Q72" s="1601"/>
      <c r="R72" s="1601"/>
      <c r="T72" s="1601"/>
      <c r="U72" s="1601"/>
      <c r="V72" s="1601"/>
      <c r="X72" s="1601"/>
      <c r="Y72" s="1601"/>
      <c r="Z72" s="1601"/>
    </row>
    <row r="73" spans="1:16384" ht="14">
      <c r="J73" s="1235"/>
    </row>
    <row r="74" spans="1:16384" ht="16">
      <c r="J74" s="1627" t="s">
        <v>2882</v>
      </c>
      <c r="K74" s="1628"/>
      <c r="L74" s="1629"/>
      <c r="M74" s="1629"/>
      <c r="N74" s="1629"/>
      <c r="O74" s="1628"/>
      <c r="P74" s="1629"/>
      <c r="Q74" s="1629"/>
      <c r="R74" s="1629"/>
      <c r="S74" s="1628"/>
      <c r="T74" s="1629"/>
      <c r="U74" s="1629"/>
      <c r="V74" s="1629"/>
      <c r="W74" s="1628"/>
      <c r="X74" s="1629"/>
      <c r="Y74" s="1629"/>
      <c r="Z74" s="1629"/>
    </row>
    <row r="75" spans="1:16384" s="1583" customFormat="1" ht="14" thickBot="1">
      <c r="J75" s="1623"/>
      <c r="K75" s="1623"/>
      <c r="L75" s="3477" t="s">
        <v>18</v>
      </c>
      <c r="M75" s="3477"/>
      <c r="N75" s="3477"/>
      <c r="O75" s="1624"/>
      <c r="P75" s="3477" t="s">
        <v>19</v>
      </c>
      <c r="Q75" s="3477"/>
      <c r="R75" s="3477"/>
      <c r="S75" s="1624"/>
      <c r="T75" s="3477" t="s">
        <v>20</v>
      </c>
      <c r="U75" s="3477"/>
      <c r="V75" s="3477"/>
      <c r="W75" s="1624"/>
      <c r="X75" s="3477" t="s">
        <v>1368</v>
      </c>
      <c r="Y75" s="3477"/>
      <c r="Z75" s="3477"/>
      <c r="AC75" s="1583" t="s">
        <v>1363</v>
      </c>
    </row>
    <row r="76" spans="1:16384" s="1583" customFormat="1" ht="14">
      <c r="B76" s="1228"/>
      <c r="C76" s="1228"/>
      <c r="D76" s="1228"/>
      <c r="E76" s="1228"/>
      <c r="F76" s="1228"/>
      <c r="G76" s="1228"/>
      <c r="H76" s="1228"/>
      <c r="I76" s="1603"/>
      <c r="J76" s="1623"/>
      <c r="K76" s="1623"/>
      <c r="L76" s="1625" t="s">
        <v>424</v>
      </c>
      <c r="M76" s="1625" t="s">
        <v>16</v>
      </c>
      <c r="N76" s="1626" t="s">
        <v>153</v>
      </c>
      <c r="O76" s="1624"/>
      <c r="P76" s="1625" t="s">
        <v>424</v>
      </c>
      <c r="Q76" s="1625" t="s">
        <v>16</v>
      </c>
      <c r="R76" s="1626" t="s">
        <v>153</v>
      </c>
      <c r="S76" s="1624"/>
      <c r="T76" s="1625" t="s">
        <v>424</v>
      </c>
      <c r="U76" s="1625" t="s">
        <v>16</v>
      </c>
      <c r="V76" s="1626" t="s">
        <v>153</v>
      </c>
      <c r="W76" s="1624"/>
      <c r="X76" s="1625" t="s">
        <v>424</v>
      </c>
      <c r="Y76" s="1625" t="s">
        <v>16</v>
      </c>
      <c r="Z76" s="1626" t="s">
        <v>153</v>
      </c>
      <c r="AC76" s="1583" t="s">
        <v>18</v>
      </c>
      <c r="AD76" s="1583" t="s">
        <v>19</v>
      </c>
      <c r="AE76" s="1583" t="s">
        <v>1364</v>
      </c>
      <c r="AF76" s="1583" t="s">
        <v>1362</v>
      </c>
    </row>
    <row r="77" spans="1:16384" s="1583" customFormat="1" ht="4.5" customHeight="1">
      <c r="B77" s="1228"/>
      <c r="C77" s="1228"/>
      <c r="D77" s="1228"/>
      <c r="E77" s="1228"/>
      <c r="F77" s="1228"/>
      <c r="G77" s="1228"/>
      <c r="H77" s="1228"/>
      <c r="I77" s="1603"/>
      <c r="J77" s="1602"/>
      <c r="K77" s="1602"/>
      <c r="L77" s="1604"/>
      <c r="M77" s="1604"/>
      <c r="N77" s="1605"/>
      <c r="P77" s="1604"/>
      <c r="Q77" s="1604"/>
      <c r="R77" s="1605"/>
      <c r="T77" s="1604"/>
      <c r="U77" s="1604"/>
      <c r="V77" s="1605"/>
      <c r="X77" s="1604"/>
      <c r="Y77" s="1604"/>
      <c r="Z77" s="1605"/>
    </row>
    <row r="78" spans="1:16384" s="1583" customFormat="1" ht="12.5" customHeight="1">
      <c r="A78" s="3308" t="s">
        <v>2776</v>
      </c>
      <c r="B78" s="1228"/>
      <c r="E78" s="3308" t="s">
        <v>2777</v>
      </c>
      <c r="F78" s="1228"/>
      <c r="G78" s="1228"/>
      <c r="H78" s="1228"/>
      <c r="I78" s="1603"/>
      <c r="J78" s="1584">
        <v>1998</v>
      </c>
      <c r="K78" s="1584"/>
      <c r="L78" s="1585"/>
      <c r="M78" s="1585"/>
      <c r="N78" s="1586"/>
      <c r="O78" s="1587"/>
      <c r="P78" s="1585"/>
      <c r="Q78" s="1585"/>
      <c r="R78" s="1586"/>
      <c r="S78" s="1606"/>
      <c r="T78" s="1585">
        <v>14</v>
      </c>
      <c r="U78" s="1585">
        <v>108</v>
      </c>
      <c r="V78" s="1586">
        <v>0.12962962962962962</v>
      </c>
      <c r="W78" s="1606"/>
      <c r="X78" s="1585"/>
      <c r="Y78" s="1585"/>
      <c r="Z78" s="1586"/>
      <c r="AA78" s="1607"/>
      <c r="AB78" s="1583">
        <v>1998</v>
      </c>
      <c r="AC78" s="1607"/>
      <c r="AD78" s="1607"/>
      <c r="AE78" s="1607">
        <v>0.12962962962962962</v>
      </c>
      <c r="AF78" s="1607"/>
    </row>
    <row r="79" spans="1:16384" s="1583" customFormat="1" ht="12.5" customHeight="1">
      <c r="A79" s="1227" t="s">
        <v>2778</v>
      </c>
      <c r="B79" s="1228"/>
      <c r="C79" s="1228"/>
      <c r="D79" s="1228"/>
      <c r="E79" s="1228" t="s">
        <v>2799</v>
      </c>
      <c r="F79" s="1228"/>
      <c r="G79" s="1228"/>
      <c r="H79" s="1228"/>
      <c r="I79" s="1603"/>
      <c r="J79" s="1602">
        <v>1999</v>
      </c>
      <c r="K79" s="1602"/>
      <c r="L79" s="1604">
        <v>24</v>
      </c>
      <c r="M79" s="1604">
        <v>60</v>
      </c>
      <c r="N79" s="1608">
        <v>0.4</v>
      </c>
      <c r="O79" s="1607"/>
      <c r="P79" s="1604">
        <v>48</v>
      </c>
      <c r="Q79" s="1604">
        <v>129</v>
      </c>
      <c r="R79" s="1608">
        <v>0.37209302325581395</v>
      </c>
      <c r="S79" s="1607"/>
      <c r="T79" s="1604"/>
      <c r="U79" s="1604"/>
      <c r="V79" s="1608"/>
      <c r="W79" s="1607"/>
      <c r="X79" s="1604"/>
      <c r="Y79" s="1604"/>
      <c r="Z79" s="1608"/>
      <c r="AA79" s="1607"/>
      <c r="AB79" s="1583">
        <v>1999</v>
      </c>
      <c r="AC79" s="1607">
        <v>0.4</v>
      </c>
      <c r="AD79" s="1607">
        <v>0.37209302325581395</v>
      </c>
      <c r="AE79" s="1607"/>
      <c r="AF79" s="1607"/>
    </row>
    <row r="80" spans="1:16384" s="1583" customFormat="1" ht="12.5" customHeight="1">
      <c r="A80" s="1227" t="s">
        <v>2779</v>
      </c>
      <c r="B80" s="1228"/>
      <c r="C80" s="1228"/>
      <c r="D80" s="1228"/>
      <c r="E80" s="1228" t="s">
        <v>2800</v>
      </c>
      <c r="F80" s="1228"/>
      <c r="G80" s="1228"/>
      <c r="H80" s="1228"/>
      <c r="I80" s="1603"/>
      <c r="J80" s="1584">
        <v>2000</v>
      </c>
      <c r="K80" s="1584"/>
      <c r="L80" s="1585"/>
      <c r="M80" s="1585"/>
      <c r="N80" s="1586"/>
      <c r="O80" s="1606"/>
      <c r="P80" s="1585"/>
      <c r="Q80" s="1585"/>
      <c r="R80" s="1586"/>
      <c r="S80" s="1606"/>
      <c r="T80" s="1585"/>
      <c r="U80" s="1585"/>
      <c r="V80" s="1586"/>
      <c r="W80" s="1606"/>
      <c r="X80" s="1585">
        <v>10</v>
      </c>
      <c r="Y80" s="1585">
        <v>25</v>
      </c>
      <c r="Z80" s="1586">
        <v>0.4</v>
      </c>
      <c r="AA80" s="1607"/>
      <c r="AB80" s="1583">
        <v>2000</v>
      </c>
      <c r="AC80" s="1607"/>
      <c r="AD80" s="1607"/>
      <c r="AE80" s="1607"/>
      <c r="AF80" s="1607">
        <v>0.4</v>
      </c>
    </row>
    <row r="81" spans="1:32" s="1583" customFormat="1" ht="12.5" customHeight="1">
      <c r="A81" s="1227" t="s">
        <v>2780</v>
      </c>
      <c r="B81" s="1228"/>
      <c r="C81" s="1228"/>
      <c r="D81" s="1228"/>
      <c r="E81" s="1228" t="s">
        <v>2800</v>
      </c>
      <c r="F81" s="1228"/>
      <c r="G81" s="1228"/>
      <c r="H81" s="1228"/>
      <c r="I81" s="1603"/>
      <c r="J81" s="1602">
        <v>2001</v>
      </c>
      <c r="K81" s="1602"/>
      <c r="L81" s="1604"/>
      <c r="M81" s="1604"/>
      <c r="N81" s="1608"/>
      <c r="O81" s="1607"/>
      <c r="P81" s="1604"/>
      <c r="Q81" s="1604"/>
      <c r="R81" s="1608"/>
      <c r="S81" s="1607"/>
      <c r="T81" s="1604"/>
      <c r="U81" s="1604"/>
      <c r="V81" s="1608"/>
      <c r="W81" s="1607"/>
      <c r="X81" s="1604"/>
      <c r="Y81" s="1604"/>
      <c r="Z81" s="1608"/>
      <c r="AA81" s="1607"/>
      <c r="AB81" s="1583">
        <v>2001</v>
      </c>
      <c r="AC81" s="1607"/>
      <c r="AD81" s="1607"/>
      <c r="AE81" s="1607"/>
      <c r="AF81" s="1607"/>
    </row>
    <row r="82" spans="1:32" s="1583" customFormat="1" ht="12.5" customHeight="1">
      <c r="A82" s="1227" t="s">
        <v>2781</v>
      </c>
      <c r="B82" s="1228"/>
      <c r="C82" s="1228"/>
      <c r="D82" s="1228"/>
      <c r="E82" s="1228" t="s">
        <v>2800</v>
      </c>
      <c r="F82" s="1228"/>
      <c r="G82" s="1228"/>
      <c r="H82" s="1228"/>
      <c r="I82" s="1603"/>
      <c r="J82" s="1584">
        <v>2002</v>
      </c>
      <c r="K82" s="1584"/>
      <c r="L82" s="1585"/>
      <c r="M82" s="1585"/>
      <c r="N82" s="1586"/>
      <c r="O82" s="1606"/>
      <c r="P82" s="1585"/>
      <c r="Q82" s="1585"/>
      <c r="R82" s="1586"/>
      <c r="S82" s="1606"/>
      <c r="T82" s="1585"/>
      <c r="U82" s="1585"/>
      <c r="V82" s="1586"/>
      <c r="W82" s="1606"/>
      <c r="X82" s="1585"/>
      <c r="Y82" s="1585"/>
      <c r="Z82" s="1586"/>
      <c r="AA82" s="1607"/>
      <c r="AB82" s="1583">
        <v>2002</v>
      </c>
      <c r="AC82" s="1607"/>
      <c r="AD82" s="1607"/>
      <c r="AE82" s="1607"/>
      <c r="AF82" s="1607"/>
    </row>
    <row r="83" spans="1:32" s="1583" customFormat="1" ht="12.5" customHeight="1">
      <c r="A83" s="1227" t="s">
        <v>2782</v>
      </c>
      <c r="B83" s="1228"/>
      <c r="C83" s="1228"/>
      <c r="D83" s="1228"/>
      <c r="E83" s="1228" t="s">
        <v>2799</v>
      </c>
      <c r="F83" s="1228"/>
      <c r="G83" s="1228"/>
      <c r="H83" s="1228"/>
      <c r="I83" s="1603"/>
      <c r="J83" s="1602">
        <v>2003</v>
      </c>
      <c r="K83" s="1602"/>
      <c r="L83" s="1604">
        <v>30</v>
      </c>
      <c r="M83" s="1604">
        <v>60</v>
      </c>
      <c r="N83" s="1608">
        <v>0.5</v>
      </c>
      <c r="O83" s="1607"/>
      <c r="P83" s="1604">
        <v>51</v>
      </c>
      <c r="Q83" s="1604">
        <v>129</v>
      </c>
      <c r="R83" s="1608">
        <v>0.39534883720930231</v>
      </c>
      <c r="S83" s="1607"/>
      <c r="T83" s="1604">
        <v>18</v>
      </c>
      <c r="U83" s="1604">
        <v>108</v>
      </c>
      <c r="V83" s="1608">
        <v>0.16666666666666666</v>
      </c>
      <c r="W83" s="1607"/>
      <c r="X83" s="1604"/>
      <c r="Y83" s="1604"/>
      <c r="Z83" s="1608"/>
      <c r="AA83" s="1607"/>
      <c r="AB83" s="1583">
        <v>2003</v>
      </c>
      <c r="AC83" s="1607">
        <v>0.5</v>
      </c>
      <c r="AD83" s="1607">
        <v>0.39534883720930231</v>
      </c>
      <c r="AE83" s="1607">
        <v>0.16666666666666666</v>
      </c>
      <c r="AF83" s="1607"/>
    </row>
    <row r="84" spans="1:32" s="1583" customFormat="1" ht="12.5" customHeight="1">
      <c r="A84" s="1227" t="s">
        <v>2783</v>
      </c>
      <c r="E84" s="3308" t="s">
        <v>2800</v>
      </c>
      <c r="J84" s="1584">
        <v>2004</v>
      </c>
      <c r="K84" s="1584"/>
      <c r="L84" s="1585"/>
      <c r="M84" s="1585"/>
      <c r="N84" s="1586"/>
      <c r="O84" s="1606"/>
      <c r="P84" s="1585"/>
      <c r="Q84" s="1585"/>
      <c r="R84" s="1586"/>
      <c r="S84" s="1606"/>
      <c r="T84" s="1585"/>
      <c r="U84" s="1585"/>
      <c r="V84" s="1586"/>
      <c r="W84" s="1606"/>
      <c r="X84" s="1585">
        <v>9</v>
      </c>
      <c r="Y84" s="1585">
        <v>25</v>
      </c>
      <c r="Z84" s="1586">
        <v>0.36</v>
      </c>
      <c r="AA84" s="1607"/>
      <c r="AB84" s="1583">
        <v>2004</v>
      </c>
      <c r="AC84" s="1607"/>
      <c r="AD84" s="1607"/>
      <c r="AE84" s="1607"/>
      <c r="AF84" s="1607">
        <v>0.36</v>
      </c>
    </row>
    <row r="85" spans="1:32" s="1583" customFormat="1" ht="12.5" customHeight="1">
      <c r="A85" s="1227" t="s">
        <v>2784</v>
      </c>
      <c r="E85" s="3308" t="s">
        <v>2799</v>
      </c>
      <c r="J85" s="1602">
        <v>2005</v>
      </c>
      <c r="K85" s="1602"/>
      <c r="L85" s="1604"/>
      <c r="M85" s="1604"/>
      <c r="N85" s="1608"/>
      <c r="O85" s="1607"/>
      <c r="P85" s="1604"/>
      <c r="Q85" s="1604"/>
      <c r="R85" s="1608"/>
      <c r="S85" s="1607"/>
      <c r="T85" s="1604"/>
      <c r="U85" s="1604"/>
      <c r="V85" s="1608"/>
      <c r="W85" s="1607"/>
      <c r="X85" s="1604"/>
      <c r="Y85" s="1604"/>
      <c r="Z85" s="1608"/>
      <c r="AA85" s="1607"/>
      <c r="AB85" s="1583">
        <v>2005</v>
      </c>
      <c r="AC85" s="1607"/>
      <c r="AD85" s="1607"/>
      <c r="AE85" s="1607"/>
      <c r="AF85" s="1607"/>
    </row>
    <row r="86" spans="1:32" s="1583" customFormat="1" ht="12.5" customHeight="1">
      <c r="A86" s="1227" t="s">
        <v>2785</v>
      </c>
      <c r="E86" s="3308" t="s">
        <v>2799</v>
      </c>
      <c r="J86" s="1584">
        <v>2006</v>
      </c>
      <c r="K86" s="1584"/>
      <c r="L86" s="1585"/>
      <c r="M86" s="1585"/>
      <c r="N86" s="1586"/>
      <c r="O86" s="1606"/>
      <c r="P86" s="1585"/>
      <c r="Q86" s="1585"/>
      <c r="R86" s="1586"/>
      <c r="S86" s="1606"/>
      <c r="T86" s="1585"/>
      <c r="U86" s="1585"/>
      <c r="V86" s="1586"/>
      <c r="W86" s="1606"/>
      <c r="X86" s="1585"/>
      <c r="Y86" s="1585"/>
      <c r="Z86" s="1586"/>
      <c r="AA86" s="1607"/>
      <c r="AB86" s="1583">
        <v>2006</v>
      </c>
      <c r="AC86" s="1607"/>
      <c r="AD86" s="1607"/>
      <c r="AE86" s="1607"/>
      <c r="AF86" s="1607"/>
    </row>
    <row r="87" spans="1:32" s="1583" customFormat="1" ht="12.5" customHeight="1">
      <c r="A87" s="3308" t="s">
        <v>2786</v>
      </c>
      <c r="E87" s="3308" t="s">
        <v>2799</v>
      </c>
      <c r="J87" s="1602">
        <v>2007</v>
      </c>
      <c r="K87" s="1602"/>
      <c r="L87" s="1604">
        <v>28</v>
      </c>
      <c r="M87" s="1604">
        <v>60</v>
      </c>
      <c r="N87" s="1608">
        <v>0.46666666666666667</v>
      </c>
      <c r="O87" s="1607"/>
      <c r="P87" s="1604">
        <v>43</v>
      </c>
      <c r="Q87" s="1604">
        <v>129</v>
      </c>
      <c r="R87" s="1608">
        <v>0.33333333333333331</v>
      </c>
      <c r="S87" s="1607"/>
      <c r="T87" s="1604">
        <v>18</v>
      </c>
      <c r="U87" s="1604">
        <v>108</v>
      </c>
      <c r="V87" s="1608">
        <v>0.16666666666666666</v>
      </c>
      <c r="W87" s="1607"/>
      <c r="X87" s="1604"/>
      <c r="Y87" s="1604"/>
      <c r="Z87" s="1608"/>
      <c r="AA87" s="1607"/>
      <c r="AB87" s="1583">
        <v>2007</v>
      </c>
      <c r="AC87" s="1607">
        <v>0.46666666666666667</v>
      </c>
      <c r="AD87" s="1607">
        <v>0.33333333333333331</v>
      </c>
      <c r="AE87" s="1607">
        <v>0.16666666666666666</v>
      </c>
      <c r="AF87" s="1607"/>
    </row>
    <row r="88" spans="1:32" s="1583" customFormat="1" ht="12.5" customHeight="1">
      <c r="A88" s="3308" t="s">
        <v>2787</v>
      </c>
      <c r="E88" s="3308" t="s">
        <v>2800</v>
      </c>
      <c r="J88" s="1584">
        <v>2008</v>
      </c>
      <c r="K88" s="1584"/>
      <c r="L88" s="1585"/>
      <c r="M88" s="1585"/>
      <c r="N88" s="1586"/>
      <c r="O88" s="1606"/>
      <c r="P88" s="1585"/>
      <c r="Q88" s="1585"/>
      <c r="R88" s="1586"/>
      <c r="S88" s="1606"/>
      <c r="T88" s="1585"/>
      <c r="U88" s="1585"/>
      <c r="V88" s="1586"/>
      <c r="W88" s="1606"/>
      <c r="X88" s="1585">
        <v>8</v>
      </c>
      <c r="Y88" s="1585">
        <v>25</v>
      </c>
      <c r="Z88" s="1586">
        <v>0.32</v>
      </c>
      <c r="AA88" s="1607"/>
      <c r="AB88" s="1583">
        <v>2008</v>
      </c>
      <c r="AC88" s="1607"/>
      <c r="AD88" s="1607"/>
      <c r="AE88" s="1607"/>
      <c r="AF88" s="1607">
        <v>0.32</v>
      </c>
    </row>
    <row r="89" spans="1:32" s="1583" customFormat="1" ht="12.5" customHeight="1">
      <c r="A89" s="3308" t="s">
        <v>2788</v>
      </c>
      <c r="E89" s="3308" t="s">
        <v>2800</v>
      </c>
      <c r="J89" s="1602">
        <v>2009</v>
      </c>
      <c r="K89" s="1602"/>
      <c r="L89" s="1604"/>
      <c r="M89" s="1604"/>
      <c r="N89" s="1608"/>
      <c r="O89" s="1607"/>
      <c r="P89" s="1604"/>
      <c r="Q89" s="1604"/>
      <c r="R89" s="1608"/>
      <c r="S89" s="1607"/>
      <c r="T89" s="1604"/>
      <c r="U89" s="1604"/>
      <c r="V89" s="1608"/>
      <c r="W89" s="1607"/>
      <c r="X89" s="1604"/>
      <c r="Y89" s="1604"/>
      <c r="Z89" s="1608"/>
      <c r="AA89" s="1607"/>
      <c r="AB89" s="1583">
        <v>2009</v>
      </c>
      <c r="AC89" s="1607"/>
      <c r="AD89" s="1607"/>
      <c r="AE89" s="1607"/>
      <c r="AF89" s="1607"/>
    </row>
    <row r="90" spans="1:32" s="1583" customFormat="1" ht="12.5" customHeight="1">
      <c r="A90" s="3308" t="s">
        <v>2789</v>
      </c>
      <c r="E90" s="3308" t="s">
        <v>2800</v>
      </c>
      <c r="J90" s="1584">
        <v>2010</v>
      </c>
      <c r="K90" s="1584"/>
      <c r="L90" s="1585"/>
      <c r="M90" s="1585"/>
      <c r="N90" s="1586"/>
      <c r="O90" s="1587"/>
      <c r="P90" s="1585"/>
      <c r="Q90" s="1585"/>
      <c r="R90" s="1586"/>
      <c r="S90" s="1587"/>
      <c r="T90" s="1585"/>
      <c r="U90" s="1585"/>
      <c r="V90" s="1586"/>
      <c r="W90" s="1587"/>
      <c r="X90" s="1585"/>
      <c r="Y90" s="1585"/>
      <c r="Z90" s="1586"/>
      <c r="AB90" s="1583">
        <v>2010</v>
      </c>
      <c r="AC90" s="1607"/>
      <c r="AD90" s="1607"/>
      <c r="AE90" s="1607"/>
      <c r="AF90" s="1607"/>
    </row>
    <row r="91" spans="1:32" s="1583" customFormat="1" ht="12.5" customHeight="1">
      <c r="A91" s="3308" t="s">
        <v>2790</v>
      </c>
      <c r="E91" s="3308" t="s">
        <v>2800</v>
      </c>
      <c r="J91" s="1602">
        <v>2011</v>
      </c>
      <c r="K91" s="1602"/>
      <c r="L91" s="1604">
        <v>24</v>
      </c>
      <c r="M91" s="1604">
        <v>60</v>
      </c>
      <c r="N91" s="1608">
        <f>L91/M91</f>
        <v>0.4</v>
      </c>
      <c r="O91" s="1607"/>
      <c r="P91" s="1604">
        <v>45</v>
      </c>
      <c r="Q91" s="1604">
        <v>129</v>
      </c>
      <c r="R91" s="1608">
        <f>P91/Q91</f>
        <v>0.34883720930232559</v>
      </c>
      <c r="S91" s="1607"/>
      <c r="T91" s="1604">
        <v>20</v>
      </c>
      <c r="U91" s="1604">
        <v>108</v>
      </c>
      <c r="V91" s="1608">
        <f>T91/U91</f>
        <v>0.18518518518518517</v>
      </c>
      <c r="W91" s="1607"/>
      <c r="X91" s="1604"/>
      <c r="Y91" s="1604"/>
      <c r="Z91" s="1608"/>
      <c r="AB91" s="1583">
        <v>2011</v>
      </c>
      <c r="AC91" s="1607">
        <v>0.4</v>
      </c>
      <c r="AD91" s="1607">
        <v>0.34883720930232559</v>
      </c>
      <c r="AE91" s="1607">
        <v>0.18518518518518517</v>
      </c>
      <c r="AF91" s="1607"/>
    </row>
    <row r="92" spans="1:32" s="1583" customFormat="1" ht="12.5" customHeight="1">
      <c r="A92" s="3308" t="s">
        <v>2791</v>
      </c>
      <c r="E92" s="3308" t="s">
        <v>2800</v>
      </c>
      <c r="J92" s="1584">
        <v>2012</v>
      </c>
      <c r="K92" s="1584"/>
      <c r="L92" s="1585"/>
      <c r="M92" s="1585"/>
      <c r="N92" s="1586"/>
      <c r="O92" s="1587"/>
      <c r="P92" s="1585"/>
      <c r="Q92" s="1585"/>
      <c r="R92" s="1586"/>
      <c r="S92" s="1587"/>
      <c r="T92" s="1585"/>
      <c r="U92" s="1585"/>
      <c r="V92" s="1586"/>
      <c r="W92" s="1587"/>
      <c r="X92" s="1585">
        <v>8</v>
      </c>
      <c r="Y92" s="1585">
        <v>25</v>
      </c>
      <c r="Z92" s="1586">
        <v>0.32</v>
      </c>
      <c r="AB92" s="1583">
        <v>2012</v>
      </c>
      <c r="AC92" s="1607"/>
      <c r="AD92" s="1607"/>
      <c r="AE92" s="1607"/>
      <c r="AF92" s="1607">
        <v>0.32</v>
      </c>
    </row>
    <row r="93" spans="1:32" s="1583" customFormat="1" ht="12.5" customHeight="1">
      <c r="A93" s="3308" t="s">
        <v>2792</v>
      </c>
      <c r="E93" s="3308" t="s">
        <v>2799</v>
      </c>
      <c r="J93" s="1602">
        <v>2013</v>
      </c>
      <c r="K93" s="1602"/>
      <c r="L93" s="1604"/>
      <c r="M93" s="1604"/>
      <c r="N93" s="1608"/>
      <c r="P93" s="1604"/>
      <c r="Q93" s="1604"/>
      <c r="R93" s="1608"/>
      <c r="T93" s="1604"/>
      <c r="U93" s="1604"/>
      <c r="V93" s="1608"/>
      <c r="X93" s="1604"/>
      <c r="Y93" s="1604"/>
      <c r="Z93" s="1608"/>
      <c r="AC93" s="1607"/>
      <c r="AD93" s="1607"/>
      <c r="AE93" s="1607"/>
      <c r="AF93" s="1607"/>
    </row>
    <row r="94" spans="1:32" s="1583" customFormat="1" ht="12.5" customHeight="1">
      <c r="A94" s="3308" t="s">
        <v>2793</v>
      </c>
      <c r="E94" s="3308" t="s">
        <v>2799</v>
      </c>
      <c r="J94" s="1584">
        <v>2014</v>
      </c>
      <c r="K94" s="1584"/>
      <c r="L94" s="1585"/>
      <c r="M94" s="1585"/>
      <c r="N94" s="1586"/>
      <c r="O94" s="1587"/>
      <c r="P94" s="1585"/>
      <c r="Q94" s="1585"/>
      <c r="R94" s="1586"/>
      <c r="S94" s="1587"/>
      <c r="T94" s="1585"/>
      <c r="U94" s="1585"/>
      <c r="V94" s="1586"/>
      <c r="W94" s="1587"/>
      <c r="X94" s="1585"/>
      <c r="Y94" s="1585"/>
      <c r="Z94" s="1586"/>
      <c r="AC94" s="1607"/>
      <c r="AD94" s="1607"/>
      <c r="AE94" s="1607"/>
      <c r="AF94" s="1607"/>
    </row>
    <row r="95" spans="1:32" s="1583" customFormat="1" ht="12.5" customHeight="1">
      <c r="A95" s="3308" t="s">
        <v>2794</v>
      </c>
      <c r="E95" s="3308" t="s">
        <v>2799</v>
      </c>
      <c r="J95" s="1602">
        <v>2015</v>
      </c>
      <c r="K95" s="1602"/>
      <c r="L95" s="1604"/>
      <c r="M95" s="1604"/>
      <c r="N95" s="1608"/>
      <c r="P95" s="1604"/>
      <c r="Q95" s="1604"/>
      <c r="R95" s="1608"/>
      <c r="T95" s="1604"/>
      <c r="U95" s="1604"/>
      <c r="V95" s="1608"/>
      <c r="X95" s="1604"/>
      <c r="Y95" s="1604"/>
      <c r="Z95" s="1608"/>
      <c r="AC95" s="1607"/>
      <c r="AD95" s="1607"/>
      <c r="AE95" s="1607"/>
      <c r="AF95" s="1607"/>
    </row>
    <row r="96" spans="1:32" s="1583" customFormat="1" ht="12.5" customHeight="1">
      <c r="A96" s="3308" t="s">
        <v>2795</v>
      </c>
      <c r="E96" s="3308" t="s">
        <v>2799</v>
      </c>
      <c r="J96" s="1584">
        <v>2016</v>
      </c>
      <c r="K96" s="1584"/>
      <c r="L96" s="1585">
        <v>25</v>
      </c>
      <c r="M96" s="1585">
        <v>60</v>
      </c>
      <c r="N96" s="1586">
        <f>L96/M96</f>
        <v>0.41666666666666669</v>
      </c>
      <c r="O96" s="1587"/>
      <c r="P96" s="1585">
        <v>45</v>
      </c>
      <c r="Q96" s="1585">
        <v>129</v>
      </c>
      <c r="R96" s="1586">
        <f>P96/Q96</f>
        <v>0.34883720930232559</v>
      </c>
      <c r="S96" s="1587"/>
      <c r="T96" s="1585">
        <v>30</v>
      </c>
      <c r="U96" s="1585">
        <v>108</v>
      </c>
      <c r="V96" s="1586">
        <f>T96/U96</f>
        <v>0.27777777777777779</v>
      </c>
      <c r="W96" s="1587"/>
      <c r="X96" s="1585">
        <v>10</v>
      </c>
      <c r="Y96" s="1585">
        <v>25</v>
      </c>
      <c r="Z96" s="1586">
        <f>X96/Y96</f>
        <v>0.4</v>
      </c>
      <c r="AC96" s="1607"/>
      <c r="AD96" s="1607"/>
      <c r="AE96" s="1607"/>
      <c r="AF96" s="1607"/>
    </row>
    <row r="97" spans="1:26" s="1583" customFormat="1" ht="12.5" customHeight="1">
      <c r="A97" s="3308" t="s">
        <v>2765</v>
      </c>
      <c r="E97" s="3308" t="s">
        <v>2800</v>
      </c>
      <c r="J97" s="1602">
        <v>2017</v>
      </c>
      <c r="K97" s="1602"/>
      <c r="L97" s="1604"/>
      <c r="M97" s="1604"/>
      <c r="N97" s="1604"/>
      <c r="P97" s="1604"/>
      <c r="Q97" s="1604"/>
      <c r="R97" s="1604"/>
      <c r="T97" s="1604">
        <v>27</v>
      </c>
      <c r="U97" s="1604">
        <v>90</v>
      </c>
      <c r="V97" s="1609">
        <f>T97/U97</f>
        <v>0.3</v>
      </c>
      <c r="X97" s="1604"/>
      <c r="Y97" s="1604"/>
      <c r="Z97" s="1604"/>
    </row>
    <row r="98" spans="1:26" s="1583" customFormat="1" ht="12.5" customHeight="1">
      <c r="A98" s="3308" t="s">
        <v>888</v>
      </c>
      <c r="E98" s="3308" t="s">
        <v>2800</v>
      </c>
      <c r="J98" s="1584">
        <v>2018</v>
      </c>
      <c r="K98" s="1584"/>
      <c r="L98" s="1585"/>
      <c r="M98" s="1585"/>
      <c r="N98" s="1585"/>
      <c r="O98" s="1587"/>
      <c r="P98" s="1585"/>
      <c r="Q98" s="1585"/>
      <c r="R98" s="1585"/>
      <c r="S98" s="1587"/>
      <c r="T98" s="1585"/>
      <c r="U98" s="1585"/>
      <c r="V98" s="3306"/>
      <c r="W98" s="1587"/>
      <c r="X98" s="1585"/>
      <c r="Y98" s="1585"/>
      <c r="Z98" s="1585"/>
    </row>
    <row r="99" spans="1:26" s="1583" customFormat="1" ht="12.5" customHeight="1">
      <c r="A99" s="3308" t="s">
        <v>1911</v>
      </c>
      <c r="E99" s="3308" t="s">
        <v>2799</v>
      </c>
      <c r="J99" s="1602">
        <v>2019</v>
      </c>
      <c r="K99" s="1602"/>
      <c r="L99" s="1604"/>
      <c r="M99" s="1604"/>
      <c r="N99" s="1604"/>
      <c r="P99" s="1604"/>
      <c r="Q99" s="1604"/>
      <c r="R99" s="1604"/>
      <c r="T99" s="1604"/>
      <c r="U99" s="1604"/>
      <c r="V99" s="1609"/>
      <c r="X99" s="1604"/>
      <c r="Y99" s="1604"/>
      <c r="Z99" s="1604"/>
    </row>
    <row r="100" spans="1:26" s="1583" customFormat="1" ht="12.5" customHeight="1">
      <c r="A100" s="3308" t="s">
        <v>2796</v>
      </c>
      <c r="E100" s="3308" t="s">
        <v>2799</v>
      </c>
      <c r="J100" s="1584">
        <v>2020</v>
      </c>
      <c r="K100" s="1584"/>
      <c r="L100" s="1585"/>
      <c r="M100" s="1585"/>
      <c r="N100" s="1585"/>
      <c r="O100" s="1587"/>
      <c r="P100" s="1585"/>
      <c r="Q100" s="1585"/>
      <c r="R100" s="1585"/>
      <c r="S100" s="1587"/>
      <c r="T100" s="1585"/>
      <c r="U100" s="1585"/>
      <c r="V100" s="3306"/>
      <c r="W100" s="1587"/>
      <c r="X100" s="1585"/>
      <c r="Y100" s="1585"/>
      <c r="Z100" s="1586"/>
    </row>
    <row r="101" spans="1:26" s="1583" customFormat="1" ht="12.5" customHeight="1">
      <c r="A101" s="3308" t="s">
        <v>2797</v>
      </c>
      <c r="E101" s="3308" t="s">
        <v>2800</v>
      </c>
      <c r="J101" s="1602">
        <v>2021</v>
      </c>
      <c r="K101" s="1602"/>
      <c r="L101" s="1604">
        <v>25</v>
      </c>
      <c r="M101" s="1604">
        <v>60</v>
      </c>
      <c r="N101" s="1608">
        <v>0.42</v>
      </c>
      <c r="P101" s="1604">
        <v>58</v>
      </c>
      <c r="Q101" s="1604">
        <f>P101+71</f>
        <v>129</v>
      </c>
      <c r="R101" s="1608">
        <v>0.35</v>
      </c>
      <c r="T101" s="1604"/>
      <c r="U101" s="1604"/>
      <c r="V101" s="1609"/>
      <c r="X101" s="1604">
        <v>13</v>
      </c>
      <c r="Y101" s="1604">
        <v>25</v>
      </c>
      <c r="Z101" s="1608">
        <f>X101/Y101</f>
        <v>0.52</v>
      </c>
    </row>
    <row r="102" spans="1:26" s="1583" customFormat="1" ht="4.5" customHeight="1">
      <c r="J102" s="1623"/>
      <c r="K102" s="1623"/>
      <c r="L102" s="1625"/>
      <c r="M102" s="1625"/>
      <c r="N102" s="1625"/>
      <c r="O102" s="1624"/>
      <c r="P102" s="1625"/>
      <c r="Q102" s="1625"/>
      <c r="R102" s="1625"/>
      <c r="S102" s="1624"/>
      <c r="T102" s="1625"/>
      <c r="U102" s="1625"/>
      <c r="V102" s="1625"/>
      <c r="W102" s="1624"/>
      <c r="X102" s="1625"/>
      <c r="Y102" s="1625"/>
      <c r="Z102" s="1625"/>
    </row>
    <row r="103" spans="1:26" s="1600" customFormat="1">
      <c r="A103" s="3308" t="s">
        <v>1912</v>
      </c>
      <c r="B103" s="1583"/>
      <c r="C103" s="1583"/>
      <c r="D103" s="1583"/>
      <c r="E103" s="3308" t="s">
        <v>2799</v>
      </c>
      <c r="J103" s="1599" t="s">
        <v>21</v>
      </c>
      <c r="K103" s="1610"/>
      <c r="L103" s="1611"/>
      <c r="M103" s="1611"/>
      <c r="N103" s="1611"/>
      <c r="O103" s="1612"/>
      <c r="P103" s="1611"/>
      <c r="Q103" s="1611"/>
      <c r="R103" s="1601"/>
      <c r="T103" s="1601"/>
      <c r="U103" s="1601"/>
      <c r="V103" s="1601"/>
      <c r="X103" s="1601"/>
      <c r="Y103" s="1601"/>
      <c r="Z103" s="1601"/>
    </row>
    <row r="104" spans="1:26" s="1600" customFormat="1">
      <c r="A104" s="3308" t="s">
        <v>2798</v>
      </c>
      <c r="E104" s="1600" t="s">
        <v>2799</v>
      </c>
      <c r="J104" s="1599" t="s">
        <v>2361</v>
      </c>
      <c r="K104" s="1610"/>
      <c r="L104" s="1611"/>
      <c r="M104" s="1611"/>
      <c r="N104" s="1611"/>
      <c r="O104" s="1612"/>
      <c r="P104" s="1611"/>
      <c r="Q104" s="1611"/>
      <c r="R104" s="1601"/>
      <c r="T104" s="1601"/>
      <c r="U104" s="1601"/>
      <c r="V104" s="1601"/>
      <c r="X104" s="1601"/>
      <c r="Y104" s="1601"/>
      <c r="Z104" s="1601"/>
    </row>
    <row r="105" spans="1:26" s="1600" customFormat="1" ht="11">
      <c r="J105" s="1613" t="s">
        <v>1601</v>
      </c>
      <c r="K105" s="1610"/>
      <c r="L105" s="1611"/>
      <c r="M105" s="1611"/>
      <c r="N105" s="1611"/>
      <c r="O105" s="1612"/>
      <c r="P105" s="1611"/>
      <c r="Q105" s="1611"/>
      <c r="R105" s="1601"/>
      <c r="T105" s="1601"/>
      <c r="U105" s="1601"/>
      <c r="V105" s="1601"/>
      <c r="X105" s="1601"/>
      <c r="Y105" s="1601"/>
      <c r="Z105" s="1601"/>
    </row>
    <row r="106" spans="1:26" s="1600" customFormat="1" ht="11">
      <c r="J106" s="1599" t="s">
        <v>1919</v>
      </c>
      <c r="K106" s="1599"/>
      <c r="L106" s="1601"/>
      <c r="M106" s="1601"/>
      <c r="N106" s="1601"/>
      <c r="P106" s="1601"/>
      <c r="Q106" s="1601"/>
      <c r="R106" s="1601"/>
      <c r="T106" s="1601"/>
      <c r="U106" s="1601"/>
      <c r="V106" s="1601"/>
      <c r="X106" s="1601"/>
      <c r="Y106" s="1601"/>
      <c r="Z106" s="1601"/>
    </row>
    <row r="107" spans="1:26" s="1583" customFormat="1">
      <c r="J107" s="1599" t="s">
        <v>2775</v>
      </c>
      <c r="K107" s="1602"/>
      <c r="L107" s="1604"/>
      <c r="M107" s="1604"/>
      <c r="N107" s="1604"/>
      <c r="P107" s="1604"/>
      <c r="Q107" s="1604"/>
      <c r="R107" s="1604"/>
      <c r="T107" s="1604"/>
      <c r="U107" s="1604"/>
      <c r="V107" s="1604"/>
      <c r="X107" s="1604"/>
      <c r="Y107" s="1604"/>
      <c r="Z107" s="1604"/>
    </row>
    <row r="108" spans="1:26">
      <c r="A108" s="1589"/>
      <c r="J108" s="3307" t="s">
        <v>2774</v>
      </c>
      <c r="K108" s="1588"/>
    </row>
    <row r="109" spans="1:26">
      <c r="A109" s="1589"/>
      <c r="J109" s="1588" t="s">
        <v>1367</v>
      </c>
      <c r="K109" s="1588"/>
    </row>
    <row r="110" spans="1:26" ht="14">
      <c r="A110" s="1589"/>
      <c r="J110" s="1614" t="s">
        <v>1366</v>
      </c>
      <c r="K110" s="1614"/>
    </row>
    <row r="113" spans="10:27">
      <c r="J113" s="1589" t="s">
        <v>18</v>
      </c>
      <c r="P113" s="1590" t="s">
        <v>19</v>
      </c>
      <c r="T113" s="1590" t="s">
        <v>20</v>
      </c>
      <c r="X113" s="1589" t="s">
        <v>1368</v>
      </c>
    </row>
    <row r="114" spans="10:27">
      <c r="L114" s="1590" t="s">
        <v>424</v>
      </c>
      <c r="M114" s="1590" t="s">
        <v>1428</v>
      </c>
    </row>
    <row r="115" spans="10:27">
      <c r="J115" s="1581">
        <v>1999</v>
      </c>
      <c r="L115" s="1590">
        <v>24</v>
      </c>
      <c r="M115" s="1595">
        <f>L115/N115</f>
        <v>0.4</v>
      </c>
      <c r="N115" s="1590">
        <v>60</v>
      </c>
      <c r="P115" s="1581">
        <v>1999</v>
      </c>
      <c r="Q115" s="1590">
        <v>48</v>
      </c>
      <c r="R115" s="1595">
        <f>Q115/S115</f>
        <v>0.37209302325581395</v>
      </c>
      <c r="S115" s="1590">
        <v>129</v>
      </c>
      <c r="T115" s="1581">
        <v>1998</v>
      </c>
      <c r="U115" s="1590">
        <v>14</v>
      </c>
      <c r="V115" s="1595">
        <f>U115/W115</f>
        <v>0.12962962962962962</v>
      </c>
      <c r="W115" s="1590">
        <v>108</v>
      </c>
      <c r="X115" s="1581">
        <v>2000</v>
      </c>
      <c r="Y115" s="1590">
        <v>10</v>
      </c>
      <c r="Z115" s="1595">
        <f>Y115/AA115</f>
        <v>0.4</v>
      </c>
      <c r="AA115" s="1589">
        <v>25</v>
      </c>
    </row>
    <row r="116" spans="10:27">
      <c r="J116" s="1581">
        <v>2003</v>
      </c>
      <c r="L116" s="1590">
        <v>30</v>
      </c>
      <c r="M116" s="1595">
        <f>L116/N116</f>
        <v>0.5</v>
      </c>
      <c r="N116" s="1590">
        <v>60</v>
      </c>
      <c r="P116" s="1581">
        <v>2003</v>
      </c>
      <c r="Q116" s="1590">
        <v>51</v>
      </c>
      <c r="R116" s="1595">
        <f>Q116/S116</f>
        <v>0.39534883720930231</v>
      </c>
      <c r="S116" s="1590">
        <v>129</v>
      </c>
      <c r="T116" s="1581">
        <v>2003</v>
      </c>
      <c r="U116" s="1590">
        <v>18</v>
      </c>
      <c r="V116" s="1595">
        <f>U116/W116</f>
        <v>0.16666666666666666</v>
      </c>
      <c r="W116" s="1590">
        <v>108</v>
      </c>
      <c r="X116" s="1581">
        <v>2004</v>
      </c>
      <c r="Y116" s="1590">
        <v>9</v>
      </c>
      <c r="Z116" s="1595">
        <f>Y116/AA116</f>
        <v>0.36</v>
      </c>
      <c r="AA116" s="1589">
        <v>25</v>
      </c>
    </row>
    <row r="117" spans="10:27">
      <c r="J117" s="1581">
        <v>2007</v>
      </c>
      <c r="L117" s="1590">
        <v>28</v>
      </c>
      <c r="M117" s="1595">
        <f>L117/N117</f>
        <v>0.46666666666666667</v>
      </c>
      <c r="N117" s="1590">
        <v>60</v>
      </c>
      <c r="P117" s="1581">
        <v>2007</v>
      </c>
      <c r="Q117" s="1590">
        <v>43</v>
      </c>
      <c r="R117" s="1595">
        <f>Q117/S117</f>
        <v>0.33333333333333331</v>
      </c>
      <c r="S117" s="1590">
        <v>129</v>
      </c>
      <c r="T117" s="1581">
        <v>2007</v>
      </c>
      <c r="U117" s="1590">
        <v>18</v>
      </c>
      <c r="V117" s="1595">
        <f>U117/W117</f>
        <v>0.16666666666666666</v>
      </c>
      <c r="W117" s="1590">
        <v>108</v>
      </c>
      <c r="X117" s="1581">
        <v>2008</v>
      </c>
      <c r="Y117" s="1590">
        <v>8</v>
      </c>
      <c r="Z117" s="1595">
        <f>Y117/AA117</f>
        <v>0.32</v>
      </c>
      <c r="AA117" s="1589">
        <v>25</v>
      </c>
    </row>
    <row r="118" spans="10:27">
      <c r="J118" s="1581">
        <v>2011</v>
      </c>
      <c r="L118" s="1590">
        <v>24</v>
      </c>
      <c r="M118" s="1595">
        <f>L118/N118</f>
        <v>0.4</v>
      </c>
      <c r="N118" s="1590">
        <v>60</v>
      </c>
      <c r="P118" s="1581">
        <v>2011</v>
      </c>
      <c r="Q118" s="1590">
        <v>45</v>
      </c>
      <c r="R118" s="1595">
        <f>Q118/S118</f>
        <v>0.34883720930232559</v>
      </c>
      <c r="S118" s="1590">
        <v>129</v>
      </c>
      <c r="T118" s="1581">
        <v>2011</v>
      </c>
      <c r="U118" s="1590">
        <v>20</v>
      </c>
      <c r="V118" s="1595">
        <f>U118/W118</f>
        <v>0.18518518518518517</v>
      </c>
      <c r="W118" s="1590">
        <v>108</v>
      </c>
      <c r="X118" s="1581">
        <v>2012</v>
      </c>
      <c r="Y118" s="1590">
        <v>8</v>
      </c>
      <c r="Z118" s="1595">
        <f>Y118/AA118</f>
        <v>0.32</v>
      </c>
      <c r="AA118" s="1589">
        <v>25</v>
      </c>
    </row>
  </sheetData>
  <mergeCells count="4">
    <mergeCell ref="L75:N75"/>
    <mergeCell ref="P75:R75"/>
    <mergeCell ref="T75:V75"/>
    <mergeCell ref="X75:Z75"/>
  </mergeCells>
  <hyperlinks>
    <hyperlink ref="J110" r:id="rId1" xr:uid="{00000000-0004-0000-4300-000000000000}"/>
  </hyperlinks>
  <pageMargins left="0.7" right="0.7" top="0.75" bottom="0.75" header="0.3" footer="0.3"/>
  <pageSetup paperSize="9" orientation="portrait" horizontalDpi="1200" verticalDpi="1200"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3"/>
  <dimension ref="A1:AF104"/>
  <sheetViews>
    <sheetView showGridLines="0" topLeftCell="A22" zoomScale="85" zoomScaleNormal="85" workbookViewId="0">
      <selection activeCell="K66" sqref="K66"/>
    </sheetView>
  </sheetViews>
  <sheetFormatPr baseColWidth="10" defaultColWidth="9.3984375" defaultRowHeight="12"/>
  <cols>
    <col min="1" max="1" width="9.3984375" style="425"/>
    <col min="2" max="5" width="9.3984375" style="426"/>
    <col min="6" max="6" width="1.19921875" style="426" customWidth="1"/>
    <col min="7" max="7" width="9.3984375" style="426"/>
    <col min="8" max="8" width="30.3984375" style="426" customWidth="1"/>
    <col min="9" max="9" width="7.3984375" style="426" customWidth="1"/>
    <col min="10" max="10" width="1.19921875" style="426" customWidth="1"/>
    <col min="11" max="11" width="7.796875" style="427" customWidth="1"/>
    <col min="12" max="12" width="8.19921875" style="427" customWidth="1"/>
    <col min="13" max="13" width="7.796875" style="427" customWidth="1"/>
    <col min="14" max="14" width="1.19921875" style="426" customWidth="1"/>
    <col min="15" max="16" width="8.19921875" style="427" customWidth="1"/>
    <col min="17" max="17" width="7.796875" style="427" customWidth="1"/>
    <col min="18" max="18" width="1.19921875" style="426" customWidth="1"/>
    <col min="19" max="20" width="8.19921875" style="427" customWidth="1"/>
    <col min="21" max="21" width="7.796875" style="427" customWidth="1"/>
    <col min="22" max="22" width="1.19921875" style="426" customWidth="1"/>
    <col min="23" max="24" width="8.19921875" style="427" customWidth="1"/>
    <col min="25" max="25" width="7.796875" style="427" customWidth="1"/>
    <col min="26" max="16384" width="9.3984375" style="426"/>
  </cols>
  <sheetData>
    <row r="1" spans="1:25" ht="12" customHeight="1"/>
    <row r="2" spans="1:25" ht="11.25" customHeight="1"/>
    <row r="3" spans="1:25" ht="11.25" customHeight="1"/>
    <row r="4" spans="1:25" ht="11.25" customHeight="1"/>
    <row r="5" spans="1:25" ht="11.25" customHeight="1">
      <c r="A5" s="428"/>
    </row>
    <row r="6" spans="1:25" s="430" customFormat="1" ht="13">
      <c r="A6" s="429" t="s">
        <v>2481</v>
      </c>
      <c r="K6" s="431"/>
      <c r="L6" s="431"/>
      <c r="M6" s="431"/>
      <c r="O6" s="431" t="s">
        <v>1361</v>
      </c>
      <c r="P6" s="431"/>
      <c r="Q6" s="431"/>
      <c r="S6" s="431"/>
      <c r="T6" s="431"/>
      <c r="U6" s="431"/>
      <c r="W6" s="431"/>
      <c r="X6" s="431"/>
      <c r="Y6" s="431"/>
    </row>
    <row r="7" spans="1:25" s="430" customFormat="1" ht="6" customHeight="1">
      <c r="A7" s="432"/>
      <c r="K7" s="431"/>
      <c r="L7" s="431"/>
      <c r="O7" s="431"/>
      <c r="P7" s="431"/>
      <c r="Q7" s="431"/>
      <c r="S7" s="431"/>
      <c r="T7" s="431"/>
      <c r="U7" s="431"/>
      <c r="W7" s="431"/>
      <c r="X7" s="431"/>
      <c r="Y7" s="431"/>
    </row>
    <row r="8" spans="1:25" s="430" customFormat="1" ht="4.5" customHeight="1">
      <c r="A8" s="432"/>
      <c r="B8" s="433"/>
      <c r="C8" s="433"/>
      <c r="D8" s="433"/>
      <c r="E8" s="433"/>
      <c r="F8" s="433"/>
      <c r="G8" s="433"/>
      <c r="H8" s="434"/>
      <c r="K8" s="431"/>
      <c r="L8" s="431"/>
      <c r="M8" s="431"/>
      <c r="O8" s="431"/>
      <c r="P8" s="431"/>
      <c r="Q8" s="431"/>
      <c r="S8" s="431"/>
      <c r="T8" s="431"/>
      <c r="U8" s="431"/>
      <c r="W8" s="431"/>
      <c r="X8" s="431"/>
      <c r="Y8" s="431"/>
    </row>
    <row r="9" spans="1:25" s="430" customFormat="1">
      <c r="A9" s="432"/>
      <c r="B9" s="435" t="s">
        <v>698</v>
      </c>
      <c r="C9" s="435" t="s">
        <v>699</v>
      </c>
      <c r="D9" s="435" t="s">
        <v>827</v>
      </c>
      <c r="E9" s="435" t="s">
        <v>12</v>
      </c>
      <c r="F9" s="435"/>
      <c r="G9" s="435" t="s">
        <v>16</v>
      </c>
      <c r="H9" s="436" t="s">
        <v>1427</v>
      </c>
      <c r="K9" s="431"/>
      <c r="L9" s="431"/>
      <c r="M9" s="431" t="s">
        <v>698</v>
      </c>
      <c r="O9" s="431" t="s">
        <v>699</v>
      </c>
      <c r="P9" s="431" t="s">
        <v>827</v>
      </c>
      <c r="Q9" s="431" t="s">
        <v>12</v>
      </c>
      <c r="S9" s="431" t="s">
        <v>16</v>
      </c>
      <c r="T9" s="431"/>
      <c r="U9" s="431"/>
      <c r="W9" s="431"/>
      <c r="X9" s="431"/>
      <c r="Y9" s="431"/>
    </row>
    <row r="10" spans="1:25" s="430" customFormat="1">
      <c r="A10" s="432">
        <v>2019</v>
      </c>
      <c r="B10" s="2556">
        <v>2</v>
      </c>
      <c r="C10" s="2556">
        <v>5</v>
      </c>
      <c r="D10" s="2556">
        <v>9</v>
      </c>
      <c r="E10" s="2556">
        <v>15</v>
      </c>
      <c r="F10" s="2556"/>
      <c r="G10" s="2556">
        <v>31</v>
      </c>
      <c r="H10" s="436"/>
      <c r="K10" s="431"/>
      <c r="L10" s="431"/>
      <c r="M10" s="431"/>
      <c r="O10" s="431"/>
      <c r="P10" s="431"/>
      <c r="Q10" s="431"/>
      <c r="S10" s="431"/>
      <c r="T10" s="431"/>
      <c r="U10" s="431"/>
      <c r="W10" s="431"/>
      <c r="X10" s="431"/>
      <c r="Y10" s="431"/>
    </row>
    <row r="11" spans="1:25" s="430" customFormat="1" ht="13">
      <c r="A11" s="432">
        <v>2014</v>
      </c>
      <c r="B11" s="430">
        <v>6</v>
      </c>
      <c r="C11" s="430">
        <v>11</v>
      </c>
      <c r="D11" s="430">
        <v>1</v>
      </c>
      <c r="E11" s="437">
        <f>G11-SUM(B11:D11)</f>
        <v>12</v>
      </c>
      <c r="G11" s="188">
        <v>30</v>
      </c>
      <c r="K11" s="431"/>
      <c r="L11" s="431">
        <v>2014</v>
      </c>
      <c r="M11" s="189">
        <v>19</v>
      </c>
      <c r="O11" s="189">
        <v>20</v>
      </c>
      <c r="P11" s="189">
        <v>1</v>
      </c>
      <c r="Q11" s="431">
        <v>30</v>
      </c>
      <c r="S11" s="431">
        <v>70</v>
      </c>
      <c r="T11" s="431"/>
      <c r="U11" s="431"/>
      <c r="W11" s="431"/>
      <c r="X11" s="431"/>
      <c r="Y11" s="431"/>
    </row>
    <row r="12" spans="1:25" s="430" customFormat="1">
      <c r="A12" s="432">
        <v>2009</v>
      </c>
      <c r="B12" s="430">
        <v>6</v>
      </c>
      <c r="C12" s="430">
        <v>5</v>
      </c>
      <c r="D12" s="430">
        <v>6</v>
      </c>
      <c r="E12" s="430">
        <f>1+2+1+1+2</f>
        <v>7</v>
      </c>
      <c r="G12" s="430">
        <v>24</v>
      </c>
      <c r="K12" s="431"/>
      <c r="L12" s="431">
        <v>2009</v>
      </c>
      <c r="M12" s="431">
        <v>25</v>
      </c>
      <c r="O12" s="431">
        <v>13</v>
      </c>
      <c r="P12" s="431">
        <v>11</v>
      </c>
      <c r="Q12" s="431">
        <f>2+1+2+1+1+2+13+1</f>
        <v>23</v>
      </c>
      <c r="S12" s="431">
        <f t="shared" ref="S12:S18" si="0">SUM(M12:Q12)</f>
        <v>72</v>
      </c>
      <c r="T12" s="431"/>
      <c r="U12" s="431"/>
      <c r="W12" s="431"/>
      <c r="X12" s="431"/>
      <c r="Y12" s="431"/>
    </row>
    <row r="13" spans="1:25" s="430" customFormat="1">
      <c r="A13" s="432">
        <v>2004</v>
      </c>
      <c r="B13" s="430">
        <v>2</v>
      </c>
      <c r="C13" s="430">
        <v>7</v>
      </c>
      <c r="D13" s="430">
        <v>6</v>
      </c>
      <c r="E13" s="430">
        <v>4</v>
      </c>
      <c r="G13" s="430">
        <v>19</v>
      </c>
      <c r="K13" s="431"/>
      <c r="L13" s="431">
        <v>2004</v>
      </c>
      <c r="M13" s="431">
        <v>27</v>
      </c>
      <c r="O13" s="431">
        <v>19</v>
      </c>
      <c r="P13" s="431">
        <v>12</v>
      </c>
      <c r="Q13" s="431">
        <v>20</v>
      </c>
      <c r="S13" s="431">
        <f t="shared" si="0"/>
        <v>78</v>
      </c>
      <c r="T13" s="431"/>
      <c r="U13" s="431"/>
      <c r="W13" s="431"/>
      <c r="X13" s="431"/>
      <c r="Y13" s="431"/>
    </row>
    <row r="14" spans="1:25" s="430" customFormat="1">
      <c r="A14" s="432">
        <v>1999</v>
      </c>
      <c r="B14" s="430">
        <v>3</v>
      </c>
      <c r="C14" s="430">
        <v>10</v>
      </c>
      <c r="D14" s="430">
        <v>5</v>
      </c>
      <c r="E14" s="430">
        <v>3</v>
      </c>
      <c r="G14" s="430">
        <v>21</v>
      </c>
      <c r="K14" s="431"/>
      <c r="L14" s="431">
        <v>1999</v>
      </c>
      <c r="M14" s="431">
        <v>36</v>
      </c>
      <c r="O14" s="431">
        <v>29</v>
      </c>
      <c r="P14" s="431">
        <v>10</v>
      </c>
      <c r="Q14" s="431">
        <v>12</v>
      </c>
      <c r="S14" s="431">
        <f t="shared" si="0"/>
        <v>87</v>
      </c>
      <c r="T14" s="431"/>
      <c r="U14" s="431"/>
      <c r="W14" s="431"/>
      <c r="X14" s="431"/>
      <c r="Y14" s="431"/>
    </row>
    <row r="15" spans="1:25" s="430" customFormat="1">
      <c r="A15" s="432">
        <v>1994</v>
      </c>
      <c r="B15" s="430">
        <v>2</v>
      </c>
      <c r="C15" s="430">
        <v>13</v>
      </c>
      <c r="D15" s="430">
        <v>0</v>
      </c>
      <c r="E15" s="430">
        <v>1</v>
      </c>
      <c r="G15" s="430">
        <v>16</v>
      </c>
      <c r="K15" s="431"/>
      <c r="L15" s="431">
        <v>1994</v>
      </c>
      <c r="M15" s="431">
        <v>18</v>
      </c>
      <c r="O15" s="431">
        <v>62</v>
      </c>
      <c r="P15" s="431">
        <v>2</v>
      </c>
      <c r="Q15" s="431">
        <v>5</v>
      </c>
      <c r="S15" s="431">
        <f t="shared" si="0"/>
        <v>87</v>
      </c>
      <c r="T15" s="431"/>
      <c r="U15" s="431"/>
      <c r="W15" s="431"/>
      <c r="X15" s="431"/>
      <c r="Y15" s="431"/>
    </row>
    <row r="16" spans="1:25" s="430" customFormat="1">
      <c r="A16" s="432">
        <v>1989</v>
      </c>
      <c r="B16" s="430">
        <v>4</v>
      </c>
      <c r="C16" s="430">
        <v>7</v>
      </c>
      <c r="D16" s="431" t="s">
        <v>103</v>
      </c>
      <c r="E16" s="430">
        <v>1</v>
      </c>
      <c r="G16" s="430">
        <v>12</v>
      </c>
      <c r="K16" s="431"/>
      <c r="L16" s="431">
        <v>1989</v>
      </c>
      <c r="M16" s="431">
        <v>32</v>
      </c>
      <c r="O16" s="431">
        <v>45</v>
      </c>
      <c r="P16" s="431">
        <v>0</v>
      </c>
      <c r="Q16" s="431">
        <v>4</v>
      </c>
      <c r="S16" s="431">
        <f t="shared" si="0"/>
        <v>81</v>
      </c>
      <c r="T16" s="431"/>
      <c r="U16" s="431"/>
      <c r="W16" s="431"/>
      <c r="X16" s="431"/>
      <c r="Y16" s="431"/>
    </row>
    <row r="17" spans="1:25" s="430" customFormat="1">
      <c r="A17" s="432">
        <v>1984</v>
      </c>
      <c r="B17" s="430">
        <v>6</v>
      </c>
      <c r="C17" s="430">
        <v>5</v>
      </c>
      <c r="D17" s="431" t="s">
        <v>103</v>
      </c>
      <c r="E17" s="430">
        <v>1</v>
      </c>
      <c r="G17" s="430">
        <v>12</v>
      </c>
      <c r="K17" s="431"/>
      <c r="L17" s="431">
        <v>1984</v>
      </c>
      <c r="M17" s="431">
        <v>45</v>
      </c>
      <c r="O17" s="431">
        <v>32</v>
      </c>
      <c r="P17" s="431">
        <v>0</v>
      </c>
      <c r="Q17" s="431">
        <v>4</v>
      </c>
      <c r="S17" s="431">
        <f t="shared" si="0"/>
        <v>81</v>
      </c>
      <c r="T17" s="431"/>
      <c r="U17" s="431"/>
      <c r="W17" s="431"/>
      <c r="X17" s="431"/>
      <c r="Y17" s="431"/>
    </row>
    <row r="18" spans="1:25" s="430" customFormat="1">
      <c r="A18" s="432">
        <v>1979</v>
      </c>
      <c r="B18" s="430">
        <v>6</v>
      </c>
      <c r="C18" s="430">
        <v>4</v>
      </c>
      <c r="D18" s="431" t="s">
        <v>103</v>
      </c>
      <c r="E18" s="430">
        <v>1</v>
      </c>
      <c r="G18" s="430">
        <v>11</v>
      </c>
      <c r="K18" s="431"/>
      <c r="L18" s="431">
        <v>1979</v>
      </c>
      <c r="M18" s="431">
        <v>60</v>
      </c>
      <c r="O18" s="431">
        <v>17</v>
      </c>
      <c r="P18" s="431">
        <v>0</v>
      </c>
      <c r="Q18" s="431">
        <v>4</v>
      </c>
      <c r="S18" s="431">
        <f t="shared" si="0"/>
        <v>81</v>
      </c>
      <c r="T18" s="431"/>
      <c r="U18" s="431"/>
      <c r="W18" s="431"/>
      <c r="X18" s="431"/>
      <c r="Y18" s="431"/>
    </row>
    <row r="19" spans="1:25" s="430" customFormat="1" ht="4.5" customHeight="1">
      <c r="A19" s="432"/>
      <c r="K19" s="431"/>
      <c r="L19" s="431"/>
      <c r="M19" s="431"/>
      <c r="O19" s="431"/>
      <c r="P19" s="431"/>
      <c r="Q19" s="431"/>
      <c r="S19" s="431"/>
      <c r="T19" s="431"/>
      <c r="U19" s="431"/>
      <c r="W19" s="431"/>
      <c r="X19" s="431"/>
      <c r="Y19" s="431"/>
    </row>
    <row r="20" spans="1:25" s="430" customFormat="1">
      <c r="A20" s="436" t="s">
        <v>1415</v>
      </c>
      <c r="K20" s="431"/>
      <c r="L20" s="431"/>
      <c r="M20" s="431"/>
      <c r="O20" s="431"/>
      <c r="P20" s="431"/>
      <c r="Q20" s="431"/>
      <c r="S20" s="431"/>
      <c r="T20" s="431"/>
      <c r="U20" s="431"/>
      <c r="W20" s="431"/>
      <c r="X20" s="431"/>
      <c r="Y20" s="431"/>
    </row>
    <row r="21" spans="1:25" s="430" customFormat="1" ht="4.5" customHeight="1">
      <c r="A21" s="432"/>
      <c r="K21" s="431"/>
      <c r="L21" s="431"/>
      <c r="M21" s="431"/>
      <c r="O21" s="431"/>
      <c r="P21" s="431"/>
      <c r="Q21" s="431"/>
      <c r="S21" s="431"/>
      <c r="T21" s="431"/>
      <c r="U21" s="431"/>
      <c r="W21" s="431"/>
      <c r="X21" s="431"/>
      <c r="Y21" s="431"/>
    </row>
    <row r="22" spans="1:25" s="430" customFormat="1" ht="12" customHeight="1">
      <c r="A22" s="432">
        <v>2019</v>
      </c>
      <c r="B22" s="792">
        <v>0.5</v>
      </c>
      <c r="C22" s="792">
        <v>0.5</v>
      </c>
      <c r="D22" s="792">
        <f>9/16</f>
        <v>0.5625</v>
      </c>
      <c r="E22" s="2557">
        <f>15/43</f>
        <v>0.34883720930232559</v>
      </c>
      <c r="G22" s="792">
        <f>31/73</f>
        <v>0.42465753424657532</v>
      </c>
      <c r="K22" s="431"/>
      <c r="L22" s="431"/>
      <c r="M22" s="431"/>
      <c r="O22" s="431"/>
      <c r="P22" s="431"/>
      <c r="Q22" s="431"/>
      <c r="S22" s="431"/>
      <c r="T22" s="431"/>
      <c r="U22" s="431"/>
      <c r="W22" s="431"/>
      <c r="X22" s="431"/>
      <c r="Y22" s="431"/>
    </row>
    <row r="23" spans="1:25" s="430" customFormat="1">
      <c r="A23" s="432">
        <v>2014</v>
      </c>
      <c r="B23" s="438">
        <f t="shared" ref="B23:B30" si="1">B11/M11</f>
        <v>0.31578947368421051</v>
      </c>
      <c r="C23" s="438">
        <f t="shared" ref="C23:C30" si="2">C11/O11</f>
        <v>0.55000000000000004</v>
      </c>
      <c r="D23" s="439" t="s">
        <v>103</v>
      </c>
      <c r="E23" s="438">
        <f t="shared" ref="E23:E30" si="3">E11/Q11</f>
        <v>0.4</v>
      </c>
      <c r="G23" s="438">
        <f>G11/70</f>
        <v>0.42857142857142855</v>
      </c>
      <c r="H23" s="438"/>
      <c r="K23" s="431"/>
      <c r="L23" s="431"/>
      <c r="M23" s="431"/>
      <c r="O23" s="431"/>
      <c r="P23" s="431"/>
      <c r="Q23" s="431"/>
      <c r="S23" s="431"/>
      <c r="T23" s="431"/>
      <c r="U23" s="431"/>
      <c r="W23" s="431"/>
      <c r="X23" s="431"/>
      <c r="Y23" s="431"/>
    </row>
    <row r="24" spans="1:25" s="430" customFormat="1">
      <c r="A24" s="432">
        <v>2009</v>
      </c>
      <c r="B24" s="438">
        <f t="shared" si="1"/>
        <v>0.24</v>
      </c>
      <c r="C24" s="438">
        <f t="shared" si="2"/>
        <v>0.38461538461538464</v>
      </c>
      <c r="D24" s="439" t="s">
        <v>103</v>
      </c>
      <c r="E24" s="438">
        <f t="shared" si="3"/>
        <v>0.30434782608695654</v>
      </c>
      <c r="G24" s="438">
        <f t="shared" ref="G24:G30" si="4">G12/S12</f>
        <v>0.33333333333333331</v>
      </c>
      <c r="H24" s="438"/>
      <c r="K24" s="431"/>
      <c r="L24" s="431"/>
      <c r="M24" s="431"/>
      <c r="O24" s="431"/>
      <c r="P24" s="431"/>
      <c r="Q24" s="431"/>
      <c r="S24" s="431"/>
      <c r="T24" s="431"/>
      <c r="U24" s="431"/>
      <c r="W24" s="431"/>
      <c r="X24" s="431"/>
      <c r="Y24" s="431"/>
    </row>
    <row r="25" spans="1:25" s="430" customFormat="1">
      <c r="A25" s="432">
        <v>2004</v>
      </c>
      <c r="B25" s="438">
        <f t="shared" si="1"/>
        <v>7.407407407407407E-2</v>
      </c>
      <c r="C25" s="438">
        <f t="shared" si="2"/>
        <v>0.36842105263157893</v>
      </c>
      <c r="D25" s="439" t="s">
        <v>103</v>
      </c>
      <c r="E25" s="438">
        <f t="shared" si="3"/>
        <v>0.2</v>
      </c>
      <c r="G25" s="438">
        <f t="shared" si="4"/>
        <v>0.24358974358974358</v>
      </c>
      <c r="H25" s="438"/>
      <c r="K25" s="431"/>
      <c r="L25" s="431"/>
      <c r="M25" s="431"/>
      <c r="O25" s="431"/>
      <c r="P25" s="431"/>
      <c r="Q25" s="431"/>
      <c r="S25" s="431"/>
      <c r="T25" s="431"/>
      <c r="U25" s="431"/>
      <c r="W25" s="431"/>
      <c r="X25" s="431"/>
      <c r="Y25" s="431"/>
    </row>
    <row r="26" spans="1:25" s="430" customFormat="1">
      <c r="A26" s="432">
        <v>1999</v>
      </c>
      <c r="B26" s="438">
        <f t="shared" si="1"/>
        <v>8.3333333333333329E-2</v>
      </c>
      <c r="C26" s="438">
        <f t="shared" si="2"/>
        <v>0.34482758620689657</v>
      </c>
      <c r="D26" s="438">
        <f>D14/P14</f>
        <v>0.5</v>
      </c>
      <c r="E26" s="438">
        <f t="shared" si="3"/>
        <v>0.25</v>
      </c>
      <c r="G26" s="438">
        <f t="shared" si="4"/>
        <v>0.2413793103448276</v>
      </c>
      <c r="H26" s="438"/>
      <c r="K26" s="431"/>
      <c r="L26" s="431"/>
      <c r="M26" s="431"/>
      <c r="O26" s="431"/>
      <c r="P26" s="431"/>
      <c r="Q26" s="431"/>
      <c r="S26" s="431"/>
      <c r="T26" s="431"/>
      <c r="U26" s="431"/>
      <c r="W26" s="431"/>
      <c r="X26" s="431"/>
      <c r="Y26" s="431"/>
    </row>
    <row r="27" spans="1:25" s="430" customFormat="1">
      <c r="A27" s="432">
        <v>1994</v>
      </c>
      <c r="B27" s="438">
        <f t="shared" si="1"/>
        <v>0.1111111111111111</v>
      </c>
      <c r="C27" s="438">
        <f t="shared" si="2"/>
        <v>0.20967741935483872</v>
      </c>
      <c r="D27" s="438">
        <f>D15/P15</f>
        <v>0</v>
      </c>
      <c r="E27" s="438">
        <f t="shared" si="3"/>
        <v>0.2</v>
      </c>
      <c r="G27" s="438">
        <f t="shared" si="4"/>
        <v>0.18390804597701149</v>
      </c>
      <c r="H27" s="438"/>
      <c r="K27" s="431"/>
      <c r="L27" s="431"/>
      <c r="M27" s="431"/>
      <c r="O27" s="431"/>
      <c r="P27" s="431"/>
      <c r="Q27" s="431"/>
      <c r="S27" s="431"/>
      <c r="T27" s="431"/>
      <c r="U27" s="431"/>
      <c r="W27" s="431"/>
      <c r="X27" s="431"/>
      <c r="Y27" s="431"/>
    </row>
    <row r="28" spans="1:25" s="430" customFormat="1">
      <c r="A28" s="432">
        <v>1989</v>
      </c>
      <c r="B28" s="438">
        <f t="shared" si="1"/>
        <v>0.125</v>
      </c>
      <c r="C28" s="438">
        <f t="shared" si="2"/>
        <v>0.15555555555555556</v>
      </c>
      <c r="D28" s="438" t="e">
        <f>D16/P16</f>
        <v>#VALUE!</v>
      </c>
      <c r="E28" s="438">
        <f t="shared" si="3"/>
        <v>0.25</v>
      </c>
      <c r="G28" s="438">
        <f t="shared" si="4"/>
        <v>0.14814814814814814</v>
      </c>
      <c r="H28" s="438"/>
      <c r="K28" s="431"/>
      <c r="L28" s="431"/>
      <c r="M28" s="431"/>
      <c r="O28" s="431"/>
      <c r="P28" s="431"/>
      <c r="Q28" s="431"/>
      <c r="S28" s="431"/>
      <c r="T28" s="431"/>
      <c r="U28" s="431"/>
      <c r="W28" s="431"/>
      <c r="X28" s="431"/>
      <c r="Y28" s="431"/>
    </row>
    <row r="29" spans="1:25" s="430" customFormat="1">
      <c r="A29" s="432">
        <v>1984</v>
      </c>
      <c r="B29" s="440">
        <f t="shared" si="1"/>
        <v>0.13333333333333333</v>
      </c>
      <c r="C29" s="440">
        <f t="shared" si="2"/>
        <v>0.15625</v>
      </c>
      <c r="D29" s="440" t="e">
        <f>D17/P17</f>
        <v>#VALUE!</v>
      </c>
      <c r="E29" s="440">
        <f t="shared" si="3"/>
        <v>0.25</v>
      </c>
      <c r="F29" s="434"/>
      <c r="G29" s="440">
        <f t="shared" si="4"/>
        <v>0.14814814814814814</v>
      </c>
      <c r="H29" s="440"/>
      <c r="K29" s="431"/>
      <c r="L29" s="431"/>
      <c r="M29" s="431"/>
      <c r="O29" s="431"/>
      <c r="P29" s="431"/>
      <c r="Q29" s="431"/>
      <c r="S29" s="431"/>
      <c r="T29" s="431"/>
      <c r="U29" s="431"/>
      <c r="W29" s="431"/>
      <c r="X29" s="431"/>
      <c r="Y29" s="431"/>
    </row>
    <row r="30" spans="1:25" s="430" customFormat="1">
      <c r="A30" s="432">
        <v>1979</v>
      </c>
      <c r="B30" s="440">
        <f t="shared" si="1"/>
        <v>0.1</v>
      </c>
      <c r="C30" s="440">
        <f t="shared" si="2"/>
        <v>0.23529411764705882</v>
      </c>
      <c r="D30" s="440" t="e">
        <f>D18/P18</f>
        <v>#VALUE!</v>
      </c>
      <c r="E30" s="440">
        <f t="shared" si="3"/>
        <v>0.25</v>
      </c>
      <c r="F30" s="440" t="e">
        <f>F18/R18</f>
        <v>#DIV/0!</v>
      </c>
      <c r="G30" s="440">
        <f t="shared" si="4"/>
        <v>0.13580246913580246</v>
      </c>
      <c r="H30" s="440"/>
      <c r="K30" s="431"/>
      <c r="L30" s="431"/>
      <c r="M30" s="431"/>
      <c r="O30" s="431"/>
      <c r="P30" s="431"/>
      <c r="Q30" s="431"/>
      <c r="S30" s="431"/>
      <c r="T30" s="431"/>
      <c r="U30" s="431"/>
      <c r="W30" s="431"/>
      <c r="X30" s="431"/>
      <c r="Y30" s="431"/>
    </row>
    <row r="31" spans="1:25" s="430" customFormat="1" ht="4.5" customHeight="1">
      <c r="A31" s="441"/>
      <c r="B31" s="442"/>
      <c r="C31" s="442"/>
      <c r="D31" s="442"/>
      <c r="E31" s="442"/>
      <c r="F31" s="442"/>
      <c r="G31" s="442"/>
      <c r="H31" s="434"/>
      <c r="K31" s="431"/>
      <c r="L31" s="431"/>
      <c r="M31" s="431"/>
      <c r="O31" s="431"/>
      <c r="P31" s="431"/>
      <c r="Q31" s="431"/>
      <c r="S31" s="431"/>
      <c r="T31" s="431"/>
      <c r="U31" s="431"/>
      <c r="W31" s="431"/>
      <c r="X31" s="431"/>
      <c r="Y31" s="431"/>
    </row>
    <row r="32" spans="1:25" s="430" customFormat="1" ht="4.5" customHeight="1">
      <c r="A32" s="432"/>
      <c r="K32" s="431"/>
      <c r="L32" s="431"/>
      <c r="M32" s="431"/>
      <c r="O32" s="431"/>
      <c r="P32" s="431"/>
      <c r="Q32" s="431"/>
      <c r="S32" s="431"/>
      <c r="T32" s="431"/>
      <c r="U32" s="431"/>
      <c r="W32" s="431"/>
      <c r="X32" s="431"/>
      <c r="Y32" s="431"/>
    </row>
    <row r="33" spans="1:32" s="444" customFormat="1" ht="11">
      <c r="A33" s="443" t="s">
        <v>21</v>
      </c>
      <c r="K33" s="445"/>
      <c r="L33" s="445"/>
      <c r="M33" s="445"/>
      <c r="O33" s="445"/>
      <c r="P33" s="445"/>
      <c r="Q33" s="445"/>
      <c r="S33" s="445"/>
      <c r="T33" s="445"/>
      <c r="U33" s="445"/>
      <c r="W33" s="445"/>
      <c r="X33" s="445"/>
      <c r="Y33" s="445"/>
    </row>
    <row r="34" spans="1:32" s="444" customFormat="1" ht="11">
      <c r="A34" s="443" t="s">
        <v>1600</v>
      </c>
      <c r="K34" s="445"/>
      <c r="L34" s="445"/>
      <c r="M34" s="445"/>
      <c r="O34" s="445"/>
      <c r="P34" s="445"/>
      <c r="Q34" s="445"/>
      <c r="S34" s="445"/>
      <c r="T34" s="445"/>
      <c r="U34" s="445"/>
      <c r="W34" s="445"/>
      <c r="X34" s="445"/>
      <c r="Y34" s="445"/>
    </row>
    <row r="35" spans="1:32" s="447" customFormat="1" ht="11">
      <c r="A35" s="446" t="s">
        <v>2482</v>
      </c>
      <c r="K35" s="448"/>
      <c r="L35" s="448"/>
      <c r="M35" s="448"/>
      <c r="O35" s="448"/>
      <c r="P35" s="448"/>
      <c r="Q35" s="448"/>
      <c r="S35" s="448"/>
      <c r="T35" s="448"/>
      <c r="U35" s="448"/>
      <c r="W35" s="448"/>
      <c r="X35" s="448"/>
      <c r="Y35" s="448"/>
    </row>
    <row r="36" spans="1:32" ht="13">
      <c r="I36" s="190"/>
    </row>
    <row r="37" spans="1:32" ht="13">
      <c r="J37" s="190" t="s">
        <v>1499</v>
      </c>
      <c r="K37" s="426"/>
      <c r="N37" s="427"/>
      <c r="O37" s="426"/>
      <c r="R37" s="427"/>
      <c r="S37" s="426"/>
      <c r="V37" s="427"/>
      <c r="W37" s="426"/>
      <c r="Z37" s="427"/>
    </row>
    <row r="38" spans="1:32" ht="6" customHeight="1" thickBot="1">
      <c r="J38" s="738"/>
      <c r="K38" s="738"/>
      <c r="L38" s="739"/>
      <c r="M38" s="739"/>
      <c r="N38" s="739"/>
      <c r="O38" s="738"/>
      <c r="P38" s="739"/>
      <c r="Q38" s="739"/>
      <c r="R38" s="739"/>
      <c r="S38" s="738"/>
      <c r="T38" s="739"/>
      <c r="U38" s="739"/>
      <c r="V38" s="739"/>
      <c r="W38" s="738"/>
      <c r="X38" s="739"/>
      <c r="Y38" s="739"/>
      <c r="Z38" s="739"/>
    </row>
    <row r="39" spans="1:32" s="449" customFormat="1">
      <c r="J39" s="450"/>
      <c r="K39" s="450"/>
      <c r="L39" s="3478" t="s">
        <v>18</v>
      </c>
      <c r="M39" s="3478"/>
      <c r="N39" s="3478"/>
      <c r="O39" s="737"/>
      <c r="P39" s="3478" t="s">
        <v>19</v>
      </c>
      <c r="Q39" s="3478"/>
      <c r="R39" s="3478"/>
      <c r="S39" s="737"/>
      <c r="T39" s="3478" t="s">
        <v>20</v>
      </c>
      <c r="U39" s="3478"/>
      <c r="V39" s="3478"/>
      <c r="W39" s="737"/>
      <c r="X39" s="3478" t="s">
        <v>1368</v>
      </c>
      <c r="Y39" s="3478"/>
      <c r="Z39" s="3478"/>
      <c r="AC39" s="449" t="s">
        <v>1363</v>
      </c>
    </row>
    <row r="40" spans="1:32" s="449" customFormat="1" ht="13">
      <c r="A40" s="188"/>
      <c r="B40" s="189"/>
      <c r="C40" s="189"/>
      <c r="D40" s="189"/>
      <c r="E40" s="189"/>
      <c r="F40" s="189"/>
      <c r="G40" s="189"/>
      <c r="H40" s="189"/>
      <c r="I40" s="452"/>
      <c r="J40" s="450"/>
      <c r="K40" s="450"/>
      <c r="L40" s="453" t="s">
        <v>424</v>
      </c>
      <c r="M40" s="453" t="s">
        <v>16</v>
      </c>
      <c r="N40" s="454" t="s">
        <v>153</v>
      </c>
      <c r="P40" s="453" t="s">
        <v>424</v>
      </c>
      <c r="Q40" s="453" t="s">
        <v>16</v>
      </c>
      <c r="R40" s="454" t="s">
        <v>153</v>
      </c>
      <c r="T40" s="453" t="s">
        <v>424</v>
      </c>
      <c r="U40" s="453" t="s">
        <v>16</v>
      </c>
      <c r="V40" s="454" t="s">
        <v>153</v>
      </c>
      <c r="X40" s="453" t="s">
        <v>424</v>
      </c>
      <c r="Y40" s="453" t="s">
        <v>16</v>
      </c>
      <c r="Z40" s="454" t="s">
        <v>153</v>
      </c>
      <c r="AC40" s="449" t="s">
        <v>18</v>
      </c>
      <c r="AD40" s="449" t="s">
        <v>19</v>
      </c>
      <c r="AE40" s="449" t="s">
        <v>1364</v>
      </c>
      <c r="AF40" s="449" t="s">
        <v>1362</v>
      </c>
    </row>
    <row r="41" spans="1:32" s="449" customFormat="1" ht="4.5" customHeight="1">
      <c r="A41" s="188"/>
      <c r="B41" s="189"/>
      <c r="C41" s="189"/>
      <c r="D41" s="189"/>
      <c r="E41" s="189"/>
      <c r="F41" s="189"/>
      <c r="G41" s="189"/>
      <c r="H41" s="189"/>
      <c r="I41" s="452"/>
      <c r="J41" s="450"/>
      <c r="K41" s="450"/>
      <c r="L41" s="455"/>
      <c r="M41" s="455"/>
      <c r="N41" s="456"/>
      <c r="P41" s="455"/>
      <c r="Q41" s="455"/>
      <c r="R41" s="456"/>
      <c r="T41" s="455"/>
      <c r="U41" s="455"/>
      <c r="V41" s="456"/>
      <c r="X41" s="455"/>
      <c r="Y41" s="455"/>
      <c r="Z41" s="456"/>
    </row>
    <row r="42" spans="1:32" s="449" customFormat="1" ht="13">
      <c r="A42" s="188"/>
      <c r="B42" s="189"/>
      <c r="C42" s="189"/>
      <c r="D42" s="189"/>
      <c r="E42" s="189"/>
      <c r="F42" s="189"/>
      <c r="G42" s="189"/>
      <c r="H42" s="189"/>
      <c r="I42" s="452"/>
      <c r="J42" s="732">
        <v>1998</v>
      </c>
      <c r="K42" s="732"/>
      <c r="L42" s="733"/>
      <c r="M42" s="733"/>
      <c r="N42" s="734"/>
      <c r="O42" s="735"/>
      <c r="P42" s="733"/>
      <c r="Q42" s="733"/>
      <c r="R42" s="734"/>
      <c r="S42" s="736"/>
      <c r="T42" s="733">
        <v>14</v>
      </c>
      <c r="U42" s="733">
        <v>108</v>
      </c>
      <c r="V42" s="734">
        <v>0.12962962962962962</v>
      </c>
      <c r="W42" s="736"/>
      <c r="X42" s="733"/>
      <c r="Y42" s="733"/>
      <c r="Z42" s="734"/>
      <c r="AA42" s="458"/>
      <c r="AB42" s="449">
        <v>1998</v>
      </c>
      <c r="AC42" s="458"/>
      <c r="AD42" s="458"/>
      <c r="AE42" s="458">
        <v>0.12962962962962962</v>
      </c>
      <c r="AF42" s="458"/>
    </row>
    <row r="43" spans="1:32" s="449" customFormat="1" ht="13">
      <c r="A43" s="188"/>
      <c r="B43" s="189"/>
      <c r="C43" s="189"/>
      <c r="D43" s="189"/>
      <c r="E43" s="189"/>
      <c r="F43" s="189"/>
      <c r="G43" s="189"/>
      <c r="H43" s="189"/>
      <c r="I43" s="452"/>
      <c r="J43" s="450">
        <v>1999</v>
      </c>
      <c r="K43" s="450"/>
      <c r="L43" s="455">
        <v>24</v>
      </c>
      <c r="M43" s="455">
        <v>60</v>
      </c>
      <c r="N43" s="457">
        <v>0.4</v>
      </c>
      <c r="O43" s="458"/>
      <c r="P43" s="455">
        <v>48</v>
      </c>
      <c r="Q43" s="455">
        <v>129</v>
      </c>
      <c r="R43" s="457">
        <v>0.37209302325581395</v>
      </c>
      <c r="S43" s="458"/>
      <c r="T43" s="455"/>
      <c r="U43" s="455"/>
      <c r="V43" s="457"/>
      <c r="W43" s="458"/>
      <c r="X43" s="455"/>
      <c r="Y43" s="455"/>
      <c r="Z43" s="457"/>
      <c r="AA43" s="458"/>
      <c r="AB43" s="449">
        <v>1999</v>
      </c>
      <c r="AC43" s="458">
        <v>0.4</v>
      </c>
      <c r="AD43" s="458">
        <v>0.37209302325581395</v>
      </c>
      <c r="AE43" s="458"/>
      <c r="AF43" s="458"/>
    </row>
    <row r="44" spans="1:32" s="449" customFormat="1" ht="13">
      <c r="A44" s="188"/>
      <c r="B44" s="189"/>
      <c r="C44" s="189"/>
      <c r="D44" s="189"/>
      <c r="E44" s="189"/>
      <c r="F44" s="189"/>
      <c r="G44" s="189"/>
      <c r="H44" s="189"/>
      <c r="I44" s="452"/>
      <c r="J44" s="732">
        <v>2000</v>
      </c>
      <c r="K44" s="732"/>
      <c r="L44" s="733"/>
      <c r="M44" s="733"/>
      <c r="N44" s="734"/>
      <c r="O44" s="736"/>
      <c r="P44" s="733"/>
      <c r="Q44" s="733"/>
      <c r="R44" s="734"/>
      <c r="S44" s="736"/>
      <c r="T44" s="733"/>
      <c r="U44" s="733"/>
      <c r="V44" s="734"/>
      <c r="W44" s="736"/>
      <c r="X44" s="733">
        <v>10</v>
      </c>
      <c r="Y44" s="733">
        <v>25</v>
      </c>
      <c r="Z44" s="734">
        <v>0.4</v>
      </c>
      <c r="AA44" s="458"/>
      <c r="AB44" s="449">
        <v>2000</v>
      </c>
      <c r="AC44" s="458"/>
      <c r="AD44" s="458"/>
      <c r="AE44" s="458"/>
      <c r="AF44" s="458">
        <v>0.4</v>
      </c>
    </row>
    <row r="45" spans="1:32" s="449" customFormat="1" ht="13">
      <c r="A45" s="188"/>
      <c r="B45" s="189"/>
      <c r="C45" s="189"/>
      <c r="D45" s="189"/>
      <c r="E45" s="189"/>
      <c r="F45" s="189"/>
      <c r="G45" s="189"/>
      <c r="H45" s="189"/>
      <c r="I45" s="452"/>
      <c r="J45" s="450">
        <v>2001</v>
      </c>
      <c r="K45" s="450"/>
      <c r="L45" s="455"/>
      <c r="M45" s="455"/>
      <c r="N45" s="457"/>
      <c r="O45" s="458"/>
      <c r="P45" s="455"/>
      <c r="Q45" s="455"/>
      <c r="R45" s="457"/>
      <c r="S45" s="458"/>
      <c r="T45" s="455"/>
      <c r="U45" s="455"/>
      <c r="V45" s="457"/>
      <c r="W45" s="458"/>
      <c r="X45" s="455"/>
      <c r="Y45" s="455"/>
      <c r="Z45" s="457"/>
      <c r="AA45" s="458"/>
      <c r="AB45" s="449">
        <v>2001</v>
      </c>
      <c r="AC45" s="458"/>
      <c r="AD45" s="458"/>
      <c r="AE45" s="458"/>
      <c r="AF45" s="458"/>
    </row>
    <row r="46" spans="1:32" s="449" customFormat="1" ht="13">
      <c r="A46" s="188"/>
      <c r="B46" s="189"/>
      <c r="C46" s="189"/>
      <c r="D46" s="189"/>
      <c r="E46" s="189"/>
      <c r="F46" s="189"/>
      <c r="G46" s="189"/>
      <c r="H46" s="189"/>
      <c r="I46" s="452"/>
      <c r="J46" s="732">
        <v>2002</v>
      </c>
      <c r="K46" s="732"/>
      <c r="L46" s="733"/>
      <c r="M46" s="733"/>
      <c r="N46" s="734"/>
      <c r="O46" s="736"/>
      <c r="P46" s="733"/>
      <c r="Q46" s="733"/>
      <c r="R46" s="734"/>
      <c r="S46" s="736"/>
      <c r="T46" s="733"/>
      <c r="U46" s="733"/>
      <c r="V46" s="734"/>
      <c r="W46" s="736"/>
      <c r="X46" s="733"/>
      <c r="Y46" s="733"/>
      <c r="Z46" s="734"/>
      <c r="AA46" s="458"/>
      <c r="AB46" s="449">
        <v>2002</v>
      </c>
      <c r="AC46" s="458"/>
      <c r="AD46" s="458"/>
      <c r="AE46" s="458"/>
      <c r="AF46" s="458"/>
    </row>
    <row r="47" spans="1:32" s="449" customFormat="1" ht="13">
      <c r="A47" s="188"/>
      <c r="B47" s="189"/>
      <c r="C47" s="189"/>
      <c r="D47" s="189"/>
      <c r="E47" s="189"/>
      <c r="F47" s="189"/>
      <c r="G47" s="189"/>
      <c r="H47" s="189"/>
      <c r="I47" s="452"/>
      <c r="J47" s="450">
        <v>2003</v>
      </c>
      <c r="K47" s="450"/>
      <c r="L47" s="455">
        <v>30</v>
      </c>
      <c r="M47" s="455">
        <v>60</v>
      </c>
      <c r="N47" s="457">
        <v>0.5</v>
      </c>
      <c r="O47" s="458"/>
      <c r="P47" s="455">
        <v>51</v>
      </c>
      <c r="Q47" s="455">
        <v>129</v>
      </c>
      <c r="R47" s="457">
        <v>0.39534883720930231</v>
      </c>
      <c r="S47" s="458"/>
      <c r="T47" s="455">
        <v>18</v>
      </c>
      <c r="U47" s="455">
        <v>108</v>
      </c>
      <c r="V47" s="457">
        <v>0.16666666666666666</v>
      </c>
      <c r="W47" s="458"/>
      <c r="X47" s="455"/>
      <c r="Y47" s="455"/>
      <c r="Z47" s="457"/>
      <c r="AA47" s="458"/>
      <c r="AB47" s="449">
        <v>2003</v>
      </c>
      <c r="AC47" s="458">
        <v>0.5</v>
      </c>
      <c r="AD47" s="458">
        <v>0.39534883720930231</v>
      </c>
      <c r="AE47" s="458">
        <v>0.16666666666666666</v>
      </c>
      <c r="AF47" s="458"/>
    </row>
    <row r="48" spans="1:32" s="449" customFormat="1">
      <c r="J48" s="732">
        <v>2004</v>
      </c>
      <c r="K48" s="732"/>
      <c r="L48" s="733"/>
      <c r="M48" s="733"/>
      <c r="N48" s="734"/>
      <c r="O48" s="736"/>
      <c r="P48" s="733"/>
      <c r="Q48" s="733"/>
      <c r="R48" s="734"/>
      <c r="S48" s="736"/>
      <c r="T48" s="733"/>
      <c r="U48" s="733"/>
      <c r="V48" s="734"/>
      <c r="W48" s="736"/>
      <c r="X48" s="733">
        <v>9</v>
      </c>
      <c r="Y48" s="733">
        <v>25</v>
      </c>
      <c r="Z48" s="734">
        <v>0.36</v>
      </c>
      <c r="AA48" s="458"/>
      <c r="AB48" s="449">
        <v>2004</v>
      </c>
      <c r="AC48" s="458"/>
      <c r="AD48" s="458"/>
      <c r="AE48" s="458"/>
      <c r="AF48" s="458">
        <v>0.36</v>
      </c>
    </row>
    <row r="49" spans="10:32" s="449" customFormat="1">
      <c r="J49" s="450">
        <v>2005</v>
      </c>
      <c r="K49" s="450"/>
      <c r="L49" s="455"/>
      <c r="M49" s="455"/>
      <c r="N49" s="457"/>
      <c r="O49" s="458"/>
      <c r="P49" s="455"/>
      <c r="Q49" s="455"/>
      <c r="R49" s="457"/>
      <c r="S49" s="458"/>
      <c r="T49" s="455"/>
      <c r="U49" s="455"/>
      <c r="V49" s="457"/>
      <c r="W49" s="458"/>
      <c r="X49" s="455"/>
      <c r="Y49" s="455"/>
      <c r="Z49" s="457"/>
      <c r="AA49" s="458"/>
      <c r="AB49" s="449">
        <v>2005</v>
      </c>
      <c r="AC49" s="458"/>
      <c r="AD49" s="458"/>
      <c r="AE49" s="458"/>
      <c r="AF49" s="458"/>
    </row>
    <row r="50" spans="10:32" s="449" customFormat="1">
      <c r="J50" s="732">
        <v>2006</v>
      </c>
      <c r="K50" s="732"/>
      <c r="L50" s="733"/>
      <c r="M50" s="733"/>
      <c r="N50" s="734"/>
      <c r="O50" s="736"/>
      <c r="P50" s="733"/>
      <c r="Q50" s="733"/>
      <c r="R50" s="734"/>
      <c r="S50" s="736"/>
      <c r="T50" s="733"/>
      <c r="U50" s="733"/>
      <c r="V50" s="734"/>
      <c r="W50" s="736"/>
      <c r="X50" s="733"/>
      <c r="Y50" s="733"/>
      <c r="Z50" s="734"/>
      <c r="AA50" s="458"/>
      <c r="AB50" s="449">
        <v>2006</v>
      </c>
      <c r="AC50" s="458"/>
      <c r="AD50" s="458"/>
      <c r="AE50" s="458"/>
      <c r="AF50" s="458"/>
    </row>
    <row r="51" spans="10:32" s="449" customFormat="1">
      <c r="J51" s="450">
        <v>2007</v>
      </c>
      <c r="K51" s="450"/>
      <c r="L51" s="455">
        <v>28</v>
      </c>
      <c r="M51" s="455">
        <v>60</v>
      </c>
      <c r="N51" s="457">
        <v>0.46666666666666667</v>
      </c>
      <c r="O51" s="458"/>
      <c r="P51" s="455">
        <v>43</v>
      </c>
      <c r="Q51" s="455">
        <v>129</v>
      </c>
      <c r="R51" s="457">
        <v>0.33333333333333331</v>
      </c>
      <c r="S51" s="458"/>
      <c r="T51" s="455">
        <v>18</v>
      </c>
      <c r="U51" s="455">
        <v>108</v>
      </c>
      <c r="V51" s="457">
        <v>0.16666666666666666</v>
      </c>
      <c r="W51" s="458"/>
      <c r="X51" s="455"/>
      <c r="Y51" s="455"/>
      <c r="Z51" s="457"/>
      <c r="AA51" s="458"/>
      <c r="AB51" s="449">
        <v>2007</v>
      </c>
      <c r="AC51" s="458">
        <v>0.46666666666666667</v>
      </c>
      <c r="AD51" s="458">
        <v>0.33333333333333331</v>
      </c>
      <c r="AE51" s="458">
        <v>0.16666666666666666</v>
      </c>
      <c r="AF51" s="458"/>
    </row>
    <row r="52" spans="10:32" s="449" customFormat="1">
      <c r="J52" s="732">
        <v>2008</v>
      </c>
      <c r="K52" s="732"/>
      <c r="L52" s="733"/>
      <c r="M52" s="733"/>
      <c r="N52" s="734"/>
      <c r="O52" s="736"/>
      <c r="P52" s="733"/>
      <c r="Q52" s="733"/>
      <c r="R52" s="734"/>
      <c r="S52" s="736"/>
      <c r="T52" s="733"/>
      <c r="U52" s="733"/>
      <c r="V52" s="734"/>
      <c r="W52" s="736"/>
      <c r="X52" s="733">
        <v>8</v>
      </c>
      <c r="Y52" s="733">
        <v>25</v>
      </c>
      <c r="Z52" s="734">
        <v>0.32</v>
      </c>
      <c r="AA52" s="458"/>
      <c r="AB52" s="449">
        <v>2008</v>
      </c>
      <c r="AC52" s="458"/>
      <c r="AD52" s="458"/>
      <c r="AE52" s="458"/>
      <c r="AF52" s="458">
        <v>0.32</v>
      </c>
    </row>
    <row r="53" spans="10:32" s="449" customFormat="1">
      <c r="J53" s="450">
        <v>2009</v>
      </c>
      <c r="K53" s="450"/>
      <c r="L53" s="455"/>
      <c r="M53" s="455"/>
      <c r="N53" s="457"/>
      <c r="O53" s="458"/>
      <c r="P53" s="455"/>
      <c r="Q53" s="455"/>
      <c r="R53" s="457"/>
      <c r="S53" s="458"/>
      <c r="T53" s="455"/>
      <c r="U53" s="455"/>
      <c r="V53" s="457"/>
      <c r="W53" s="458"/>
      <c r="X53" s="455"/>
      <c r="Y53" s="455"/>
      <c r="Z53" s="457"/>
      <c r="AA53" s="458"/>
      <c r="AB53" s="449">
        <v>2009</v>
      </c>
      <c r="AC53" s="458"/>
      <c r="AD53" s="458"/>
      <c r="AE53" s="458"/>
      <c r="AF53" s="458"/>
    </row>
    <row r="54" spans="10:32" s="449" customFormat="1">
      <c r="J54" s="732">
        <v>2010</v>
      </c>
      <c r="K54" s="732"/>
      <c r="L54" s="733"/>
      <c r="M54" s="733"/>
      <c r="N54" s="734"/>
      <c r="O54" s="735"/>
      <c r="P54" s="733"/>
      <c r="Q54" s="733"/>
      <c r="R54" s="734"/>
      <c r="S54" s="735"/>
      <c r="T54" s="733"/>
      <c r="U54" s="733"/>
      <c r="V54" s="734"/>
      <c r="W54" s="735"/>
      <c r="X54" s="733"/>
      <c r="Y54" s="733"/>
      <c r="Z54" s="734"/>
      <c r="AB54" s="449">
        <v>2010</v>
      </c>
      <c r="AC54" s="458"/>
      <c r="AD54" s="458"/>
      <c r="AE54" s="458"/>
      <c r="AF54" s="458"/>
    </row>
    <row r="55" spans="10:32" s="449" customFormat="1">
      <c r="J55" s="450">
        <v>2011</v>
      </c>
      <c r="K55" s="450"/>
      <c r="L55" s="455">
        <v>24</v>
      </c>
      <c r="M55" s="455">
        <v>60</v>
      </c>
      <c r="N55" s="457">
        <f>L55/M55</f>
        <v>0.4</v>
      </c>
      <c r="O55" s="458"/>
      <c r="P55" s="455">
        <v>45</v>
      </c>
      <c r="Q55" s="455">
        <v>129</v>
      </c>
      <c r="R55" s="457">
        <f>P55/Q55</f>
        <v>0.34883720930232559</v>
      </c>
      <c r="S55" s="458"/>
      <c r="T55" s="455">
        <v>20</v>
      </c>
      <c r="U55" s="455">
        <v>108</v>
      </c>
      <c r="V55" s="457">
        <f>T55/U55</f>
        <v>0.18518518518518517</v>
      </c>
      <c r="W55" s="458"/>
      <c r="X55" s="455"/>
      <c r="Y55" s="455"/>
      <c r="Z55" s="457"/>
      <c r="AB55" s="449">
        <v>2011</v>
      </c>
      <c r="AC55" s="458">
        <v>0.4</v>
      </c>
      <c r="AD55" s="458">
        <v>0.34883720930232559</v>
      </c>
      <c r="AE55" s="458">
        <v>0.18518518518518517</v>
      </c>
      <c r="AF55" s="458"/>
    </row>
    <row r="56" spans="10:32" s="449" customFormat="1">
      <c r="J56" s="732">
        <v>2012</v>
      </c>
      <c r="K56" s="732"/>
      <c r="L56" s="733"/>
      <c r="M56" s="733"/>
      <c r="N56" s="734"/>
      <c r="O56" s="735"/>
      <c r="P56" s="733"/>
      <c r="Q56" s="733"/>
      <c r="R56" s="734"/>
      <c r="S56" s="735"/>
      <c r="T56" s="733"/>
      <c r="U56" s="733"/>
      <c r="V56" s="734"/>
      <c r="W56" s="735"/>
      <c r="X56" s="733">
        <v>8</v>
      </c>
      <c r="Y56" s="733">
        <v>25</v>
      </c>
      <c r="Z56" s="734">
        <v>0.32</v>
      </c>
      <c r="AB56" s="449">
        <v>2012</v>
      </c>
      <c r="AC56" s="458"/>
      <c r="AD56" s="458"/>
      <c r="AE56" s="458"/>
      <c r="AF56" s="458">
        <v>0.32</v>
      </c>
    </row>
    <row r="57" spans="10:32" s="449" customFormat="1">
      <c r="J57" s="450">
        <v>2013</v>
      </c>
      <c r="K57" s="450"/>
      <c r="L57" s="455"/>
      <c r="M57" s="455"/>
      <c r="N57" s="457"/>
      <c r="P57" s="455"/>
      <c r="Q57" s="455"/>
      <c r="R57" s="457"/>
      <c r="T57" s="455"/>
      <c r="U57" s="455"/>
      <c r="V57" s="457"/>
      <c r="X57" s="455"/>
      <c r="Y57" s="455"/>
      <c r="Z57" s="457"/>
      <c r="AC57" s="458"/>
      <c r="AD57" s="458"/>
      <c r="AE57" s="458"/>
      <c r="AF57" s="458"/>
    </row>
    <row r="58" spans="10:32" s="449" customFormat="1">
      <c r="J58" s="732">
        <v>2014</v>
      </c>
      <c r="K58" s="732"/>
      <c r="L58" s="733"/>
      <c r="M58" s="733"/>
      <c r="N58" s="734"/>
      <c r="O58" s="735"/>
      <c r="P58" s="733"/>
      <c r="Q58" s="733"/>
      <c r="R58" s="734"/>
      <c r="S58" s="735"/>
      <c r="T58" s="733"/>
      <c r="U58" s="733"/>
      <c r="V58" s="734"/>
      <c r="W58" s="735"/>
      <c r="X58" s="733"/>
      <c r="Y58" s="733"/>
      <c r="Z58" s="734"/>
      <c r="AC58" s="458"/>
      <c r="AD58" s="458"/>
      <c r="AE58" s="458"/>
      <c r="AF58" s="458"/>
    </row>
    <row r="59" spans="10:32" s="449" customFormat="1">
      <c r="J59" s="450">
        <v>2015</v>
      </c>
      <c r="K59" s="450"/>
      <c r="L59" s="455"/>
      <c r="M59" s="455"/>
      <c r="N59" s="457"/>
      <c r="P59" s="455"/>
      <c r="Q59" s="455"/>
      <c r="R59" s="457"/>
      <c r="T59" s="455"/>
      <c r="U59" s="455"/>
      <c r="V59" s="457"/>
      <c r="X59" s="455"/>
      <c r="Y59" s="455"/>
      <c r="Z59" s="457"/>
      <c r="AC59" s="458"/>
      <c r="AD59" s="458"/>
      <c r="AE59" s="458"/>
      <c r="AF59" s="458"/>
    </row>
    <row r="60" spans="10:32" s="449" customFormat="1">
      <c r="J60" s="740">
        <v>2016</v>
      </c>
      <c r="K60" s="740"/>
      <c r="L60" s="741">
        <v>25</v>
      </c>
      <c r="M60" s="741">
        <v>60</v>
      </c>
      <c r="N60" s="742">
        <f>L60/M60</f>
        <v>0.41666666666666669</v>
      </c>
      <c r="O60" s="743"/>
      <c r="P60" s="741">
        <v>45</v>
      </c>
      <c r="Q60" s="741">
        <v>129</v>
      </c>
      <c r="R60" s="742">
        <f>P60/Q60</f>
        <v>0.34883720930232559</v>
      </c>
      <c r="S60" s="743"/>
      <c r="T60" s="741">
        <v>30</v>
      </c>
      <c r="U60" s="741">
        <v>108</v>
      </c>
      <c r="V60" s="742">
        <f>T60/U60</f>
        <v>0.27777777777777779</v>
      </c>
      <c r="W60" s="743"/>
      <c r="X60" s="741">
        <v>10</v>
      </c>
      <c r="Y60" s="741">
        <v>25</v>
      </c>
      <c r="Z60" s="742">
        <f>X60/Y60</f>
        <v>0.4</v>
      </c>
      <c r="AC60" s="458"/>
      <c r="AD60" s="458"/>
      <c r="AE60" s="458"/>
      <c r="AF60" s="458"/>
    </row>
    <row r="61" spans="10:32" s="449" customFormat="1" ht="4.5" customHeight="1" thickBot="1">
      <c r="J61" s="744"/>
      <c r="K61" s="744"/>
      <c r="L61" s="745"/>
      <c r="M61" s="745"/>
      <c r="N61" s="745"/>
      <c r="O61" s="746"/>
      <c r="P61" s="745"/>
      <c r="Q61" s="745"/>
      <c r="R61" s="745"/>
      <c r="S61" s="746"/>
      <c r="T61" s="745"/>
      <c r="U61" s="745"/>
      <c r="V61" s="745"/>
      <c r="W61" s="746"/>
      <c r="X61" s="745"/>
      <c r="Y61" s="745"/>
      <c r="Z61" s="745"/>
    </row>
    <row r="62" spans="10:32" s="449" customFormat="1" ht="4.5" customHeight="1">
      <c r="J62" s="450"/>
      <c r="K62" s="450"/>
      <c r="L62" s="455"/>
      <c r="M62" s="455"/>
      <c r="N62" s="455"/>
      <c r="P62" s="455"/>
      <c r="Q62" s="455"/>
      <c r="R62" s="455"/>
      <c r="T62" s="455"/>
      <c r="U62" s="455"/>
      <c r="V62" s="455"/>
      <c r="X62" s="455"/>
      <c r="Y62" s="455"/>
      <c r="Z62" s="455"/>
    </row>
    <row r="63" spans="10:32" s="447" customFormat="1" ht="11">
      <c r="J63" s="446" t="s">
        <v>21</v>
      </c>
      <c r="K63" s="463"/>
      <c r="L63" s="464"/>
      <c r="M63" s="464"/>
      <c r="N63" s="464"/>
      <c r="O63" s="465"/>
      <c r="P63" s="464"/>
      <c r="Q63" s="464"/>
      <c r="R63" s="448"/>
      <c r="T63" s="448"/>
      <c r="U63" s="448"/>
      <c r="V63" s="448"/>
      <c r="X63" s="448"/>
      <c r="Y63" s="448"/>
      <c r="Z63" s="448"/>
    </row>
    <row r="64" spans="10:32" s="447" customFormat="1" ht="11">
      <c r="J64" s="446" t="s">
        <v>1676</v>
      </c>
      <c r="K64" s="463"/>
      <c r="L64" s="464"/>
      <c r="M64" s="464"/>
      <c r="N64" s="464"/>
      <c r="O64" s="465"/>
      <c r="P64" s="464"/>
      <c r="Q64" s="464"/>
      <c r="R64" s="448"/>
      <c r="T64" s="448"/>
      <c r="U64" s="448"/>
      <c r="V64" s="448"/>
      <c r="X64" s="448"/>
      <c r="Y64" s="448"/>
      <c r="Z64" s="448"/>
    </row>
    <row r="65" spans="1:31" s="447" customFormat="1" ht="11">
      <c r="J65" s="461" t="s">
        <v>1601</v>
      </c>
      <c r="K65" s="463"/>
      <c r="L65" s="464"/>
      <c r="M65" s="464"/>
      <c r="N65" s="464"/>
      <c r="O65" s="465"/>
      <c r="P65" s="464"/>
      <c r="Q65" s="464"/>
      <c r="R65" s="448"/>
      <c r="T65" s="448"/>
      <c r="U65" s="448"/>
      <c r="V65" s="448"/>
      <c r="X65" s="448"/>
      <c r="Y65" s="448"/>
      <c r="Z65" s="448"/>
    </row>
    <row r="66" spans="1:31" s="447" customFormat="1" ht="11">
      <c r="J66" s="446" t="s">
        <v>1919</v>
      </c>
      <c r="K66" s="446"/>
      <c r="L66" s="448"/>
      <c r="M66" s="448"/>
      <c r="N66" s="448"/>
      <c r="P66" s="448"/>
      <c r="Q66" s="448"/>
      <c r="R66" s="448"/>
      <c r="T66" s="448"/>
      <c r="U66" s="448"/>
      <c r="V66" s="448"/>
      <c r="X66" s="448"/>
      <c r="Y66" s="448"/>
      <c r="Z66" s="448"/>
    </row>
    <row r="67" spans="1:31" s="449" customFormat="1">
      <c r="J67" s="450" t="s">
        <v>1365</v>
      </c>
      <c r="K67" s="450"/>
      <c r="L67" s="455"/>
      <c r="M67" s="455"/>
      <c r="N67" s="455"/>
      <c r="P67" s="455"/>
      <c r="Q67" s="455"/>
      <c r="R67" s="455"/>
      <c r="T67" s="455"/>
      <c r="U67" s="455"/>
      <c r="V67" s="455"/>
      <c r="X67" s="455"/>
      <c r="Y67" s="455"/>
      <c r="Z67" s="455"/>
    </row>
    <row r="68" spans="1:31" ht="6" customHeight="1"/>
    <row r="69" spans="1:31" s="449" customFormat="1">
      <c r="I69" s="450"/>
      <c r="J69" s="450"/>
      <c r="K69" s="3479" t="s">
        <v>18</v>
      </c>
      <c r="L69" s="3479"/>
      <c r="M69" s="3479"/>
      <c r="N69" s="451"/>
      <c r="O69" s="3479" t="s">
        <v>19</v>
      </c>
      <c r="P69" s="3479"/>
      <c r="Q69" s="3479"/>
      <c r="R69" s="451"/>
      <c r="S69" s="3479" t="s">
        <v>20</v>
      </c>
      <c r="T69" s="3479"/>
      <c r="U69" s="3479"/>
      <c r="V69" s="451"/>
      <c r="W69" s="3479" t="s">
        <v>1368</v>
      </c>
      <c r="X69" s="3479"/>
      <c r="Y69" s="3479"/>
      <c r="AB69" s="449" t="s">
        <v>1363</v>
      </c>
    </row>
    <row r="70" spans="1:31" s="449" customFormat="1" ht="13">
      <c r="A70" s="188"/>
      <c r="B70" s="189"/>
      <c r="C70" s="189"/>
      <c r="D70" s="189"/>
      <c r="E70" s="189"/>
      <c r="F70" s="189"/>
      <c r="G70" s="189"/>
      <c r="H70" s="452"/>
      <c r="I70" s="450"/>
      <c r="J70" s="450"/>
      <c r="K70" s="453" t="s">
        <v>424</v>
      </c>
      <c r="L70" s="453" t="s">
        <v>16</v>
      </c>
      <c r="M70" s="454" t="s">
        <v>153</v>
      </c>
      <c r="O70" s="453" t="s">
        <v>424</v>
      </c>
      <c r="P70" s="453" t="s">
        <v>16</v>
      </c>
      <c r="Q70" s="454" t="s">
        <v>153</v>
      </c>
      <c r="S70" s="453" t="s">
        <v>424</v>
      </c>
      <c r="T70" s="453" t="s">
        <v>16</v>
      </c>
      <c r="U70" s="454" t="s">
        <v>153</v>
      </c>
      <c r="W70" s="453" t="s">
        <v>424</v>
      </c>
      <c r="X70" s="453" t="s">
        <v>16</v>
      </c>
      <c r="Y70" s="454" t="s">
        <v>153</v>
      </c>
      <c r="AB70" s="449" t="s">
        <v>18</v>
      </c>
      <c r="AC70" s="449" t="s">
        <v>19</v>
      </c>
      <c r="AD70" s="449" t="s">
        <v>1364</v>
      </c>
      <c r="AE70" s="449" t="s">
        <v>1362</v>
      </c>
    </row>
    <row r="71" spans="1:31" s="449" customFormat="1" ht="4.5" customHeight="1">
      <c r="A71" s="188"/>
      <c r="B71" s="189"/>
      <c r="C71" s="189"/>
      <c r="D71" s="189"/>
      <c r="E71" s="189"/>
      <c r="F71" s="189"/>
      <c r="G71" s="189"/>
      <c r="H71" s="452"/>
      <c r="I71" s="450"/>
      <c r="J71" s="450"/>
      <c r="K71" s="455"/>
      <c r="L71" s="455"/>
      <c r="M71" s="456"/>
      <c r="O71" s="455"/>
      <c r="P71" s="455"/>
      <c r="Q71" s="456"/>
      <c r="S71" s="455"/>
      <c r="T71" s="455"/>
      <c r="U71" s="456"/>
      <c r="W71" s="455"/>
      <c r="X71" s="455"/>
      <c r="Y71" s="456"/>
    </row>
    <row r="72" spans="1:31" s="449" customFormat="1" ht="13">
      <c r="A72" s="188"/>
      <c r="B72" s="189"/>
      <c r="C72" s="189"/>
      <c r="D72" s="189"/>
      <c r="E72" s="189"/>
      <c r="F72" s="189"/>
      <c r="G72" s="189"/>
      <c r="H72" s="452"/>
      <c r="I72" s="450">
        <v>1998</v>
      </c>
      <c r="J72" s="450"/>
      <c r="K72" s="455"/>
      <c r="L72" s="455"/>
      <c r="M72" s="457"/>
      <c r="O72" s="455"/>
      <c r="P72" s="455"/>
      <c r="Q72" s="457"/>
      <c r="R72" s="458"/>
      <c r="S72" s="455">
        <v>14</v>
      </c>
      <c r="T72" s="455">
        <v>108</v>
      </c>
      <c r="U72" s="457">
        <v>0.12962962962962962</v>
      </c>
      <c r="V72" s="458"/>
      <c r="W72" s="455"/>
      <c r="X72" s="455"/>
      <c r="Y72" s="457"/>
      <c r="Z72" s="458"/>
      <c r="AA72" s="449">
        <v>1998</v>
      </c>
      <c r="AB72" s="458"/>
      <c r="AC72" s="458"/>
      <c r="AD72" s="458">
        <v>0.12962962962962962</v>
      </c>
      <c r="AE72" s="458"/>
    </row>
    <row r="73" spans="1:31" s="449" customFormat="1" ht="13">
      <c r="A73" s="188"/>
      <c r="B73" s="189"/>
      <c r="C73" s="189"/>
      <c r="D73" s="189"/>
      <c r="E73" s="189"/>
      <c r="F73" s="189"/>
      <c r="G73" s="189"/>
      <c r="H73" s="452"/>
      <c r="I73" s="450">
        <v>1999</v>
      </c>
      <c r="J73" s="450"/>
      <c r="K73" s="455">
        <v>24</v>
      </c>
      <c r="L73" s="455">
        <v>60</v>
      </c>
      <c r="M73" s="457">
        <v>0.4</v>
      </c>
      <c r="N73" s="458"/>
      <c r="O73" s="455">
        <v>48</v>
      </c>
      <c r="P73" s="455">
        <v>129</v>
      </c>
      <c r="Q73" s="457">
        <v>0.37209302325581395</v>
      </c>
      <c r="R73" s="458"/>
      <c r="S73" s="455"/>
      <c r="T73" s="455"/>
      <c r="U73" s="457"/>
      <c r="V73" s="458"/>
      <c r="W73" s="455"/>
      <c r="X73" s="455"/>
      <c r="Y73" s="457"/>
      <c r="Z73" s="458"/>
      <c r="AA73" s="449">
        <v>1999</v>
      </c>
      <c r="AB73" s="458">
        <v>0.4</v>
      </c>
      <c r="AC73" s="458">
        <v>0.37209302325581395</v>
      </c>
      <c r="AD73" s="458"/>
      <c r="AE73" s="458"/>
    </row>
    <row r="74" spans="1:31" s="449" customFormat="1" ht="13">
      <c r="A74" s="188"/>
      <c r="B74" s="189"/>
      <c r="C74" s="189"/>
      <c r="D74" s="189"/>
      <c r="E74" s="189"/>
      <c r="F74" s="189"/>
      <c r="G74" s="189"/>
      <c r="H74" s="452"/>
      <c r="I74" s="450">
        <v>2000</v>
      </c>
      <c r="J74" s="450"/>
      <c r="K74" s="455"/>
      <c r="L74" s="455"/>
      <c r="M74" s="457"/>
      <c r="N74" s="458"/>
      <c r="O74" s="455"/>
      <c r="P74" s="455"/>
      <c r="Q74" s="457"/>
      <c r="R74" s="458"/>
      <c r="S74" s="455"/>
      <c r="T74" s="455"/>
      <c r="U74" s="457"/>
      <c r="V74" s="458"/>
      <c r="W74" s="455">
        <v>10</v>
      </c>
      <c r="X74" s="455">
        <v>25</v>
      </c>
      <c r="Y74" s="457">
        <v>0.4</v>
      </c>
      <c r="Z74" s="458"/>
      <c r="AA74" s="449">
        <v>2000</v>
      </c>
      <c r="AB74" s="458"/>
      <c r="AC74" s="458"/>
      <c r="AD74" s="458"/>
      <c r="AE74" s="458">
        <v>0.4</v>
      </c>
    </row>
    <row r="75" spans="1:31" s="449" customFormat="1" ht="13">
      <c r="A75" s="188"/>
      <c r="B75" s="189"/>
      <c r="C75" s="189"/>
      <c r="D75" s="189"/>
      <c r="E75" s="189"/>
      <c r="F75" s="189"/>
      <c r="G75" s="189"/>
      <c r="H75" s="452"/>
      <c r="I75" s="450">
        <v>2001</v>
      </c>
      <c r="J75" s="450"/>
      <c r="K75" s="455"/>
      <c r="L75" s="455"/>
      <c r="M75" s="457"/>
      <c r="N75" s="458"/>
      <c r="O75" s="455"/>
      <c r="P75" s="455"/>
      <c r="Q75" s="457"/>
      <c r="R75" s="458"/>
      <c r="S75" s="455"/>
      <c r="T75" s="455"/>
      <c r="U75" s="457"/>
      <c r="V75" s="458"/>
      <c r="W75" s="455"/>
      <c r="X75" s="455"/>
      <c r="Y75" s="457"/>
      <c r="Z75" s="458"/>
      <c r="AA75" s="449">
        <v>2001</v>
      </c>
      <c r="AB75" s="458"/>
      <c r="AC75" s="458"/>
      <c r="AD75" s="458"/>
      <c r="AE75" s="458"/>
    </row>
    <row r="76" spans="1:31" s="449" customFormat="1" ht="13">
      <c r="A76" s="188"/>
      <c r="B76" s="189"/>
      <c r="C76" s="189"/>
      <c r="D76" s="189"/>
      <c r="E76" s="189"/>
      <c r="F76" s="189"/>
      <c r="G76" s="189"/>
      <c r="H76" s="452"/>
      <c r="I76" s="450">
        <v>2002</v>
      </c>
      <c r="J76" s="450"/>
      <c r="K76" s="455"/>
      <c r="L76" s="455"/>
      <c r="M76" s="457"/>
      <c r="N76" s="458"/>
      <c r="O76" s="455"/>
      <c r="P76" s="455"/>
      <c r="Q76" s="457"/>
      <c r="R76" s="458"/>
      <c r="S76" s="455"/>
      <c r="T76" s="455"/>
      <c r="U76" s="457"/>
      <c r="V76" s="458"/>
      <c r="W76" s="455"/>
      <c r="X76" s="455"/>
      <c r="Y76" s="457"/>
      <c r="Z76" s="458"/>
      <c r="AA76" s="449">
        <v>2002</v>
      </c>
      <c r="AB76" s="458"/>
      <c r="AC76" s="458"/>
      <c r="AD76" s="458"/>
      <c r="AE76" s="458"/>
    </row>
    <row r="77" spans="1:31" s="449" customFormat="1" ht="13">
      <c r="A77" s="188"/>
      <c r="B77" s="189"/>
      <c r="C77" s="189"/>
      <c r="D77" s="189"/>
      <c r="E77" s="189"/>
      <c r="F77" s="189"/>
      <c r="G77" s="189"/>
      <c r="H77" s="452"/>
      <c r="I77" s="450">
        <v>2003</v>
      </c>
      <c r="J77" s="450"/>
      <c r="K77" s="455">
        <v>30</v>
      </c>
      <c r="L77" s="455">
        <v>60</v>
      </c>
      <c r="M77" s="457">
        <v>0.5</v>
      </c>
      <c r="N77" s="458"/>
      <c r="O77" s="455">
        <v>51</v>
      </c>
      <c r="P77" s="455">
        <v>129</v>
      </c>
      <c r="Q77" s="457">
        <v>0.39534883720930231</v>
      </c>
      <c r="R77" s="458"/>
      <c r="S77" s="455">
        <v>18</v>
      </c>
      <c r="T77" s="455">
        <v>108</v>
      </c>
      <c r="U77" s="457">
        <v>0.16666666666666666</v>
      </c>
      <c r="V77" s="458"/>
      <c r="W77" s="455"/>
      <c r="X77" s="455"/>
      <c r="Y77" s="457"/>
      <c r="Z77" s="458"/>
      <c r="AA77" s="449">
        <v>2003</v>
      </c>
      <c r="AB77" s="458">
        <v>0.5</v>
      </c>
      <c r="AC77" s="458">
        <v>0.39534883720930231</v>
      </c>
      <c r="AD77" s="458">
        <v>0.16666666666666666</v>
      </c>
      <c r="AE77" s="458"/>
    </row>
    <row r="78" spans="1:31" s="449" customFormat="1">
      <c r="I78" s="450">
        <v>2004</v>
      </c>
      <c r="J78" s="450"/>
      <c r="K78" s="455"/>
      <c r="L78" s="455"/>
      <c r="M78" s="457"/>
      <c r="N78" s="458"/>
      <c r="O78" s="455"/>
      <c r="P78" s="455"/>
      <c r="Q78" s="457"/>
      <c r="R78" s="458"/>
      <c r="S78" s="455"/>
      <c r="T78" s="455"/>
      <c r="U78" s="457"/>
      <c r="V78" s="458"/>
      <c r="W78" s="455">
        <v>9</v>
      </c>
      <c r="X78" s="455">
        <v>25</v>
      </c>
      <c r="Y78" s="457">
        <v>0.36</v>
      </c>
      <c r="Z78" s="458"/>
      <c r="AA78" s="449">
        <v>2004</v>
      </c>
      <c r="AB78" s="458"/>
      <c r="AC78" s="458"/>
      <c r="AD78" s="458"/>
      <c r="AE78" s="458">
        <v>0.36</v>
      </c>
    </row>
    <row r="79" spans="1:31" s="449" customFormat="1">
      <c r="I79" s="450">
        <v>2005</v>
      </c>
      <c r="J79" s="450"/>
      <c r="K79" s="455"/>
      <c r="L79" s="455"/>
      <c r="M79" s="457"/>
      <c r="N79" s="458"/>
      <c r="O79" s="455"/>
      <c r="P79" s="455"/>
      <c r="Q79" s="457"/>
      <c r="R79" s="458"/>
      <c r="S79" s="455"/>
      <c r="T79" s="455"/>
      <c r="U79" s="457"/>
      <c r="V79" s="458"/>
      <c r="W79" s="455"/>
      <c r="X79" s="455"/>
      <c r="Y79" s="457"/>
      <c r="Z79" s="458"/>
      <c r="AA79" s="449">
        <v>2005</v>
      </c>
      <c r="AB79" s="458"/>
      <c r="AC79" s="458"/>
      <c r="AD79" s="458"/>
      <c r="AE79" s="458"/>
    </row>
    <row r="80" spans="1:31" s="449" customFormat="1">
      <c r="I80" s="450">
        <v>2006</v>
      </c>
      <c r="J80" s="450"/>
      <c r="K80" s="455"/>
      <c r="L80" s="455"/>
      <c r="M80" s="457"/>
      <c r="N80" s="458"/>
      <c r="O80" s="455"/>
      <c r="P80" s="455"/>
      <c r="Q80" s="457"/>
      <c r="R80" s="458"/>
      <c r="S80" s="455"/>
      <c r="T80" s="455"/>
      <c r="U80" s="457"/>
      <c r="V80" s="458"/>
      <c r="W80" s="455"/>
      <c r="X80" s="455"/>
      <c r="Y80" s="457"/>
      <c r="Z80" s="458"/>
      <c r="AA80" s="449">
        <v>2006</v>
      </c>
      <c r="AB80" s="458"/>
      <c r="AC80" s="458"/>
      <c r="AD80" s="458"/>
      <c r="AE80" s="458"/>
    </row>
    <row r="81" spans="1:31" s="449" customFormat="1">
      <c r="I81" s="450">
        <v>2007</v>
      </c>
      <c r="J81" s="450"/>
      <c r="K81" s="455">
        <v>28</v>
      </c>
      <c r="L81" s="455">
        <v>60</v>
      </c>
      <c r="M81" s="457">
        <v>0.46666666666666667</v>
      </c>
      <c r="N81" s="458"/>
      <c r="O81" s="455">
        <v>43</v>
      </c>
      <c r="P81" s="455">
        <v>129</v>
      </c>
      <c r="Q81" s="457">
        <v>0.33333333333333331</v>
      </c>
      <c r="R81" s="458"/>
      <c r="S81" s="455">
        <v>18</v>
      </c>
      <c r="T81" s="455">
        <v>108</v>
      </c>
      <c r="U81" s="457">
        <v>0.16666666666666666</v>
      </c>
      <c r="V81" s="458"/>
      <c r="W81" s="455"/>
      <c r="X81" s="455"/>
      <c r="Y81" s="457"/>
      <c r="Z81" s="458"/>
      <c r="AA81" s="449">
        <v>2007</v>
      </c>
      <c r="AB81" s="458">
        <v>0.46666666666666667</v>
      </c>
      <c r="AC81" s="458">
        <v>0.33333333333333331</v>
      </c>
      <c r="AD81" s="458">
        <v>0.16666666666666666</v>
      </c>
      <c r="AE81" s="458"/>
    </row>
    <row r="82" spans="1:31" s="449" customFormat="1">
      <c r="I82" s="450">
        <v>2008</v>
      </c>
      <c r="J82" s="450"/>
      <c r="K82" s="455"/>
      <c r="L82" s="455"/>
      <c r="M82" s="457"/>
      <c r="N82" s="458"/>
      <c r="O82" s="455"/>
      <c r="P82" s="455"/>
      <c r="Q82" s="457"/>
      <c r="R82" s="458"/>
      <c r="S82" s="455"/>
      <c r="T82" s="455"/>
      <c r="U82" s="457"/>
      <c r="V82" s="458"/>
      <c r="W82" s="455">
        <v>8</v>
      </c>
      <c r="X82" s="455">
        <v>25</v>
      </c>
      <c r="Y82" s="457">
        <v>0.32</v>
      </c>
      <c r="Z82" s="458"/>
      <c r="AA82" s="449">
        <v>2008</v>
      </c>
      <c r="AB82" s="458"/>
      <c r="AC82" s="458"/>
      <c r="AD82" s="458"/>
      <c r="AE82" s="458">
        <v>0.32</v>
      </c>
    </row>
    <row r="83" spans="1:31" s="449" customFormat="1">
      <c r="I83" s="450">
        <v>2009</v>
      </c>
      <c r="J83" s="450"/>
      <c r="K83" s="455"/>
      <c r="L83" s="455"/>
      <c r="M83" s="457"/>
      <c r="N83" s="458"/>
      <c r="O83" s="455"/>
      <c r="P83" s="455"/>
      <c r="Q83" s="457"/>
      <c r="R83" s="458"/>
      <c r="S83" s="455"/>
      <c r="T83" s="455"/>
      <c r="U83" s="457"/>
      <c r="V83" s="458"/>
      <c r="W83" s="455"/>
      <c r="X83" s="455"/>
      <c r="Y83" s="457"/>
      <c r="Z83" s="458"/>
      <c r="AA83" s="449">
        <v>2009</v>
      </c>
      <c r="AB83" s="458"/>
      <c r="AC83" s="458"/>
      <c r="AD83" s="458"/>
      <c r="AE83" s="458"/>
    </row>
    <row r="84" spans="1:31" s="449" customFormat="1">
      <c r="I84" s="450">
        <v>2010</v>
      </c>
      <c r="J84" s="450"/>
      <c r="K84" s="455"/>
      <c r="L84" s="455"/>
      <c r="M84" s="457"/>
      <c r="O84" s="455"/>
      <c r="P84" s="455"/>
      <c r="Q84" s="457"/>
      <c r="S84" s="455"/>
      <c r="T84" s="455"/>
      <c r="U84" s="457"/>
      <c r="W84" s="455"/>
      <c r="X84" s="455"/>
      <c r="Y84" s="457"/>
      <c r="AA84" s="449">
        <v>2010</v>
      </c>
      <c r="AB84" s="458"/>
      <c r="AC84" s="458"/>
      <c r="AD84" s="458"/>
      <c r="AE84" s="458"/>
    </row>
    <row r="85" spans="1:31" s="449" customFormat="1">
      <c r="I85" s="450">
        <v>2011</v>
      </c>
      <c r="J85" s="450"/>
      <c r="K85" s="455">
        <v>24</v>
      </c>
      <c r="L85" s="455">
        <v>60</v>
      </c>
      <c r="M85" s="457">
        <f>K85/L85</f>
        <v>0.4</v>
      </c>
      <c r="N85" s="458"/>
      <c r="O85" s="455">
        <v>45</v>
      </c>
      <c r="P85" s="455">
        <v>129</v>
      </c>
      <c r="Q85" s="457">
        <f>O85/P85</f>
        <v>0.34883720930232559</v>
      </c>
      <c r="R85" s="458"/>
      <c r="S85" s="455">
        <v>20</v>
      </c>
      <c r="T85" s="455">
        <v>108</v>
      </c>
      <c r="U85" s="457">
        <f>S85/T85</f>
        <v>0.18518518518518517</v>
      </c>
      <c r="V85" s="458"/>
      <c r="W85" s="455"/>
      <c r="X85" s="455"/>
      <c r="Y85" s="457"/>
      <c r="AA85" s="449">
        <v>2011</v>
      </c>
      <c r="AB85" s="458">
        <v>0.4</v>
      </c>
      <c r="AC85" s="458">
        <v>0.34883720930232559</v>
      </c>
      <c r="AD85" s="458">
        <v>0.18518518518518517</v>
      </c>
      <c r="AE85" s="458"/>
    </row>
    <row r="86" spans="1:31" s="449" customFormat="1">
      <c r="I86" s="450">
        <v>2012</v>
      </c>
      <c r="J86" s="450"/>
      <c r="K86" s="455"/>
      <c r="L86" s="455"/>
      <c r="M86" s="457"/>
      <c r="O86" s="455"/>
      <c r="P86" s="455"/>
      <c r="Q86" s="457"/>
      <c r="S86" s="455"/>
      <c r="T86" s="455"/>
      <c r="U86" s="457"/>
      <c r="W86" s="455">
        <v>8</v>
      </c>
      <c r="X86" s="455">
        <v>25</v>
      </c>
      <c r="Y86" s="457">
        <v>0.32</v>
      </c>
      <c r="AA86" s="449">
        <v>2012</v>
      </c>
      <c r="AB86" s="458"/>
      <c r="AC86" s="458"/>
      <c r="AD86" s="458"/>
      <c r="AE86" s="458">
        <v>0.32</v>
      </c>
    </row>
    <row r="87" spans="1:31" s="449" customFormat="1" ht="4.5" customHeight="1">
      <c r="I87" s="459"/>
      <c r="J87" s="459"/>
      <c r="K87" s="453"/>
      <c r="L87" s="453"/>
      <c r="M87" s="453"/>
      <c r="N87" s="460"/>
      <c r="O87" s="453"/>
      <c r="P87" s="453"/>
      <c r="Q87" s="453"/>
      <c r="R87" s="460"/>
      <c r="S87" s="453"/>
      <c r="T87" s="453"/>
      <c r="U87" s="453"/>
      <c r="V87" s="460"/>
      <c r="W87" s="453"/>
      <c r="X87" s="453"/>
      <c r="Y87" s="453"/>
    </row>
    <row r="88" spans="1:31" s="449" customFormat="1" ht="4.5" customHeight="1">
      <c r="I88" s="450"/>
      <c r="J88" s="450"/>
      <c r="K88" s="455"/>
      <c r="L88" s="455"/>
      <c r="M88" s="455"/>
      <c r="O88" s="455"/>
      <c r="P88" s="455"/>
      <c r="Q88" s="455"/>
      <c r="S88" s="455"/>
      <c r="T88" s="455"/>
      <c r="U88" s="455"/>
      <c r="W88" s="455"/>
      <c r="X88" s="455"/>
      <c r="Y88" s="455"/>
    </row>
    <row r="89" spans="1:31" s="447" customFormat="1" ht="11">
      <c r="I89" s="446" t="s">
        <v>1114</v>
      </c>
      <c r="J89" s="446"/>
      <c r="K89" s="448"/>
      <c r="L89" s="448"/>
      <c r="M89" s="448"/>
      <c r="O89" s="448"/>
      <c r="P89" s="448"/>
      <c r="Q89" s="448"/>
      <c r="S89" s="448"/>
      <c r="T89" s="448"/>
      <c r="U89" s="448"/>
      <c r="W89" s="448"/>
      <c r="X89" s="448"/>
      <c r="Y89" s="448"/>
    </row>
    <row r="90" spans="1:31" s="447" customFormat="1" ht="11">
      <c r="I90" s="446" t="s">
        <v>1599</v>
      </c>
      <c r="J90" s="446"/>
      <c r="K90" s="448"/>
      <c r="L90" s="448"/>
      <c r="M90" s="448"/>
      <c r="O90" s="448"/>
      <c r="P90" s="448"/>
      <c r="Q90" s="448"/>
      <c r="S90" s="448"/>
      <c r="T90" s="448"/>
      <c r="U90" s="448"/>
      <c r="W90" s="448"/>
      <c r="X90" s="448"/>
      <c r="Y90" s="448"/>
    </row>
    <row r="91" spans="1:31" s="447" customFormat="1" ht="11">
      <c r="I91" s="461" t="s">
        <v>1416</v>
      </c>
      <c r="J91" s="446"/>
      <c r="K91" s="448"/>
      <c r="L91" s="448"/>
      <c r="M91" s="448"/>
      <c r="O91" s="448"/>
      <c r="P91" s="448"/>
      <c r="Q91" s="448"/>
      <c r="S91" s="448"/>
      <c r="T91" s="448"/>
      <c r="U91" s="448"/>
      <c r="W91" s="448"/>
      <c r="X91" s="448"/>
      <c r="Y91" s="448"/>
    </row>
    <row r="92" spans="1:31" s="447" customFormat="1" ht="11">
      <c r="I92" s="461"/>
      <c r="J92" s="446"/>
      <c r="K92" s="448"/>
      <c r="L92" s="448"/>
      <c r="M92" s="448"/>
      <c r="O92" s="448"/>
      <c r="P92" s="448"/>
      <c r="Q92" s="448"/>
      <c r="S92" s="448"/>
      <c r="T92" s="448"/>
      <c r="U92" s="448"/>
      <c r="W92" s="448"/>
      <c r="X92" s="448"/>
      <c r="Y92" s="448"/>
    </row>
    <row r="93" spans="1:31" s="449" customFormat="1">
      <c r="I93" s="450" t="s">
        <v>1365</v>
      </c>
      <c r="J93" s="450"/>
      <c r="K93" s="455"/>
      <c r="L93" s="455"/>
      <c r="M93" s="455"/>
      <c r="O93" s="455"/>
      <c r="P93" s="455"/>
      <c r="Q93" s="455"/>
      <c r="S93" s="455"/>
      <c r="T93" s="455"/>
      <c r="U93" s="455"/>
      <c r="W93" s="455"/>
      <c r="X93" s="455"/>
      <c r="Y93" s="455"/>
    </row>
    <row r="94" spans="1:31">
      <c r="A94" s="426"/>
      <c r="I94" s="425"/>
      <c r="J94" s="425"/>
    </row>
    <row r="95" spans="1:31">
      <c r="A95" s="426"/>
      <c r="I95" s="425" t="s">
        <v>1367</v>
      </c>
      <c r="J95" s="425"/>
    </row>
    <row r="96" spans="1:31" ht="13">
      <c r="A96" s="426"/>
      <c r="I96" s="462" t="s">
        <v>1366</v>
      </c>
      <c r="J96" s="462"/>
    </row>
    <row r="99" spans="9:26">
      <c r="I99" s="426" t="s">
        <v>18</v>
      </c>
      <c r="O99" s="427" t="s">
        <v>19</v>
      </c>
      <c r="S99" s="427" t="s">
        <v>20</v>
      </c>
      <c r="W99" s="426" t="s">
        <v>1368</v>
      </c>
    </row>
    <row r="100" spans="9:26">
      <c r="K100" s="427" t="s">
        <v>424</v>
      </c>
      <c r="L100" s="427" t="s">
        <v>1428</v>
      </c>
    </row>
    <row r="101" spans="9:26">
      <c r="I101" s="432">
        <v>1999</v>
      </c>
      <c r="K101" s="427">
        <v>24</v>
      </c>
      <c r="L101" s="439">
        <f>K101/M101</f>
        <v>0.4</v>
      </c>
      <c r="M101" s="427">
        <v>60</v>
      </c>
      <c r="O101" s="432">
        <v>1999</v>
      </c>
      <c r="P101" s="427">
        <v>48</v>
      </c>
      <c r="Q101" s="439">
        <f>P101/R101</f>
        <v>0.37209302325581395</v>
      </c>
      <c r="R101" s="427">
        <v>129</v>
      </c>
      <c r="S101" s="432">
        <v>1998</v>
      </c>
      <c r="T101" s="427">
        <v>14</v>
      </c>
      <c r="U101" s="439">
        <f>T101/V101</f>
        <v>0.12962962962962962</v>
      </c>
      <c r="V101" s="427">
        <v>108</v>
      </c>
      <c r="W101" s="432">
        <v>2000</v>
      </c>
      <c r="X101" s="427">
        <v>10</v>
      </c>
      <c r="Y101" s="439">
        <f>X101/Z101</f>
        <v>0.4</v>
      </c>
      <c r="Z101" s="426">
        <v>25</v>
      </c>
    </row>
    <row r="102" spans="9:26">
      <c r="I102" s="432">
        <v>2003</v>
      </c>
      <c r="K102" s="427">
        <v>30</v>
      </c>
      <c r="L102" s="439">
        <f>K102/M102</f>
        <v>0.5</v>
      </c>
      <c r="M102" s="427">
        <v>60</v>
      </c>
      <c r="O102" s="432">
        <v>2003</v>
      </c>
      <c r="P102" s="427">
        <v>51</v>
      </c>
      <c r="Q102" s="439">
        <f>P102/R102</f>
        <v>0.39534883720930231</v>
      </c>
      <c r="R102" s="427">
        <v>129</v>
      </c>
      <c r="S102" s="432">
        <v>2003</v>
      </c>
      <c r="T102" s="427">
        <v>18</v>
      </c>
      <c r="U102" s="439">
        <f>T102/V102</f>
        <v>0.16666666666666666</v>
      </c>
      <c r="V102" s="427">
        <v>108</v>
      </c>
      <c r="W102" s="432">
        <v>2004</v>
      </c>
      <c r="X102" s="427">
        <v>9</v>
      </c>
      <c r="Y102" s="439">
        <f>X102/Z102</f>
        <v>0.36</v>
      </c>
      <c r="Z102" s="426">
        <v>25</v>
      </c>
    </row>
    <row r="103" spans="9:26">
      <c r="I103" s="432">
        <v>2007</v>
      </c>
      <c r="K103" s="427">
        <v>28</v>
      </c>
      <c r="L103" s="439">
        <f>K103/M103</f>
        <v>0.46666666666666667</v>
      </c>
      <c r="M103" s="427">
        <v>60</v>
      </c>
      <c r="O103" s="432">
        <v>2007</v>
      </c>
      <c r="P103" s="427">
        <v>43</v>
      </c>
      <c r="Q103" s="439">
        <f>P103/R103</f>
        <v>0.33333333333333331</v>
      </c>
      <c r="R103" s="427">
        <v>129</v>
      </c>
      <c r="S103" s="432">
        <v>2007</v>
      </c>
      <c r="T103" s="427">
        <v>18</v>
      </c>
      <c r="U103" s="439">
        <f>T103/V103</f>
        <v>0.16666666666666666</v>
      </c>
      <c r="V103" s="427">
        <v>108</v>
      </c>
      <c r="W103" s="432">
        <v>2008</v>
      </c>
      <c r="X103" s="427">
        <v>8</v>
      </c>
      <c r="Y103" s="439">
        <f>X103/Z103</f>
        <v>0.32</v>
      </c>
      <c r="Z103" s="426">
        <v>25</v>
      </c>
    </row>
    <row r="104" spans="9:26">
      <c r="I104" s="432">
        <v>2011</v>
      </c>
      <c r="K104" s="427">
        <v>24</v>
      </c>
      <c r="L104" s="439">
        <f>K104/M104</f>
        <v>0.4</v>
      </c>
      <c r="M104" s="427">
        <v>60</v>
      </c>
      <c r="O104" s="432">
        <v>2011</v>
      </c>
      <c r="P104" s="427">
        <v>45</v>
      </c>
      <c r="Q104" s="439">
        <f>P104/R104</f>
        <v>0.34883720930232559</v>
      </c>
      <c r="R104" s="427">
        <v>129</v>
      </c>
      <c r="S104" s="432">
        <v>2011</v>
      </c>
      <c r="T104" s="427">
        <v>20</v>
      </c>
      <c r="U104" s="439">
        <f>T104/V104</f>
        <v>0.18518518518518517</v>
      </c>
      <c r="V104" s="427">
        <v>108</v>
      </c>
      <c r="W104" s="432">
        <v>2012</v>
      </c>
      <c r="X104" s="427">
        <v>8</v>
      </c>
      <c r="Y104" s="439">
        <f>X104/Z104</f>
        <v>0.32</v>
      </c>
      <c r="Z104" s="426">
        <v>25</v>
      </c>
    </row>
  </sheetData>
  <mergeCells count="8">
    <mergeCell ref="L39:N39"/>
    <mergeCell ref="P39:R39"/>
    <mergeCell ref="T39:V39"/>
    <mergeCell ref="X39:Z39"/>
    <mergeCell ref="K69:M69"/>
    <mergeCell ref="O69:Q69"/>
    <mergeCell ref="S69:U69"/>
    <mergeCell ref="W69:Y69"/>
  </mergeCells>
  <hyperlinks>
    <hyperlink ref="I96" r:id="rId1" xr:uid="{00000000-0004-0000-4400-000000000000}"/>
  </hyperlinks>
  <pageMargins left="0.7" right="0.7" top="0.75" bottom="0.75" header="0.3" footer="0.3"/>
  <pageSetup paperSize="9" orientation="portrait" horizontalDpi="1200" verticalDpi="1200" r:id="rId2"/>
  <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100">
    <tabColor theme="4"/>
  </sheetPr>
  <dimension ref="A1:AH82"/>
  <sheetViews>
    <sheetView showGridLines="0" topLeftCell="A44" zoomScale="85" zoomScaleNormal="85" workbookViewId="0">
      <selection activeCell="A4" sqref="A4:W71"/>
    </sheetView>
  </sheetViews>
  <sheetFormatPr baseColWidth="10" defaultColWidth="9.3984375" defaultRowHeight="13"/>
  <cols>
    <col min="1" max="1" width="5.796875" style="1674" customWidth="1"/>
    <col min="2" max="4" width="7.3984375" style="1638" customWidth="1"/>
    <col min="5" max="5" width="9.796875" style="1638" customWidth="1"/>
    <col min="6" max="6" width="7.3984375" style="1638" customWidth="1"/>
    <col min="7" max="7" width="1" style="1638" customWidth="1"/>
    <col min="8" max="8" width="8.3984375" style="1638" customWidth="1"/>
    <col min="9" max="9" width="2" style="1638" customWidth="1"/>
    <col min="10" max="11" width="5.3984375" style="1639" customWidth="1"/>
    <col min="12" max="12" width="1" style="1640" customWidth="1"/>
    <col min="13" max="14" width="5.3984375" style="1639" customWidth="1"/>
    <col min="15" max="15" width="1" style="1640" customWidth="1"/>
    <col min="16" max="17" width="5.3984375" style="1639" customWidth="1"/>
    <col min="18" max="18" width="1" style="1640" customWidth="1"/>
    <col min="19" max="19" width="6.796875" style="1639" customWidth="1"/>
    <col min="20" max="20" width="5.59765625" style="1639" customWidth="1"/>
    <col min="21" max="21" width="1" style="1640" customWidth="1"/>
    <col min="22" max="22" width="5.3984375" style="1640" customWidth="1"/>
    <col min="23" max="23" width="5.3984375" style="1639" customWidth="1"/>
    <col min="24" max="24" width="9.3984375" style="1638"/>
    <col min="25" max="16384" width="9.3984375" style="1641"/>
  </cols>
  <sheetData>
    <row r="1" spans="1:34" s="1636" customFormat="1" ht="16">
      <c r="A1" s="1632"/>
      <c r="B1" s="1633"/>
      <c r="C1" s="1633"/>
      <c r="D1" s="1633"/>
      <c r="E1" s="1633"/>
      <c r="F1" s="1633"/>
      <c r="G1" s="1633"/>
      <c r="H1" s="1633"/>
      <c r="I1" s="1633"/>
      <c r="J1" s="1634"/>
      <c r="K1" s="1634"/>
      <c r="L1" s="1635"/>
      <c r="M1" s="1634"/>
      <c r="N1" s="1634"/>
      <c r="O1" s="1635"/>
      <c r="P1" s="1634"/>
      <c r="Q1" s="1634"/>
      <c r="R1" s="1635"/>
      <c r="S1" s="1634"/>
      <c r="T1" s="1634"/>
      <c r="U1" s="1635"/>
      <c r="V1" s="1635"/>
      <c r="W1" s="1634"/>
      <c r="X1" s="1633"/>
    </row>
    <row r="2" spans="1:34">
      <c r="A2" s="1637" t="s">
        <v>35</v>
      </c>
    </row>
    <row r="3" spans="1:34" ht="4.5" customHeight="1">
      <c r="A3" s="1673"/>
    </row>
    <row r="4" spans="1:34" ht="21" thickBot="1">
      <c r="A4" s="1689" t="s">
        <v>2875</v>
      </c>
      <c r="B4" s="1690"/>
      <c r="C4" s="1690"/>
      <c r="D4" s="1690"/>
      <c r="E4" s="1690"/>
      <c r="F4" s="1690"/>
      <c r="G4" s="1690"/>
      <c r="H4" s="1690"/>
      <c r="I4" s="1690"/>
      <c r="J4" s="1691"/>
      <c r="K4" s="1691"/>
      <c r="L4" s="1691"/>
      <c r="M4" s="1691"/>
      <c r="N4" s="1691"/>
      <c r="O4" s="1691"/>
      <c r="P4" s="1691"/>
      <c r="Q4" s="1691"/>
      <c r="R4" s="1691"/>
      <c r="S4" s="1691"/>
      <c r="T4" s="1691"/>
      <c r="U4" s="1691"/>
      <c r="V4" s="1691"/>
      <c r="W4" s="1691"/>
    </row>
    <row r="5" spans="1:34" ht="16.5" customHeight="1" thickBot="1">
      <c r="A5" s="1687"/>
      <c r="B5" s="3480" t="s">
        <v>142</v>
      </c>
      <c r="C5" s="3480"/>
      <c r="D5" s="3480"/>
      <c r="E5" s="3480"/>
      <c r="F5" s="3480"/>
      <c r="G5" s="3480"/>
      <c r="H5" s="3480"/>
      <c r="I5" s="1692"/>
      <c r="J5" s="3480" t="s">
        <v>1671</v>
      </c>
      <c r="K5" s="3480"/>
      <c r="L5" s="3480"/>
      <c r="M5" s="3480"/>
      <c r="N5" s="3480"/>
      <c r="O5" s="3480"/>
      <c r="P5" s="3480"/>
      <c r="Q5" s="3480"/>
      <c r="R5" s="3480"/>
      <c r="S5" s="3480"/>
      <c r="T5" s="3480"/>
      <c r="U5" s="3480"/>
      <c r="V5" s="3480"/>
      <c r="W5" s="3480"/>
      <c r="AA5" s="1358" t="s">
        <v>806</v>
      </c>
      <c r="AB5" s="1359" t="s">
        <v>807</v>
      </c>
      <c r="AC5" s="1360" t="s">
        <v>808</v>
      </c>
      <c r="AD5" s="1361" t="s">
        <v>95</v>
      </c>
      <c r="AE5" s="1362" t="s">
        <v>12</v>
      </c>
    </row>
    <row r="6" spans="1:34" ht="3.75" customHeight="1">
      <c r="A6" s="1687"/>
      <c r="B6" s="1688"/>
      <c r="C6" s="1688"/>
      <c r="D6" s="1688"/>
      <c r="E6" s="1688"/>
      <c r="F6" s="1688"/>
      <c r="G6" s="1688"/>
      <c r="H6" s="1688"/>
      <c r="I6" s="1688"/>
      <c r="J6" s="1698"/>
      <c r="K6" s="1698"/>
      <c r="L6" s="1698"/>
      <c r="M6" s="1698"/>
      <c r="N6" s="1698"/>
      <c r="O6" s="1698"/>
      <c r="P6" s="1698"/>
      <c r="Q6" s="1698"/>
      <c r="R6" s="1698"/>
      <c r="S6" s="1698"/>
      <c r="T6" s="1698"/>
      <c r="U6" s="1698"/>
      <c r="V6" s="1698"/>
      <c r="W6" s="1698"/>
    </row>
    <row r="7" spans="1:34" s="1642" customFormat="1" ht="15.75" customHeight="1">
      <c r="A7" s="1686"/>
      <c r="B7" s="2243" t="s">
        <v>806</v>
      </c>
      <c r="C7" s="2244" t="s">
        <v>807</v>
      </c>
      <c r="D7" s="2245" t="s">
        <v>808</v>
      </c>
      <c r="E7" s="1363" t="s">
        <v>95</v>
      </c>
      <c r="F7" s="2246" t="s">
        <v>12</v>
      </c>
      <c r="G7" s="1697"/>
      <c r="H7" s="2250" t="s">
        <v>16</v>
      </c>
      <c r="I7" s="1696"/>
      <c r="J7" s="3481" t="s">
        <v>806</v>
      </c>
      <c r="K7" s="3481"/>
      <c r="L7" s="1699"/>
      <c r="M7" s="3482" t="s">
        <v>807</v>
      </c>
      <c r="N7" s="3482"/>
      <c r="O7" s="1699"/>
      <c r="P7" s="3483" t="s">
        <v>808</v>
      </c>
      <c r="Q7" s="3483"/>
      <c r="R7" s="1699"/>
      <c r="S7" s="3485" t="s">
        <v>1672</v>
      </c>
      <c r="T7" s="3485"/>
      <c r="U7" s="1699"/>
      <c r="V7" s="3484" t="s">
        <v>809</v>
      </c>
      <c r="W7" s="3484"/>
      <c r="X7" s="1639"/>
      <c r="AB7" s="1642" t="s">
        <v>806</v>
      </c>
      <c r="AC7" s="1642" t="s">
        <v>807</v>
      </c>
      <c r="AD7" s="1642" t="s">
        <v>808</v>
      </c>
      <c r="AE7" s="1642" t="s">
        <v>1672</v>
      </c>
      <c r="AF7" s="1642" t="s">
        <v>809</v>
      </c>
      <c r="AH7" s="1642" t="s">
        <v>16</v>
      </c>
    </row>
    <row r="8" spans="1:34" s="1644" customFormat="1" ht="2.25" customHeight="1">
      <c r="A8" s="1686"/>
      <c r="B8" s="2249"/>
      <c r="C8" s="2249"/>
      <c r="D8" s="2249"/>
      <c r="E8" s="2249"/>
      <c r="F8" s="2249"/>
      <c r="G8" s="1697"/>
      <c r="H8" s="2250"/>
      <c r="I8" s="2250"/>
      <c r="J8" s="1696"/>
      <c r="K8" s="1699"/>
      <c r="L8" s="1699"/>
      <c r="M8" s="1699"/>
      <c r="N8" s="1699"/>
      <c r="O8" s="1699"/>
      <c r="P8" s="1699"/>
      <c r="Q8" s="1699"/>
      <c r="R8" s="1699"/>
      <c r="S8" s="1699"/>
      <c r="T8" s="1699"/>
      <c r="U8" s="1699"/>
      <c r="V8" s="1699"/>
      <c r="W8" s="1699"/>
      <c r="X8" s="1677"/>
    </row>
    <row r="9" spans="1:34" s="1644" customFormat="1" ht="1.5" hidden="1" customHeight="1">
      <c r="A9" s="1686"/>
      <c r="B9" s="2249"/>
      <c r="C9" s="2249"/>
      <c r="D9" s="2249"/>
      <c r="E9" s="2249"/>
      <c r="F9" s="2249"/>
      <c r="G9" s="1697"/>
      <c r="H9" s="2250"/>
      <c r="I9" s="2250"/>
      <c r="J9" s="1696"/>
      <c r="K9" s="2251"/>
      <c r="L9" s="2251"/>
      <c r="M9" s="2251"/>
      <c r="N9" s="1699"/>
      <c r="O9" s="1699"/>
      <c r="P9" s="1699"/>
      <c r="Q9" s="1699"/>
      <c r="R9" s="1699"/>
      <c r="S9" s="1699"/>
      <c r="T9" s="1699"/>
      <c r="U9" s="1699"/>
      <c r="V9" s="1699"/>
      <c r="W9" s="1699"/>
      <c r="X9" s="1677"/>
    </row>
    <row r="10" spans="1:34" s="1644" customFormat="1" ht="1.5" hidden="1" customHeight="1">
      <c r="A10" s="1686"/>
      <c r="B10" s="2249"/>
      <c r="C10" s="2249"/>
      <c r="D10" s="2249"/>
      <c r="E10" s="2249"/>
      <c r="F10" s="2249"/>
      <c r="G10" s="1697"/>
      <c r="H10" s="2250"/>
      <c r="I10" s="2250"/>
      <c r="J10" s="1696"/>
      <c r="K10" s="2251">
        <v>0.6</v>
      </c>
      <c r="L10" s="2251"/>
      <c r="M10" s="2251"/>
      <c r="N10" s="2251">
        <v>0.6</v>
      </c>
      <c r="O10" s="2251"/>
      <c r="P10" s="1694"/>
      <c r="Q10" s="1694">
        <v>0.6</v>
      </c>
      <c r="R10" s="1694"/>
      <c r="S10" s="2252"/>
      <c r="T10" s="2252">
        <v>0.6</v>
      </c>
      <c r="U10" s="2252"/>
      <c r="V10" s="2253"/>
      <c r="W10" s="1694">
        <v>0.6</v>
      </c>
      <c r="X10" s="1677"/>
    </row>
    <row r="11" spans="1:34" s="1644" customFormat="1" ht="3" customHeight="1">
      <c r="A11" s="1675"/>
      <c r="B11" s="1645"/>
      <c r="C11" s="1645"/>
      <c r="D11" s="1645"/>
      <c r="E11" s="1645"/>
      <c r="F11" s="1645"/>
      <c r="G11" s="1676"/>
      <c r="H11" s="1643"/>
      <c r="I11" s="1643"/>
      <c r="J11" s="1646"/>
      <c r="K11" s="2254"/>
      <c r="L11" s="2254"/>
      <c r="M11" s="2254"/>
      <c r="N11" s="2254"/>
      <c r="O11" s="2254"/>
      <c r="P11" s="2255"/>
      <c r="Q11" s="2255"/>
      <c r="R11" s="2255"/>
      <c r="S11" s="2256"/>
      <c r="T11" s="2256"/>
      <c r="U11" s="2256"/>
      <c r="V11" s="2257"/>
      <c r="W11" s="2255"/>
      <c r="X11" s="1677"/>
    </row>
    <row r="12" spans="1:34" ht="12" customHeight="1">
      <c r="A12" s="1637">
        <v>1973</v>
      </c>
      <c r="B12" s="1647">
        <v>7709</v>
      </c>
      <c r="C12" s="1647">
        <v>9781</v>
      </c>
      <c r="D12" s="1647">
        <v>1427</v>
      </c>
      <c r="E12" s="1648">
        <v>65</v>
      </c>
      <c r="F12" s="1647">
        <v>5183</v>
      </c>
      <c r="G12" s="1647"/>
      <c r="H12" s="1647">
        <v>24165</v>
      </c>
      <c r="I12" s="1647"/>
      <c r="J12" s="1680">
        <v>0.31901510448996484</v>
      </c>
      <c r="K12" s="1680">
        <f>B12/$H12</f>
        <v>0.31901510448996484</v>
      </c>
      <c r="L12" s="1678"/>
      <c r="M12" s="1681">
        <v>0.4047589488930271</v>
      </c>
      <c r="N12" s="1681">
        <f>C12/$H12</f>
        <v>0.4047589488930271</v>
      </c>
      <c r="O12" s="1678"/>
      <c r="P12" s="1682">
        <v>5.9052348437823296E-2</v>
      </c>
      <c r="Q12" s="1682">
        <f>D12/$H12</f>
        <v>5.9052348437823296E-2</v>
      </c>
      <c r="R12" s="1678"/>
      <c r="S12" s="1700">
        <v>2.6898406786674944E-3</v>
      </c>
      <c r="T12" s="1700">
        <f>E12/$H12</f>
        <v>2.6898406786674944E-3</v>
      </c>
      <c r="U12" s="1679"/>
      <c r="V12" s="1683">
        <v>0.21448375750051726</v>
      </c>
      <c r="W12" s="1684">
        <f>F12/$H12</f>
        <v>0.21448375750051726</v>
      </c>
      <c r="AA12" s="1641">
        <v>1973</v>
      </c>
      <c r="AB12" s="1641">
        <v>7709</v>
      </c>
      <c r="AC12" s="1641">
        <v>9781</v>
      </c>
      <c r="AD12" s="1641">
        <v>1427</v>
      </c>
      <c r="AE12" s="1641">
        <v>65</v>
      </c>
      <c r="AF12" s="1641">
        <v>5183</v>
      </c>
      <c r="AH12" s="1641">
        <v>24165</v>
      </c>
    </row>
    <row r="13" spans="1:34" ht="12" customHeight="1">
      <c r="A13" s="1637">
        <v>1974</v>
      </c>
      <c r="B13" s="1647">
        <v>8102</v>
      </c>
      <c r="C13" s="1647">
        <v>10325</v>
      </c>
      <c r="D13" s="1647">
        <v>1474</v>
      </c>
      <c r="E13" s="1648">
        <v>145</v>
      </c>
      <c r="F13" s="1647">
        <v>5664</v>
      </c>
      <c r="G13" s="1647"/>
      <c r="H13" s="1647">
        <v>25710</v>
      </c>
      <c r="I13" s="1647"/>
      <c r="J13" s="1680">
        <v>0.31513029949436017</v>
      </c>
      <c r="K13" s="1680">
        <f t="shared" ref="K13:K52" si="0">B13/$H13</f>
        <v>0.31513029949436017</v>
      </c>
      <c r="L13" s="1678"/>
      <c r="M13" s="1681">
        <v>0.40159471022948268</v>
      </c>
      <c r="N13" s="1681">
        <f>C13/$H13</f>
        <v>0.40159471022948268</v>
      </c>
      <c r="O13" s="1678"/>
      <c r="P13" s="1682">
        <v>5.7331777518475305E-2</v>
      </c>
      <c r="Q13" s="1682">
        <f>D13/$H13</f>
        <v>5.7331777518475305E-2</v>
      </c>
      <c r="R13" s="1678"/>
      <c r="S13" s="1700">
        <v>5.6398288603656168E-3</v>
      </c>
      <c r="T13" s="1700">
        <f>E13/$H13</f>
        <v>5.6398288603656168E-3</v>
      </c>
      <c r="U13" s="1679"/>
      <c r="V13" s="1683">
        <v>0.22030338389731621</v>
      </c>
      <c r="W13" s="1684">
        <f>F13/$H13</f>
        <v>0.22030338389731621</v>
      </c>
      <c r="AA13" s="1641">
        <v>1974</v>
      </c>
      <c r="AB13" s="1641">
        <v>8102</v>
      </c>
      <c r="AC13" s="1641">
        <v>10325</v>
      </c>
      <c r="AD13" s="1641">
        <v>1474</v>
      </c>
      <c r="AE13" s="1641">
        <v>145</v>
      </c>
      <c r="AF13" s="1641">
        <v>5664</v>
      </c>
      <c r="AH13" s="1641">
        <v>25710</v>
      </c>
    </row>
    <row r="14" spans="1:34" ht="12" customHeight="1">
      <c r="A14" s="1637">
        <v>1975</v>
      </c>
      <c r="B14" s="1647">
        <v>8301</v>
      </c>
      <c r="C14" s="1647">
        <v>10117</v>
      </c>
      <c r="D14" s="1647">
        <v>1462</v>
      </c>
      <c r="E14" s="1648">
        <v>145</v>
      </c>
      <c r="F14" s="1647">
        <v>5685</v>
      </c>
      <c r="G14" s="1647"/>
      <c r="H14" s="1647">
        <v>25710</v>
      </c>
      <c r="I14" s="1647"/>
      <c r="J14" s="1680">
        <v>0.32287047841306882</v>
      </c>
      <c r="K14" s="1680">
        <f t="shared" si="0"/>
        <v>0.32287047841306882</v>
      </c>
      <c r="L14" s="1678"/>
      <c r="M14" s="1681">
        <v>0.39350447296771685</v>
      </c>
      <c r="N14" s="1681">
        <f>C14/$H14</f>
        <v>0.39350447296771685</v>
      </c>
      <c r="O14" s="1678"/>
      <c r="P14" s="1682">
        <v>5.6865033061065731E-2</v>
      </c>
      <c r="Q14" s="1682">
        <f>D14/$H14</f>
        <v>5.6865033061065731E-2</v>
      </c>
      <c r="R14" s="1678"/>
      <c r="S14" s="1700">
        <v>5.6398288603656168E-3</v>
      </c>
      <c r="T14" s="1700">
        <f>E14/$H14</f>
        <v>5.6398288603656168E-3</v>
      </c>
      <c r="U14" s="1679"/>
      <c r="V14" s="1683">
        <v>0.22112018669778297</v>
      </c>
      <c r="W14" s="1684">
        <f>F14/$H14</f>
        <v>0.22112018669778297</v>
      </c>
      <c r="AA14" s="1641">
        <v>1975</v>
      </c>
      <c r="AB14" s="1641">
        <v>8301</v>
      </c>
      <c r="AC14" s="1641">
        <v>10117</v>
      </c>
      <c r="AD14" s="1641">
        <v>1462</v>
      </c>
      <c r="AE14" s="1641">
        <v>145</v>
      </c>
      <c r="AF14" s="1641">
        <v>5685</v>
      </c>
      <c r="AH14" s="1641">
        <v>25710</v>
      </c>
    </row>
    <row r="15" spans="1:34" ht="12" customHeight="1">
      <c r="A15" s="1637">
        <v>1976</v>
      </c>
      <c r="B15" s="1647">
        <v>11077</v>
      </c>
      <c r="C15" s="1647">
        <v>8213</v>
      </c>
      <c r="D15" s="1647">
        <v>1113</v>
      </c>
      <c r="E15" s="1648">
        <v>223</v>
      </c>
      <c r="F15" s="1647">
        <v>5132</v>
      </c>
      <c r="G15" s="1647"/>
      <c r="H15" s="1647">
        <v>25758</v>
      </c>
      <c r="I15" s="1647"/>
      <c r="J15" s="1680">
        <v>0.43004115226337447</v>
      </c>
      <c r="K15" s="1680">
        <f t="shared" si="0"/>
        <v>0.43004115226337447</v>
      </c>
      <c r="L15" s="1678"/>
      <c r="M15" s="1681">
        <v>0.31885239537231153</v>
      </c>
      <c r="N15" s="1681">
        <f>C15/$H15</f>
        <v>0.31885239537231153</v>
      </c>
      <c r="O15" s="1678"/>
      <c r="P15" s="1682">
        <v>4.3209876543209874E-2</v>
      </c>
      <c r="Q15" s="1682">
        <f>D15/$H15</f>
        <v>4.3209876543209874E-2</v>
      </c>
      <c r="R15" s="1678"/>
      <c r="S15" s="1700">
        <v>8.6575044646323464E-3</v>
      </c>
      <c r="T15" s="1700">
        <f>E15/$H15</f>
        <v>8.6575044646323464E-3</v>
      </c>
      <c r="U15" s="1679"/>
      <c r="V15" s="1683">
        <v>0.19923907135647179</v>
      </c>
      <c r="W15" s="1684">
        <f>F15/$H15</f>
        <v>0.19923907135647179</v>
      </c>
      <c r="AA15" s="1641">
        <v>1976</v>
      </c>
      <c r="AB15" s="1641">
        <v>11077</v>
      </c>
      <c r="AC15" s="1641">
        <v>8213</v>
      </c>
      <c r="AD15" s="1641">
        <v>1113</v>
      </c>
      <c r="AE15" s="1641">
        <v>223</v>
      </c>
      <c r="AF15" s="1641">
        <v>5132</v>
      </c>
      <c r="AH15" s="1641">
        <v>25758</v>
      </c>
    </row>
    <row r="16" spans="1:34" ht="3" customHeight="1">
      <c r="A16" s="1637"/>
      <c r="B16" s="1647"/>
      <c r="C16" s="1647"/>
      <c r="D16" s="1647"/>
      <c r="E16" s="1648"/>
      <c r="F16" s="1647"/>
      <c r="G16" s="1647"/>
      <c r="H16" s="1647"/>
      <c r="I16" s="1647"/>
      <c r="J16" s="1680"/>
      <c r="K16" s="1680"/>
      <c r="L16" s="1678"/>
      <c r="M16" s="1681"/>
      <c r="N16" s="1681"/>
      <c r="O16" s="1678"/>
      <c r="P16" s="1682"/>
      <c r="Q16" s="1682"/>
      <c r="R16" s="1678"/>
      <c r="S16" s="1700"/>
      <c r="T16" s="1700"/>
      <c r="U16" s="1679"/>
      <c r="V16" s="1683"/>
      <c r="W16" s="1684"/>
    </row>
    <row r="17" spans="1:34" ht="12" customHeight="1">
      <c r="A17" s="1637">
        <v>1977</v>
      </c>
      <c r="B17" s="1647">
        <v>12370</v>
      </c>
      <c r="C17" s="1647">
        <v>7115</v>
      </c>
      <c r="D17" s="1648">
        <v>950</v>
      </c>
      <c r="E17" s="1648">
        <v>349</v>
      </c>
      <c r="F17" s="1647">
        <v>4965</v>
      </c>
      <c r="G17" s="1647"/>
      <c r="H17" s="1647">
        <v>25749</v>
      </c>
      <c r="I17" s="1647"/>
      <c r="J17" s="1680">
        <v>0.48040700609732417</v>
      </c>
      <c r="K17" s="1680">
        <f t="shared" si="0"/>
        <v>0.48040700609732417</v>
      </c>
      <c r="L17" s="1678"/>
      <c r="M17" s="1681">
        <v>0.27632141054021514</v>
      </c>
      <c r="N17" s="1681">
        <f>C17/$H17</f>
        <v>0.27632141054021514</v>
      </c>
      <c r="O17" s="1678"/>
      <c r="P17" s="1682">
        <v>3.6894636684919803E-2</v>
      </c>
      <c r="Q17" s="1682">
        <f>D17/$H17</f>
        <v>3.6894636684919803E-2</v>
      </c>
      <c r="R17" s="1678"/>
      <c r="S17" s="1700">
        <v>1.3553924424249485E-2</v>
      </c>
      <c r="T17" s="1700">
        <f>E17/$H17</f>
        <v>1.3553924424249485E-2</v>
      </c>
      <c r="U17" s="1679"/>
      <c r="V17" s="1683">
        <v>0.1928230222532914</v>
      </c>
      <c r="W17" s="1684">
        <f>F17/$H17</f>
        <v>0.1928230222532914</v>
      </c>
      <c r="AA17" s="1641">
        <v>1977</v>
      </c>
      <c r="AB17" s="1641">
        <v>12370</v>
      </c>
      <c r="AC17" s="1641">
        <v>7115</v>
      </c>
      <c r="AD17" s="1641">
        <v>950</v>
      </c>
      <c r="AE17" s="1641">
        <v>349</v>
      </c>
      <c r="AF17" s="1641">
        <v>4965</v>
      </c>
      <c r="AH17" s="1641">
        <v>25749</v>
      </c>
    </row>
    <row r="18" spans="1:34" ht="12" customHeight="1">
      <c r="A18" s="1637">
        <v>1978</v>
      </c>
      <c r="B18" s="1647">
        <v>12645</v>
      </c>
      <c r="C18" s="1647">
        <v>6644</v>
      </c>
      <c r="D18" s="1648">
        <v>923</v>
      </c>
      <c r="E18" s="1648">
        <v>349</v>
      </c>
      <c r="F18" s="1647">
        <v>4920</v>
      </c>
      <c r="G18" s="1647"/>
      <c r="H18" s="1647">
        <v>25481</v>
      </c>
      <c r="I18" s="1647"/>
      <c r="J18" s="1680">
        <v>0.49625210941485814</v>
      </c>
      <c r="K18" s="1680">
        <f t="shared" si="0"/>
        <v>0.49625210941485814</v>
      </c>
      <c r="L18" s="1678"/>
      <c r="M18" s="1681">
        <v>0.26074329892861348</v>
      </c>
      <c r="N18" s="1681">
        <f>C18/$H18</f>
        <v>0.26074329892861348</v>
      </c>
      <c r="O18" s="1678"/>
      <c r="P18" s="1682">
        <v>3.6223068168439232E-2</v>
      </c>
      <c r="Q18" s="1682">
        <f>D18/$H18</f>
        <v>3.6223068168439232E-2</v>
      </c>
      <c r="R18" s="1678"/>
      <c r="S18" s="1700">
        <v>1.3696479729994899E-2</v>
      </c>
      <c r="T18" s="1700">
        <f>E18/$H18</f>
        <v>1.3696479729994899E-2</v>
      </c>
      <c r="U18" s="1679"/>
      <c r="V18" s="1683">
        <v>0.19308504375809427</v>
      </c>
      <c r="W18" s="1684">
        <f>F18/$H18</f>
        <v>0.19308504375809427</v>
      </c>
      <c r="AA18" s="1641">
        <v>1978</v>
      </c>
      <c r="AB18" s="1641">
        <v>12645</v>
      </c>
      <c r="AC18" s="1641">
        <v>6644</v>
      </c>
      <c r="AD18" s="1641">
        <v>923</v>
      </c>
      <c r="AE18" s="1641">
        <v>349</v>
      </c>
      <c r="AF18" s="1641">
        <v>4920</v>
      </c>
      <c r="AH18" s="1641">
        <v>25481</v>
      </c>
    </row>
    <row r="19" spans="1:34" ht="12" customHeight="1">
      <c r="A19" s="1637">
        <v>1979</v>
      </c>
      <c r="B19" s="1647">
        <v>12222</v>
      </c>
      <c r="C19" s="1647">
        <v>7410</v>
      </c>
      <c r="D19" s="1647">
        <v>1059</v>
      </c>
      <c r="E19" s="1648">
        <v>301</v>
      </c>
      <c r="F19" s="1647">
        <v>4388</v>
      </c>
      <c r="G19" s="1647"/>
      <c r="H19" s="1647">
        <v>25380</v>
      </c>
      <c r="I19" s="1647"/>
      <c r="J19" s="1680">
        <v>0.48156028368794324</v>
      </c>
      <c r="K19" s="1680">
        <f t="shared" si="0"/>
        <v>0.48156028368794324</v>
      </c>
      <c r="L19" s="1678"/>
      <c r="M19" s="1681">
        <v>0.29196217494089832</v>
      </c>
      <c r="N19" s="1681">
        <f>C19/$H19</f>
        <v>0.29196217494089832</v>
      </c>
      <c r="O19" s="1678"/>
      <c r="P19" s="1682">
        <v>4.1725768321513E-2</v>
      </c>
      <c r="Q19" s="1682">
        <f>D19/$H19</f>
        <v>4.1725768321513E-2</v>
      </c>
      <c r="R19" s="1678"/>
      <c r="S19" s="1700">
        <v>1.185973207249803E-2</v>
      </c>
      <c r="T19" s="1700">
        <f>E19/$H19</f>
        <v>1.185973207249803E-2</v>
      </c>
      <c r="U19" s="1679"/>
      <c r="V19" s="1683">
        <v>0.17289204097714736</v>
      </c>
      <c r="W19" s="1684">
        <f>F19/$H19</f>
        <v>0.17289204097714736</v>
      </c>
      <c r="AA19" s="1641">
        <v>1979</v>
      </c>
      <c r="AB19" s="1641">
        <v>12222</v>
      </c>
      <c r="AC19" s="1641">
        <v>7410</v>
      </c>
      <c r="AD19" s="1641">
        <v>1059</v>
      </c>
      <c r="AE19" s="1641">
        <v>301</v>
      </c>
      <c r="AF19" s="1641">
        <v>4388</v>
      </c>
      <c r="AH19" s="1641">
        <v>25380</v>
      </c>
    </row>
    <row r="20" spans="1:34" ht="12" customHeight="1">
      <c r="A20" s="1637">
        <v>1980</v>
      </c>
      <c r="B20" s="1647">
        <v>11738</v>
      </c>
      <c r="C20" s="1647">
        <v>8011</v>
      </c>
      <c r="D20" s="1647">
        <v>1149</v>
      </c>
      <c r="E20" s="1648">
        <v>186</v>
      </c>
      <c r="F20" s="1647">
        <v>4325</v>
      </c>
      <c r="G20" s="1647"/>
      <c r="H20" s="1647">
        <v>25409</v>
      </c>
      <c r="I20" s="1647"/>
      <c r="J20" s="1680">
        <v>0.46196229682396001</v>
      </c>
      <c r="K20" s="1680">
        <f t="shared" si="0"/>
        <v>0.46196229682396001</v>
      </c>
      <c r="L20" s="1678"/>
      <c r="M20" s="1681">
        <v>0.3152819866976268</v>
      </c>
      <c r="N20" s="1681">
        <f>C20/$H20</f>
        <v>0.3152819866976268</v>
      </c>
      <c r="O20" s="1678"/>
      <c r="P20" s="1682">
        <v>4.5220197567790943E-2</v>
      </c>
      <c r="Q20" s="1682">
        <f>D20/$H20</f>
        <v>4.5220197567790943E-2</v>
      </c>
      <c r="R20" s="1678"/>
      <c r="S20" s="1700">
        <v>7.3202408595379586E-3</v>
      </c>
      <c r="T20" s="1700">
        <f>E20/$H20</f>
        <v>7.3202408595379586E-3</v>
      </c>
      <c r="U20" s="1679"/>
      <c r="V20" s="1683">
        <v>0.17021527805108427</v>
      </c>
      <c r="W20" s="1684">
        <f>F20/$H20</f>
        <v>0.17021527805108427</v>
      </c>
      <c r="AA20" s="1641">
        <v>1980</v>
      </c>
      <c r="AB20" s="1641">
        <v>11738</v>
      </c>
      <c r="AC20" s="1641">
        <v>8011</v>
      </c>
      <c r="AD20" s="1641">
        <v>1149</v>
      </c>
      <c r="AE20" s="1641">
        <v>186</v>
      </c>
      <c r="AF20" s="1641">
        <v>4325</v>
      </c>
      <c r="AH20" s="1641">
        <v>25409</v>
      </c>
    </row>
    <row r="21" spans="1:34" ht="3" customHeight="1">
      <c r="A21" s="1637"/>
      <c r="B21" s="1647"/>
      <c r="C21" s="1647"/>
      <c r="D21" s="1647"/>
      <c r="E21" s="1648"/>
      <c r="F21" s="1647"/>
      <c r="G21" s="1647"/>
      <c r="H21" s="1647"/>
      <c r="I21" s="1647"/>
      <c r="J21" s="1680"/>
      <c r="K21" s="1680"/>
      <c r="L21" s="1678"/>
      <c r="M21" s="1681"/>
      <c r="N21" s="1681"/>
      <c r="O21" s="1678"/>
      <c r="P21" s="1682"/>
      <c r="Q21" s="1682"/>
      <c r="R21" s="1678"/>
      <c r="S21" s="1700"/>
      <c r="T21" s="1700"/>
      <c r="U21" s="1679"/>
      <c r="V21" s="1683"/>
      <c r="W21" s="1684"/>
    </row>
    <row r="22" spans="1:34" ht="12" customHeight="1">
      <c r="A22" s="1637">
        <v>1981</v>
      </c>
      <c r="B22" s="1647">
        <v>10545</v>
      </c>
      <c r="C22" s="1647">
        <v>8999</v>
      </c>
      <c r="D22" s="1647">
        <v>1455</v>
      </c>
      <c r="E22" s="1648">
        <v>172</v>
      </c>
      <c r="F22" s="1647">
        <v>4208</v>
      </c>
      <c r="G22" s="1647"/>
      <c r="H22" s="1647">
        <v>25379</v>
      </c>
      <c r="I22" s="1647"/>
      <c r="J22" s="1680">
        <v>0.41550100476772134</v>
      </c>
      <c r="K22" s="1680">
        <f t="shared" si="0"/>
        <v>0.41550100476772134</v>
      </c>
      <c r="L22" s="1678"/>
      <c r="M22" s="1681">
        <v>0.35458449899523226</v>
      </c>
      <c r="N22" s="1681">
        <f>C22/$H22</f>
        <v>0.35458449899523226</v>
      </c>
      <c r="O22" s="1678"/>
      <c r="P22" s="1682">
        <v>5.7330864100240353E-2</v>
      </c>
      <c r="Q22" s="1682">
        <f>D22/$H22</f>
        <v>5.7330864100240353E-2</v>
      </c>
      <c r="R22" s="1678"/>
      <c r="S22" s="1700">
        <v>6.777256787107451E-3</v>
      </c>
      <c r="T22" s="1700">
        <f>E22/$H22</f>
        <v>6.777256787107451E-3</v>
      </c>
      <c r="U22" s="1679"/>
      <c r="V22" s="1683">
        <v>0.16580637534969858</v>
      </c>
      <c r="W22" s="1684">
        <f>F22/$H22</f>
        <v>0.16580637534969858</v>
      </c>
      <c r="AA22" s="1641">
        <v>1981</v>
      </c>
      <c r="AB22" s="1641">
        <v>10545</v>
      </c>
      <c r="AC22" s="1641">
        <v>8999</v>
      </c>
      <c r="AD22" s="1641">
        <v>1455</v>
      </c>
      <c r="AE22" s="1641">
        <v>172</v>
      </c>
      <c r="AF22" s="1641">
        <v>4208</v>
      </c>
      <c r="AH22" s="1641">
        <v>25379</v>
      </c>
    </row>
    <row r="23" spans="1:34" ht="12" customHeight="1">
      <c r="A23" s="1637">
        <v>1982</v>
      </c>
      <c r="B23" s="1647">
        <v>10447</v>
      </c>
      <c r="C23" s="1647">
        <v>8774</v>
      </c>
      <c r="D23" s="1647">
        <v>1850</v>
      </c>
      <c r="E23" s="1648">
        <v>177</v>
      </c>
      <c r="F23" s="1647">
        <v>4099</v>
      </c>
      <c r="G23" s="1647"/>
      <c r="H23" s="1647">
        <v>25347</v>
      </c>
      <c r="I23" s="1647"/>
      <c r="J23" s="1680">
        <v>0.41215922988913878</v>
      </c>
      <c r="K23" s="1680">
        <f t="shared" si="0"/>
        <v>0.41215922988913878</v>
      </c>
      <c r="L23" s="1678"/>
      <c r="M23" s="1681">
        <v>0.34615536355387228</v>
      </c>
      <c r="N23" s="1681">
        <f>C23/$H23</f>
        <v>0.34615536355387228</v>
      </c>
      <c r="O23" s="1678"/>
      <c r="P23" s="1682">
        <v>7.2986941255375387E-2</v>
      </c>
      <c r="Q23" s="1682">
        <f>D23/$H23</f>
        <v>7.2986941255375387E-2</v>
      </c>
      <c r="R23" s="1678"/>
      <c r="S23" s="1700">
        <v>6.983074920108889E-3</v>
      </c>
      <c r="T23" s="1700">
        <f>E23/$H23</f>
        <v>6.983074920108889E-3</v>
      </c>
      <c r="U23" s="1679"/>
      <c r="V23" s="1683">
        <v>0.1617153903815047</v>
      </c>
      <c r="W23" s="1684">
        <f>F23/$H23</f>
        <v>0.1617153903815047</v>
      </c>
      <c r="AA23" s="1641">
        <v>1982</v>
      </c>
      <c r="AB23" s="1641">
        <v>10447</v>
      </c>
      <c r="AC23" s="1641">
        <v>8774</v>
      </c>
      <c r="AD23" s="1641">
        <v>1850</v>
      </c>
      <c r="AE23" s="1641">
        <v>177</v>
      </c>
      <c r="AF23" s="1641">
        <v>4099</v>
      </c>
      <c r="AH23" s="1641">
        <v>25347</v>
      </c>
    </row>
    <row r="24" spans="1:34" ht="12" customHeight="1">
      <c r="A24" s="1637">
        <v>1983</v>
      </c>
      <c r="B24" s="1647">
        <v>10557</v>
      </c>
      <c r="C24" s="1647">
        <v>8782</v>
      </c>
      <c r="D24" s="1647">
        <v>2171</v>
      </c>
      <c r="E24" s="1648">
        <v>175</v>
      </c>
      <c r="F24" s="1647">
        <v>3570</v>
      </c>
      <c r="G24" s="1647"/>
      <c r="H24" s="1647">
        <v>25255</v>
      </c>
      <c r="I24" s="1647"/>
      <c r="J24" s="1680">
        <v>0.41801623440902791</v>
      </c>
      <c r="K24" s="1680">
        <f t="shared" si="0"/>
        <v>0.41801623440902791</v>
      </c>
      <c r="L24" s="1678"/>
      <c r="M24" s="1681">
        <v>0.34773312215402891</v>
      </c>
      <c r="N24" s="1681">
        <f>C24/$H24</f>
        <v>0.34773312215402891</v>
      </c>
      <c r="O24" s="1678"/>
      <c r="P24" s="1682">
        <v>8.596317560879034E-2</v>
      </c>
      <c r="Q24" s="1682">
        <f>D24/$H24</f>
        <v>8.596317560879034E-2</v>
      </c>
      <c r="R24" s="1678"/>
      <c r="S24" s="1700">
        <v>6.9293209265491986E-3</v>
      </c>
      <c r="T24" s="1700">
        <f>E24/$H24</f>
        <v>6.9293209265491986E-3</v>
      </c>
      <c r="U24" s="1679"/>
      <c r="V24" s="1683">
        <v>0.14135814690160364</v>
      </c>
      <c r="W24" s="1684">
        <f>F24/$H24</f>
        <v>0.14135814690160364</v>
      </c>
      <c r="AA24" s="1641">
        <v>1983</v>
      </c>
      <c r="AB24" s="1641">
        <v>10557</v>
      </c>
      <c r="AC24" s="1641">
        <v>8782</v>
      </c>
      <c r="AD24" s="1641">
        <v>2171</v>
      </c>
      <c r="AE24" s="1641">
        <v>175</v>
      </c>
      <c r="AF24" s="1641">
        <v>3570</v>
      </c>
      <c r="AH24" s="1641">
        <v>25255</v>
      </c>
    </row>
    <row r="25" spans="1:34" ht="12" customHeight="1">
      <c r="A25" s="1637">
        <v>1984</v>
      </c>
      <c r="B25" s="1647">
        <v>10393</v>
      </c>
      <c r="C25" s="1647">
        <v>8870</v>
      </c>
      <c r="D25" s="1647">
        <v>2331</v>
      </c>
      <c r="E25" s="1648">
        <v>179</v>
      </c>
      <c r="F25" s="1647">
        <v>3515</v>
      </c>
      <c r="G25" s="1647"/>
      <c r="H25" s="1647">
        <v>25288</v>
      </c>
      <c r="I25" s="1647"/>
      <c r="J25" s="1680">
        <v>0.41098544764315093</v>
      </c>
      <c r="K25" s="1680">
        <f t="shared" si="0"/>
        <v>0.41098544764315093</v>
      </c>
      <c r="L25" s="1678"/>
      <c r="M25" s="1681">
        <v>0.35075925340082253</v>
      </c>
      <c r="N25" s="1681">
        <f>C25/$H25</f>
        <v>0.35075925340082253</v>
      </c>
      <c r="O25" s="1678"/>
      <c r="P25" s="1682">
        <v>9.2178108193609623E-2</v>
      </c>
      <c r="Q25" s="1682">
        <f>D25/$H25</f>
        <v>9.2178108193609623E-2</v>
      </c>
      <c r="R25" s="1678"/>
      <c r="S25" s="1700">
        <v>7.0784561847516605E-3</v>
      </c>
      <c r="T25" s="1700">
        <f>E25/$H25</f>
        <v>7.0784561847516605E-3</v>
      </c>
      <c r="U25" s="1679"/>
      <c r="V25" s="1683">
        <v>0.13899873457766529</v>
      </c>
      <c r="W25" s="1684">
        <f>F25/$H25</f>
        <v>0.13899873457766529</v>
      </c>
      <c r="AA25" s="1641">
        <v>1984</v>
      </c>
      <c r="AB25" s="1641">
        <v>10393</v>
      </c>
      <c r="AC25" s="1641">
        <v>8870</v>
      </c>
      <c r="AD25" s="1641">
        <v>2331</v>
      </c>
      <c r="AE25" s="1641">
        <v>179</v>
      </c>
      <c r="AF25" s="1641">
        <v>3515</v>
      </c>
      <c r="AH25" s="1641">
        <v>25288</v>
      </c>
    </row>
    <row r="26" spans="1:34" ht="3" customHeight="1">
      <c r="A26" s="1637"/>
      <c r="B26" s="1647"/>
      <c r="C26" s="1647"/>
      <c r="D26" s="1647"/>
      <c r="E26" s="1648"/>
      <c r="F26" s="1647"/>
      <c r="G26" s="1647"/>
      <c r="H26" s="1647"/>
      <c r="I26" s="1647"/>
      <c r="J26" s="1680"/>
      <c r="K26" s="1680"/>
      <c r="L26" s="1678"/>
      <c r="M26" s="1681"/>
      <c r="N26" s="1681"/>
      <c r="O26" s="1678"/>
      <c r="P26" s="1682"/>
      <c r="Q26" s="1682"/>
      <c r="R26" s="1678"/>
      <c r="S26" s="1700"/>
      <c r="T26" s="1700"/>
      <c r="U26" s="1679"/>
      <c r="V26" s="1683"/>
      <c r="W26" s="1684"/>
    </row>
    <row r="27" spans="1:34" ht="12" customHeight="1">
      <c r="A27" s="1637">
        <v>1985</v>
      </c>
      <c r="B27" s="1647">
        <v>10191</v>
      </c>
      <c r="C27" s="1647">
        <v>8746</v>
      </c>
      <c r="D27" s="1647">
        <v>2633</v>
      </c>
      <c r="E27" s="1648">
        <v>177</v>
      </c>
      <c r="F27" s="1647">
        <v>3432</v>
      </c>
      <c r="G27" s="1647"/>
      <c r="H27" s="1647">
        <v>25179</v>
      </c>
      <c r="I27" s="1647"/>
      <c r="J27" s="1680">
        <v>0.40474204694388183</v>
      </c>
      <c r="K27" s="1680">
        <f t="shared" si="0"/>
        <v>0.40474204694388183</v>
      </c>
      <c r="L27" s="1678"/>
      <c r="M27" s="1681">
        <v>0.34735295285754003</v>
      </c>
      <c r="N27" s="1681">
        <f>C27/$H27</f>
        <v>0.34735295285754003</v>
      </c>
      <c r="O27" s="1678"/>
      <c r="P27" s="1682">
        <v>0.10457126970888439</v>
      </c>
      <c r="Q27" s="1682">
        <f>D27/$H27</f>
        <v>0.10457126970888439</v>
      </c>
      <c r="R27" s="1678"/>
      <c r="S27" s="1700">
        <v>7.0296675801262958E-3</v>
      </c>
      <c r="T27" s="1700">
        <f>E27/$H27</f>
        <v>7.0296675801262958E-3</v>
      </c>
      <c r="U27" s="1679"/>
      <c r="V27" s="1683">
        <v>0.13630406290956751</v>
      </c>
      <c r="W27" s="1684">
        <f>F27/$H27</f>
        <v>0.13630406290956751</v>
      </c>
      <c r="AA27" s="1641">
        <v>1985</v>
      </c>
      <c r="AB27" s="1641">
        <v>10191</v>
      </c>
      <c r="AC27" s="1641">
        <v>8746</v>
      </c>
      <c r="AD27" s="1641">
        <v>2633</v>
      </c>
      <c r="AE27" s="1641">
        <v>177</v>
      </c>
      <c r="AF27" s="1641">
        <v>3432</v>
      </c>
      <c r="AH27" s="1641">
        <v>25179</v>
      </c>
    </row>
    <row r="28" spans="1:34" ht="12" customHeight="1">
      <c r="A28" s="1637">
        <v>1986</v>
      </c>
      <c r="B28" s="1647">
        <v>9216</v>
      </c>
      <c r="C28" s="1647">
        <v>8759</v>
      </c>
      <c r="D28" s="1647">
        <v>2971</v>
      </c>
      <c r="E28" s="1648">
        <v>191</v>
      </c>
      <c r="F28" s="1647">
        <v>3364</v>
      </c>
      <c r="G28" s="1647"/>
      <c r="H28" s="1647">
        <v>24501</v>
      </c>
      <c r="I28" s="1647"/>
      <c r="J28" s="1680">
        <v>0.37614791233010897</v>
      </c>
      <c r="K28" s="1680">
        <f t="shared" si="0"/>
        <v>0.37614791233010897</v>
      </c>
      <c r="L28" s="1678"/>
      <c r="M28" s="1681">
        <v>0.3574956124239827</v>
      </c>
      <c r="N28" s="1681">
        <f>C28/$H28</f>
        <v>0.3574956124239827</v>
      </c>
      <c r="O28" s="1678"/>
      <c r="P28" s="1682">
        <v>0.12126035672013387</v>
      </c>
      <c r="Q28" s="1682">
        <f>D28/$H28</f>
        <v>0.12126035672013387</v>
      </c>
      <c r="R28" s="1678"/>
      <c r="S28" s="1700">
        <v>7.7956001795845067E-3</v>
      </c>
      <c r="T28" s="1700">
        <f>E28/$H28</f>
        <v>7.7956001795845067E-3</v>
      </c>
      <c r="U28" s="1679"/>
      <c r="V28" s="1683">
        <v>0.13730051834618995</v>
      </c>
      <c r="W28" s="1684">
        <f>F28/$H28</f>
        <v>0.13730051834618995</v>
      </c>
      <c r="AA28" s="1641">
        <v>1986</v>
      </c>
      <c r="AB28" s="1641">
        <v>9216</v>
      </c>
      <c r="AC28" s="1641">
        <v>8759</v>
      </c>
      <c r="AD28" s="1641">
        <v>2971</v>
      </c>
      <c r="AE28" s="1641">
        <v>191</v>
      </c>
      <c r="AF28" s="1641">
        <v>3364</v>
      </c>
      <c r="AH28" s="1641">
        <v>24501</v>
      </c>
    </row>
    <row r="29" spans="1:34" ht="12" customHeight="1">
      <c r="A29" s="1637">
        <v>1987</v>
      </c>
      <c r="B29" s="1647">
        <v>9141</v>
      </c>
      <c r="C29" s="1647">
        <v>8525</v>
      </c>
      <c r="D29" s="1647">
        <v>3640</v>
      </c>
      <c r="E29" s="1648">
        <v>203</v>
      </c>
      <c r="F29" s="1647">
        <v>2974</v>
      </c>
      <c r="G29" s="1647"/>
      <c r="H29" s="1647">
        <v>24483</v>
      </c>
      <c r="I29" s="1647"/>
      <c r="J29" s="1680">
        <v>0.37336110770738878</v>
      </c>
      <c r="K29" s="1680">
        <f t="shared" si="0"/>
        <v>0.37336110770738878</v>
      </c>
      <c r="L29" s="1678"/>
      <c r="M29" s="1681">
        <v>0.34820079238655394</v>
      </c>
      <c r="N29" s="1681">
        <f>C29/$H29</f>
        <v>0.34820079238655394</v>
      </c>
      <c r="O29" s="1678"/>
      <c r="P29" s="1682">
        <v>0.14867459053220602</v>
      </c>
      <c r="Q29" s="1682">
        <f>D29/$H29</f>
        <v>0.14867459053220602</v>
      </c>
      <c r="R29" s="1678"/>
      <c r="S29" s="1700">
        <v>8.2914675489114895E-3</v>
      </c>
      <c r="T29" s="1700">
        <f>E29/$H29</f>
        <v>8.2914675489114895E-3</v>
      </c>
      <c r="U29" s="1679"/>
      <c r="V29" s="1683">
        <v>0.12147204182493976</v>
      </c>
      <c r="W29" s="1684">
        <f>F29/$H29</f>
        <v>0.12147204182493976</v>
      </c>
      <c r="AA29" s="1641">
        <v>1987</v>
      </c>
      <c r="AB29" s="1641">
        <v>9141</v>
      </c>
      <c r="AC29" s="1641">
        <v>8525</v>
      </c>
      <c r="AD29" s="1641">
        <v>3640</v>
      </c>
      <c r="AE29" s="1641">
        <v>203</v>
      </c>
      <c r="AF29" s="1641">
        <v>2974</v>
      </c>
      <c r="AH29" s="1641">
        <v>24483</v>
      </c>
    </row>
    <row r="30" spans="1:34" ht="12" customHeight="1">
      <c r="A30" s="1637">
        <v>1988</v>
      </c>
      <c r="B30" s="1647">
        <v>9150</v>
      </c>
      <c r="C30" s="1647">
        <v>8601</v>
      </c>
      <c r="D30" s="1647">
        <v>3518</v>
      </c>
      <c r="E30" s="1648">
        <v>254</v>
      </c>
      <c r="F30" s="1647">
        <v>2968</v>
      </c>
      <c r="G30" s="1647"/>
      <c r="H30" s="1647">
        <v>24491</v>
      </c>
      <c r="I30" s="1647"/>
      <c r="J30" s="1680">
        <v>0.37360663100730879</v>
      </c>
      <c r="K30" s="1680">
        <f t="shared" si="0"/>
        <v>0.37360663100730879</v>
      </c>
      <c r="L30" s="1678"/>
      <c r="M30" s="1681">
        <v>0.35119023314687026</v>
      </c>
      <c r="N30" s="1681">
        <f>C30/$H30</f>
        <v>0.35119023314687026</v>
      </c>
      <c r="O30" s="1678"/>
      <c r="P30" s="1682">
        <v>0.14364460414029642</v>
      </c>
      <c r="Q30" s="1682">
        <f>D30/$H30</f>
        <v>0.14364460414029642</v>
      </c>
      <c r="R30" s="1678"/>
      <c r="S30" s="1700">
        <v>1.037115675145972E-2</v>
      </c>
      <c r="T30" s="1700">
        <f>E30/$H30</f>
        <v>1.037115675145972E-2</v>
      </c>
      <c r="U30" s="1679"/>
      <c r="V30" s="1683">
        <v>0.12118737495406476</v>
      </c>
      <c r="W30" s="1684">
        <f>F30/$H30</f>
        <v>0.12118737495406476</v>
      </c>
      <c r="AA30" s="1641">
        <v>1988</v>
      </c>
      <c r="AB30" s="1641">
        <v>9150</v>
      </c>
      <c r="AC30" s="1641">
        <v>8601</v>
      </c>
      <c r="AD30" s="1641">
        <v>3518</v>
      </c>
      <c r="AE30" s="1641">
        <v>254</v>
      </c>
      <c r="AF30" s="1641">
        <v>2968</v>
      </c>
      <c r="AH30" s="1641">
        <v>24491</v>
      </c>
    </row>
    <row r="31" spans="1:34" ht="3" customHeight="1">
      <c r="A31" s="1637"/>
      <c r="B31" s="1647"/>
      <c r="C31" s="1647"/>
      <c r="D31" s="1647"/>
      <c r="E31" s="1648"/>
      <c r="F31" s="1647"/>
      <c r="G31" s="1647"/>
      <c r="H31" s="1647"/>
      <c r="I31" s="1647"/>
      <c r="J31" s="1680"/>
      <c r="K31" s="1680"/>
      <c r="L31" s="1678"/>
      <c r="M31" s="1681"/>
      <c r="N31" s="1681"/>
      <c r="O31" s="1678"/>
      <c r="P31" s="1682"/>
      <c r="Q31" s="1682"/>
      <c r="R31" s="1678"/>
      <c r="S31" s="1700"/>
      <c r="T31" s="1700"/>
      <c r="U31" s="1679"/>
      <c r="V31" s="1683"/>
      <c r="W31" s="1684"/>
    </row>
    <row r="32" spans="1:34" ht="12" customHeight="1">
      <c r="A32" s="1637">
        <v>1989</v>
      </c>
      <c r="B32" s="1647">
        <v>9242</v>
      </c>
      <c r="C32" s="1647">
        <v>8636</v>
      </c>
      <c r="D32" s="1647">
        <v>3343</v>
      </c>
      <c r="E32" s="1648">
        <v>258</v>
      </c>
      <c r="F32" s="1647">
        <v>2958</v>
      </c>
      <c r="G32" s="1647"/>
      <c r="H32" s="1647">
        <v>24437</v>
      </c>
      <c r="I32" s="1647"/>
      <c r="J32" s="1680">
        <v>0.37819699635798176</v>
      </c>
      <c r="K32" s="1680">
        <f t="shared" si="0"/>
        <v>0.37819699635798176</v>
      </c>
      <c r="L32" s="1678"/>
      <c r="M32" s="1681">
        <v>0.35339853500838891</v>
      </c>
      <c r="N32" s="1681">
        <f>C32/$H32</f>
        <v>0.35339853500838891</v>
      </c>
      <c r="O32" s="1678"/>
      <c r="P32" s="1682">
        <v>0.13680075295658223</v>
      </c>
      <c r="Q32" s="1682">
        <f>D32/$H32</f>
        <v>0.13680075295658223</v>
      </c>
      <c r="R32" s="1678"/>
      <c r="S32" s="1700">
        <v>1.0557760772598929E-2</v>
      </c>
      <c r="T32" s="1700">
        <f>E32/$H32</f>
        <v>1.0557760772598929E-2</v>
      </c>
      <c r="U32" s="1679"/>
      <c r="V32" s="1683">
        <v>0.12104595490444817</v>
      </c>
      <c r="W32" s="1684">
        <f>F32/$H32</f>
        <v>0.12104595490444817</v>
      </c>
      <c r="AA32" s="1641">
        <v>1989</v>
      </c>
      <c r="AB32" s="1641">
        <v>9242</v>
      </c>
      <c r="AC32" s="1641">
        <v>8636</v>
      </c>
      <c r="AD32" s="1641">
        <v>3343</v>
      </c>
      <c r="AE32" s="1641">
        <v>258</v>
      </c>
      <c r="AF32" s="1641">
        <v>2958</v>
      </c>
      <c r="AH32" s="1641">
        <v>24437</v>
      </c>
    </row>
    <row r="33" spans="1:34" ht="12" customHeight="1">
      <c r="A33" s="1637">
        <v>1990</v>
      </c>
      <c r="B33" s="1647">
        <v>9020</v>
      </c>
      <c r="C33" s="1647">
        <v>8920</v>
      </c>
      <c r="D33" s="1647">
        <v>3265</v>
      </c>
      <c r="E33" s="1648">
        <v>264</v>
      </c>
      <c r="F33" s="1647">
        <v>2968</v>
      </c>
      <c r="G33" s="1647"/>
      <c r="H33" s="1647">
        <v>24437</v>
      </c>
      <c r="I33" s="1647"/>
      <c r="J33" s="1680">
        <v>0.3691124115071408</v>
      </c>
      <c r="K33" s="1680">
        <f t="shared" si="0"/>
        <v>0.3691124115071408</v>
      </c>
      <c r="L33" s="1678"/>
      <c r="M33" s="1681">
        <v>0.3650202561689242</v>
      </c>
      <c r="N33" s="1681">
        <f>C33/$H33</f>
        <v>0.3650202561689242</v>
      </c>
      <c r="O33" s="1678"/>
      <c r="P33" s="1682">
        <v>0.13360887179277325</v>
      </c>
      <c r="Q33" s="1682">
        <f>D33/$H33</f>
        <v>0.13360887179277325</v>
      </c>
      <c r="R33" s="1678"/>
      <c r="S33" s="1700">
        <v>1.0803290092891927E-2</v>
      </c>
      <c r="T33" s="1700">
        <f>E33/$H33</f>
        <v>1.0803290092891927E-2</v>
      </c>
      <c r="U33" s="1679"/>
      <c r="V33" s="1683">
        <v>0.12145517043826984</v>
      </c>
      <c r="W33" s="1684">
        <f>F33/$H33</f>
        <v>0.12145517043826984</v>
      </c>
      <c r="AA33" s="1641">
        <v>1990</v>
      </c>
      <c r="AB33" s="1641">
        <v>9020</v>
      </c>
      <c r="AC33" s="1641">
        <v>8920</v>
      </c>
      <c r="AD33" s="1641">
        <v>3265</v>
      </c>
      <c r="AE33" s="1641">
        <v>264</v>
      </c>
      <c r="AF33" s="1641">
        <v>2968</v>
      </c>
      <c r="AH33" s="1641">
        <v>24437</v>
      </c>
    </row>
    <row r="34" spans="1:34" ht="12" customHeight="1">
      <c r="A34" s="1637">
        <v>1991</v>
      </c>
      <c r="B34" s="1647">
        <v>7985</v>
      </c>
      <c r="C34" s="1647">
        <v>9504</v>
      </c>
      <c r="D34" s="1647">
        <v>3672</v>
      </c>
      <c r="E34" s="1648">
        <v>292</v>
      </c>
      <c r="F34" s="1647">
        <v>2997</v>
      </c>
      <c r="G34" s="1647"/>
      <c r="H34" s="1647">
        <v>24450</v>
      </c>
      <c r="I34" s="1647"/>
      <c r="J34" s="1680">
        <v>0.32658486707566464</v>
      </c>
      <c r="K34" s="1680">
        <f t="shared" si="0"/>
        <v>0.32658486707566464</v>
      </c>
      <c r="L34" s="1678"/>
      <c r="M34" s="1681">
        <v>0.38871165644171779</v>
      </c>
      <c r="N34" s="1681">
        <f>C34/$H34</f>
        <v>0.38871165644171779</v>
      </c>
      <c r="O34" s="1678"/>
      <c r="P34" s="1682">
        <v>0.15018404907975461</v>
      </c>
      <c r="Q34" s="1682">
        <f>D34/$H34</f>
        <v>0.15018404907975461</v>
      </c>
      <c r="R34" s="1678"/>
      <c r="S34" s="1700">
        <v>1.1942740286298568E-2</v>
      </c>
      <c r="T34" s="1700">
        <f>E34/$H34</f>
        <v>1.1942740286298568E-2</v>
      </c>
      <c r="U34" s="1679"/>
      <c r="V34" s="1683">
        <v>0.12257668711656441</v>
      </c>
      <c r="W34" s="1684">
        <f>F34/$H34</f>
        <v>0.12257668711656441</v>
      </c>
      <c r="AA34" s="1641">
        <v>1991</v>
      </c>
      <c r="AB34" s="1641">
        <v>7985</v>
      </c>
      <c r="AC34" s="1641">
        <v>9504</v>
      </c>
      <c r="AD34" s="1641">
        <v>3672</v>
      </c>
      <c r="AE34" s="1641">
        <v>292</v>
      </c>
      <c r="AF34" s="1641">
        <v>2997</v>
      </c>
      <c r="AH34" s="1641">
        <v>24450</v>
      </c>
    </row>
    <row r="35" spans="1:34" ht="12" customHeight="1">
      <c r="A35" s="1637">
        <v>1992</v>
      </c>
      <c r="B35" s="1647">
        <v>8288</v>
      </c>
      <c r="C35" s="1647">
        <v>9102</v>
      </c>
      <c r="D35" s="1647">
        <v>3728</v>
      </c>
      <c r="E35" s="1648">
        <v>334</v>
      </c>
      <c r="F35" s="1647">
        <v>2977</v>
      </c>
      <c r="G35" s="1647"/>
      <c r="H35" s="1647">
        <v>24429</v>
      </c>
      <c r="I35" s="1647"/>
      <c r="J35" s="1680">
        <v>0.3392689017151746</v>
      </c>
      <c r="K35" s="1680">
        <f t="shared" si="0"/>
        <v>0.3392689017151746</v>
      </c>
      <c r="L35" s="1678"/>
      <c r="M35" s="1681">
        <v>0.37258995456220068</v>
      </c>
      <c r="N35" s="1681">
        <f>C35/$H35</f>
        <v>0.37258995456220068</v>
      </c>
      <c r="O35" s="1678"/>
      <c r="P35" s="1682">
        <v>0.15260550984485652</v>
      </c>
      <c r="Q35" s="1682">
        <f>D35/$H35</f>
        <v>0.15260550984485652</v>
      </c>
      <c r="R35" s="1678"/>
      <c r="S35" s="1700">
        <v>1.3672274755413648E-2</v>
      </c>
      <c r="T35" s="1700">
        <f>E35/$H35</f>
        <v>1.3672274755413648E-2</v>
      </c>
      <c r="U35" s="1679"/>
      <c r="V35" s="1683">
        <v>0.12186335912235458</v>
      </c>
      <c r="W35" s="1684">
        <f>F35/$H35</f>
        <v>0.12186335912235458</v>
      </c>
      <c r="AA35" s="1641">
        <v>1992</v>
      </c>
      <c r="AB35" s="1641">
        <v>8288</v>
      </c>
      <c r="AC35" s="1641">
        <v>9102</v>
      </c>
      <c r="AD35" s="1641">
        <v>3728</v>
      </c>
      <c r="AE35" s="1641">
        <v>334</v>
      </c>
      <c r="AF35" s="1641">
        <v>2977</v>
      </c>
      <c r="AH35" s="1641">
        <v>24429</v>
      </c>
    </row>
    <row r="36" spans="1:34" ht="3" customHeight="1">
      <c r="A36" s="1637"/>
      <c r="B36" s="1647"/>
      <c r="C36" s="1647"/>
      <c r="D36" s="1647"/>
      <c r="E36" s="1648"/>
      <c r="F36" s="1647"/>
      <c r="G36" s="1647"/>
      <c r="H36" s="1647"/>
      <c r="I36" s="1647"/>
      <c r="J36" s="1680"/>
      <c r="K36" s="1680"/>
      <c r="L36" s="1678"/>
      <c r="M36" s="1681"/>
      <c r="N36" s="1681"/>
      <c r="O36" s="1678"/>
      <c r="P36" s="1682"/>
      <c r="Q36" s="1682"/>
      <c r="R36" s="1678"/>
      <c r="S36" s="1700"/>
      <c r="T36" s="1700"/>
      <c r="U36" s="1679"/>
      <c r="V36" s="1683"/>
      <c r="W36" s="1684"/>
    </row>
    <row r="37" spans="1:34" ht="12" customHeight="1">
      <c r="A37" s="1637">
        <v>1993</v>
      </c>
      <c r="B37" s="1647">
        <v>7802</v>
      </c>
      <c r="C37" s="1647">
        <v>9213</v>
      </c>
      <c r="D37" s="1647">
        <v>4123</v>
      </c>
      <c r="E37" s="1648">
        <v>358</v>
      </c>
      <c r="F37" s="1647">
        <v>2948</v>
      </c>
      <c r="G37" s="1647"/>
      <c r="H37" s="1647">
        <v>24444</v>
      </c>
      <c r="I37" s="1647"/>
      <c r="J37" s="1680">
        <v>0.31917853051873668</v>
      </c>
      <c r="K37" s="1680">
        <f t="shared" si="0"/>
        <v>0.31917853051873668</v>
      </c>
      <c r="L37" s="1678"/>
      <c r="M37" s="1681">
        <v>0.37690230731467844</v>
      </c>
      <c r="N37" s="1681">
        <f>C37/$H37</f>
        <v>0.37690230731467844</v>
      </c>
      <c r="O37" s="1678"/>
      <c r="P37" s="1682">
        <v>0.1686712485681558</v>
      </c>
      <c r="Q37" s="1682">
        <f>D37/$H37</f>
        <v>0.1686712485681558</v>
      </c>
      <c r="R37" s="1678"/>
      <c r="S37" s="1700">
        <v>1.4645720831287842E-2</v>
      </c>
      <c r="T37" s="1700">
        <f>E37/$H37</f>
        <v>1.4645720831287842E-2</v>
      </c>
      <c r="U37" s="1679"/>
      <c r="V37" s="1683">
        <v>0.12060219276714122</v>
      </c>
      <c r="W37" s="1684">
        <f>F37/$H37</f>
        <v>0.12060219276714122</v>
      </c>
      <c r="AA37" s="1641">
        <v>1993</v>
      </c>
      <c r="AB37" s="1641">
        <v>7802</v>
      </c>
      <c r="AC37" s="1641">
        <v>9213</v>
      </c>
      <c r="AD37" s="1641">
        <v>4123</v>
      </c>
      <c r="AE37" s="1641">
        <v>358</v>
      </c>
      <c r="AF37" s="1641">
        <v>2948</v>
      </c>
      <c r="AH37" s="1641">
        <v>24444</v>
      </c>
    </row>
    <row r="38" spans="1:34" ht="12" customHeight="1">
      <c r="A38" s="1637">
        <v>1994</v>
      </c>
      <c r="B38" s="1647">
        <v>7286</v>
      </c>
      <c r="C38" s="1647">
        <v>9257</v>
      </c>
      <c r="D38" s="1647">
        <v>4551</v>
      </c>
      <c r="E38" s="1648">
        <v>392</v>
      </c>
      <c r="F38" s="1647">
        <v>2941</v>
      </c>
      <c r="G38" s="1647"/>
      <c r="H38" s="1647">
        <v>24427</v>
      </c>
      <c r="I38" s="1647"/>
      <c r="J38" s="1680">
        <v>0.29827649731854095</v>
      </c>
      <c r="K38" s="1680">
        <f t="shared" si="0"/>
        <v>0.29827649731854095</v>
      </c>
      <c r="L38" s="1678"/>
      <c r="M38" s="1681">
        <v>0.3789658983911246</v>
      </c>
      <c r="N38" s="1681">
        <f>C38/$H38</f>
        <v>0.3789658983911246</v>
      </c>
      <c r="O38" s="1678"/>
      <c r="P38" s="1682">
        <v>0.18631023048266263</v>
      </c>
      <c r="Q38" s="1682">
        <f>D38/$H38</f>
        <v>0.18631023048266263</v>
      </c>
      <c r="R38" s="1678"/>
      <c r="S38" s="1700">
        <v>1.6047815941376345E-2</v>
      </c>
      <c r="T38" s="1700">
        <f>E38/$H38</f>
        <v>1.6047815941376345E-2</v>
      </c>
      <c r="U38" s="1679"/>
      <c r="V38" s="1683">
        <v>0.1203995578662955</v>
      </c>
      <c r="W38" s="1684">
        <f>F38/$H38</f>
        <v>0.1203995578662955</v>
      </c>
      <c r="AA38" s="1641">
        <v>1994</v>
      </c>
      <c r="AB38" s="1641">
        <v>7286</v>
      </c>
      <c r="AC38" s="1641">
        <v>9257</v>
      </c>
      <c r="AD38" s="1641">
        <v>4551</v>
      </c>
      <c r="AE38" s="1641">
        <v>392</v>
      </c>
      <c r="AF38" s="1641">
        <v>2941</v>
      </c>
      <c r="AH38" s="1641">
        <v>24427</v>
      </c>
    </row>
    <row r="39" spans="1:34" ht="12" customHeight="1">
      <c r="A39" s="1637">
        <v>1995</v>
      </c>
      <c r="B39" s="1647">
        <v>4883</v>
      </c>
      <c r="C39" s="1647">
        <v>10461</v>
      </c>
      <c r="D39" s="1647">
        <v>4942</v>
      </c>
      <c r="E39" s="1648">
        <v>294</v>
      </c>
      <c r="F39" s="1647">
        <v>2157</v>
      </c>
      <c r="G39" s="1647"/>
      <c r="H39" s="1647">
        <v>22737</v>
      </c>
      <c r="I39" s="1647"/>
      <c r="J39" s="1680">
        <v>0.214760082684611</v>
      </c>
      <c r="K39" s="1680">
        <f t="shared" si="0"/>
        <v>0.214760082684611</v>
      </c>
      <c r="L39" s="1678"/>
      <c r="M39" s="1681">
        <v>0.46008708272859217</v>
      </c>
      <c r="N39" s="1681">
        <f>C39/$H39</f>
        <v>0.46008708272859217</v>
      </c>
      <c r="O39" s="1678"/>
      <c r="P39" s="1682">
        <v>0.2173549720719532</v>
      </c>
      <c r="Q39" s="1682">
        <f>D39/$H39</f>
        <v>0.2173549720719532</v>
      </c>
      <c r="R39" s="1678"/>
      <c r="S39" s="1700">
        <v>1.2930465760654439E-2</v>
      </c>
      <c r="T39" s="1700">
        <f>E39/$H39</f>
        <v>1.2930465760654439E-2</v>
      </c>
      <c r="U39" s="1679"/>
      <c r="V39" s="1683">
        <v>9.4867396754189204E-2</v>
      </c>
      <c r="W39" s="1684">
        <f>F39/$H39</f>
        <v>9.4867396754189204E-2</v>
      </c>
      <c r="AA39" s="1641">
        <v>1995</v>
      </c>
      <c r="AB39" s="1641">
        <v>4883</v>
      </c>
      <c r="AC39" s="1641">
        <v>10461</v>
      </c>
      <c r="AD39" s="1641">
        <v>4942</v>
      </c>
      <c r="AE39" s="1641">
        <v>294</v>
      </c>
      <c r="AF39" s="1641">
        <v>2157</v>
      </c>
      <c r="AH39" s="1641">
        <v>22737</v>
      </c>
    </row>
    <row r="40" spans="1:34" ht="12" customHeight="1">
      <c r="A40" s="1637">
        <v>1996</v>
      </c>
      <c r="B40" s="1647">
        <v>4276</v>
      </c>
      <c r="C40" s="1647">
        <v>10929</v>
      </c>
      <c r="D40" s="1647">
        <v>5078</v>
      </c>
      <c r="E40" s="1648">
        <v>298</v>
      </c>
      <c r="F40" s="1647">
        <v>2157</v>
      </c>
      <c r="G40" s="1647"/>
      <c r="H40" s="1647">
        <v>22738</v>
      </c>
      <c r="I40" s="1647"/>
      <c r="J40" s="1680">
        <v>0.18805523792769813</v>
      </c>
      <c r="K40" s="1680">
        <f t="shared" si="0"/>
        <v>0.18805523792769813</v>
      </c>
      <c r="L40" s="1678"/>
      <c r="M40" s="1681">
        <v>0.48064913360893657</v>
      </c>
      <c r="N40" s="1681">
        <f>C40/$H40</f>
        <v>0.48064913360893657</v>
      </c>
      <c r="O40" s="1678"/>
      <c r="P40" s="1682">
        <v>0.223326589849591</v>
      </c>
      <c r="Q40" s="1682">
        <f>D40/$H40</f>
        <v>0.223326589849591</v>
      </c>
      <c r="R40" s="1678"/>
      <c r="S40" s="1700">
        <v>1.3105814055765679E-2</v>
      </c>
      <c r="T40" s="1700">
        <f>E40/$H40</f>
        <v>1.3105814055765679E-2</v>
      </c>
      <c r="U40" s="1679"/>
      <c r="V40" s="1683">
        <v>9.4863224558008621E-2</v>
      </c>
      <c r="W40" s="1684">
        <f>F40/$H40</f>
        <v>9.4863224558008621E-2</v>
      </c>
      <c r="AA40" s="1641">
        <v>1996</v>
      </c>
      <c r="AB40" s="1641">
        <v>4276</v>
      </c>
      <c r="AC40" s="1641">
        <v>10929</v>
      </c>
      <c r="AD40" s="1641">
        <v>5078</v>
      </c>
      <c r="AE40" s="1641">
        <v>298</v>
      </c>
      <c r="AF40" s="1641">
        <v>2157</v>
      </c>
      <c r="AH40" s="1641">
        <v>22738</v>
      </c>
    </row>
    <row r="41" spans="1:34" ht="3" customHeight="1">
      <c r="A41" s="1637"/>
      <c r="B41" s="1647"/>
      <c r="C41" s="1647"/>
      <c r="D41" s="1647"/>
      <c r="E41" s="1648"/>
      <c r="F41" s="1647"/>
      <c r="G41" s="1647"/>
      <c r="H41" s="1647"/>
      <c r="I41" s="1647"/>
      <c r="J41" s="1680"/>
      <c r="K41" s="1680"/>
      <c r="L41" s="1678"/>
      <c r="M41" s="1681"/>
      <c r="N41" s="1681"/>
      <c r="O41" s="1678"/>
      <c r="P41" s="1682"/>
      <c r="Q41" s="1682"/>
      <c r="R41" s="1678"/>
      <c r="S41" s="1700"/>
      <c r="T41" s="1700"/>
      <c r="U41" s="1679"/>
      <c r="V41" s="1683"/>
      <c r="W41" s="1684"/>
    </row>
    <row r="42" spans="1:34" ht="12" customHeight="1">
      <c r="A42" s="1637">
        <v>1997</v>
      </c>
      <c r="B42" s="1647">
        <v>4449</v>
      </c>
      <c r="C42" s="1647">
        <v>10608</v>
      </c>
      <c r="D42" s="1647">
        <v>4754</v>
      </c>
      <c r="E42" s="1648">
        <v>301</v>
      </c>
      <c r="F42" s="1647">
        <v>2076</v>
      </c>
      <c r="G42" s="1647"/>
      <c r="H42" s="1647">
        <v>22188</v>
      </c>
      <c r="I42" s="1647"/>
      <c r="J42" s="1680">
        <v>0.20051379123850729</v>
      </c>
      <c r="K42" s="1680">
        <f t="shared" si="0"/>
        <v>0.20051379123850729</v>
      </c>
      <c r="L42" s="1678"/>
      <c r="M42" s="1681">
        <v>0.4780962682531098</v>
      </c>
      <c r="N42" s="1681">
        <f>C42/$H42</f>
        <v>0.4780962682531098</v>
      </c>
      <c r="O42" s="1678"/>
      <c r="P42" s="1682">
        <v>0.21425996033892195</v>
      </c>
      <c r="Q42" s="1682">
        <f>D42/$H42</f>
        <v>0.21425996033892195</v>
      </c>
      <c r="R42" s="1678"/>
      <c r="S42" s="1700">
        <v>1.3565891472868217E-2</v>
      </c>
      <c r="T42" s="1700">
        <f>E42/$H42</f>
        <v>1.3565891472868217E-2</v>
      </c>
      <c r="U42" s="1679"/>
      <c r="V42" s="1683">
        <v>9.3564088696592759E-2</v>
      </c>
      <c r="W42" s="1684">
        <f>F42/$H42</f>
        <v>9.3564088696592759E-2</v>
      </c>
      <c r="AA42" s="1641">
        <v>1997</v>
      </c>
      <c r="AB42" s="1641">
        <v>4449</v>
      </c>
      <c r="AC42" s="1641">
        <v>10608</v>
      </c>
      <c r="AD42" s="1641">
        <v>4754</v>
      </c>
      <c r="AE42" s="1641">
        <v>301</v>
      </c>
      <c r="AF42" s="1641">
        <v>2076</v>
      </c>
      <c r="AH42" s="1641">
        <v>22188</v>
      </c>
    </row>
    <row r="43" spans="1:34" ht="12" customHeight="1">
      <c r="A43" s="1637">
        <v>1998</v>
      </c>
      <c r="B43" s="1647">
        <v>4772</v>
      </c>
      <c r="C43" s="1647">
        <v>10411</v>
      </c>
      <c r="D43" s="1647">
        <v>4629</v>
      </c>
      <c r="E43" s="1648">
        <v>304</v>
      </c>
      <c r="F43" s="1647">
        <v>2083</v>
      </c>
      <c r="G43" s="1647"/>
      <c r="H43" s="1647">
        <v>22199</v>
      </c>
      <c r="I43" s="1647"/>
      <c r="J43" s="1680">
        <v>0.21496463804675886</v>
      </c>
      <c r="K43" s="1680">
        <f t="shared" si="0"/>
        <v>0.21496463804675886</v>
      </c>
      <c r="L43" s="1678"/>
      <c r="M43" s="1681">
        <v>0.46898508941844225</v>
      </c>
      <c r="N43" s="1681">
        <f>C43/$H43</f>
        <v>0.46898508941844225</v>
      </c>
      <c r="O43" s="1678"/>
      <c r="P43" s="1682">
        <v>0.2085229064372269</v>
      </c>
      <c r="Q43" s="1682">
        <f>D43/$H43</f>
        <v>0.2085229064372269</v>
      </c>
      <c r="R43" s="1678"/>
      <c r="S43" s="1700">
        <v>1.3694310554529483E-2</v>
      </c>
      <c r="T43" s="1700">
        <f>E43/$H43</f>
        <v>1.3694310554529483E-2</v>
      </c>
      <c r="U43" s="1679"/>
      <c r="V43" s="1683">
        <v>9.3833055543042485E-2</v>
      </c>
      <c r="W43" s="1684">
        <f>F43/$H43</f>
        <v>9.3833055543042485E-2</v>
      </c>
      <c r="AA43" s="1641">
        <v>1998</v>
      </c>
      <c r="AB43" s="1641">
        <v>4772</v>
      </c>
      <c r="AC43" s="1641">
        <v>10411</v>
      </c>
      <c r="AD43" s="1641">
        <v>4629</v>
      </c>
      <c r="AE43" s="1641">
        <v>304</v>
      </c>
      <c r="AF43" s="1641">
        <v>2083</v>
      </c>
      <c r="AH43" s="1641">
        <v>22199</v>
      </c>
    </row>
    <row r="44" spans="1:34" ht="12" customHeight="1">
      <c r="A44" s="1637">
        <v>1999</v>
      </c>
      <c r="B44" s="1647">
        <v>6144</v>
      </c>
      <c r="C44" s="1647">
        <v>9134</v>
      </c>
      <c r="D44" s="1647">
        <v>4485</v>
      </c>
      <c r="E44" s="1648">
        <v>444</v>
      </c>
      <c r="F44" s="1647">
        <v>1973</v>
      </c>
      <c r="G44" s="1647"/>
      <c r="H44" s="1647">
        <v>22180</v>
      </c>
      <c r="I44" s="1647"/>
      <c r="J44" s="1680">
        <v>0.2770063119927863</v>
      </c>
      <c r="K44" s="1680">
        <f t="shared" si="0"/>
        <v>0.2770063119927863</v>
      </c>
      <c r="L44" s="1678"/>
      <c r="M44" s="1681">
        <v>0.41181244364292158</v>
      </c>
      <c r="N44" s="1681">
        <f>C44/$H44</f>
        <v>0.41181244364292158</v>
      </c>
      <c r="O44" s="1678"/>
      <c r="P44" s="1682">
        <v>0.20220919747520288</v>
      </c>
      <c r="Q44" s="1682">
        <f>D44/$H44</f>
        <v>0.20220919747520288</v>
      </c>
      <c r="R44" s="1678"/>
      <c r="S44" s="1700">
        <v>2.0018034265103696E-2</v>
      </c>
      <c r="T44" s="1700">
        <f>E44/$H44</f>
        <v>2.0018034265103696E-2</v>
      </c>
      <c r="U44" s="1679"/>
      <c r="V44" s="1683">
        <v>8.8954012623985571E-2</v>
      </c>
      <c r="W44" s="1684">
        <f>F44/$H44</f>
        <v>8.8954012623985571E-2</v>
      </c>
      <c r="AA44" s="1641">
        <v>1999</v>
      </c>
      <c r="AB44" s="1641">
        <v>6144</v>
      </c>
      <c r="AC44" s="1641">
        <v>9134</v>
      </c>
      <c r="AD44" s="1641">
        <v>4485</v>
      </c>
      <c r="AE44" s="1641">
        <v>444</v>
      </c>
      <c r="AF44" s="1641">
        <v>1973</v>
      </c>
      <c r="AH44" s="1641">
        <v>22180</v>
      </c>
    </row>
    <row r="45" spans="1:34" ht="12" customHeight="1">
      <c r="A45" s="1637">
        <v>2000</v>
      </c>
      <c r="B45" s="1647">
        <v>6785</v>
      </c>
      <c r="C45" s="1647">
        <v>8529</v>
      </c>
      <c r="D45" s="1647">
        <v>4457</v>
      </c>
      <c r="E45" s="1648">
        <v>447</v>
      </c>
      <c r="F45" s="1647">
        <v>2071</v>
      </c>
      <c r="G45" s="1647"/>
      <c r="H45" s="1647">
        <v>22289</v>
      </c>
      <c r="I45" s="1647"/>
      <c r="J45" s="1680">
        <v>0.30441024720714255</v>
      </c>
      <c r="K45" s="1680">
        <f t="shared" si="0"/>
        <v>0.30441024720714255</v>
      </c>
      <c r="L45" s="1678"/>
      <c r="M45" s="1681">
        <v>0.38265512136031227</v>
      </c>
      <c r="N45" s="1681">
        <f>C45/$H45</f>
        <v>0.38265512136031227</v>
      </c>
      <c r="O45" s="1678"/>
      <c r="P45" s="1682">
        <v>0.19996410785589305</v>
      </c>
      <c r="Q45" s="1682">
        <f>D45/$H45</f>
        <v>0.19996410785589305</v>
      </c>
      <c r="R45" s="1678"/>
      <c r="S45" s="1700">
        <v>2.0054735519763112E-2</v>
      </c>
      <c r="T45" s="1700">
        <f>E45/$H45</f>
        <v>2.0054735519763112E-2</v>
      </c>
      <c r="U45" s="1679"/>
      <c r="V45" s="1683">
        <v>9.2915788056889048E-2</v>
      </c>
      <c r="W45" s="1684">
        <f>F45/$H45</f>
        <v>9.2915788056889048E-2</v>
      </c>
      <c r="AA45" s="1641">
        <v>2000</v>
      </c>
      <c r="AB45" s="1641">
        <v>6785</v>
      </c>
      <c r="AC45" s="1641">
        <v>8529</v>
      </c>
      <c r="AD45" s="1641">
        <v>4457</v>
      </c>
      <c r="AE45" s="1641">
        <v>447</v>
      </c>
      <c r="AF45" s="1641">
        <v>2071</v>
      </c>
      <c r="AH45" s="1641">
        <v>22289</v>
      </c>
    </row>
    <row r="46" spans="1:34" ht="3" customHeight="1">
      <c r="A46" s="1637"/>
      <c r="B46" s="1647"/>
      <c r="C46" s="1647"/>
      <c r="D46" s="1647"/>
      <c r="E46" s="1648"/>
      <c r="F46" s="1647"/>
      <c r="G46" s="1647"/>
      <c r="H46" s="1647"/>
      <c r="I46" s="1647"/>
      <c r="J46" s="1680"/>
      <c r="K46" s="1680"/>
      <c r="L46" s="1678"/>
      <c r="M46" s="1681"/>
      <c r="N46" s="1681"/>
      <c r="O46" s="1678"/>
      <c r="P46" s="1682"/>
      <c r="Q46" s="1682"/>
      <c r="R46" s="1678"/>
      <c r="S46" s="1700"/>
      <c r="T46" s="1700"/>
      <c r="U46" s="1679"/>
      <c r="V46" s="1683"/>
      <c r="W46" s="1684"/>
    </row>
    <row r="47" spans="1:34" ht="12" customHeight="1">
      <c r="A47" s="1637">
        <v>2001</v>
      </c>
      <c r="B47" s="1647">
        <v>6941</v>
      </c>
      <c r="C47" s="1647">
        <v>8487</v>
      </c>
      <c r="D47" s="1647">
        <v>4382</v>
      </c>
      <c r="E47" s="1648">
        <v>418</v>
      </c>
      <c r="F47" s="1647">
        <v>2091</v>
      </c>
      <c r="G47" s="1647"/>
      <c r="H47" s="1647">
        <v>22319</v>
      </c>
      <c r="I47" s="1647"/>
      <c r="J47" s="1680">
        <v>0.31099063578117297</v>
      </c>
      <c r="K47" s="1680">
        <f t="shared" si="0"/>
        <v>0.31099063578117297</v>
      </c>
      <c r="L47" s="1678"/>
      <c r="M47" s="1681">
        <v>0.38025897217617277</v>
      </c>
      <c r="N47" s="1681">
        <f>C47/$H47</f>
        <v>0.38025897217617277</v>
      </c>
      <c r="O47" s="1678"/>
      <c r="P47" s="1682">
        <v>0.19633496124378333</v>
      </c>
      <c r="Q47" s="1682">
        <f>D47/$H47</f>
        <v>0.19633496124378333</v>
      </c>
      <c r="R47" s="1678"/>
      <c r="S47" s="1700">
        <v>1.8728437654016758E-2</v>
      </c>
      <c r="T47" s="1700">
        <f>E47/$H47</f>
        <v>1.8728437654016758E-2</v>
      </c>
      <c r="U47" s="1679"/>
      <c r="V47" s="1683">
        <v>9.3686993144854167E-2</v>
      </c>
      <c r="W47" s="1684">
        <f>F47/$H47</f>
        <v>9.3686993144854167E-2</v>
      </c>
      <c r="AA47" s="1641">
        <v>2001</v>
      </c>
      <c r="AB47" s="1641">
        <v>6941</v>
      </c>
      <c r="AC47" s="1641">
        <v>8487</v>
      </c>
      <c r="AD47" s="1641">
        <v>4382</v>
      </c>
      <c r="AE47" s="1641">
        <v>418</v>
      </c>
      <c r="AF47" s="1641">
        <v>2091</v>
      </c>
      <c r="AH47" s="1641">
        <v>22319</v>
      </c>
    </row>
    <row r="48" spans="1:34" ht="12" customHeight="1">
      <c r="A48" s="1637">
        <v>2002</v>
      </c>
      <c r="B48" s="1647">
        <v>7178</v>
      </c>
      <c r="C48" s="1647">
        <v>8117</v>
      </c>
      <c r="D48" s="1647">
        <v>4379</v>
      </c>
      <c r="E48" s="1648">
        <v>415</v>
      </c>
      <c r="F48" s="1647">
        <v>2094</v>
      </c>
      <c r="G48" s="1647"/>
      <c r="H48" s="1647">
        <v>22183</v>
      </c>
      <c r="I48" s="1647"/>
      <c r="J48" s="1680">
        <v>0.32358112067799666</v>
      </c>
      <c r="K48" s="1680">
        <f t="shared" si="0"/>
        <v>0.32358112067799666</v>
      </c>
      <c r="L48" s="1678"/>
      <c r="M48" s="1681">
        <v>0.36591083261957352</v>
      </c>
      <c r="N48" s="1681">
        <f>C48/$H48</f>
        <v>0.36591083261957352</v>
      </c>
      <c r="O48" s="1678"/>
      <c r="P48" s="1682">
        <v>0.19740341703105982</v>
      </c>
      <c r="Q48" s="1682">
        <f>D48/$H48</f>
        <v>0.19740341703105982</v>
      </c>
      <c r="R48" s="1678"/>
      <c r="S48" s="1700">
        <v>1.870801965469053E-2</v>
      </c>
      <c r="T48" s="1700">
        <f>E48/$H48</f>
        <v>1.870801965469053E-2</v>
      </c>
      <c r="U48" s="1679"/>
      <c r="V48" s="1683">
        <v>9.4396610016679441E-2</v>
      </c>
      <c r="W48" s="1684">
        <f>F48/$H48</f>
        <v>9.4396610016679441E-2</v>
      </c>
      <c r="AA48" s="1641">
        <v>2002</v>
      </c>
      <c r="AB48" s="1641">
        <v>7178</v>
      </c>
      <c r="AC48" s="1641">
        <v>8117</v>
      </c>
      <c r="AD48" s="1641">
        <v>4379</v>
      </c>
      <c r="AE48" s="1641">
        <v>415</v>
      </c>
      <c r="AF48" s="1641">
        <v>2094</v>
      </c>
      <c r="AH48" s="1641">
        <v>22183</v>
      </c>
    </row>
    <row r="49" spans="1:34" ht="12" customHeight="1">
      <c r="A49" s="1637">
        <v>2003</v>
      </c>
      <c r="B49" s="1649">
        <v>7768</v>
      </c>
      <c r="C49" s="1649">
        <v>7207</v>
      </c>
      <c r="D49" s="1649">
        <v>4551</v>
      </c>
      <c r="E49" s="1649">
        <v>388</v>
      </c>
      <c r="F49" s="1649">
        <v>2125</v>
      </c>
      <c r="G49" s="1647"/>
      <c r="H49" s="1647">
        <v>22039</v>
      </c>
      <c r="I49" s="1647"/>
      <c r="J49" s="1680">
        <v>0.35246608285312403</v>
      </c>
      <c r="K49" s="1680">
        <f t="shared" si="0"/>
        <v>0.35246608285312403</v>
      </c>
      <c r="L49" s="1678"/>
      <c r="M49" s="1681">
        <v>0.32701120740505468</v>
      </c>
      <c r="N49" s="1681">
        <f>C49/$H49</f>
        <v>0.32701120740505468</v>
      </c>
      <c r="O49" s="1678"/>
      <c r="P49" s="1682">
        <v>0.20649757248513997</v>
      </c>
      <c r="Q49" s="1682">
        <f>D49/$H49</f>
        <v>0.20649757248513997</v>
      </c>
      <c r="R49" s="1678"/>
      <c r="S49" s="1700">
        <v>1.7605154498842961E-2</v>
      </c>
      <c r="T49" s="1700">
        <f>E49/$H49</f>
        <v>1.7605154498842961E-2</v>
      </c>
      <c r="U49" s="1679"/>
      <c r="V49" s="1683">
        <v>9.6419982757838377E-2</v>
      </c>
      <c r="W49" s="1684">
        <f>F49/$H49</f>
        <v>9.6419982757838377E-2</v>
      </c>
      <c r="AA49" s="1641">
        <v>2003</v>
      </c>
      <c r="AB49" s="1641">
        <v>7768</v>
      </c>
      <c r="AC49" s="1641">
        <v>7207</v>
      </c>
      <c r="AD49" s="1641">
        <v>4551</v>
      </c>
      <c r="AE49" s="1641">
        <v>388</v>
      </c>
      <c r="AF49" s="1641">
        <v>2125</v>
      </c>
      <c r="AH49" s="1641">
        <v>22039</v>
      </c>
    </row>
    <row r="50" spans="1:34" s="1638" customFormat="1" ht="12" customHeight="1">
      <c r="A50" s="1637">
        <v>2004</v>
      </c>
      <c r="B50" s="1647">
        <v>8038</v>
      </c>
      <c r="C50" s="1647">
        <v>6669</v>
      </c>
      <c r="D50" s="1647">
        <v>4714</v>
      </c>
      <c r="E50" s="1647">
        <v>355</v>
      </c>
      <c r="F50" s="1647">
        <v>2213</v>
      </c>
      <c r="G50" s="1647"/>
      <c r="H50" s="1647">
        <v>21989</v>
      </c>
      <c r="I50" s="1647"/>
      <c r="J50" s="1680">
        <v>0.36554640956842055</v>
      </c>
      <c r="K50" s="1680">
        <f t="shared" si="0"/>
        <v>0.36554640956842055</v>
      </c>
      <c r="L50" s="1678"/>
      <c r="M50" s="1681">
        <v>0.30328800764018371</v>
      </c>
      <c r="N50" s="1681">
        <f>C50/$H50</f>
        <v>0.30328800764018371</v>
      </c>
      <c r="O50" s="1678"/>
      <c r="P50" s="1682">
        <v>0.21437991723134295</v>
      </c>
      <c r="Q50" s="1682">
        <f>D50/$H50</f>
        <v>0.21437991723134295</v>
      </c>
      <c r="R50" s="1678"/>
      <c r="S50" s="1700">
        <v>1.6144435854290783E-2</v>
      </c>
      <c r="T50" s="1700">
        <f>E50/$H50</f>
        <v>1.6144435854290783E-2</v>
      </c>
      <c r="U50" s="1679"/>
      <c r="V50" s="1683">
        <v>0.10064122970576198</v>
      </c>
      <c r="W50" s="1684">
        <f>F50/$H50</f>
        <v>0.10064122970576198</v>
      </c>
      <c r="AA50" s="1641">
        <v>2004</v>
      </c>
      <c r="AB50" s="1638">
        <v>8038</v>
      </c>
      <c r="AC50" s="1638">
        <v>6669</v>
      </c>
      <c r="AD50" s="1638">
        <v>4714</v>
      </c>
      <c r="AE50" s="1638">
        <v>355</v>
      </c>
      <c r="AF50" s="1638">
        <v>2213</v>
      </c>
      <c r="AH50" s="1638">
        <v>21989</v>
      </c>
    </row>
    <row r="51" spans="1:34" s="1638" customFormat="1" ht="3" customHeight="1">
      <c r="A51" s="1637"/>
      <c r="B51" s="1647"/>
      <c r="C51" s="1647"/>
      <c r="D51" s="1647"/>
      <c r="E51" s="1647"/>
      <c r="F51" s="1647"/>
      <c r="G51" s="1647"/>
      <c r="H51" s="1647"/>
      <c r="I51" s="1647"/>
      <c r="J51" s="1680"/>
      <c r="K51" s="1680"/>
      <c r="L51" s="1678"/>
      <c r="M51" s="1681"/>
      <c r="N51" s="1681"/>
      <c r="O51" s="1678"/>
      <c r="P51" s="1682"/>
      <c r="Q51" s="1682"/>
      <c r="R51" s="1678"/>
      <c r="S51" s="1700"/>
      <c r="T51" s="1700"/>
      <c r="U51" s="1679"/>
      <c r="V51" s="1683"/>
      <c r="W51" s="1684"/>
      <c r="AA51" s="1641"/>
    </row>
    <row r="52" spans="1:34" s="1638" customFormat="1" ht="12" customHeight="1">
      <c r="A52" s="1637">
        <v>2005</v>
      </c>
      <c r="B52" s="1647">
        <v>8193</v>
      </c>
      <c r="C52" s="1647">
        <v>6518</v>
      </c>
      <c r="D52" s="1647">
        <v>4743</v>
      </c>
      <c r="E52" s="1647">
        <v>357</v>
      </c>
      <c r="F52" s="1647">
        <v>2233</v>
      </c>
      <c r="G52" s="1647"/>
      <c r="H52" s="1647">
        <v>22044</v>
      </c>
      <c r="I52" s="1647"/>
      <c r="J52" s="1680">
        <v>0.37166575939031027</v>
      </c>
      <c r="K52" s="1680">
        <f t="shared" si="0"/>
        <v>0.37166575939031027</v>
      </c>
      <c r="L52" s="1678"/>
      <c r="M52" s="1681">
        <v>0.29568136454363997</v>
      </c>
      <c r="N52" s="1681">
        <f>C52/$H52</f>
        <v>0.29568136454363997</v>
      </c>
      <c r="O52" s="1678"/>
      <c r="P52" s="1682">
        <v>0.21516058791507894</v>
      </c>
      <c r="Q52" s="1682">
        <f>D52/$H52</f>
        <v>0.21516058791507894</v>
      </c>
      <c r="R52" s="1678"/>
      <c r="S52" s="1700">
        <v>1.6194882961350028E-2</v>
      </c>
      <c r="T52" s="1700">
        <f>E52/$H52</f>
        <v>1.6194882961350028E-2</v>
      </c>
      <c r="U52" s="1679"/>
      <c r="V52" s="1683">
        <v>0.10129740518962076</v>
      </c>
      <c r="W52" s="1684">
        <f>F52/$H52</f>
        <v>0.10129740518962076</v>
      </c>
      <c r="AA52" s="1641">
        <v>2005</v>
      </c>
      <c r="AB52" s="1638">
        <v>8193</v>
      </c>
      <c r="AC52" s="1638">
        <v>6518</v>
      </c>
      <c r="AD52" s="1638">
        <v>4743</v>
      </c>
      <c r="AE52" s="1638">
        <v>357</v>
      </c>
      <c r="AF52" s="1638">
        <v>2233</v>
      </c>
      <c r="AH52" s="1638">
        <v>22044</v>
      </c>
    </row>
    <row r="53" spans="1:34" s="1638" customFormat="1" ht="12" customHeight="1">
      <c r="A53" s="1637">
        <v>2006</v>
      </c>
      <c r="B53" s="1647">
        <v>8495</v>
      </c>
      <c r="C53" s="1647">
        <v>6176</v>
      </c>
      <c r="D53" s="1647">
        <v>4723</v>
      </c>
      <c r="E53" s="1647">
        <v>364</v>
      </c>
      <c r="F53" s="1647">
        <v>2273</v>
      </c>
      <c r="G53" s="1647"/>
      <c r="H53" s="1647">
        <v>22031</v>
      </c>
      <c r="I53" s="1647"/>
      <c r="J53" s="1680">
        <v>0.38559302800599154</v>
      </c>
      <c r="K53" s="1680">
        <f t="shared" ref="K53:K62" si="1">B53/$H53</f>
        <v>0.38559302800599154</v>
      </c>
      <c r="L53" s="1678"/>
      <c r="M53" s="1681">
        <v>0.28033225908946485</v>
      </c>
      <c r="N53" s="1681">
        <f>C53/$H53</f>
        <v>0.28033225908946485</v>
      </c>
      <c r="O53" s="1678"/>
      <c r="P53" s="1682">
        <v>0.21437973764241297</v>
      </c>
      <c r="Q53" s="1682">
        <f>D53/$H53</f>
        <v>0.21437973764241297</v>
      </c>
      <c r="R53" s="1678"/>
      <c r="S53" s="1700">
        <v>1.6522173301257319E-2</v>
      </c>
      <c r="T53" s="1700">
        <f>E53/$H53</f>
        <v>1.6522173301257319E-2</v>
      </c>
      <c r="U53" s="1679"/>
      <c r="V53" s="1683">
        <v>0.10317280196087332</v>
      </c>
      <c r="W53" s="1684">
        <f>F53/$H53</f>
        <v>0.10317280196087332</v>
      </c>
      <c r="AA53" s="1641">
        <v>2006</v>
      </c>
      <c r="AB53" s="1638">
        <v>8495</v>
      </c>
      <c r="AC53" s="1638">
        <v>6176</v>
      </c>
      <c r="AD53" s="1638">
        <v>4723</v>
      </c>
      <c r="AE53" s="1638">
        <v>364</v>
      </c>
      <c r="AF53" s="1638">
        <v>2273</v>
      </c>
      <c r="AH53" s="1638">
        <v>22031</v>
      </c>
    </row>
    <row r="54" spans="1:34" s="1638" customFormat="1" ht="12" customHeight="1">
      <c r="A54" s="1637">
        <v>2007</v>
      </c>
      <c r="B54" s="1647">
        <v>9431</v>
      </c>
      <c r="C54" s="1647">
        <v>5483</v>
      </c>
      <c r="D54" s="1647">
        <v>4420</v>
      </c>
      <c r="E54" s="1647">
        <v>537</v>
      </c>
      <c r="F54" s="1647">
        <v>2173</v>
      </c>
      <c r="G54" s="1647"/>
      <c r="H54" s="1647">
        <v>22044</v>
      </c>
      <c r="I54" s="1647"/>
      <c r="J54" s="1680">
        <v>0.42782616585011796</v>
      </c>
      <c r="K54" s="1680">
        <f t="shared" si="1"/>
        <v>0.42782616585011796</v>
      </c>
      <c r="L54" s="1678"/>
      <c r="M54" s="1681">
        <v>0.24872981310107101</v>
      </c>
      <c r="N54" s="1681">
        <f>C54/$H54</f>
        <v>0.24872981310107059</v>
      </c>
      <c r="O54" s="1678"/>
      <c r="P54" s="1682">
        <v>0.20050807475957177</v>
      </c>
      <c r="Q54" s="1682">
        <f>D54/$H54</f>
        <v>0.20050807475957177</v>
      </c>
      <c r="R54" s="1678"/>
      <c r="S54" s="1700">
        <v>2.4360370168753403E-2</v>
      </c>
      <c r="T54" s="1700">
        <f>E54/$H54</f>
        <v>2.4360370168753403E-2</v>
      </c>
      <c r="U54" s="1679"/>
      <c r="V54" s="1683">
        <v>9.85755761204863E-2</v>
      </c>
      <c r="W54" s="1684">
        <f>F54/$H54</f>
        <v>9.85755761204863E-2</v>
      </c>
      <c r="AA54" s="1641">
        <v>2007</v>
      </c>
      <c r="AB54" s="1638">
        <v>9431</v>
      </c>
      <c r="AC54" s="1638">
        <v>5483</v>
      </c>
      <c r="AD54" s="1638">
        <v>4420</v>
      </c>
      <c r="AE54" s="1638">
        <v>537</v>
      </c>
      <c r="AF54" s="1638">
        <v>2173</v>
      </c>
      <c r="AH54" s="1638">
        <v>22044</v>
      </c>
    </row>
    <row r="55" spans="1:34" s="1638" customFormat="1" ht="12" customHeight="1">
      <c r="A55" s="1637">
        <v>2008</v>
      </c>
      <c r="B55" s="1647">
        <v>9721</v>
      </c>
      <c r="C55" s="1647">
        <v>5122</v>
      </c>
      <c r="D55" s="1647">
        <v>4467</v>
      </c>
      <c r="E55" s="1647">
        <v>569</v>
      </c>
      <c r="F55" s="1647">
        <v>2225</v>
      </c>
      <c r="G55" s="1647"/>
      <c r="H55" s="1647">
        <v>22104</v>
      </c>
      <c r="I55" s="1647"/>
      <c r="J55" s="1680">
        <v>0.43978465436120157</v>
      </c>
      <c r="K55" s="1680">
        <f t="shared" si="1"/>
        <v>0.43978465436120157</v>
      </c>
      <c r="L55" s="1678"/>
      <c r="M55" s="1681">
        <v>0.23172276511038725</v>
      </c>
      <c r="N55" s="1681">
        <f>C55/$H55</f>
        <v>0.23172276511038725</v>
      </c>
      <c r="O55" s="1678"/>
      <c r="P55" s="1682">
        <v>0.20209011943539631</v>
      </c>
      <c r="Q55" s="1682">
        <f>D55/$H55</f>
        <v>0.20209011943539631</v>
      </c>
      <c r="R55" s="1678"/>
      <c r="S55" s="1700">
        <v>2.5741947158885271E-2</v>
      </c>
      <c r="T55" s="1700">
        <f>E55/$H55</f>
        <v>2.5741947158885271E-2</v>
      </c>
      <c r="U55" s="1679"/>
      <c r="V55" s="1683">
        <v>0.10066051393412957</v>
      </c>
      <c r="W55" s="1684">
        <f>F55/$H55</f>
        <v>0.10066051393412957</v>
      </c>
      <c r="AA55" s="1641">
        <v>2008</v>
      </c>
      <c r="AB55" s="1638">
        <v>9721</v>
      </c>
      <c r="AC55" s="1638">
        <v>5122</v>
      </c>
      <c r="AD55" s="1638">
        <v>4467</v>
      </c>
      <c r="AE55" s="1638">
        <v>569</v>
      </c>
      <c r="AF55" s="1638">
        <v>2225</v>
      </c>
      <c r="AH55" s="1638">
        <v>22104</v>
      </c>
    </row>
    <row r="56" spans="1:34" s="1638" customFormat="1" ht="3" customHeight="1">
      <c r="A56" s="1637"/>
      <c r="B56" s="1647"/>
      <c r="C56" s="1647"/>
      <c r="D56" s="1647"/>
      <c r="E56" s="1647"/>
      <c r="F56" s="1647"/>
      <c r="G56" s="1647"/>
      <c r="H56" s="1647"/>
      <c r="I56" s="1647"/>
      <c r="J56" s="1680"/>
      <c r="K56" s="1680"/>
      <c r="L56" s="1678"/>
      <c r="M56" s="1681"/>
      <c r="N56" s="1681"/>
      <c r="O56" s="1678"/>
      <c r="P56" s="1682"/>
      <c r="Q56" s="1682"/>
      <c r="R56" s="1678"/>
      <c r="S56" s="1700"/>
      <c r="T56" s="1700"/>
      <c r="U56" s="1679"/>
      <c r="V56" s="1683"/>
      <c r="W56" s="1684"/>
      <c r="AA56" s="1641"/>
    </row>
    <row r="57" spans="1:34" ht="12" customHeight="1">
      <c r="A57" s="1637">
        <v>2009</v>
      </c>
      <c r="B57" s="1647">
        <v>9553</v>
      </c>
      <c r="C57" s="1647">
        <v>4436</v>
      </c>
      <c r="D57" s="1647">
        <v>4083</v>
      </c>
      <c r="E57" s="1647">
        <v>570</v>
      </c>
      <c r="F57" s="1647">
        <v>2060</v>
      </c>
      <c r="G57" s="1647"/>
      <c r="H57" s="1647">
        <v>20702</v>
      </c>
      <c r="I57" s="1647"/>
      <c r="J57" s="1680">
        <v>0.46145299971017295</v>
      </c>
      <c r="K57" s="1680">
        <f t="shared" si="1"/>
        <v>0.46145299971017295</v>
      </c>
      <c r="L57" s="1678"/>
      <c r="M57" s="1681">
        <v>0.21427881364119408</v>
      </c>
      <c r="N57" s="1681">
        <f>C57/$H57</f>
        <v>0.21427881364119408</v>
      </c>
      <c r="O57" s="1678"/>
      <c r="P57" s="1682">
        <v>0.19722732103178436</v>
      </c>
      <c r="Q57" s="1682">
        <f>D57/$H57</f>
        <v>0.19722732103178436</v>
      </c>
      <c r="R57" s="1678"/>
      <c r="S57" s="1700">
        <v>2.7533571635590764E-2</v>
      </c>
      <c r="T57" s="1700">
        <f>E57/$H57</f>
        <v>2.7533571635590764E-2</v>
      </c>
      <c r="U57" s="1679"/>
      <c r="V57" s="1683">
        <v>9.9507293981257849E-2</v>
      </c>
      <c r="W57" s="1684">
        <f>F57/$H57</f>
        <v>9.9507293981257849E-2</v>
      </c>
      <c r="AA57" s="1641">
        <v>2009</v>
      </c>
      <c r="AB57" s="1641">
        <v>9553</v>
      </c>
      <c r="AC57" s="1641">
        <v>4436</v>
      </c>
      <c r="AD57" s="1641">
        <v>4083</v>
      </c>
      <c r="AE57" s="1641">
        <v>570</v>
      </c>
      <c r="AF57" s="1641">
        <v>2060</v>
      </c>
      <c r="AH57" s="1641">
        <v>20702</v>
      </c>
    </row>
    <row r="58" spans="1:34" ht="12" customHeight="1">
      <c r="A58" s="1637">
        <v>2010</v>
      </c>
      <c r="B58" s="1647">
        <v>9406</v>
      </c>
      <c r="C58" s="1647">
        <v>4831</v>
      </c>
      <c r="D58" s="1647">
        <v>3944</v>
      </c>
      <c r="E58" s="1647">
        <v>568</v>
      </c>
      <c r="F58" s="1647">
        <v>1962</v>
      </c>
      <c r="G58" s="1647"/>
      <c r="H58" s="1647">
        <v>20711</v>
      </c>
      <c r="I58" s="1647"/>
      <c r="J58" s="1680">
        <v>0.45415479696779487</v>
      </c>
      <c r="K58" s="1680">
        <f t="shared" si="1"/>
        <v>0.45415479696779487</v>
      </c>
      <c r="L58" s="1678"/>
      <c r="M58" s="1681">
        <v>0.23325768915069287</v>
      </c>
      <c r="N58" s="1681">
        <f>C58/$H58</f>
        <v>0.23325768915069287</v>
      </c>
      <c r="O58" s="1678"/>
      <c r="P58" s="1682">
        <v>0.19043020617063397</v>
      </c>
      <c r="Q58" s="1682">
        <f>D58/$H58</f>
        <v>0.19043020617063397</v>
      </c>
      <c r="R58" s="1678"/>
      <c r="S58" s="1700">
        <v>2.7425039833904687E-2</v>
      </c>
      <c r="T58" s="1700">
        <f>E58/$H58</f>
        <v>2.7425039833904687E-2</v>
      </c>
      <c r="U58" s="1679"/>
      <c r="V58" s="1683">
        <v>9.4732267876973586E-2</v>
      </c>
      <c r="W58" s="1684">
        <f>F58/$H58</f>
        <v>9.4732267876973586E-2</v>
      </c>
      <c r="AA58" s="1641">
        <v>2010</v>
      </c>
      <c r="AB58" s="1641">
        <v>9406</v>
      </c>
      <c r="AC58" s="1641">
        <v>4831</v>
      </c>
      <c r="AD58" s="1641">
        <v>3944</v>
      </c>
      <c r="AE58" s="1641">
        <v>568</v>
      </c>
      <c r="AF58" s="1641">
        <v>1962</v>
      </c>
      <c r="AH58" s="1641">
        <v>20711</v>
      </c>
    </row>
    <row r="59" spans="1:34" ht="12" customHeight="1">
      <c r="A59" s="1637">
        <v>2011</v>
      </c>
      <c r="B59" s="1647">
        <v>9445</v>
      </c>
      <c r="C59" s="1647">
        <v>5707</v>
      </c>
      <c r="D59" s="1647">
        <v>3104</v>
      </c>
      <c r="E59" s="1647">
        <v>568</v>
      </c>
      <c r="F59" s="1647">
        <v>1855</v>
      </c>
      <c r="G59" s="1647"/>
      <c r="H59" s="1647">
        <v>20679</v>
      </c>
      <c r="J59" s="1680">
        <v>0.45674355626480972</v>
      </c>
      <c r="K59" s="1680">
        <f t="shared" si="1"/>
        <v>0.45674355626480972</v>
      </c>
      <c r="L59" s="1678"/>
      <c r="M59" s="1681">
        <v>0.27598046327191839</v>
      </c>
      <c r="N59" s="1681">
        <f>C59/$H59</f>
        <v>0.27598046327191839</v>
      </c>
      <c r="O59" s="1678"/>
      <c r="P59" s="1682">
        <v>0.15010397021132549</v>
      </c>
      <c r="Q59" s="1682">
        <f>D59/$H59</f>
        <v>0.15010397021132549</v>
      </c>
      <c r="R59" s="1678"/>
      <c r="S59" s="1700">
        <v>2.7467479085062141E-2</v>
      </c>
      <c r="T59" s="1700">
        <f>E59/$H59</f>
        <v>2.7467479085062141E-2</v>
      </c>
      <c r="U59" s="1679"/>
      <c r="V59" s="1683">
        <v>8.9704531166884274E-2</v>
      </c>
      <c r="W59" s="1684">
        <f>F59/$H59</f>
        <v>8.9704531166884274E-2</v>
      </c>
      <c r="AA59" s="1641">
        <v>2011</v>
      </c>
      <c r="AB59" s="1641">
        <v>9445</v>
      </c>
      <c r="AC59" s="1641">
        <v>5707</v>
      </c>
      <c r="AD59" s="1641">
        <v>3104</v>
      </c>
      <c r="AE59" s="1641">
        <v>568</v>
      </c>
      <c r="AF59" s="1641">
        <v>1855</v>
      </c>
      <c r="AH59" s="1641">
        <v>20679</v>
      </c>
    </row>
    <row r="60" spans="1:34" ht="12" customHeight="1">
      <c r="A60" s="1637">
        <v>2012</v>
      </c>
      <c r="B60" s="1647">
        <v>9004</v>
      </c>
      <c r="C60" s="1647">
        <v>6559</v>
      </c>
      <c r="D60" s="1647">
        <v>2711</v>
      </c>
      <c r="E60" s="1647">
        <v>584</v>
      </c>
      <c r="F60" s="1647">
        <v>1787</v>
      </c>
      <c r="G60" s="1647"/>
      <c r="H60" s="1647">
        <v>20645</v>
      </c>
      <c r="J60" s="1680">
        <v>0.43613465730201018</v>
      </c>
      <c r="K60" s="1680">
        <f t="shared" si="1"/>
        <v>0.43613465730201018</v>
      </c>
      <c r="L60" s="1678"/>
      <c r="M60" s="1681">
        <v>0.31770404456284812</v>
      </c>
      <c r="N60" s="1681">
        <f>C60/$H60</f>
        <v>0.31770404456284812</v>
      </c>
      <c r="O60" s="1678"/>
      <c r="P60" s="1682">
        <v>0.13131508839912812</v>
      </c>
      <c r="Q60" s="1682">
        <f>D60/$H60</f>
        <v>0.13131508839912812</v>
      </c>
      <c r="R60" s="1678"/>
      <c r="S60" s="1700">
        <v>2.8287720997820294E-2</v>
      </c>
      <c r="T60" s="1700">
        <f>E60/$H60</f>
        <v>2.8287720997820294E-2</v>
      </c>
      <c r="U60" s="1679"/>
      <c r="V60" s="1683">
        <v>8.6558488738193273E-2</v>
      </c>
      <c r="W60" s="1684">
        <f>F60/$H60</f>
        <v>8.6558488738193273E-2</v>
      </c>
      <c r="AA60" s="1641">
        <v>2012</v>
      </c>
      <c r="AB60" s="1641">
        <v>9004</v>
      </c>
      <c r="AC60" s="1641">
        <v>6559</v>
      </c>
      <c r="AD60" s="1641">
        <v>2711</v>
      </c>
      <c r="AE60" s="1641">
        <v>584</v>
      </c>
      <c r="AF60" s="1641">
        <v>1787</v>
      </c>
      <c r="AH60" s="1641">
        <v>20645</v>
      </c>
    </row>
    <row r="61" spans="1:34" ht="3" customHeight="1">
      <c r="A61" s="1637"/>
      <c r="B61" s="1647"/>
      <c r="C61" s="1647"/>
      <c r="D61" s="1647"/>
      <c r="E61" s="1647"/>
      <c r="F61" s="1647"/>
      <c r="G61" s="1647"/>
      <c r="H61" s="1647"/>
      <c r="J61" s="1680"/>
      <c r="K61" s="1680"/>
      <c r="L61" s="1678"/>
      <c r="M61" s="1681"/>
      <c r="N61" s="1681"/>
      <c r="O61" s="1678"/>
      <c r="P61" s="1682"/>
      <c r="Q61" s="1682"/>
      <c r="R61" s="1678"/>
      <c r="S61" s="1700"/>
      <c r="T61" s="1700"/>
      <c r="U61" s="1679"/>
      <c r="V61" s="1683"/>
      <c r="W61" s="1684"/>
    </row>
    <row r="62" spans="1:34" ht="12" customHeight="1">
      <c r="A62" s="1637">
        <v>2013</v>
      </c>
      <c r="B62" s="1647">
        <v>8589</v>
      </c>
      <c r="C62" s="1647">
        <v>6842</v>
      </c>
      <c r="D62" s="1647">
        <v>2576</v>
      </c>
      <c r="E62" s="1647">
        <v>590</v>
      </c>
      <c r="F62" s="1647">
        <v>1991</v>
      </c>
      <c r="G62" s="1647"/>
      <c r="H62" s="1647">
        <f>SUM(B62:F62)</f>
        <v>20588</v>
      </c>
      <c r="J62" s="1680">
        <v>0.41718476782591801</v>
      </c>
      <c r="K62" s="1680">
        <f t="shared" si="1"/>
        <v>0.41718476782591801</v>
      </c>
      <c r="L62" s="1678"/>
      <c r="M62" s="1681">
        <v>0.33232951233728386</v>
      </c>
      <c r="N62" s="1681">
        <f>C62/$H62</f>
        <v>0.33232951233728386</v>
      </c>
      <c r="O62" s="1678"/>
      <c r="P62" s="1682">
        <v>0.12512142995919953</v>
      </c>
      <c r="Q62" s="1682">
        <f>D62/$H62</f>
        <v>0.12512142995919953</v>
      </c>
      <c r="R62" s="1678"/>
      <c r="S62" s="1700">
        <v>2.8657470371089955E-2</v>
      </c>
      <c r="T62" s="1700">
        <f>E62/$H62</f>
        <v>2.8657470371089955E-2</v>
      </c>
      <c r="U62" s="1679"/>
      <c r="V62" s="1683">
        <v>9.670681950650864E-2</v>
      </c>
      <c r="W62" s="1684">
        <f>F62/$H62</f>
        <v>9.670681950650864E-2</v>
      </c>
      <c r="AA62" s="1641">
        <v>2013</v>
      </c>
      <c r="AB62" s="1641">
        <v>8589</v>
      </c>
      <c r="AC62" s="1641">
        <v>6842</v>
      </c>
      <c r="AD62" s="1641">
        <v>2576</v>
      </c>
      <c r="AE62" s="1641">
        <v>590</v>
      </c>
      <c r="AF62" s="1641">
        <v>1991</v>
      </c>
      <c r="AH62" s="1641">
        <v>20588</v>
      </c>
    </row>
    <row r="63" spans="1:34" ht="12" customHeight="1">
      <c r="A63" s="1637">
        <v>2014</v>
      </c>
      <c r="B63" s="1647">
        <v>8261</v>
      </c>
      <c r="C63" s="1647">
        <v>7129</v>
      </c>
      <c r="D63" s="1647">
        <v>2235</v>
      </c>
      <c r="E63" s="1647">
        <v>591</v>
      </c>
      <c r="F63" s="1647">
        <v>2362</v>
      </c>
      <c r="G63" s="1647"/>
      <c r="H63" s="1647">
        <v>20578</v>
      </c>
      <c r="J63" s="1680">
        <v>0.40144814850811544</v>
      </c>
      <c r="K63" s="1680">
        <v>0.40144814850811544</v>
      </c>
      <c r="L63" s="1678"/>
      <c r="M63" s="1681">
        <v>0.34643794343473611</v>
      </c>
      <c r="N63" s="1681">
        <v>0.34643794343473611</v>
      </c>
      <c r="O63" s="1678"/>
      <c r="P63" s="1682">
        <v>0.10861113810865973</v>
      </c>
      <c r="Q63" s="1682">
        <v>0.10861113810865973</v>
      </c>
      <c r="R63" s="1678"/>
      <c r="S63" s="1700">
        <v>2.8719992224705997E-2</v>
      </c>
      <c r="T63" s="1701">
        <v>2.8719992224705997E-2</v>
      </c>
      <c r="U63" s="1678"/>
      <c r="V63" s="1683">
        <v>0.11478277772378268</v>
      </c>
      <c r="W63" s="1684">
        <v>0.11478277772378268</v>
      </c>
      <c r="AA63" s="1641">
        <v>2014</v>
      </c>
      <c r="AB63" s="1641">
        <v>8261</v>
      </c>
      <c r="AC63" s="1641">
        <v>7129</v>
      </c>
      <c r="AD63" s="1641">
        <v>2235</v>
      </c>
      <c r="AE63" s="1641">
        <v>591</v>
      </c>
      <c r="AF63" s="1641">
        <v>2362</v>
      </c>
      <c r="AH63" s="1641">
        <v>20578</v>
      </c>
    </row>
    <row r="64" spans="1:34" ht="12" customHeight="1">
      <c r="A64" s="1637">
        <v>2015</v>
      </c>
      <c r="B64" s="1647">
        <v>8766</v>
      </c>
      <c r="C64" s="1647">
        <v>6873</v>
      </c>
      <c r="D64" s="1647">
        <v>1810</v>
      </c>
      <c r="E64" s="1647">
        <v>592</v>
      </c>
      <c r="F64" s="1647">
        <v>2241</v>
      </c>
      <c r="G64" s="1647"/>
      <c r="H64" s="1647">
        <v>20282</v>
      </c>
      <c r="J64" s="1680">
        <v>0.43220589685435362</v>
      </c>
      <c r="K64" s="1680">
        <v>0.43220589685435362</v>
      </c>
      <c r="L64" s="1678"/>
      <c r="M64" s="1681">
        <v>0.33887190612365642</v>
      </c>
      <c r="N64" s="1681">
        <v>0.33887190612365642</v>
      </c>
      <c r="O64" s="1678"/>
      <c r="P64" s="1682">
        <v>8.924169214081451E-2</v>
      </c>
      <c r="Q64" s="1682">
        <v>8.924169214081451E-2</v>
      </c>
      <c r="R64" s="1678"/>
      <c r="S64" s="1700">
        <v>2.9188442954343752E-2</v>
      </c>
      <c r="T64" s="1701">
        <v>2.9188442954343752E-2</v>
      </c>
      <c r="U64" s="1678"/>
      <c r="V64" s="1683">
        <v>0.11049206192683167</v>
      </c>
      <c r="W64" s="1684">
        <v>0.11049206192683167</v>
      </c>
      <c r="AA64" s="1641">
        <v>2015</v>
      </c>
      <c r="AB64" s="1641">
        <v>8766</v>
      </c>
      <c r="AC64" s="1641">
        <v>6873</v>
      </c>
      <c r="AD64" s="1641">
        <v>1810</v>
      </c>
      <c r="AE64" s="1641">
        <v>592</v>
      </c>
      <c r="AF64" s="1641">
        <v>2241</v>
      </c>
      <c r="AH64" s="1641">
        <v>20282</v>
      </c>
    </row>
    <row r="65" spans="1:32" ht="14.5" customHeight="1">
      <c r="A65" s="1637">
        <v>2016</v>
      </c>
      <c r="B65" s="1647">
        <v>8709</v>
      </c>
      <c r="C65" s="1647">
        <v>6851</v>
      </c>
      <c r="D65" s="1647">
        <v>1822</v>
      </c>
      <c r="E65" s="1647">
        <v>596</v>
      </c>
      <c r="F65" s="1647">
        <v>2251</v>
      </c>
      <c r="G65" s="1647"/>
      <c r="H65" s="1647">
        <v>20229</v>
      </c>
      <c r="J65" s="1680">
        <v>0.43052053981907201</v>
      </c>
      <c r="K65" s="1680">
        <f>B65/$H65</f>
        <v>0.43052053981907162</v>
      </c>
      <c r="L65" s="1678"/>
      <c r="M65" s="1681">
        <v>0.33867220327252956</v>
      </c>
      <c r="N65" s="1681">
        <f>C65/$H65</f>
        <v>0.33867220327252956</v>
      </c>
      <c r="O65" s="1678"/>
      <c r="P65" s="1682">
        <v>9.0068713233476691E-2</v>
      </c>
      <c r="Q65" s="1682">
        <f>D65/$H65</f>
        <v>9.0068713233476691E-2</v>
      </c>
      <c r="R65" s="1678"/>
      <c r="S65" s="1700">
        <v>2.9462652627416087E-2</v>
      </c>
      <c r="T65" s="1701">
        <f>E65/$H65</f>
        <v>2.9462652627416087E-2</v>
      </c>
      <c r="U65" s="1678"/>
      <c r="V65" s="1683">
        <v>0.11127589104750606</v>
      </c>
      <c r="W65" s="1684">
        <f>F65/$H65</f>
        <v>0.11127589104750606</v>
      </c>
      <c r="AA65" s="1637">
        <v>2016</v>
      </c>
      <c r="AB65" s="1647">
        <v>8709</v>
      </c>
      <c r="AC65" s="1647">
        <v>6851</v>
      </c>
      <c r="AD65" s="1647">
        <v>1822</v>
      </c>
      <c r="AE65" s="1647">
        <v>596</v>
      </c>
      <c r="AF65" s="1647">
        <v>2251</v>
      </c>
    </row>
    <row r="66" spans="1:32" s="1638" customFormat="1" ht="3" customHeight="1">
      <c r="A66" s="1637"/>
      <c r="B66" s="1647"/>
      <c r="C66" s="1647"/>
      <c r="D66" s="1647"/>
      <c r="E66" s="1647"/>
      <c r="F66" s="1647"/>
      <c r="G66" s="1647"/>
      <c r="H66" s="1647"/>
      <c r="I66" s="1647"/>
      <c r="J66" s="1680"/>
      <c r="K66" s="1680"/>
      <c r="L66" s="1678"/>
      <c r="M66" s="1681"/>
      <c r="N66" s="1681"/>
      <c r="O66" s="1678"/>
      <c r="P66" s="1682"/>
      <c r="Q66" s="1682"/>
      <c r="R66" s="1678"/>
      <c r="S66" s="1700"/>
      <c r="T66" s="1700"/>
      <c r="U66" s="1679"/>
      <c r="V66" s="1683"/>
      <c r="W66" s="1684"/>
      <c r="AA66" s="1641"/>
    </row>
    <row r="67" spans="1:32" ht="12" customHeight="1">
      <c r="A67" s="1637">
        <v>2017</v>
      </c>
      <c r="B67" s="1647">
        <v>9233</v>
      </c>
      <c r="C67" s="1647">
        <v>6439</v>
      </c>
      <c r="D67" s="1647">
        <v>1803</v>
      </c>
      <c r="E67" s="1647">
        <v>634</v>
      </c>
      <c r="F67" s="1647">
        <v>2100</v>
      </c>
      <c r="G67" s="1647"/>
      <c r="H67" s="1647">
        <f>SUM(B67:F67)</f>
        <v>20209</v>
      </c>
      <c r="J67" s="1680">
        <f>B67/H67</f>
        <v>0.45687564946311049</v>
      </c>
      <c r="K67" s="1680">
        <f>B67/$H67</f>
        <v>0.45687564946311049</v>
      </c>
      <c r="L67" s="1678"/>
      <c r="M67" s="1681">
        <f>C67/H67</f>
        <v>0.31862041664604879</v>
      </c>
      <c r="N67" s="1681">
        <f>C67/$H67</f>
        <v>0.31862041664604879</v>
      </c>
      <c r="O67" s="1678"/>
      <c r="P67" s="1682">
        <f>D67/H67</f>
        <v>8.9217675293186208E-2</v>
      </c>
      <c r="Q67" s="1682">
        <f>D67/$H67</f>
        <v>8.9217675293186208E-2</v>
      </c>
      <c r="R67" s="1678"/>
      <c r="S67" s="1700">
        <f>E67/H67</f>
        <v>3.137216091840269E-2</v>
      </c>
      <c r="T67" s="1701">
        <f>E67/$H67</f>
        <v>3.137216091840269E-2</v>
      </c>
      <c r="U67" s="1678"/>
      <c r="V67" s="1683">
        <f>F67/H67</f>
        <v>0.10391409767925182</v>
      </c>
      <c r="W67" s="1684">
        <f>F67/$H67</f>
        <v>0.10391409767925182</v>
      </c>
      <c r="AA67" s="1637"/>
      <c r="AB67" s="1647"/>
      <c r="AC67" s="1647"/>
      <c r="AD67" s="1647"/>
      <c r="AE67" s="1647"/>
      <c r="AF67" s="1647"/>
    </row>
    <row r="68" spans="1:32" ht="12" customHeight="1">
      <c r="A68" s="1637">
        <v>2018</v>
      </c>
      <c r="B68" s="1647">
        <v>9102</v>
      </c>
      <c r="C68" s="1647">
        <v>6485</v>
      </c>
      <c r="D68" s="1647">
        <v>1873</v>
      </c>
      <c r="E68" s="1647">
        <v>631</v>
      </c>
      <c r="F68" s="1647">
        <v>2019</v>
      </c>
      <c r="G68" s="1647"/>
      <c r="H68" s="1647">
        <f>SUM(B68:F68)</f>
        <v>20110</v>
      </c>
      <c r="J68" s="1680">
        <f>B68/H68</f>
        <v>0.45261064147190455</v>
      </c>
      <c r="K68" s="1680">
        <f>B68/$H68</f>
        <v>0.45261064147190455</v>
      </c>
      <c r="L68" s="1678"/>
      <c r="M68" s="1681">
        <f>C68/H68</f>
        <v>0.32247637991049227</v>
      </c>
      <c r="N68" s="1681">
        <f>C68/$H68</f>
        <v>0.32247637991049227</v>
      </c>
      <c r="O68" s="1678"/>
      <c r="P68" s="1682">
        <f>D68/H68</f>
        <v>9.3137742416708108E-2</v>
      </c>
      <c r="Q68" s="1682">
        <f>D68/$H68</f>
        <v>9.3137742416708108E-2</v>
      </c>
      <c r="R68" s="1678"/>
      <c r="S68" s="1700">
        <f>E68/H68</f>
        <v>3.1377424167081051E-2</v>
      </c>
      <c r="T68" s="1701">
        <f>E68/$H68</f>
        <v>3.1377424167081051E-2</v>
      </c>
      <c r="U68" s="1678"/>
      <c r="V68" s="1683">
        <f>F68/H68</f>
        <v>0.10039781203381402</v>
      </c>
      <c r="W68" s="1684">
        <f>F68/$H68</f>
        <v>0.10039781203381402</v>
      </c>
      <c r="AA68" s="1637"/>
      <c r="AB68" s="1647"/>
      <c r="AC68" s="1647"/>
      <c r="AD68" s="1647"/>
      <c r="AE68" s="1647"/>
      <c r="AF68" s="1647"/>
    </row>
    <row r="69" spans="1:32" ht="12" customHeight="1">
      <c r="A69" s="1637">
        <v>2019</v>
      </c>
      <c r="B69" s="1647">
        <v>7507</v>
      </c>
      <c r="C69" s="1647">
        <v>6332</v>
      </c>
      <c r="D69" s="1647">
        <v>2531</v>
      </c>
      <c r="E69" s="1647">
        <v>622</v>
      </c>
      <c r="F69" s="1647">
        <v>2655</v>
      </c>
      <c r="G69" s="1647"/>
      <c r="H69" s="1647">
        <v>19647</v>
      </c>
      <c r="J69" s="1680">
        <v>0.38</v>
      </c>
      <c r="K69" s="1680">
        <f>B69/$H69</f>
        <v>0.38209395836514481</v>
      </c>
      <c r="L69" s="1678"/>
      <c r="M69" s="1681">
        <v>0.32</v>
      </c>
      <c r="N69" s="1681">
        <f>C69/$H69</f>
        <v>0.32228839008500026</v>
      </c>
      <c r="O69" s="1678"/>
      <c r="P69" s="1682">
        <v>0.13</v>
      </c>
      <c r="Q69" s="1682">
        <f>D69/$H69</f>
        <v>0.12882373899323052</v>
      </c>
      <c r="R69" s="1678"/>
      <c r="S69" s="1700">
        <v>3.2000000000000001E-2</v>
      </c>
      <c r="T69" s="1701">
        <f>E69/$H69</f>
        <v>3.1658777421489287E-2</v>
      </c>
      <c r="U69" s="1678"/>
      <c r="V69" s="1683">
        <v>0.14000000000000001</v>
      </c>
      <c r="W69" s="1684">
        <f>F69/$H69</f>
        <v>0.13513513513513514</v>
      </c>
      <c r="AA69" s="1637"/>
      <c r="AB69" s="1647"/>
      <c r="AC69" s="1647"/>
      <c r="AD69" s="1647"/>
      <c r="AE69" s="1647"/>
      <c r="AF69" s="1647"/>
    </row>
    <row r="70" spans="1:32" ht="12" customHeight="1">
      <c r="A70" s="1637">
        <v>2021</v>
      </c>
      <c r="B70" s="1647">
        <v>7562</v>
      </c>
      <c r="C70" s="1647">
        <v>5849</v>
      </c>
      <c r="D70" s="1647">
        <v>2487</v>
      </c>
      <c r="E70" s="1647">
        <v>605</v>
      </c>
      <c r="F70" s="1647">
        <v>2838</v>
      </c>
      <c r="G70" s="1647"/>
      <c r="H70" s="1647">
        <v>19341</v>
      </c>
      <c r="J70" s="1680">
        <f>B70/$H$70</f>
        <v>0.39098288609689263</v>
      </c>
      <c r="K70" s="1680">
        <f>B70/$H70</f>
        <v>0.39098288609689263</v>
      </c>
      <c r="L70" s="1678"/>
      <c r="M70" s="1680">
        <f>C70/$H$70</f>
        <v>0.30241455974354997</v>
      </c>
      <c r="N70" s="1681">
        <f>C70/$H70</f>
        <v>0.30241455974354997</v>
      </c>
      <c r="O70" s="1678"/>
      <c r="P70" s="1682">
        <f>D70/H70</f>
        <v>0.12858693966185822</v>
      </c>
      <c r="Q70" s="1682">
        <f>D70/$H70</f>
        <v>0.12858693966185822</v>
      </c>
      <c r="R70" s="1678"/>
      <c r="S70" s="1700">
        <f>E70/H70</f>
        <v>3.1280699033142033E-2</v>
      </c>
      <c r="T70" s="1701">
        <f>E70/$H70</f>
        <v>3.1280699033142033E-2</v>
      </c>
      <c r="U70" s="1678"/>
      <c r="V70" s="1683">
        <f>F70/H70</f>
        <v>0.14673491546455716</v>
      </c>
      <c r="W70" s="1684">
        <f>F70/$H70</f>
        <v>0.14673491546455716</v>
      </c>
      <c r="AA70" s="1637"/>
      <c r="AB70" s="1647"/>
      <c r="AC70" s="1647"/>
      <c r="AD70" s="1647"/>
      <c r="AE70" s="1647"/>
      <c r="AF70" s="1647"/>
    </row>
    <row r="71" spans="1:32" s="1638" customFormat="1" ht="5" customHeight="1">
      <c r="A71" s="1687"/>
      <c r="B71" s="1693"/>
      <c r="C71" s="1693"/>
      <c r="D71" s="1693"/>
      <c r="E71" s="1693"/>
      <c r="F71" s="1693"/>
      <c r="G71" s="1693"/>
      <c r="H71" s="1693"/>
      <c r="I71" s="1693"/>
      <c r="J71" s="1694"/>
      <c r="K71" s="1695"/>
      <c r="L71" s="1695"/>
      <c r="M71" s="1695"/>
      <c r="N71" s="1695"/>
      <c r="O71" s="1695"/>
      <c r="P71" s="1695"/>
      <c r="Q71" s="1695"/>
      <c r="R71" s="1695"/>
      <c r="S71" s="1695"/>
      <c r="T71" s="1694"/>
      <c r="U71" s="1695"/>
      <c r="V71" s="1695"/>
      <c r="W71" s="1694"/>
    </row>
    <row r="72" spans="1:32" s="1638" customFormat="1">
      <c r="A72" s="2383"/>
      <c r="B72" s="2384"/>
      <c r="C72" s="2384"/>
      <c r="D72" s="2384"/>
      <c r="E72" s="2384"/>
      <c r="F72" s="2384"/>
      <c r="G72" s="2384"/>
      <c r="H72" s="2384"/>
      <c r="I72" s="2384"/>
      <c r="J72" s="1650"/>
      <c r="K72" s="1650"/>
      <c r="L72" s="1650"/>
      <c r="M72" s="1650"/>
      <c r="N72" s="1650"/>
      <c r="O72" s="1650"/>
      <c r="P72" s="1650"/>
      <c r="Q72" s="1650"/>
      <c r="R72" s="1650"/>
      <c r="S72" s="1650"/>
      <c r="T72" s="1650"/>
      <c r="U72" s="1650"/>
      <c r="V72" s="1650"/>
      <c r="W72" s="1650"/>
    </row>
    <row r="73" spans="1:32" s="1659" customFormat="1" ht="14">
      <c r="A73" s="1651" t="s">
        <v>1673</v>
      </c>
      <c r="B73" s="1633"/>
      <c r="C73" s="1652"/>
      <c r="D73" s="1652"/>
      <c r="E73" s="1652"/>
      <c r="F73" s="1652"/>
      <c r="G73" s="1652"/>
      <c r="H73" s="1652"/>
      <c r="I73" s="1653"/>
      <c r="J73" s="1654"/>
      <c r="K73" s="1655"/>
      <c r="L73" s="1656"/>
      <c r="M73" s="1655"/>
      <c r="N73" s="1657"/>
      <c r="O73" s="1658"/>
      <c r="P73" s="1657"/>
      <c r="Q73" s="1657"/>
      <c r="R73" s="1658"/>
      <c r="S73" s="1657"/>
      <c r="T73" s="1657"/>
      <c r="U73" s="1658"/>
      <c r="V73" s="1658"/>
      <c r="W73" s="1657"/>
    </row>
    <row r="74" spans="1:32" s="1659" customFormat="1" ht="2.25" customHeight="1">
      <c r="A74" s="1660"/>
      <c r="B74" s="1661"/>
      <c r="C74" s="1661"/>
      <c r="D74" s="1661"/>
      <c r="E74" s="1661"/>
      <c r="F74" s="1661"/>
      <c r="G74" s="1661"/>
      <c r="H74" s="1661"/>
      <c r="I74" s="1662"/>
      <c r="J74" s="1663"/>
      <c r="K74" s="1663"/>
      <c r="L74" s="1664"/>
      <c r="M74" s="1663"/>
      <c r="N74" s="1665"/>
      <c r="O74" s="1666"/>
      <c r="P74" s="1665"/>
      <c r="Q74" s="1665"/>
      <c r="R74" s="1666"/>
      <c r="S74" s="1665"/>
      <c r="T74" s="1665"/>
      <c r="U74" s="1666"/>
      <c r="V74" s="1666"/>
      <c r="W74" s="1665"/>
    </row>
    <row r="75" spans="1:32" s="1659" customFormat="1" ht="14">
      <c r="A75" s="1667" t="s">
        <v>1674</v>
      </c>
      <c r="B75" s="1633"/>
      <c r="C75" s="1633"/>
      <c r="D75" s="1633"/>
      <c r="E75" s="1633"/>
      <c r="F75" s="1633"/>
      <c r="G75" s="1633"/>
      <c r="H75" s="1633"/>
      <c r="I75" s="1668"/>
      <c r="J75" s="1655"/>
      <c r="K75" s="1655"/>
      <c r="L75" s="1656"/>
      <c r="M75" s="1655"/>
      <c r="N75" s="1669"/>
      <c r="O75" s="1670"/>
      <c r="P75" s="1669"/>
      <c r="Q75" s="1669"/>
      <c r="R75" s="1670"/>
      <c r="S75" s="1669"/>
      <c r="T75" s="1669"/>
      <c r="U75" s="1670"/>
      <c r="V75" s="1670"/>
      <c r="W75" s="1669"/>
    </row>
    <row r="76" spans="1:32" s="1659" customFormat="1" ht="14">
      <c r="A76" s="1685" t="s">
        <v>1602</v>
      </c>
      <c r="B76" s="1633"/>
      <c r="C76" s="1633"/>
      <c r="D76" s="1633"/>
      <c r="E76" s="1633"/>
      <c r="F76" s="1633"/>
      <c r="G76" s="1633"/>
      <c r="H76" s="1633"/>
      <c r="I76" s="1668"/>
      <c r="J76" s="1655"/>
      <c r="K76" s="1655"/>
      <c r="L76" s="1656"/>
      <c r="M76" s="1655"/>
      <c r="N76" s="1669"/>
      <c r="O76" s="1670"/>
      <c r="P76" s="1669"/>
      <c r="Q76" s="1669"/>
      <c r="R76" s="1670"/>
      <c r="S76" s="1669"/>
      <c r="T76" s="1669"/>
      <c r="U76" s="1670"/>
      <c r="V76" s="1670"/>
      <c r="W76" s="1669"/>
    </row>
    <row r="77" spans="1:32" s="1659" customFormat="1" ht="14">
      <c r="A77" s="1685" t="s">
        <v>1603</v>
      </c>
      <c r="B77" s="1633"/>
      <c r="C77" s="1633"/>
      <c r="D77" s="1633"/>
      <c r="E77" s="1633"/>
      <c r="F77" s="1633"/>
      <c r="G77" s="1633"/>
      <c r="H77" s="1633"/>
      <c r="I77" s="1668"/>
      <c r="J77" s="1655"/>
      <c r="K77" s="1655"/>
      <c r="L77" s="1656"/>
      <c r="M77" s="1655"/>
      <c r="N77" s="1669"/>
      <c r="O77" s="1670"/>
      <c r="P77" s="1669"/>
      <c r="Q77" s="1669"/>
      <c r="R77" s="1670"/>
      <c r="S77" s="1669"/>
      <c r="T77" s="1669"/>
      <c r="U77" s="1670"/>
      <c r="V77" s="1670"/>
      <c r="W77" s="1669"/>
    </row>
    <row r="78" spans="1:32" s="1659" customFormat="1" ht="14">
      <c r="A78" s="1667" t="s">
        <v>2802</v>
      </c>
      <c r="B78" s="1633"/>
      <c r="C78" s="1633"/>
      <c r="D78" s="1633"/>
      <c r="E78" s="1633"/>
      <c r="F78" s="1633"/>
      <c r="G78" s="1633"/>
      <c r="H78" s="1633"/>
      <c r="J78" s="1669"/>
      <c r="K78" s="1669"/>
      <c r="L78" s="1670"/>
      <c r="M78" s="1669"/>
      <c r="N78" s="1669"/>
      <c r="O78" s="1670"/>
      <c r="P78" s="1669"/>
      <c r="Q78" s="1669"/>
      <c r="R78" s="1670"/>
      <c r="S78" s="1669"/>
      <c r="T78" s="1669"/>
      <c r="U78" s="1670"/>
      <c r="V78" s="1670"/>
      <c r="W78" s="1669"/>
    </row>
    <row r="79" spans="1:32" s="1659" customFormat="1" ht="14">
      <c r="A79" s="1667" t="s">
        <v>2803</v>
      </c>
      <c r="B79" s="1633"/>
      <c r="C79" s="1633"/>
      <c r="D79" s="1633"/>
      <c r="E79" s="1633"/>
      <c r="F79" s="1633"/>
      <c r="G79" s="1633"/>
      <c r="H79" s="1633"/>
      <c r="J79" s="1669"/>
      <c r="K79" s="1669"/>
      <c r="L79" s="1670"/>
      <c r="M79" s="1669"/>
      <c r="N79" s="1669"/>
      <c r="O79" s="1670"/>
      <c r="P79" s="1669"/>
      <c r="Q79" s="1669"/>
      <c r="R79" s="1670"/>
      <c r="S79" s="1669"/>
      <c r="T79" s="1669"/>
      <c r="U79" s="1670"/>
      <c r="V79" s="1670"/>
      <c r="W79" s="1669"/>
    </row>
    <row r="80" spans="1:32" s="1672" customFormat="1" ht="14">
      <c r="A80" s="3309" t="s">
        <v>2224</v>
      </c>
      <c r="B80" s="1633"/>
      <c r="C80" s="1633"/>
      <c r="D80" s="1633"/>
      <c r="E80" s="1633"/>
      <c r="F80" s="1633"/>
      <c r="G80" s="1633"/>
      <c r="H80" s="1633"/>
      <c r="I80" s="1659"/>
      <c r="J80" s="1669"/>
      <c r="K80" s="1669"/>
      <c r="L80" s="1670"/>
      <c r="M80" s="1669"/>
      <c r="N80" s="1669"/>
      <c r="O80" s="1670"/>
      <c r="P80" s="1669"/>
      <c r="Q80" s="1669"/>
      <c r="R80" s="1670"/>
      <c r="S80" s="1669"/>
      <c r="T80" s="1669"/>
      <c r="U80" s="1670"/>
      <c r="V80" s="1670"/>
      <c r="W80" s="1669"/>
      <c r="X80" s="1659"/>
    </row>
    <row r="81" spans="1:8">
      <c r="A81" s="3309" t="s">
        <v>2483</v>
      </c>
    </row>
    <row r="82" spans="1:8">
      <c r="A82" s="3309" t="s">
        <v>2801</v>
      </c>
      <c r="H82" s="1649"/>
    </row>
  </sheetData>
  <mergeCells count="7">
    <mergeCell ref="B5:H5"/>
    <mergeCell ref="J7:K7"/>
    <mergeCell ref="M7:N7"/>
    <mergeCell ref="P7:Q7"/>
    <mergeCell ref="V7:W7"/>
    <mergeCell ref="S7:T7"/>
    <mergeCell ref="J5:W5"/>
  </mergeCells>
  <conditionalFormatting sqref="K9:L65 L67:L69 K67:K70">
    <cfRule type="dataBar" priority="26">
      <dataBar showValue="0">
        <cfvo type="num" val="0"/>
        <cfvo type="max"/>
        <color rgb="FF00539F"/>
      </dataBar>
      <extLst>
        <ext xmlns:x14="http://schemas.microsoft.com/office/spreadsheetml/2009/9/main" uri="{B025F937-C7B1-47D3-B67F-A62EFF666E3E}">
          <x14:id>{F7DE6378-AB31-4FA5-A6E8-6FA585C9C955}</x14:id>
        </ext>
      </extLst>
    </cfRule>
  </conditionalFormatting>
  <conditionalFormatting sqref="N10:O65 O67:O69 N67:N70">
    <cfRule type="dataBar" priority="30">
      <dataBar>
        <cfvo type="min"/>
        <cfvo type="max"/>
        <color rgb="FFFF0000"/>
      </dataBar>
      <extLst>
        <ext xmlns:x14="http://schemas.microsoft.com/office/spreadsheetml/2009/9/main" uri="{B025F937-C7B1-47D3-B67F-A62EFF666E3E}">
          <x14:id>{3DF6F00C-E9C8-4E18-ACD7-EE8A573D9268}</x14:id>
        </ext>
      </extLst>
    </cfRule>
  </conditionalFormatting>
  <conditionalFormatting sqref="Q10:R65 R67:R69 Q67:Q70">
    <cfRule type="dataBar" priority="29">
      <dataBar>
        <cfvo type="min"/>
        <cfvo type="max"/>
        <color rgb="FFFFC000"/>
      </dataBar>
      <extLst>
        <ext xmlns:x14="http://schemas.microsoft.com/office/spreadsheetml/2009/9/main" uri="{B025F937-C7B1-47D3-B67F-A62EFF666E3E}">
          <x14:id>{791E1DFF-43D5-44D1-95BA-235AF15633AD}</x14:id>
        </ext>
      </extLst>
    </cfRule>
  </conditionalFormatting>
  <conditionalFormatting sqref="T10:U65 U67:U69 T67:T71">
    <cfRule type="dataBar" priority="28">
      <dataBar showValue="0">
        <cfvo type="num" val="0"/>
        <cfvo type="max"/>
        <color theme="5" tint="-0.249977111117893"/>
      </dataBar>
      <extLst>
        <ext xmlns:x14="http://schemas.microsoft.com/office/spreadsheetml/2009/9/main" uri="{B025F937-C7B1-47D3-B67F-A62EFF666E3E}">
          <x14:id>{3DB42E6A-CA4B-4CBD-BEFA-7369F344AD1F}</x14:id>
        </ext>
      </extLst>
    </cfRule>
  </conditionalFormatting>
  <conditionalFormatting sqref="W10:W65 W67:W71">
    <cfRule type="dataBar" priority="27">
      <dataBar>
        <cfvo type="min"/>
        <cfvo type="max"/>
        <color theme="0" tint="-0.34998626667073579"/>
      </dataBar>
      <extLst>
        <ext xmlns:x14="http://schemas.microsoft.com/office/spreadsheetml/2009/9/main" uri="{B025F937-C7B1-47D3-B67F-A62EFF666E3E}">
          <x14:id>{7D986FE6-4BF2-4D86-A97D-C281231A1C2A}</x14:id>
        </ext>
      </extLst>
    </cfRule>
  </conditionalFormatting>
  <conditionalFormatting sqref="N9:O65 O67:O69 N67:N70">
    <cfRule type="dataBar" priority="25">
      <dataBar showValue="0">
        <cfvo type="num" val="0"/>
        <cfvo type="max"/>
        <color rgb="FFD50000"/>
      </dataBar>
      <extLst>
        <ext xmlns:x14="http://schemas.microsoft.com/office/spreadsheetml/2009/9/main" uri="{B025F937-C7B1-47D3-B67F-A62EFF666E3E}">
          <x14:id>{4DE533D2-0982-4488-A85E-94E999D8FE0C}</x14:id>
        </ext>
      </extLst>
    </cfRule>
  </conditionalFormatting>
  <conditionalFormatting sqref="Q9:R65 R67:R69 Q67:Q70">
    <cfRule type="dataBar" priority="24">
      <dataBar showValue="0">
        <cfvo type="num" val="0"/>
        <cfvo type="max"/>
        <color rgb="FFFAA01A"/>
      </dataBar>
      <extLst>
        <ext xmlns:x14="http://schemas.microsoft.com/office/spreadsheetml/2009/9/main" uri="{B025F937-C7B1-47D3-B67F-A62EFF666E3E}">
          <x14:id>{422EC14E-CCFF-4A10-9893-D6CC72FA6BA5}</x14:id>
        </ext>
      </extLst>
    </cfRule>
  </conditionalFormatting>
  <conditionalFormatting sqref="W9:W65 W67:W71">
    <cfRule type="dataBar" priority="23">
      <dataBar showValue="0">
        <cfvo type="num" val="0"/>
        <cfvo type="max"/>
        <color theme="0" tint="-0.34998626667073579"/>
      </dataBar>
      <extLst>
        <ext xmlns:x14="http://schemas.microsoft.com/office/spreadsheetml/2009/9/main" uri="{B025F937-C7B1-47D3-B67F-A62EFF666E3E}">
          <x14:id>{729612D2-0210-4ED8-83A0-2594ABAB5A3F}</x14:id>
        </ext>
      </extLst>
    </cfRule>
  </conditionalFormatting>
  <conditionalFormatting sqref="L70">
    <cfRule type="dataBar" priority="12">
      <dataBar showValue="0">
        <cfvo type="num" val="0"/>
        <cfvo type="max"/>
        <color rgb="FF00539F"/>
      </dataBar>
      <extLst>
        <ext xmlns:x14="http://schemas.microsoft.com/office/spreadsheetml/2009/9/main" uri="{B025F937-C7B1-47D3-B67F-A62EFF666E3E}">
          <x14:id>{61563AEA-5943-4AA0-AB4E-85A149C78533}</x14:id>
        </ext>
      </extLst>
    </cfRule>
  </conditionalFormatting>
  <conditionalFormatting sqref="O70">
    <cfRule type="dataBar" priority="16">
      <dataBar>
        <cfvo type="min"/>
        <cfvo type="max"/>
        <color rgb="FFFF0000"/>
      </dataBar>
      <extLst>
        <ext xmlns:x14="http://schemas.microsoft.com/office/spreadsheetml/2009/9/main" uri="{B025F937-C7B1-47D3-B67F-A62EFF666E3E}">
          <x14:id>{398A2D21-8448-4AB8-8BC0-98B553098B14}</x14:id>
        </ext>
      </extLst>
    </cfRule>
  </conditionalFormatting>
  <conditionalFormatting sqref="R70">
    <cfRule type="dataBar" priority="15">
      <dataBar>
        <cfvo type="min"/>
        <cfvo type="max"/>
        <color rgb="FFFFC000"/>
      </dataBar>
      <extLst>
        <ext xmlns:x14="http://schemas.microsoft.com/office/spreadsheetml/2009/9/main" uri="{B025F937-C7B1-47D3-B67F-A62EFF666E3E}">
          <x14:id>{5892F8BB-A671-4D84-B1CF-D96E2FB4A015}</x14:id>
        </ext>
      </extLst>
    </cfRule>
  </conditionalFormatting>
  <conditionalFormatting sqref="U70">
    <cfRule type="dataBar" priority="14">
      <dataBar showValue="0">
        <cfvo type="num" val="0"/>
        <cfvo type="max"/>
        <color theme="5" tint="-0.249977111117893"/>
      </dataBar>
      <extLst>
        <ext xmlns:x14="http://schemas.microsoft.com/office/spreadsheetml/2009/9/main" uri="{B025F937-C7B1-47D3-B67F-A62EFF666E3E}">
          <x14:id>{8DCEF1F6-B06F-4DDC-92C7-212AAF07C738}</x14:id>
        </ext>
      </extLst>
    </cfRule>
  </conditionalFormatting>
  <conditionalFormatting sqref="O70">
    <cfRule type="dataBar" priority="11">
      <dataBar showValue="0">
        <cfvo type="num" val="0"/>
        <cfvo type="max"/>
        <color rgb="FFD50000"/>
      </dataBar>
      <extLst>
        <ext xmlns:x14="http://schemas.microsoft.com/office/spreadsheetml/2009/9/main" uri="{B025F937-C7B1-47D3-B67F-A62EFF666E3E}">
          <x14:id>{E8ACF435-CAB9-4B7E-B1EB-994618D58F94}</x14:id>
        </ext>
      </extLst>
    </cfRule>
  </conditionalFormatting>
  <conditionalFormatting sqref="R70">
    <cfRule type="dataBar" priority="10">
      <dataBar showValue="0">
        <cfvo type="num" val="0"/>
        <cfvo type="max"/>
        <color rgb="FFFAA01A"/>
      </dataBar>
      <extLst>
        <ext xmlns:x14="http://schemas.microsoft.com/office/spreadsheetml/2009/9/main" uri="{B025F937-C7B1-47D3-B67F-A62EFF666E3E}">
          <x14:id>{D5854E59-D829-4EC1-A9E4-28C66BEAA92C}</x14:id>
        </ext>
      </extLst>
    </cfRule>
  </conditionalFormatting>
  <conditionalFormatting sqref="K66:L66">
    <cfRule type="dataBar" priority="4">
      <dataBar showValue="0">
        <cfvo type="num" val="0"/>
        <cfvo type="max"/>
        <color rgb="FF00539F"/>
      </dataBar>
      <extLst>
        <ext xmlns:x14="http://schemas.microsoft.com/office/spreadsheetml/2009/9/main" uri="{B025F937-C7B1-47D3-B67F-A62EFF666E3E}">
          <x14:id>{A3CFFF83-0A4B-4EEB-9F44-754C14931F9A}</x14:id>
        </ext>
      </extLst>
    </cfRule>
  </conditionalFormatting>
  <conditionalFormatting sqref="N66:O66">
    <cfRule type="dataBar" priority="8">
      <dataBar>
        <cfvo type="min"/>
        <cfvo type="max"/>
        <color rgb="FFFF0000"/>
      </dataBar>
      <extLst>
        <ext xmlns:x14="http://schemas.microsoft.com/office/spreadsheetml/2009/9/main" uri="{B025F937-C7B1-47D3-B67F-A62EFF666E3E}">
          <x14:id>{C3CA588A-2968-4054-84B9-FE8CC5697F03}</x14:id>
        </ext>
      </extLst>
    </cfRule>
  </conditionalFormatting>
  <conditionalFormatting sqref="Q66:R66">
    <cfRule type="dataBar" priority="7">
      <dataBar>
        <cfvo type="min"/>
        <cfvo type="max"/>
        <color rgb="FFFFC000"/>
      </dataBar>
      <extLst>
        <ext xmlns:x14="http://schemas.microsoft.com/office/spreadsheetml/2009/9/main" uri="{B025F937-C7B1-47D3-B67F-A62EFF666E3E}">
          <x14:id>{6C7AB81F-78A7-4644-89EA-FDDDE5D34C02}</x14:id>
        </ext>
      </extLst>
    </cfRule>
  </conditionalFormatting>
  <conditionalFormatting sqref="T66:U66">
    <cfRule type="dataBar" priority="6">
      <dataBar showValue="0">
        <cfvo type="num" val="0"/>
        <cfvo type="max"/>
        <color theme="5" tint="-0.249977111117893"/>
      </dataBar>
      <extLst>
        <ext xmlns:x14="http://schemas.microsoft.com/office/spreadsheetml/2009/9/main" uri="{B025F937-C7B1-47D3-B67F-A62EFF666E3E}">
          <x14:id>{391C821F-175A-4B2A-B3FA-51226B9BC82E}</x14:id>
        </ext>
      </extLst>
    </cfRule>
  </conditionalFormatting>
  <conditionalFormatting sqref="W66">
    <cfRule type="dataBar" priority="5">
      <dataBar>
        <cfvo type="min"/>
        <cfvo type="max"/>
        <color theme="0" tint="-0.34998626667073579"/>
      </dataBar>
      <extLst>
        <ext xmlns:x14="http://schemas.microsoft.com/office/spreadsheetml/2009/9/main" uri="{B025F937-C7B1-47D3-B67F-A62EFF666E3E}">
          <x14:id>{6FBA1211-7B61-449F-A9A9-A5C9E92BE243}</x14:id>
        </ext>
      </extLst>
    </cfRule>
  </conditionalFormatting>
  <conditionalFormatting sqref="N66:O66">
    <cfRule type="dataBar" priority="3">
      <dataBar showValue="0">
        <cfvo type="num" val="0"/>
        <cfvo type="max"/>
        <color rgb="FFD50000"/>
      </dataBar>
      <extLst>
        <ext xmlns:x14="http://schemas.microsoft.com/office/spreadsheetml/2009/9/main" uri="{B025F937-C7B1-47D3-B67F-A62EFF666E3E}">
          <x14:id>{A1B53DD8-E19D-430F-8F9B-32ABA6D07FB4}</x14:id>
        </ext>
      </extLst>
    </cfRule>
  </conditionalFormatting>
  <conditionalFormatting sqref="Q66:R66">
    <cfRule type="dataBar" priority="2">
      <dataBar showValue="0">
        <cfvo type="num" val="0"/>
        <cfvo type="max"/>
        <color rgb="FFFAA01A"/>
      </dataBar>
      <extLst>
        <ext xmlns:x14="http://schemas.microsoft.com/office/spreadsheetml/2009/9/main" uri="{B025F937-C7B1-47D3-B67F-A62EFF666E3E}">
          <x14:id>{DD2FD05E-6C06-4B03-8A3F-A943735815A7}</x14:id>
        </ext>
      </extLst>
    </cfRule>
  </conditionalFormatting>
  <conditionalFormatting sqref="W66">
    <cfRule type="dataBar" priority="1">
      <dataBar showValue="0">
        <cfvo type="num" val="0"/>
        <cfvo type="max"/>
        <color theme="0" tint="-0.34998626667073579"/>
      </dataBar>
      <extLst>
        <ext xmlns:x14="http://schemas.microsoft.com/office/spreadsheetml/2009/9/main" uri="{B025F937-C7B1-47D3-B67F-A62EFF666E3E}">
          <x14:id>{239865C0-B3B2-4218-AA80-3FE008C4CD3B}</x14:id>
        </ext>
      </extLst>
    </cfRule>
  </conditionalFormatting>
  <pageMargins left="0.7" right="0.7" top="0.75" bottom="0.75" header="0.3" footer="0.3"/>
  <pageSetup paperSize="9" orientation="portrait" verticalDpi="1200" r:id="rId1"/>
  <ignoredErrors>
    <ignoredError sqref="H62 H67:H68" formulaRange="1"/>
  </ignoredErrors>
  <extLst>
    <ext xmlns:x14="http://schemas.microsoft.com/office/spreadsheetml/2009/9/main" uri="{78C0D931-6437-407d-A8EE-F0AAD7539E65}">
      <x14:conditionalFormattings>
        <x14:conditionalFormatting xmlns:xm="http://schemas.microsoft.com/office/excel/2006/main">
          <x14:cfRule type="dataBar" id="{F7DE6378-AB31-4FA5-A6E8-6FA585C9C955}">
            <x14:dataBar minLength="0" maxLength="100" gradient="0" negativeBarColorSameAsPositive="1" axisPosition="none">
              <x14:cfvo type="num">
                <xm:f>0</xm:f>
              </x14:cfvo>
              <x14:cfvo type="max"/>
            </x14:dataBar>
          </x14:cfRule>
          <xm:sqref>K9:L65 L67:L69 K67:K70</xm:sqref>
        </x14:conditionalFormatting>
        <x14:conditionalFormatting xmlns:xm="http://schemas.microsoft.com/office/excel/2006/main">
          <x14:cfRule type="dataBar" id="{3DF6F00C-E9C8-4E18-ACD7-EE8A573D9268}">
            <x14:dataBar minLength="0" maxLength="100" negativeBarColorSameAsPositive="1" axisPosition="none">
              <x14:cfvo type="min"/>
              <x14:cfvo type="max"/>
            </x14:dataBar>
          </x14:cfRule>
          <xm:sqref>N10:O65 O67:O69 N67:N70</xm:sqref>
        </x14:conditionalFormatting>
        <x14:conditionalFormatting xmlns:xm="http://schemas.microsoft.com/office/excel/2006/main">
          <x14:cfRule type="dataBar" id="{791E1DFF-43D5-44D1-95BA-235AF15633AD}">
            <x14:dataBar minLength="0" maxLength="100" negativeBarColorSameAsPositive="1" axisPosition="none">
              <x14:cfvo type="min"/>
              <x14:cfvo type="max"/>
            </x14:dataBar>
          </x14:cfRule>
          <xm:sqref>Q10:R65 R67:R69 Q67:Q70</xm:sqref>
        </x14:conditionalFormatting>
        <x14:conditionalFormatting xmlns:xm="http://schemas.microsoft.com/office/excel/2006/main">
          <x14:cfRule type="dataBar" id="{3DB42E6A-CA4B-4CBD-BEFA-7369F344AD1F}">
            <x14:dataBar minLength="0" maxLength="100" gradient="0" negativeBarColorSameAsPositive="1" axisPosition="none">
              <x14:cfvo type="num">
                <xm:f>0</xm:f>
              </x14:cfvo>
              <x14:cfvo type="max"/>
            </x14:dataBar>
          </x14:cfRule>
          <xm:sqref>T10:U65 U67:U69 T67:T71</xm:sqref>
        </x14:conditionalFormatting>
        <x14:conditionalFormatting xmlns:xm="http://schemas.microsoft.com/office/excel/2006/main">
          <x14:cfRule type="dataBar" id="{7D986FE6-4BF2-4D86-A97D-C281231A1C2A}">
            <x14:dataBar minLength="0" maxLength="100" gradient="0" negativeBarColorSameAsPositive="1" axisPosition="none">
              <x14:cfvo type="min"/>
              <x14:cfvo type="max"/>
            </x14:dataBar>
          </x14:cfRule>
          <xm:sqref>W10:W65 W67:W71</xm:sqref>
        </x14:conditionalFormatting>
        <x14:conditionalFormatting xmlns:xm="http://schemas.microsoft.com/office/excel/2006/main">
          <x14:cfRule type="dataBar" id="{4DE533D2-0982-4488-A85E-94E999D8FE0C}">
            <x14:dataBar minLength="0" maxLength="100" gradient="0" negativeBarColorSameAsPositive="1" axisPosition="none">
              <x14:cfvo type="num">
                <xm:f>0</xm:f>
              </x14:cfvo>
              <x14:cfvo type="max"/>
            </x14:dataBar>
          </x14:cfRule>
          <xm:sqref>N9:O65 O67:O69 N67:N70</xm:sqref>
        </x14:conditionalFormatting>
        <x14:conditionalFormatting xmlns:xm="http://schemas.microsoft.com/office/excel/2006/main">
          <x14:cfRule type="dataBar" id="{422EC14E-CCFF-4A10-9893-D6CC72FA6BA5}">
            <x14:dataBar minLength="0" maxLength="100" gradient="0" negativeBarColorSameAsPositive="1" axisPosition="none">
              <x14:cfvo type="num">
                <xm:f>0</xm:f>
              </x14:cfvo>
              <x14:cfvo type="max"/>
            </x14:dataBar>
          </x14:cfRule>
          <xm:sqref>Q9:R65 R67:R69 Q67:Q70</xm:sqref>
        </x14:conditionalFormatting>
        <x14:conditionalFormatting xmlns:xm="http://schemas.microsoft.com/office/excel/2006/main">
          <x14:cfRule type="dataBar" id="{729612D2-0210-4ED8-83A0-2594ABAB5A3F}">
            <x14:dataBar minLength="0" maxLength="100" gradient="0" negativeBarColorSameAsPositive="1" axisPosition="none">
              <x14:cfvo type="num">
                <xm:f>0</xm:f>
              </x14:cfvo>
              <x14:cfvo type="max"/>
            </x14:dataBar>
          </x14:cfRule>
          <xm:sqref>W9:W65 W67:W71</xm:sqref>
        </x14:conditionalFormatting>
        <x14:conditionalFormatting xmlns:xm="http://schemas.microsoft.com/office/excel/2006/main">
          <x14:cfRule type="dataBar" id="{61563AEA-5943-4AA0-AB4E-85A149C78533}">
            <x14:dataBar minLength="0" maxLength="100" gradient="0" negativeBarColorSameAsPositive="1" axisPosition="none">
              <x14:cfvo type="num">
                <xm:f>0</xm:f>
              </x14:cfvo>
              <x14:cfvo type="max"/>
            </x14:dataBar>
          </x14:cfRule>
          <xm:sqref>L70</xm:sqref>
        </x14:conditionalFormatting>
        <x14:conditionalFormatting xmlns:xm="http://schemas.microsoft.com/office/excel/2006/main">
          <x14:cfRule type="dataBar" id="{398A2D21-8448-4AB8-8BC0-98B553098B14}">
            <x14:dataBar minLength="0" maxLength="100" negativeBarColorSameAsPositive="1" axisPosition="none">
              <x14:cfvo type="min"/>
              <x14:cfvo type="max"/>
            </x14:dataBar>
          </x14:cfRule>
          <xm:sqref>O70</xm:sqref>
        </x14:conditionalFormatting>
        <x14:conditionalFormatting xmlns:xm="http://schemas.microsoft.com/office/excel/2006/main">
          <x14:cfRule type="dataBar" id="{5892F8BB-A671-4D84-B1CF-D96E2FB4A015}">
            <x14:dataBar minLength="0" maxLength="100" negativeBarColorSameAsPositive="1" axisPosition="none">
              <x14:cfvo type="min"/>
              <x14:cfvo type="max"/>
            </x14:dataBar>
          </x14:cfRule>
          <xm:sqref>R70</xm:sqref>
        </x14:conditionalFormatting>
        <x14:conditionalFormatting xmlns:xm="http://schemas.microsoft.com/office/excel/2006/main">
          <x14:cfRule type="dataBar" id="{8DCEF1F6-B06F-4DDC-92C7-212AAF07C738}">
            <x14:dataBar minLength="0" maxLength="100" gradient="0" negativeBarColorSameAsPositive="1" axisPosition="none">
              <x14:cfvo type="num">
                <xm:f>0</xm:f>
              </x14:cfvo>
              <x14:cfvo type="max"/>
            </x14:dataBar>
          </x14:cfRule>
          <xm:sqref>U70</xm:sqref>
        </x14:conditionalFormatting>
        <x14:conditionalFormatting xmlns:xm="http://schemas.microsoft.com/office/excel/2006/main">
          <x14:cfRule type="dataBar" id="{E8ACF435-CAB9-4B7E-B1EB-994618D58F94}">
            <x14:dataBar minLength="0" maxLength="100" gradient="0" negativeBarColorSameAsPositive="1" axisPosition="none">
              <x14:cfvo type="num">
                <xm:f>0</xm:f>
              </x14:cfvo>
              <x14:cfvo type="max"/>
            </x14:dataBar>
          </x14:cfRule>
          <xm:sqref>O70</xm:sqref>
        </x14:conditionalFormatting>
        <x14:conditionalFormatting xmlns:xm="http://schemas.microsoft.com/office/excel/2006/main">
          <x14:cfRule type="dataBar" id="{D5854E59-D829-4EC1-A9E4-28C66BEAA92C}">
            <x14:dataBar minLength="0" maxLength="100" gradient="0" negativeBarColorSameAsPositive="1" axisPosition="none">
              <x14:cfvo type="num">
                <xm:f>0</xm:f>
              </x14:cfvo>
              <x14:cfvo type="max"/>
            </x14:dataBar>
          </x14:cfRule>
          <xm:sqref>R70</xm:sqref>
        </x14:conditionalFormatting>
        <x14:conditionalFormatting xmlns:xm="http://schemas.microsoft.com/office/excel/2006/main">
          <x14:cfRule type="dataBar" id="{A3CFFF83-0A4B-4EEB-9F44-754C14931F9A}">
            <x14:dataBar minLength="0" maxLength="100" gradient="0" negativeBarColorSameAsPositive="1" axisPosition="none">
              <x14:cfvo type="num">
                <xm:f>0</xm:f>
              </x14:cfvo>
              <x14:cfvo type="max"/>
            </x14:dataBar>
          </x14:cfRule>
          <xm:sqref>K66:L66</xm:sqref>
        </x14:conditionalFormatting>
        <x14:conditionalFormatting xmlns:xm="http://schemas.microsoft.com/office/excel/2006/main">
          <x14:cfRule type="dataBar" id="{C3CA588A-2968-4054-84B9-FE8CC5697F03}">
            <x14:dataBar minLength="0" maxLength="100" negativeBarColorSameAsPositive="1" axisPosition="none">
              <x14:cfvo type="min"/>
              <x14:cfvo type="max"/>
            </x14:dataBar>
          </x14:cfRule>
          <xm:sqref>N66:O66</xm:sqref>
        </x14:conditionalFormatting>
        <x14:conditionalFormatting xmlns:xm="http://schemas.microsoft.com/office/excel/2006/main">
          <x14:cfRule type="dataBar" id="{6C7AB81F-78A7-4644-89EA-FDDDE5D34C02}">
            <x14:dataBar minLength="0" maxLength="100" negativeBarColorSameAsPositive="1" axisPosition="none">
              <x14:cfvo type="min"/>
              <x14:cfvo type="max"/>
            </x14:dataBar>
          </x14:cfRule>
          <xm:sqref>Q66:R66</xm:sqref>
        </x14:conditionalFormatting>
        <x14:conditionalFormatting xmlns:xm="http://schemas.microsoft.com/office/excel/2006/main">
          <x14:cfRule type="dataBar" id="{391C821F-175A-4B2A-B3FA-51226B9BC82E}">
            <x14:dataBar minLength="0" maxLength="100" gradient="0" negativeBarColorSameAsPositive="1" axisPosition="none">
              <x14:cfvo type="num">
                <xm:f>0</xm:f>
              </x14:cfvo>
              <x14:cfvo type="max"/>
            </x14:dataBar>
          </x14:cfRule>
          <xm:sqref>T66:U66</xm:sqref>
        </x14:conditionalFormatting>
        <x14:conditionalFormatting xmlns:xm="http://schemas.microsoft.com/office/excel/2006/main">
          <x14:cfRule type="dataBar" id="{6FBA1211-7B61-449F-A9A9-A5C9E92BE243}">
            <x14:dataBar minLength="0" maxLength="100" gradient="0" negativeBarColorSameAsPositive="1" axisPosition="none">
              <x14:cfvo type="min"/>
              <x14:cfvo type="max"/>
            </x14:dataBar>
          </x14:cfRule>
          <xm:sqref>W66</xm:sqref>
        </x14:conditionalFormatting>
        <x14:conditionalFormatting xmlns:xm="http://schemas.microsoft.com/office/excel/2006/main">
          <x14:cfRule type="dataBar" id="{A1B53DD8-E19D-430F-8F9B-32ABA6D07FB4}">
            <x14:dataBar minLength="0" maxLength="100" gradient="0" negativeBarColorSameAsPositive="1" axisPosition="none">
              <x14:cfvo type="num">
                <xm:f>0</xm:f>
              </x14:cfvo>
              <x14:cfvo type="max"/>
            </x14:dataBar>
          </x14:cfRule>
          <xm:sqref>N66:O66</xm:sqref>
        </x14:conditionalFormatting>
        <x14:conditionalFormatting xmlns:xm="http://schemas.microsoft.com/office/excel/2006/main">
          <x14:cfRule type="dataBar" id="{DD2FD05E-6C06-4B03-8A3F-A943735815A7}">
            <x14:dataBar minLength="0" maxLength="100" gradient="0" negativeBarColorSameAsPositive="1" axisPosition="none">
              <x14:cfvo type="num">
                <xm:f>0</xm:f>
              </x14:cfvo>
              <x14:cfvo type="max"/>
            </x14:dataBar>
          </x14:cfRule>
          <xm:sqref>Q66:R66</xm:sqref>
        </x14:conditionalFormatting>
        <x14:conditionalFormatting xmlns:xm="http://schemas.microsoft.com/office/excel/2006/main">
          <x14:cfRule type="dataBar" id="{239865C0-B3B2-4218-AA80-3FE008C4CD3B}">
            <x14:dataBar minLength="0" maxLength="100" gradient="0" negativeBarColorSameAsPositive="1" axisPosition="none">
              <x14:cfvo type="num">
                <xm:f>0</xm:f>
              </x14:cfvo>
              <x14:cfvo type="max"/>
            </x14:dataBar>
          </x14:cfRule>
          <xm:sqref>W66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0"/>
  </sheetPr>
  <dimension ref="A1:AA31"/>
  <sheetViews>
    <sheetView showGridLines="0" topLeftCell="D1" zoomScale="85" zoomScaleNormal="85" workbookViewId="0">
      <selection activeCell="V28" sqref="V28"/>
    </sheetView>
  </sheetViews>
  <sheetFormatPr baseColWidth="10" defaultColWidth="9.3984375" defaultRowHeight="13"/>
  <cols>
    <col min="1" max="16384" width="9.3984375" style="113"/>
  </cols>
  <sheetData>
    <row r="1" spans="1:27">
      <c r="B1" s="114" t="s">
        <v>56</v>
      </c>
      <c r="C1" s="115"/>
      <c r="D1" s="115"/>
      <c r="E1" s="115"/>
      <c r="F1" s="115"/>
      <c r="G1" s="115"/>
    </row>
    <row r="2" spans="1:27">
      <c r="B2" s="116" t="s">
        <v>698</v>
      </c>
      <c r="C2" s="116" t="s">
        <v>699</v>
      </c>
      <c r="D2" s="116" t="s">
        <v>827</v>
      </c>
      <c r="E2" s="116" t="s">
        <v>95</v>
      </c>
      <c r="F2" s="116" t="s">
        <v>12</v>
      </c>
      <c r="G2" s="116" t="s">
        <v>16</v>
      </c>
      <c r="I2" s="113" t="s">
        <v>12</v>
      </c>
    </row>
    <row r="3" spans="1:27">
      <c r="B3" s="117"/>
      <c r="C3" s="117"/>
      <c r="D3" s="117"/>
      <c r="E3" s="117"/>
      <c r="F3" s="117"/>
      <c r="G3" s="117"/>
    </row>
    <row r="4" spans="1:27" ht="19.5" customHeight="1">
      <c r="A4" s="118">
        <v>1918</v>
      </c>
      <c r="B4" s="113">
        <f>'1 GE-UK'!L39</f>
        <v>382</v>
      </c>
      <c r="C4" s="113">
        <f>'1 GE-UK'!M39</f>
        <v>57</v>
      </c>
      <c r="D4" s="113">
        <f>'1 GE-UK'!N39</f>
        <v>163</v>
      </c>
      <c r="E4" s="238" t="str">
        <f>'1 GE-UK'!O39</f>
        <v>..</v>
      </c>
      <c r="F4" s="113">
        <f>'1 GE-UK'!P39</f>
        <v>105</v>
      </c>
      <c r="G4" s="113">
        <f>'1 GE-UK'!Q39</f>
        <v>707</v>
      </c>
      <c r="I4" s="113">
        <f>IFERROR(E4+F4,F4)</f>
        <v>105</v>
      </c>
      <c r="M4" s="3391" t="s">
        <v>2534</v>
      </c>
      <c r="N4" s="3392"/>
      <c r="O4" s="3392"/>
      <c r="P4" s="3392"/>
      <c r="Q4" s="3392"/>
      <c r="R4" s="3392"/>
      <c r="S4" s="3392"/>
      <c r="T4" s="3392"/>
      <c r="U4" s="3392"/>
      <c r="V4" s="3392"/>
      <c r="W4" s="3392"/>
      <c r="X4" s="3392"/>
      <c r="Y4" s="3392"/>
      <c r="Z4" s="3392"/>
      <c r="AA4" s="3392"/>
    </row>
    <row r="5" spans="1:27">
      <c r="A5" s="120">
        <v>1922</v>
      </c>
      <c r="B5" s="113">
        <f>'1 GE-UK'!L40</f>
        <v>344</v>
      </c>
      <c r="C5" s="113">
        <f>'1 GE-UK'!M40</f>
        <v>142</v>
      </c>
      <c r="D5" s="113">
        <f>'1 GE-UK'!N40</f>
        <v>115</v>
      </c>
      <c r="E5" s="238" t="str">
        <f>'1 GE-UK'!O40</f>
        <v>..</v>
      </c>
      <c r="F5" s="113">
        <f>'1 GE-UK'!P40</f>
        <v>14</v>
      </c>
      <c r="G5" s="113">
        <f>'1 GE-UK'!Q40</f>
        <v>615</v>
      </c>
      <c r="I5" s="113">
        <f>IFERROR(E5+F5,F5)</f>
        <v>14</v>
      </c>
    </row>
    <row r="6" spans="1:27">
      <c r="A6" s="120">
        <v>1923</v>
      </c>
      <c r="B6" s="113">
        <f>'1 GE-UK'!L41</f>
        <v>258</v>
      </c>
      <c r="C6" s="113">
        <f>'1 GE-UK'!M41</f>
        <v>191</v>
      </c>
      <c r="D6" s="113">
        <f>'1 GE-UK'!N41</f>
        <v>158</v>
      </c>
      <c r="E6" s="238" t="str">
        <f>'1 GE-UK'!O41</f>
        <v>..</v>
      </c>
      <c r="F6" s="113">
        <f>'1 GE-UK'!P41</f>
        <v>8</v>
      </c>
      <c r="G6" s="113">
        <f>'1 GE-UK'!Q41</f>
        <v>615</v>
      </c>
      <c r="I6" s="113">
        <f>IFERROR(E6+F6,F6)</f>
        <v>8</v>
      </c>
    </row>
    <row r="7" spans="1:27">
      <c r="A7" s="120">
        <v>1924</v>
      </c>
      <c r="B7" s="113">
        <f>'1 GE-UK'!L42</f>
        <v>412</v>
      </c>
      <c r="C7" s="113">
        <f>'1 GE-UK'!M42</f>
        <v>151</v>
      </c>
      <c r="D7" s="113">
        <f>'1 GE-UK'!N42</f>
        <v>40</v>
      </c>
      <c r="E7" s="238" t="str">
        <f>'1 GE-UK'!O42</f>
        <v>..</v>
      </c>
      <c r="F7" s="113">
        <f>'1 GE-UK'!P42</f>
        <v>12</v>
      </c>
      <c r="G7" s="113">
        <f>'1 GE-UK'!Q42</f>
        <v>615</v>
      </c>
      <c r="I7" s="113">
        <f>IFERROR(E7+F7,F7)</f>
        <v>12</v>
      </c>
    </row>
    <row r="8" spans="1:27">
      <c r="A8" s="120">
        <v>1929</v>
      </c>
      <c r="B8" s="113">
        <f>'1 GE-UK'!L43</f>
        <v>260</v>
      </c>
      <c r="C8" s="113">
        <f>'1 GE-UK'!M43</f>
        <v>287</v>
      </c>
      <c r="D8" s="113">
        <f>'1 GE-UK'!N43</f>
        <v>59</v>
      </c>
      <c r="E8" s="113">
        <f>'1 GE-UK'!O43</f>
        <v>0</v>
      </c>
      <c r="F8" s="113">
        <f>'1 GE-UK'!P43</f>
        <v>9</v>
      </c>
      <c r="G8" s="113">
        <f>'1 GE-UK'!Q43</f>
        <v>615</v>
      </c>
      <c r="I8" s="113">
        <f t="shared" ref="I8:I28" si="0">E8+F8</f>
        <v>9</v>
      </c>
    </row>
    <row r="9" spans="1:27">
      <c r="A9" s="120">
        <v>1931</v>
      </c>
      <c r="B9" s="113">
        <f>'1 GE-UK'!L44</f>
        <v>522</v>
      </c>
      <c r="C9" s="113">
        <f>'1 GE-UK'!M44</f>
        <v>52</v>
      </c>
      <c r="D9" s="113">
        <f>'1 GE-UK'!N44</f>
        <v>36</v>
      </c>
      <c r="E9" s="113">
        <f>'1 GE-UK'!O44</f>
        <v>0</v>
      </c>
      <c r="F9" s="113">
        <f>'1 GE-UK'!P44</f>
        <v>5</v>
      </c>
      <c r="G9" s="113">
        <f>'1 GE-UK'!Q44</f>
        <v>615</v>
      </c>
      <c r="I9" s="113">
        <f t="shared" si="0"/>
        <v>5</v>
      </c>
    </row>
    <row r="10" spans="1:27">
      <c r="A10" s="120">
        <v>1935</v>
      </c>
      <c r="B10" s="113">
        <f>'1 GE-UK'!L45</f>
        <v>429</v>
      </c>
      <c r="C10" s="113">
        <f>'1 GE-UK'!M45</f>
        <v>154</v>
      </c>
      <c r="D10" s="113">
        <f>'1 GE-UK'!N45</f>
        <v>21</v>
      </c>
      <c r="E10" s="113">
        <f>'1 GE-UK'!O45</f>
        <v>0</v>
      </c>
      <c r="F10" s="113">
        <f>'1 GE-UK'!P45</f>
        <v>11</v>
      </c>
      <c r="G10" s="113">
        <f>'1 GE-UK'!Q45</f>
        <v>615</v>
      </c>
      <c r="I10" s="113">
        <f t="shared" si="0"/>
        <v>11</v>
      </c>
    </row>
    <row r="11" spans="1:27">
      <c r="A11" s="120">
        <v>1945</v>
      </c>
      <c r="B11" s="113">
        <f>'1 GE-UK'!L46</f>
        <v>210</v>
      </c>
      <c r="C11" s="113">
        <f>'1 GE-UK'!M46</f>
        <v>393</v>
      </c>
      <c r="D11" s="113">
        <f>'1 GE-UK'!N46</f>
        <v>12</v>
      </c>
      <c r="E11" s="113">
        <f>'1 GE-UK'!O46</f>
        <v>0</v>
      </c>
      <c r="F11" s="113">
        <f>'1 GE-UK'!P46</f>
        <v>25</v>
      </c>
      <c r="G11" s="113">
        <f>'1 GE-UK'!Q46</f>
        <v>640</v>
      </c>
      <c r="I11" s="113">
        <f t="shared" si="0"/>
        <v>25</v>
      </c>
    </row>
    <row r="12" spans="1:27">
      <c r="A12" s="120">
        <v>1950</v>
      </c>
      <c r="B12" s="113">
        <f>'1 GE-UK'!L47</f>
        <v>298</v>
      </c>
      <c r="C12" s="113">
        <f>'1 GE-UK'!M47</f>
        <v>315</v>
      </c>
      <c r="D12" s="113">
        <f>'1 GE-UK'!N47</f>
        <v>9</v>
      </c>
      <c r="E12" s="113">
        <f>'1 GE-UK'!O47</f>
        <v>0</v>
      </c>
      <c r="F12" s="113">
        <f>'1 GE-UK'!P47</f>
        <v>3</v>
      </c>
      <c r="G12" s="113">
        <f>'1 GE-UK'!Q47</f>
        <v>625</v>
      </c>
      <c r="I12" s="113">
        <f t="shared" si="0"/>
        <v>3</v>
      </c>
    </row>
    <row r="13" spans="1:27">
      <c r="A13" s="120">
        <v>1951</v>
      </c>
      <c r="B13" s="113">
        <f>'1 GE-UK'!L48</f>
        <v>321</v>
      </c>
      <c r="C13" s="113">
        <f>'1 GE-UK'!M48</f>
        <v>295</v>
      </c>
      <c r="D13" s="113">
        <f>'1 GE-UK'!N48</f>
        <v>6</v>
      </c>
      <c r="E13" s="113">
        <f>'1 GE-UK'!O48</f>
        <v>0</v>
      </c>
      <c r="F13" s="113">
        <f>'1 GE-UK'!P48</f>
        <v>3</v>
      </c>
      <c r="G13" s="113">
        <f>'1 GE-UK'!Q48</f>
        <v>625</v>
      </c>
      <c r="I13" s="113">
        <f t="shared" si="0"/>
        <v>3</v>
      </c>
    </row>
    <row r="14" spans="1:27">
      <c r="A14" s="120">
        <v>1955</v>
      </c>
      <c r="B14" s="113">
        <f>'1 GE-UK'!L49</f>
        <v>345</v>
      </c>
      <c r="C14" s="113">
        <f>'1 GE-UK'!M49</f>
        <v>277</v>
      </c>
      <c r="D14" s="113">
        <f>'1 GE-UK'!N49</f>
        <v>6</v>
      </c>
      <c r="E14" s="113">
        <f>'1 GE-UK'!O49</f>
        <v>0</v>
      </c>
      <c r="F14" s="113">
        <f>'1 GE-UK'!P49</f>
        <v>2</v>
      </c>
      <c r="G14" s="113">
        <f>'1 GE-UK'!Q49</f>
        <v>630</v>
      </c>
      <c r="I14" s="113">
        <f t="shared" si="0"/>
        <v>2</v>
      </c>
    </row>
    <row r="15" spans="1:27">
      <c r="A15" s="120">
        <v>1959</v>
      </c>
      <c r="B15" s="113">
        <f>'1 GE-UK'!L50</f>
        <v>365</v>
      </c>
      <c r="C15" s="113">
        <f>'1 GE-UK'!M50</f>
        <v>258</v>
      </c>
      <c r="D15" s="113">
        <f>'1 GE-UK'!N50</f>
        <v>6</v>
      </c>
      <c r="E15" s="113">
        <f>'1 GE-UK'!O50</f>
        <v>0</v>
      </c>
      <c r="F15" s="113">
        <f>'1 GE-UK'!P50</f>
        <v>1</v>
      </c>
      <c r="G15" s="113">
        <f>'1 GE-UK'!Q50</f>
        <v>630</v>
      </c>
      <c r="I15" s="113">
        <f t="shared" si="0"/>
        <v>1</v>
      </c>
    </row>
    <row r="16" spans="1:27">
      <c r="A16" s="120">
        <v>1964</v>
      </c>
      <c r="B16" s="113">
        <f>'1 GE-UK'!L51</f>
        <v>304</v>
      </c>
      <c r="C16" s="113">
        <f>'1 GE-UK'!M51</f>
        <v>317</v>
      </c>
      <c r="D16" s="113">
        <f>'1 GE-UK'!N51</f>
        <v>9</v>
      </c>
      <c r="E16" s="113">
        <f>'1 GE-UK'!O51</f>
        <v>0</v>
      </c>
      <c r="F16" s="113">
        <f>'1 GE-UK'!P51</f>
        <v>0</v>
      </c>
      <c r="G16" s="113">
        <f>'1 GE-UK'!Q51</f>
        <v>630</v>
      </c>
      <c r="I16" s="113">
        <f t="shared" si="0"/>
        <v>0</v>
      </c>
    </row>
    <row r="17" spans="1:24">
      <c r="A17" s="120">
        <v>1966</v>
      </c>
      <c r="B17" s="113">
        <f>'1 GE-UK'!L52</f>
        <v>253</v>
      </c>
      <c r="C17" s="113">
        <f>'1 GE-UK'!M52</f>
        <v>364</v>
      </c>
      <c r="D17" s="113">
        <f>'1 GE-UK'!N52</f>
        <v>12</v>
      </c>
      <c r="E17" s="113">
        <f>'1 GE-UK'!O52</f>
        <v>0</v>
      </c>
      <c r="F17" s="113">
        <f>'1 GE-UK'!P52</f>
        <v>1</v>
      </c>
      <c r="G17" s="113">
        <f>'1 GE-UK'!Q52</f>
        <v>630</v>
      </c>
      <c r="I17" s="113">
        <f>E17+F17</f>
        <v>1</v>
      </c>
    </row>
    <row r="18" spans="1:24">
      <c r="A18" s="120">
        <v>1970</v>
      </c>
      <c r="B18" s="113">
        <f>'1 GE-UK'!L53</f>
        <v>330</v>
      </c>
      <c r="C18" s="113">
        <f>'1 GE-UK'!M53</f>
        <v>288</v>
      </c>
      <c r="D18" s="113">
        <f>'1 GE-UK'!N53</f>
        <v>6</v>
      </c>
      <c r="E18" s="113">
        <f>'1 GE-UK'!O53</f>
        <v>1</v>
      </c>
      <c r="F18" s="113">
        <f>'1 GE-UK'!P53</f>
        <v>5</v>
      </c>
      <c r="G18" s="113">
        <f>'1 GE-UK'!Q53</f>
        <v>630</v>
      </c>
      <c r="I18" s="113">
        <f t="shared" si="0"/>
        <v>6</v>
      </c>
    </row>
    <row r="19" spans="1:24">
      <c r="A19" s="121" t="s">
        <v>213</v>
      </c>
      <c r="B19" s="113">
        <f>'1 GE-UK'!L54</f>
        <v>297</v>
      </c>
      <c r="C19" s="113">
        <f>'1 GE-UK'!M54</f>
        <v>301</v>
      </c>
      <c r="D19" s="113">
        <f>'1 GE-UK'!N54</f>
        <v>14</v>
      </c>
      <c r="E19" s="113">
        <f>'1 GE-UK'!O54</f>
        <v>9</v>
      </c>
      <c r="F19" s="113">
        <f>'1 GE-UK'!P54</f>
        <v>14</v>
      </c>
      <c r="G19" s="113">
        <f>'1 GE-UK'!Q54</f>
        <v>635</v>
      </c>
      <c r="I19" s="113">
        <f t="shared" si="0"/>
        <v>23</v>
      </c>
    </row>
    <row r="20" spans="1:24">
      <c r="A20" s="121" t="s">
        <v>214</v>
      </c>
      <c r="B20" s="113">
        <f>'1 GE-UK'!L55</f>
        <v>277</v>
      </c>
      <c r="C20" s="113">
        <f>'1 GE-UK'!M55</f>
        <v>319</v>
      </c>
      <c r="D20" s="113">
        <f>'1 GE-UK'!N55</f>
        <v>13</v>
      </c>
      <c r="E20" s="113">
        <f>'1 GE-UK'!O55</f>
        <v>14</v>
      </c>
      <c r="F20" s="113">
        <f>'1 GE-UK'!P55</f>
        <v>12</v>
      </c>
      <c r="G20" s="113">
        <f>'1 GE-UK'!Q55</f>
        <v>635</v>
      </c>
      <c r="I20" s="113">
        <f t="shared" si="0"/>
        <v>26</v>
      </c>
    </row>
    <row r="21" spans="1:24">
      <c r="A21" s="120">
        <v>1979</v>
      </c>
      <c r="B21" s="113">
        <f>'1 GE-UK'!L56</f>
        <v>339</v>
      </c>
      <c r="C21" s="113">
        <f>'1 GE-UK'!M56</f>
        <v>269</v>
      </c>
      <c r="D21" s="113">
        <f>'1 GE-UK'!N56</f>
        <v>11</v>
      </c>
      <c r="E21" s="113">
        <f>'1 GE-UK'!O56</f>
        <v>4</v>
      </c>
      <c r="F21" s="113">
        <f>'1 GE-UK'!P56</f>
        <v>12</v>
      </c>
      <c r="G21" s="113">
        <f>'1 GE-UK'!Q56</f>
        <v>635</v>
      </c>
      <c r="I21" s="113">
        <f t="shared" si="0"/>
        <v>16</v>
      </c>
    </row>
    <row r="22" spans="1:24">
      <c r="A22" s="120">
        <v>1983</v>
      </c>
      <c r="B22" s="113">
        <f>'1 GE-UK'!L57</f>
        <v>397</v>
      </c>
      <c r="C22" s="113">
        <f>'1 GE-UK'!M57</f>
        <v>209</v>
      </c>
      <c r="D22" s="113">
        <f>'1 GE-UK'!N57</f>
        <v>23</v>
      </c>
      <c r="E22" s="113">
        <f>'1 GE-UK'!O57</f>
        <v>4</v>
      </c>
      <c r="F22" s="113">
        <f>'1 GE-UK'!P57</f>
        <v>17</v>
      </c>
      <c r="G22" s="113">
        <f>'1 GE-UK'!Q57</f>
        <v>650</v>
      </c>
      <c r="I22" s="113">
        <f t="shared" si="0"/>
        <v>21</v>
      </c>
    </row>
    <row r="23" spans="1:24">
      <c r="A23" s="120">
        <v>1987</v>
      </c>
      <c r="B23" s="113">
        <f>'1 GE-UK'!L58</f>
        <v>376</v>
      </c>
      <c r="C23" s="113">
        <f>'1 GE-UK'!M58</f>
        <v>229</v>
      </c>
      <c r="D23" s="113">
        <f>'1 GE-UK'!N58</f>
        <v>22</v>
      </c>
      <c r="E23" s="113">
        <f>'1 GE-UK'!O58</f>
        <v>6</v>
      </c>
      <c r="F23" s="113">
        <f>'1 GE-UK'!P58</f>
        <v>17</v>
      </c>
      <c r="G23" s="113">
        <f>'1 GE-UK'!Q58</f>
        <v>650</v>
      </c>
      <c r="I23" s="113">
        <f t="shared" si="0"/>
        <v>23</v>
      </c>
      <c r="M23" s="131" t="s">
        <v>1513</v>
      </c>
    </row>
    <row r="24" spans="1:24">
      <c r="A24" s="120">
        <v>1992</v>
      </c>
      <c r="B24" s="113">
        <f>'1 GE-UK'!L59</f>
        <v>336</v>
      </c>
      <c r="C24" s="113">
        <f>'1 GE-UK'!M59</f>
        <v>271</v>
      </c>
      <c r="D24" s="113">
        <f>'1 GE-UK'!N59</f>
        <v>20</v>
      </c>
      <c r="E24" s="113">
        <f>'1 GE-UK'!O59</f>
        <v>7</v>
      </c>
      <c r="F24" s="113">
        <f>'1 GE-UK'!P59</f>
        <v>17</v>
      </c>
      <c r="G24" s="113">
        <f>'1 GE-UK'!Q59</f>
        <v>651</v>
      </c>
      <c r="I24" s="113">
        <f t="shared" si="0"/>
        <v>24</v>
      </c>
    </row>
    <row r="25" spans="1:24">
      <c r="A25" s="120">
        <v>1997</v>
      </c>
      <c r="B25" s="113">
        <f>'1 GE-UK'!L60</f>
        <v>165</v>
      </c>
      <c r="C25" s="113">
        <f>'1 GE-UK'!M60</f>
        <v>418</v>
      </c>
      <c r="D25" s="113">
        <f>'1 GE-UK'!N60</f>
        <v>46</v>
      </c>
      <c r="E25" s="113">
        <f>'1 GE-UK'!O60</f>
        <v>10</v>
      </c>
      <c r="F25" s="113">
        <f>'1 GE-UK'!P60</f>
        <v>20</v>
      </c>
      <c r="G25" s="113">
        <f>'1 GE-UK'!Q60</f>
        <v>659</v>
      </c>
      <c r="I25" s="113">
        <f t="shared" si="0"/>
        <v>30</v>
      </c>
    </row>
    <row r="26" spans="1:24">
      <c r="A26" s="120">
        <v>2001</v>
      </c>
      <c r="B26" s="113">
        <f>'1 GE-UK'!L61</f>
        <v>166</v>
      </c>
      <c r="C26" s="113">
        <f>'1 GE-UK'!M61</f>
        <v>412</v>
      </c>
      <c r="D26" s="113">
        <f>'1 GE-UK'!N61</f>
        <v>52</v>
      </c>
      <c r="E26" s="113">
        <f>'1 GE-UK'!O61</f>
        <v>9</v>
      </c>
      <c r="F26" s="113">
        <f>'1 GE-UK'!P61</f>
        <v>20</v>
      </c>
      <c r="G26" s="113">
        <f>'1 GE-UK'!Q61</f>
        <v>659</v>
      </c>
      <c r="I26" s="113">
        <f t="shared" si="0"/>
        <v>29</v>
      </c>
    </row>
    <row r="27" spans="1:24">
      <c r="A27" s="120">
        <v>2005</v>
      </c>
      <c r="B27" s="113">
        <f>'1 GE-UK'!L62</f>
        <v>198</v>
      </c>
      <c r="C27" s="113">
        <f>'1 GE-UK'!M62</f>
        <v>355</v>
      </c>
      <c r="D27" s="113">
        <f>'1 GE-UK'!N62</f>
        <v>62</v>
      </c>
      <c r="E27" s="113">
        <f>'1 GE-UK'!O62</f>
        <v>9</v>
      </c>
      <c r="F27" s="113">
        <f>'1 GE-UK'!P62</f>
        <v>22</v>
      </c>
      <c r="G27" s="113">
        <f>'1 GE-UK'!Q62</f>
        <v>646</v>
      </c>
      <c r="I27" s="113">
        <f t="shared" si="0"/>
        <v>31</v>
      </c>
      <c r="R27" s="113" t="s">
        <v>698</v>
      </c>
      <c r="S27" s="113" t="s">
        <v>827</v>
      </c>
      <c r="T27" s="113" t="s">
        <v>699</v>
      </c>
      <c r="U27" s="113" t="s">
        <v>101</v>
      </c>
      <c r="V27" s="113" t="s">
        <v>12</v>
      </c>
      <c r="W27" s="113" t="s">
        <v>1670</v>
      </c>
    </row>
    <row r="28" spans="1:24">
      <c r="A28" s="120">
        <v>2010</v>
      </c>
      <c r="B28" s="113">
        <f>'1 GE-UK'!L63</f>
        <v>306</v>
      </c>
      <c r="C28" s="113">
        <f>'1 GE-UK'!M63</f>
        <v>258</v>
      </c>
      <c r="D28" s="113">
        <f>'1 GE-UK'!N63</f>
        <v>57</v>
      </c>
      <c r="E28" s="113">
        <f>'1 GE-UK'!O63</f>
        <v>9</v>
      </c>
      <c r="F28" s="113">
        <f>'1 GE-UK'!P63</f>
        <v>20</v>
      </c>
      <c r="G28" s="113">
        <f>'1 GE-UK'!Q63</f>
        <v>650</v>
      </c>
      <c r="I28" s="113">
        <f t="shared" si="0"/>
        <v>29</v>
      </c>
      <c r="Q28" s="113">
        <v>2010</v>
      </c>
      <c r="R28" s="113">
        <v>306</v>
      </c>
      <c r="S28" s="113">
        <v>57</v>
      </c>
      <c r="T28" s="113">
        <v>258</v>
      </c>
      <c r="U28" s="113">
        <v>6</v>
      </c>
      <c r="V28" s="113">
        <f>W28-(SUM(R28:U28))</f>
        <v>23</v>
      </c>
      <c r="W28" s="113">
        <v>650</v>
      </c>
      <c r="X28" s="113">
        <f>SUM(R28:V28)</f>
        <v>650</v>
      </c>
    </row>
    <row r="29" spans="1:24">
      <c r="A29" s="33">
        <v>2015</v>
      </c>
      <c r="B29" s="113">
        <f>'1 GE-UK'!L64</f>
        <v>330</v>
      </c>
      <c r="C29" s="113">
        <f>'1 GE-UK'!M64</f>
        <v>232</v>
      </c>
      <c r="D29" s="113">
        <f>'1 GE-UK'!N64</f>
        <v>8</v>
      </c>
      <c r="E29" s="113">
        <f>'1 GE-UK'!O64</f>
        <v>59</v>
      </c>
      <c r="F29" s="113">
        <f>'1 GE-UK'!P64</f>
        <v>21</v>
      </c>
      <c r="G29" s="113">
        <f>'1 GE-UK'!Q64</f>
        <v>650</v>
      </c>
      <c r="I29" s="113">
        <f>E29+F29</f>
        <v>80</v>
      </c>
      <c r="Q29" s="113">
        <v>2015</v>
      </c>
      <c r="R29" s="113">
        <v>330</v>
      </c>
      <c r="S29" s="113">
        <v>8</v>
      </c>
      <c r="T29" s="113">
        <v>232</v>
      </c>
      <c r="U29" s="113">
        <v>56</v>
      </c>
      <c r="V29" s="113">
        <f>W29-(SUM(R29:U29))</f>
        <v>24</v>
      </c>
      <c r="W29" s="113">
        <v>650</v>
      </c>
      <c r="X29" s="113">
        <f>SUM(R29:V29)</f>
        <v>650</v>
      </c>
    </row>
    <row r="30" spans="1:24">
      <c r="A30" s="120">
        <v>2017</v>
      </c>
      <c r="B30" s="113">
        <f>'1 GE-UK'!L65</f>
        <v>317</v>
      </c>
      <c r="C30" s="113">
        <f>'1 GE-UK'!M65</f>
        <v>262</v>
      </c>
      <c r="D30" s="113">
        <f>'1 GE-UK'!N65</f>
        <v>12</v>
      </c>
      <c r="E30" s="113">
        <f>'1 GE-UK'!O65</f>
        <v>39</v>
      </c>
      <c r="F30" s="113">
        <f>'1 GE-UK'!P65</f>
        <v>20</v>
      </c>
      <c r="G30" s="113">
        <f>'1 GE-UK'!Q65</f>
        <v>650</v>
      </c>
      <c r="I30" s="113">
        <f>E30+F30</f>
        <v>59</v>
      </c>
      <c r="Q30" s="113">
        <v>2017</v>
      </c>
      <c r="R30" s="113">
        <v>317</v>
      </c>
      <c r="S30" s="113">
        <v>12</v>
      </c>
      <c r="T30" s="113">
        <v>262</v>
      </c>
      <c r="U30" s="113">
        <v>35</v>
      </c>
      <c r="V30" s="113">
        <f>W30-SUM(R30:U30)</f>
        <v>24</v>
      </c>
      <c r="W30" s="113">
        <v>650</v>
      </c>
      <c r="X30" s="113">
        <f>SUM(R30:V30)</f>
        <v>650</v>
      </c>
    </row>
    <row r="31" spans="1:24">
      <c r="A31" s="186">
        <v>2019</v>
      </c>
      <c r="B31" s="113">
        <f>'1 GE-UK'!L66</f>
        <v>365</v>
      </c>
      <c r="C31" s="113">
        <f>'1 GE-UK'!M66</f>
        <v>202</v>
      </c>
      <c r="D31" s="113">
        <f>'1 GE-UK'!N66</f>
        <v>11</v>
      </c>
      <c r="E31" s="113">
        <f>'1 GE-UK'!O66</f>
        <v>52</v>
      </c>
      <c r="F31" s="113">
        <f>'1 GE-UK'!P66</f>
        <v>20</v>
      </c>
      <c r="G31" s="113">
        <f>'1 GE-UK'!Q66</f>
        <v>650</v>
      </c>
      <c r="I31" s="113">
        <f>E31+F31</f>
        <v>72</v>
      </c>
      <c r="Q31" s="113">
        <v>2019</v>
      </c>
      <c r="R31" s="113">
        <v>365</v>
      </c>
      <c r="S31" s="113">
        <v>11</v>
      </c>
      <c r="T31" s="113">
        <v>202</v>
      </c>
      <c r="U31" s="113">
        <v>48</v>
      </c>
      <c r="V31" s="113">
        <v>24</v>
      </c>
      <c r="W31" s="113">
        <f>SUM(R31:V31)</f>
        <v>650</v>
      </c>
    </row>
  </sheetData>
  <phoneticPr fontId="10" type="noConversion"/>
  <pageMargins left="0.75" right="0.75" top="1" bottom="1" header="0.5" footer="0.5"/>
  <pageSetup paperSize="9" orientation="portrait" verticalDpi="1200"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6"/>
  <dimension ref="A1:AB106"/>
  <sheetViews>
    <sheetView showGridLines="0" topLeftCell="A41" zoomScale="80" zoomScaleNormal="80" workbookViewId="0">
      <selection activeCell="T84" sqref="T84"/>
    </sheetView>
  </sheetViews>
  <sheetFormatPr baseColWidth="10" defaultColWidth="9.3984375" defaultRowHeight="12"/>
  <cols>
    <col min="1" max="1" width="9" style="632" customWidth="1"/>
    <col min="2" max="6" width="9.796875" style="592" customWidth="1"/>
    <col min="7" max="7" width="1" style="592" customWidth="1"/>
    <col min="8" max="8" width="8.3984375" style="592" customWidth="1"/>
    <col min="9" max="9" width="2" style="592" customWidth="1"/>
    <col min="10" max="10" width="9.796875" style="592" customWidth="1"/>
    <col min="11" max="11" width="1.796875" style="592" customWidth="1"/>
    <col min="12" max="12" width="9.796875" style="592" customWidth="1"/>
    <col min="13" max="13" width="1.796875" style="592" customWidth="1"/>
    <col min="14" max="14" width="9.796875" style="592" customWidth="1"/>
    <col min="15" max="15" width="1.796875" style="592" customWidth="1"/>
    <col min="16" max="17" width="9.796875" style="592" customWidth="1"/>
    <col min="18" max="16384" width="9.3984375" style="592"/>
  </cols>
  <sheetData>
    <row r="1" spans="1:28" s="590" customFormat="1" ht="14">
      <c r="A1" s="629" t="s">
        <v>1931</v>
      </c>
      <c r="B1" s="589"/>
      <c r="C1" s="589"/>
      <c r="D1" s="589"/>
      <c r="E1" s="589"/>
      <c r="F1" s="589"/>
      <c r="G1" s="589"/>
      <c r="H1" s="589"/>
      <c r="I1" s="589"/>
      <c r="J1" s="589"/>
      <c r="K1" s="589"/>
      <c r="L1" s="589"/>
      <c r="M1" s="589"/>
      <c r="N1" s="589"/>
      <c r="O1" s="589"/>
      <c r="P1" s="589"/>
      <c r="Q1" s="589"/>
    </row>
    <row r="2" spans="1:28">
      <c r="A2" s="630" t="s">
        <v>35</v>
      </c>
      <c r="B2" s="591"/>
      <c r="C2" s="591"/>
      <c r="D2" s="591"/>
      <c r="E2" s="591"/>
      <c r="F2" s="591"/>
      <c r="G2" s="591"/>
      <c r="H2" s="591"/>
      <c r="I2" s="591"/>
      <c r="J2" s="591"/>
      <c r="K2" s="591"/>
      <c r="L2" s="591"/>
      <c r="M2" s="591"/>
      <c r="N2" s="591"/>
      <c r="O2" s="591"/>
      <c r="P2" s="591"/>
      <c r="Q2" s="591"/>
    </row>
    <row r="3" spans="1:28" ht="4.5" customHeight="1">
      <c r="A3" s="631"/>
      <c r="B3" s="591"/>
      <c r="C3" s="591"/>
      <c r="D3" s="591"/>
      <c r="E3" s="591"/>
      <c r="F3" s="591"/>
      <c r="G3" s="591"/>
      <c r="H3" s="591"/>
      <c r="I3" s="591"/>
      <c r="J3" s="591"/>
      <c r="K3" s="591"/>
      <c r="L3" s="591"/>
      <c r="M3" s="591"/>
      <c r="N3" s="591"/>
      <c r="O3" s="591"/>
      <c r="P3" s="591"/>
      <c r="Q3" s="591"/>
    </row>
    <row r="4" spans="1:28" ht="2.25" customHeight="1">
      <c r="B4" s="593"/>
      <c r="C4" s="593"/>
      <c r="D4" s="593"/>
      <c r="E4" s="593"/>
      <c r="F4" s="593"/>
      <c r="G4" s="593"/>
      <c r="H4" s="593"/>
      <c r="I4" s="593"/>
      <c r="J4" s="593"/>
      <c r="K4" s="593"/>
      <c r="L4" s="593"/>
      <c r="M4" s="593"/>
      <c r="N4" s="593"/>
      <c r="O4" s="593"/>
      <c r="P4" s="593"/>
      <c r="Q4" s="593"/>
    </row>
    <row r="5" spans="1:28" s="595" customFormat="1">
      <c r="A5" s="633"/>
      <c r="B5" s="3486" t="s">
        <v>142</v>
      </c>
      <c r="C5" s="3486"/>
      <c r="D5" s="3486"/>
      <c r="E5" s="3486"/>
      <c r="F5" s="3486"/>
      <c r="G5" s="3486"/>
      <c r="H5" s="3486"/>
      <c r="I5" s="594"/>
      <c r="J5" s="3486" t="s">
        <v>1671</v>
      </c>
      <c r="K5" s="3486"/>
      <c r="L5" s="3486"/>
      <c r="M5" s="3486"/>
      <c r="N5" s="3486"/>
      <c r="O5" s="3486"/>
      <c r="P5" s="3486"/>
      <c r="Q5" s="3486"/>
    </row>
    <row r="6" spans="1:28" ht="2.25" customHeight="1">
      <c r="A6" s="633"/>
      <c r="I6" s="591"/>
    </row>
    <row r="7" spans="1:28">
      <c r="A7" s="634"/>
      <c r="B7" s="596" t="s">
        <v>806</v>
      </c>
      <c r="C7" s="597" t="s">
        <v>807</v>
      </c>
      <c r="D7" s="598" t="s">
        <v>808</v>
      </c>
      <c r="E7" s="599" t="s">
        <v>1672</v>
      </c>
      <c r="F7" s="600" t="s">
        <v>809</v>
      </c>
      <c r="G7" s="601"/>
      <c r="H7" s="602" t="s">
        <v>16</v>
      </c>
      <c r="I7" s="602"/>
      <c r="J7" s="603" t="s">
        <v>806</v>
      </c>
      <c r="K7" s="603"/>
      <c r="L7" s="597" t="s">
        <v>807</v>
      </c>
      <c r="M7" s="597"/>
      <c r="N7" s="598" t="s">
        <v>808</v>
      </c>
      <c r="O7" s="598"/>
      <c r="P7" s="599" t="s">
        <v>1672</v>
      </c>
      <c r="Q7" s="604" t="s">
        <v>809</v>
      </c>
      <c r="V7" s="592" t="s">
        <v>806</v>
      </c>
      <c r="W7" s="592" t="s">
        <v>807</v>
      </c>
      <c r="X7" s="592" t="s">
        <v>808</v>
      </c>
      <c r="Y7" s="592" t="s">
        <v>1672</v>
      </c>
      <c r="Z7" s="592" t="s">
        <v>809</v>
      </c>
      <c r="AB7" s="592" t="s">
        <v>16</v>
      </c>
    </row>
    <row r="8" spans="1:28" s="609" customFormat="1" ht="2.25" customHeight="1">
      <c r="A8" s="635"/>
      <c r="B8" s="605"/>
      <c r="C8" s="605"/>
      <c r="D8" s="605"/>
      <c r="E8" s="605"/>
      <c r="F8" s="605"/>
      <c r="G8" s="606"/>
      <c r="H8" s="607"/>
      <c r="I8" s="608"/>
      <c r="J8" s="605"/>
      <c r="K8" s="605"/>
      <c r="L8" s="605"/>
      <c r="M8" s="605"/>
      <c r="N8" s="605"/>
      <c r="O8" s="605"/>
      <c r="P8" s="605"/>
      <c r="Q8" s="605"/>
    </row>
    <row r="9" spans="1:28" s="609" customFormat="1" ht="5.25" customHeight="1">
      <c r="A9" s="635"/>
      <c r="B9" s="610"/>
      <c r="C9" s="610"/>
      <c r="D9" s="610"/>
      <c r="E9" s="610"/>
      <c r="F9" s="610"/>
      <c r="G9" s="606"/>
      <c r="H9" s="608"/>
      <c r="I9" s="608"/>
      <c r="J9" s="611" t="e">
        <f>B9/$H9</f>
        <v>#DIV/0!</v>
      </c>
      <c r="K9" s="611"/>
      <c r="L9" s="610"/>
      <c r="M9" s="610"/>
      <c r="N9" s="610"/>
      <c r="O9" s="610"/>
      <c r="P9" s="610"/>
      <c r="Q9" s="610"/>
    </row>
    <row r="10" spans="1:28" s="609" customFormat="1" ht="4.5" hidden="1" customHeight="1">
      <c r="A10" s="635"/>
      <c r="B10" s="610"/>
      <c r="C10" s="610"/>
      <c r="D10" s="610"/>
      <c r="E10" s="610"/>
      <c r="F10" s="610"/>
      <c r="G10" s="606"/>
      <c r="H10" s="612"/>
      <c r="I10" s="608"/>
      <c r="J10" s="611">
        <v>1</v>
      </c>
      <c r="K10" s="611"/>
      <c r="L10" s="611">
        <v>1</v>
      </c>
      <c r="M10" s="611"/>
      <c r="N10" s="613">
        <v>1</v>
      </c>
      <c r="O10" s="613"/>
      <c r="P10" s="142">
        <v>1</v>
      </c>
      <c r="Q10" s="488">
        <v>1</v>
      </c>
    </row>
    <row r="11" spans="1:28" ht="14.25" customHeight="1">
      <c r="A11" s="633">
        <v>1973</v>
      </c>
      <c r="B11" s="601">
        <v>7709</v>
      </c>
      <c r="C11" s="601">
        <v>9781</v>
      </c>
      <c r="D11" s="601">
        <v>1427</v>
      </c>
      <c r="E11" s="614">
        <v>65</v>
      </c>
      <c r="F11" s="601">
        <v>5183</v>
      </c>
      <c r="G11" s="601"/>
      <c r="H11" s="601">
        <v>24165</v>
      </c>
      <c r="I11" s="615"/>
      <c r="J11" s="488">
        <f t="shared" ref="J11:J43" si="0">B11/$H11</f>
        <v>0.31901510448996484</v>
      </c>
      <c r="K11" s="488"/>
      <c r="L11" s="488">
        <f t="shared" ref="L11:L51" si="1">C11/$H11</f>
        <v>0.4047589488930271</v>
      </c>
      <c r="M11" s="488"/>
      <c r="N11" s="488">
        <f t="shared" ref="N11:N51" si="2">D11/$H11</f>
        <v>5.9052348437823296E-2</v>
      </c>
      <c r="O11" s="488"/>
      <c r="P11" s="142">
        <f t="shared" ref="P11:P51" si="3">E11/$H11</f>
        <v>2.6898406786674944E-3</v>
      </c>
      <c r="Q11" s="488">
        <f t="shared" ref="Q11:Q51" si="4">F11/$H11</f>
        <v>0.21448375750051726</v>
      </c>
      <c r="U11" s="592">
        <v>1973</v>
      </c>
      <c r="V11" s="592">
        <v>7709</v>
      </c>
      <c r="W11" s="592">
        <v>9781</v>
      </c>
      <c r="X11" s="592">
        <v>1427</v>
      </c>
      <c r="Y11" s="592">
        <v>65</v>
      </c>
      <c r="Z11" s="592">
        <v>5183</v>
      </c>
      <c r="AB11" s="592">
        <v>24165</v>
      </c>
    </row>
    <row r="12" spans="1:28" ht="11.25" customHeight="1">
      <c r="A12" s="633">
        <v>1974</v>
      </c>
      <c r="B12" s="601">
        <v>8102</v>
      </c>
      <c r="C12" s="601">
        <v>10325</v>
      </c>
      <c r="D12" s="601">
        <v>1474</v>
      </c>
      <c r="E12" s="614">
        <v>145</v>
      </c>
      <c r="F12" s="601">
        <v>5664</v>
      </c>
      <c r="G12" s="601"/>
      <c r="H12" s="601">
        <v>25710</v>
      </c>
      <c r="I12" s="615"/>
      <c r="J12" s="488">
        <f t="shared" si="0"/>
        <v>0.31513029949436017</v>
      </c>
      <c r="K12" s="488"/>
      <c r="L12" s="488">
        <f t="shared" si="1"/>
        <v>0.40159471022948268</v>
      </c>
      <c r="M12" s="488"/>
      <c r="N12" s="488">
        <f t="shared" si="2"/>
        <v>5.7331777518475305E-2</v>
      </c>
      <c r="O12" s="488"/>
      <c r="P12" s="142">
        <f t="shared" si="3"/>
        <v>5.6398288603656168E-3</v>
      </c>
      <c r="Q12" s="488">
        <f t="shared" si="4"/>
        <v>0.22030338389731621</v>
      </c>
      <c r="U12" s="592">
        <v>1974</v>
      </c>
      <c r="V12" s="592">
        <v>8102</v>
      </c>
      <c r="W12" s="592">
        <v>10325</v>
      </c>
      <c r="X12" s="592">
        <v>1474</v>
      </c>
      <c r="Y12" s="592">
        <v>145</v>
      </c>
      <c r="Z12" s="592">
        <v>5664</v>
      </c>
      <c r="AB12" s="592">
        <v>25710</v>
      </c>
    </row>
    <row r="13" spans="1:28" ht="11.25" customHeight="1">
      <c r="A13" s="633">
        <v>1975</v>
      </c>
      <c r="B13" s="601">
        <v>8301</v>
      </c>
      <c r="C13" s="601">
        <v>10117</v>
      </c>
      <c r="D13" s="601">
        <v>1462</v>
      </c>
      <c r="E13" s="614">
        <v>145</v>
      </c>
      <c r="F13" s="601">
        <v>5685</v>
      </c>
      <c r="G13" s="601"/>
      <c r="H13" s="601">
        <v>25710</v>
      </c>
      <c r="I13" s="615"/>
      <c r="J13" s="488">
        <f t="shared" si="0"/>
        <v>0.32287047841306882</v>
      </c>
      <c r="K13" s="488"/>
      <c r="L13" s="488">
        <f t="shared" si="1"/>
        <v>0.39350447296771685</v>
      </c>
      <c r="M13" s="488"/>
      <c r="N13" s="488">
        <f t="shared" si="2"/>
        <v>5.6865033061065731E-2</v>
      </c>
      <c r="O13" s="488"/>
      <c r="P13" s="142">
        <f t="shared" si="3"/>
        <v>5.6398288603656168E-3</v>
      </c>
      <c r="Q13" s="488">
        <f t="shared" si="4"/>
        <v>0.22112018669778297</v>
      </c>
      <c r="U13" s="592">
        <v>1975</v>
      </c>
      <c r="V13" s="592">
        <v>8301</v>
      </c>
      <c r="W13" s="592">
        <v>10117</v>
      </c>
      <c r="X13" s="592">
        <v>1462</v>
      </c>
      <c r="Y13" s="592">
        <v>145</v>
      </c>
      <c r="Z13" s="592">
        <v>5685</v>
      </c>
      <c r="AB13" s="592">
        <v>25710</v>
      </c>
    </row>
    <row r="14" spans="1:28" ht="11.25" customHeight="1">
      <c r="A14" s="633">
        <v>1976</v>
      </c>
      <c r="B14" s="601">
        <v>11077</v>
      </c>
      <c r="C14" s="601">
        <v>8213</v>
      </c>
      <c r="D14" s="601">
        <v>1113</v>
      </c>
      <c r="E14" s="614">
        <v>223</v>
      </c>
      <c r="F14" s="601">
        <v>5132</v>
      </c>
      <c r="G14" s="601"/>
      <c r="H14" s="601">
        <v>25758</v>
      </c>
      <c r="I14" s="615"/>
      <c r="J14" s="488">
        <f t="shared" si="0"/>
        <v>0.43004115226337447</v>
      </c>
      <c r="K14" s="488"/>
      <c r="L14" s="488">
        <f t="shared" si="1"/>
        <v>0.31885239537231153</v>
      </c>
      <c r="M14" s="488"/>
      <c r="N14" s="488">
        <f t="shared" si="2"/>
        <v>4.3209876543209874E-2</v>
      </c>
      <c r="O14" s="488"/>
      <c r="P14" s="142">
        <f t="shared" si="3"/>
        <v>8.6575044646323464E-3</v>
      </c>
      <c r="Q14" s="488">
        <f t="shared" si="4"/>
        <v>0.19923907135647179</v>
      </c>
      <c r="U14" s="592">
        <v>1976</v>
      </c>
      <c r="V14" s="592">
        <v>11077</v>
      </c>
      <c r="W14" s="592">
        <v>8213</v>
      </c>
      <c r="X14" s="592">
        <v>1113</v>
      </c>
      <c r="Y14" s="592">
        <v>223</v>
      </c>
      <c r="Z14" s="592">
        <v>5132</v>
      </c>
      <c r="AB14" s="592">
        <v>25758</v>
      </c>
    </row>
    <row r="15" spans="1:28" ht="14.25" customHeight="1">
      <c r="A15" s="633">
        <v>1977</v>
      </c>
      <c r="B15" s="601">
        <v>12370</v>
      </c>
      <c r="C15" s="601">
        <v>7115</v>
      </c>
      <c r="D15" s="614">
        <v>950</v>
      </c>
      <c r="E15" s="614">
        <v>349</v>
      </c>
      <c r="F15" s="601">
        <v>4965</v>
      </c>
      <c r="G15" s="601"/>
      <c r="H15" s="601">
        <v>25749</v>
      </c>
      <c r="I15" s="601"/>
      <c r="J15" s="488">
        <f t="shared" si="0"/>
        <v>0.48040700609732417</v>
      </c>
      <c r="K15" s="488"/>
      <c r="L15" s="488">
        <f t="shared" si="1"/>
        <v>0.27632141054021514</v>
      </c>
      <c r="M15" s="488"/>
      <c r="N15" s="488">
        <f t="shared" si="2"/>
        <v>3.6894636684919803E-2</v>
      </c>
      <c r="O15" s="488"/>
      <c r="P15" s="142">
        <f t="shared" si="3"/>
        <v>1.3553924424249485E-2</v>
      </c>
      <c r="Q15" s="488">
        <f t="shared" si="4"/>
        <v>0.1928230222532914</v>
      </c>
      <c r="U15" s="592">
        <v>1977</v>
      </c>
      <c r="V15" s="592">
        <v>12370</v>
      </c>
      <c r="W15" s="592">
        <v>7115</v>
      </c>
      <c r="X15" s="592">
        <v>950</v>
      </c>
      <c r="Y15" s="592">
        <v>349</v>
      </c>
      <c r="Z15" s="592">
        <v>4965</v>
      </c>
      <c r="AB15" s="592">
        <v>25749</v>
      </c>
    </row>
    <row r="16" spans="1:28" ht="11.25" customHeight="1">
      <c r="A16" s="633">
        <v>1978</v>
      </c>
      <c r="B16" s="601">
        <v>12645</v>
      </c>
      <c r="C16" s="601">
        <v>6644</v>
      </c>
      <c r="D16" s="614">
        <v>923</v>
      </c>
      <c r="E16" s="614">
        <v>349</v>
      </c>
      <c r="F16" s="601">
        <v>4920</v>
      </c>
      <c r="G16" s="601"/>
      <c r="H16" s="601">
        <v>25481</v>
      </c>
      <c r="I16" s="601"/>
      <c r="J16" s="488">
        <f t="shared" si="0"/>
        <v>0.49625210941485814</v>
      </c>
      <c r="K16" s="488"/>
      <c r="L16" s="488">
        <f t="shared" si="1"/>
        <v>0.26074329892861348</v>
      </c>
      <c r="M16" s="488"/>
      <c r="N16" s="488">
        <f t="shared" si="2"/>
        <v>3.6223068168439232E-2</v>
      </c>
      <c r="O16" s="488"/>
      <c r="P16" s="142">
        <f t="shared" si="3"/>
        <v>1.3696479729994899E-2</v>
      </c>
      <c r="Q16" s="488">
        <f t="shared" si="4"/>
        <v>0.19308504375809427</v>
      </c>
      <c r="U16" s="592">
        <v>1978</v>
      </c>
      <c r="V16" s="592">
        <v>12645</v>
      </c>
      <c r="W16" s="592">
        <v>6644</v>
      </c>
      <c r="X16" s="592">
        <v>923</v>
      </c>
      <c r="Y16" s="592">
        <v>349</v>
      </c>
      <c r="Z16" s="592">
        <v>4920</v>
      </c>
      <c r="AB16" s="592">
        <v>25481</v>
      </c>
    </row>
    <row r="17" spans="1:28" ht="11.25" customHeight="1">
      <c r="A17" s="633">
        <v>1979</v>
      </c>
      <c r="B17" s="601">
        <v>12222</v>
      </c>
      <c r="C17" s="601">
        <v>7410</v>
      </c>
      <c r="D17" s="601">
        <v>1059</v>
      </c>
      <c r="E17" s="614">
        <v>301</v>
      </c>
      <c r="F17" s="601">
        <v>4388</v>
      </c>
      <c r="G17" s="601"/>
      <c r="H17" s="601">
        <v>25380</v>
      </c>
      <c r="I17" s="601"/>
      <c r="J17" s="488">
        <f t="shared" si="0"/>
        <v>0.48156028368794324</v>
      </c>
      <c r="K17" s="488"/>
      <c r="L17" s="488">
        <f t="shared" si="1"/>
        <v>0.29196217494089832</v>
      </c>
      <c r="M17" s="488"/>
      <c r="N17" s="488">
        <f t="shared" si="2"/>
        <v>4.1725768321513E-2</v>
      </c>
      <c r="O17" s="488"/>
      <c r="P17" s="142">
        <f t="shared" si="3"/>
        <v>1.185973207249803E-2</v>
      </c>
      <c r="Q17" s="488">
        <f t="shared" si="4"/>
        <v>0.17289204097714736</v>
      </c>
      <c r="U17" s="592">
        <v>1979</v>
      </c>
      <c r="V17" s="592">
        <v>12222</v>
      </c>
      <c r="W17" s="592">
        <v>7410</v>
      </c>
      <c r="X17" s="592">
        <v>1059</v>
      </c>
      <c r="Y17" s="592">
        <v>301</v>
      </c>
      <c r="Z17" s="592">
        <v>4388</v>
      </c>
      <c r="AB17" s="592">
        <v>25380</v>
      </c>
    </row>
    <row r="18" spans="1:28" ht="11.25" customHeight="1">
      <c r="A18" s="633">
        <v>1980</v>
      </c>
      <c r="B18" s="601">
        <v>11738</v>
      </c>
      <c r="C18" s="601">
        <v>8011</v>
      </c>
      <c r="D18" s="601">
        <v>1149</v>
      </c>
      <c r="E18" s="614">
        <v>186</v>
      </c>
      <c r="F18" s="601">
        <v>4325</v>
      </c>
      <c r="G18" s="601"/>
      <c r="H18" s="601">
        <v>25409</v>
      </c>
      <c r="I18" s="601"/>
      <c r="J18" s="488">
        <f t="shared" si="0"/>
        <v>0.46196229682396001</v>
      </c>
      <c r="K18" s="488"/>
      <c r="L18" s="488">
        <f t="shared" si="1"/>
        <v>0.3152819866976268</v>
      </c>
      <c r="M18" s="488"/>
      <c r="N18" s="488">
        <f t="shared" si="2"/>
        <v>4.5220197567790943E-2</v>
      </c>
      <c r="O18" s="488"/>
      <c r="P18" s="142">
        <f t="shared" si="3"/>
        <v>7.3202408595379586E-3</v>
      </c>
      <c r="Q18" s="488">
        <f t="shared" si="4"/>
        <v>0.17021527805108427</v>
      </c>
      <c r="U18" s="592">
        <v>1980</v>
      </c>
      <c r="V18" s="592">
        <v>11738</v>
      </c>
      <c r="W18" s="592">
        <v>8011</v>
      </c>
      <c r="X18" s="592">
        <v>1149</v>
      </c>
      <c r="Y18" s="592">
        <v>186</v>
      </c>
      <c r="Z18" s="592">
        <v>4325</v>
      </c>
      <c r="AB18" s="592">
        <v>25409</v>
      </c>
    </row>
    <row r="19" spans="1:28" ht="14.25" customHeight="1">
      <c r="A19" s="633">
        <v>1981</v>
      </c>
      <c r="B19" s="601">
        <v>10545</v>
      </c>
      <c r="C19" s="601">
        <v>8999</v>
      </c>
      <c r="D19" s="601">
        <v>1455</v>
      </c>
      <c r="E19" s="614">
        <v>172</v>
      </c>
      <c r="F19" s="601">
        <v>4208</v>
      </c>
      <c r="G19" s="601"/>
      <c r="H19" s="601">
        <v>25379</v>
      </c>
      <c r="I19" s="601"/>
      <c r="J19" s="488">
        <f t="shared" si="0"/>
        <v>0.41550100476772134</v>
      </c>
      <c r="K19" s="488"/>
      <c r="L19" s="488">
        <f t="shared" si="1"/>
        <v>0.35458449899523226</v>
      </c>
      <c r="M19" s="488"/>
      <c r="N19" s="488">
        <f t="shared" si="2"/>
        <v>5.7330864100240353E-2</v>
      </c>
      <c r="O19" s="488"/>
      <c r="P19" s="142">
        <f t="shared" si="3"/>
        <v>6.777256787107451E-3</v>
      </c>
      <c r="Q19" s="488">
        <f t="shared" si="4"/>
        <v>0.16580637534969858</v>
      </c>
      <c r="U19" s="592">
        <v>1981</v>
      </c>
      <c r="V19" s="592">
        <v>10545</v>
      </c>
      <c r="W19" s="592">
        <v>8999</v>
      </c>
      <c r="X19" s="592">
        <v>1455</v>
      </c>
      <c r="Y19" s="592">
        <v>172</v>
      </c>
      <c r="Z19" s="592">
        <v>4208</v>
      </c>
      <c r="AB19" s="592">
        <v>25379</v>
      </c>
    </row>
    <row r="20" spans="1:28" ht="11.25" customHeight="1">
      <c r="A20" s="633">
        <v>1982</v>
      </c>
      <c r="B20" s="601">
        <v>10447</v>
      </c>
      <c r="C20" s="601">
        <v>8774</v>
      </c>
      <c r="D20" s="601">
        <v>1850</v>
      </c>
      <c r="E20" s="614">
        <v>177</v>
      </c>
      <c r="F20" s="601">
        <v>4099</v>
      </c>
      <c r="G20" s="601"/>
      <c r="H20" s="601">
        <v>25347</v>
      </c>
      <c r="I20" s="601"/>
      <c r="J20" s="488">
        <f t="shared" si="0"/>
        <v>0.41215922988913878</v>
      </c>
      <c r="K20" s="488"/>
      <c r="L20" s="488">
        <f t="shared" si="1"/>
        <v>0.34615536355387228</v>
      </c>
      <c r="M20" s="488"/>
      <c r="N20" s="488">
        <f t="shared" si="2"/>
        <v>7.2986941255375387E-2</v>
      </c>
      <c r="O20" s="488"/>
      <c r="P20" s="142">
        <f t="shared" si="3"/>
        <v>6.983074920108889E-3</v>
      </c>
      <c r="Q20" s="488">
        <f t="shared" si="4"/>
        <v>0.1617153903815047</v>
      </c>
      <c r="U20" s="592">
        <v>1982</v>
      </c>
      <c r="V20" s="592">
        <v>10447</v>
      </c>
      <c r="W20" s="592">
        <v>8774</v>
      </c>
      <c r="X20" s="592">
        <v>1850</v>
      </c>
      <c r="Y20" s="592">
        <v>177</v>
      </c>
      <c r="Z20" s="592">
        <v>4099</v>
      </c>
      <c r="AB20" s="592">
        <v>25347</v>
      </c>
    </row>
    <row r="21" spans="1:28" ht="11.25" customHeight="1">
      <c r="A21" s="633">
        <v>1983</v>
      </c>
      <c r="B21" s="601">
        <v>10557</v>
      </c>
      <c r="C21" s="601">
        <v>8782</v>
      </c>
      <c r="D21" s="601">
        <v>2171</v>
      </c>
      <c r="E21" s="614">
        <v>175</v>
      </c>
      <c r="F21" s="601">
        <v>3570</v>
      </c>
      <c r="G21" s="601"/>
      <c r="H21" s="601">
        <v>25255</v>
      </c>
      <c r="I21" s="601"/>
      <c r="J21" s="488">
        <f t="shared" si="0"/>
        <v>0.41801623440902791</v>
      </c>
      <c r="K21" s="488"/>
      <c r="L21" s="488">
        <f t="shared" si="1"/>
        <v>0.34773312215402891</v>
      </c>
      <c r="M21" s="488"/>
      <c r="N21" s="488">
        <f t="shared" si="2"/>
        <v>8.596317560879034E-2</v>
      </c>
      <c r="O21" s="488"/>
      <c r="P21" s="142">
        <f t="shared" si="3"/>
        <v>6.9293209265491986E-3</v>
      </c>
      <c r="Q21" s="488">
        <f t="shared" si="4"/>
        <v>0.14135814690160364</v>
      </c>
      <c r="U21" s="592">
        <v>1983</v>
      </c>
      <c r="V21" s="592">
        <v>10557</v>
      </c>
      <c r="W21" s="592">
        <v>8782</v>
      </c>
      <c r="X21" s="592">
        <v>2171</v>
      </c>
      <c r="Y21" s="592">
        <v>175</v>
      </c>
      <c r="Z21" s="592">
        <v>3570</v>
      </c>
      <c r="AB21" s="592">
        <v>25255</v>
      </c>
    </row>
    <row r="22" spans="1:28" ht="11.25" customHeight="1">
      <c r="A22" s="633">
        <v>1984</v>
      </c>
      <c r="B22" s="601">
        <v>10393</v>
      </c>
      <c r="C22" s="601">
        <v>8870</v>
      </c>
      <c r="D22" s="601">
        <v>2331</v>
      </c>
      <c r="E22" s="614">
        <v>179</v>
      </c>
      <c r="F22" s="601">
        <v>3515</v>
      </c>
      <c r="G22" s="601"/>
      <c r="H22" s="601">
        <v>25288</v>
      </c>
      <c r="I22" s="601"/>
      <c r="J22" s="488">
        <f t="shared" si="0"/>
        <v>0.41098544764315093</v>
      </c>
      <c r="K22" s="488"/>
      <c r="L22" s="488">
        <f t="shared" si="1"/>
        <v>0.35075925340082253</v>
      </c>
      <c r="M22" s="488"/>
      <c r="N22" s="488">
        <f t="shared" si="2"/>
        <v>9.2178108193609623E-2</v>
      </c>
      <c r="O22" s="488"/>
      <c r="P22" s="142">
        <f t="shared" si="3"/>
        <v>7.0784561847516605E-3</v>
      </c>
      <c r="Q22" s="488">
        <f t="shared" si="4"/>
        <v>0.13899873457766529</v>
      </c>
      <c r="U22" s="592">
        <v>1984</v>
      </c>
      <c r="V22" s="592">
        <v>10393</v>
      </c>
      <c r="W22" s="592">
        <v>8870</v>
      </c>
      <c r="X22" s="592">
        <v>2331</v>
      </c>
      <c r="Y22" s="592">
        <v>179</v>
      </c>
      <c r="Z22" s="592">
        <v>3515</v>
      </c>
      <c r="AB22" s="592">
        <v>25288</v>
      </c>
    </row>
    <row r="23" spans="1:28" ht="14.25" customHeight="1">
      <c r="A23" s="633">
        <v>1985</v>
      </c>
      <c r="B23" s="601">
        <v>10191</v>
      </c>
      <c r="C23" s="601">
        <v>8746</v>
      </c>
      <c r="D23" s="601">
        <v>2633</v>
      </c>
      <c r="E23" s="614">
        <v>177</v>
      </c>
      <c r="F23" s="601">
        <v>3432</v>
      </c>
      <c r="G23" s="601"/>
      <c r="H23" s="601">
        <v>25179</v>
      </c>
      <c r="I23" s="601"/>
      <c r="J23" s="488">
        <f t="shared" si="0"/>
        <v>0.40474204694388183</v>
      </c>
      <c r="K23" s="488"/>
      <c r="L23" s="488">
        <f t="shared" si="1"/>
        <v>0.34735295285754003</v>
      </c>
      <c r="M23" s="488"/>
      <c r="N23" s="488">
        <f t="shared" si="2"/>
        <v>0.10457126970888439</v>
      </c>
      <c r="O23" s="488"/>
      <c r="P23" s="142">
        <f t="shared" si="3"/>
        <v>7.0296675801262958E-3</v>
      </c>
      <c r="Q23" s="488">
        <f t="shared" si="4"/>
        <v>0.13630406290956751</v>
      </c>
      <c r="U23" s="592">
        <v>1985</v>
      </c>
      <c r="V23" s="592">
        <v>10191</v>
      </c>
      <c r="W23" s="592">
        <v>8746</v>
      </c>
      <c r="X23" s="592">
        <v>2633</v>
      </c>
      <c r="Y23" s="592">
        <v>177</v>
      </c>
      <c r="Z23" s="592">
        <v>3432</v>
      </c>
      <c r="AB23" s="592">
        <v>25179</v>
      </c>
    </row>
    <row r="24" spans="1:28" ht="11.25" customHeight="1">
      <c r="A24" s="633">
        <v>1986</v>
      </c>
      <c r="B24" s="601">
        <v>9216</v>
      </c>
      <c r="C24" s="601">
        <v>8759</v>
      </c>
      <c r="D24" s="601">
        <v>2971</v>
      </c>
      <c r="E24" s="614">
        <v>191</v>
      </c>
      <c r="F24" s="601">
        <v>3364</v>
      </c>
      <c r="G24" s="601"/>
      <c r="H24" s="601">
        <v>24501</v>
      </c>
      <c r="I24" s="601"/>
      <c r="J24" s="488">
        <f t="shared" si="0"/>
        <v>0.37614791233010897</v>
      </c>
      <c r="K24" s="488"/>
      <c r="L24" s="488">
        <f t="shared" si="1"/>
        <v>0.3574956124239827</v>
      </c>
      <c r="M24" s="488"/>
      <c r="N24" s="488">
        <f t="shared" si="2"/>
        <v>0.12126035672013387</v>
      </c>
      <c r="O24" s="488"/>
      <c r="P24" s="142">
        <f t="shared" si="3"/>
        <v>7.7956001795845067E-3</v>
      </c>
      <c r="Q24" s="488">
        <f t="shared" si="4"/>
        <v>0.13730051834618995</v>
      </c>
      <c r="U24" s="592">
        <v>1986</v>
      </c>
      <c r="V24" s="592">
        <v>9216</v>
      </c>
      <c r="W24" s="592">
        <v>8759</v>
      </c>
      <c r="X24" s="592">
        <v>2971</v>
      </c>
      <c r="Y24" s="592">
        <v>191</v>
      </c>
      <c r="Z24" s="592">
        <v>3364</v>
      </c>
      <c r="AB24" s="592">
        <v>24501</v>
      </c>
    </row>
    <row r="25" spans="1:28" ht="11.25" customHeight="1">
      <c r="A25" s="633">
        <v>1987</v>
      </c>
      <c r="B25" s="601">
        <v>9141</v>
      </c>
      <c r="C25" s="601">
        <v>8525</v>
      </c>
      <c r="D25" s="601">
        <v>3640</v>
      </c>
      <c r="E25" s="614">
        <v>203</v>
      </c>
      <c r="F25" s="601">
        <v>2974</v>
      </c>
      <c r="G25" s="601"/>
      <c r="H25" s="601">
        <v>24483</v>
      </c>
      <c r="I25" s="601"/>
      <c r="J25" s="488">
        <f t="shared" si="0"/>
        <v>0.37336110770738878</v>
      </c>
      <c r="K25" s="488"/>
      <c r="L25" s="488">
        <f t="shared" si="1"/>
        <v>0.34820079238655394</v>
      </c>
      <c r="M25" s="488"/>
      <c r="N25" s="488">
        <f t="shared" si="2"/>
        <v>0.14867459053220602</v>
      </c>
      <c r="O25" s="488"/>
      <c r="P25" s="142">
        <f t="shared" si="3"/>
        <v>8.2914675489114895E-3</v>
      </c>
      <c r="Q25" s="488">
        <f t="shared" si="4"/>
        <v>0.12147204182493976</v>
      </c>
      <c r="U25" s="592">
        <v>1987</v>
      </c>
      <c r="V25" s="592">
        <v>9141</v>
      </c>
      <c r="W25" s="592">
        <v>8525</v>
      </c>
      <c r="X25" s="592">
        <v>3640</v>
      </c>
      <c r="Y25" s="592">
        <v>203</v>
      </c>
      <c r="Z25" s="592">
        <v>2974</v>
      </c>
      <c r="AB25" s="592">
        <v>24483</v>
      </c>
    </row>
    <row r="26" spans="1:28" ht="11.25" customHeight="1">
      <c r="A26" s="633">
        <v>1988</v>
      </c>
      <c r="B26" s="601">
        <v>9150</v>
      </c>
      <c r="C26" s="601">
        <v>8601</v>
      </c>
      <c r="D26" s="601">
        <v>3518</v>
      </c>
      <c r="E26" s="614">
        <v>254</v>
      </c>
      <c r="F26" s="601">
        <v>2968</v>
      </c>
      <c r="G26" s="601"/>
      <c r="H26" s="601">
        <v>24491</v>
      </c>
      <c r="I26" s="601"/>
      <c r="J26" s="488">
        <f t="shared" si="0"/>
        <v>0.37360663100730879</v>
      </c>
      <c r="K26" s="488"/>
      <c r="L26" s="488">
        <f t="shared" si="1"/>
        <v>0.35119023314687026</v>
      </c>
      <c r="M26" s="488"/>
      <c r="N26" s="488">
        <f t="shared" si="2"/>
        <v>0.14364460414029642</v>
      </c>
      <c r="O26" s="488"/>
      <c r="P26" s="142">
        <f t="shared" si="3"/>
        <v>1.037115675145972E-2</v>
      </c>
      <c r="Q26" s="488">
        <f t="shared" si="4"/>
        <v>0.12118737495406476</v>
      </c>
      <c r="U26" s="592">
        <v>1988</v>
      </c>
      <c r="V26" s="592">
        <v>9150</v>
      </c>
      <c r="W26" s="592">
        <v>8601</v>
      </c>
      <c r="X26" s="592">
        <v>3518</v>
      </c>
      <c r="Y26" s="592">
        <v>254</v>
      </c>
      <c r="Z26" s="592">
        <v>2968</v>
      </c>
      <c r="AB26" s="592">
        <v>24491</v>
      </c>
    </row>
    <row r="27" spans="1:28" ht="14.25" customHeight="1">
      <c r="A27" s="633">
        <v>1989</v>
      </c>
      <c r="B27" s="601">
        <v>9242</v>
      </c>
      <c r="C27" s="601">
        <v>8636</v>
      </c>
      <c r="D27" s="601">
        <v>3343</v>
      </c>
      <c r="E27" s="614">
        <v>258</v>
      </c>
      <c r="F27" s="601">
        <v>2958</v>
      </c>
      <c r="G27" s="601"/>
      <c r="H27" s="601">
        <v>24437</v>
      </c>
      <c r="I27" s="601"/>
      <c r="J27" s="488">
        <f t="shared" si="0"/>
        <v>0.37819699635798176</v>
      </c>
      <c r="K27" s="488"/>
      <c r="L27" s="488">
        <f t="shared" si="1"/>
        <v>0.35339853500838891</v>
      </c>
      <c r="M27" s="488"/>
      <c r="N27" s="488">
        <f t="shared" si="2"/>
        <v>0.13680075295658223</v>
      </c>
      <c r="O27" s="488"/>
      <c r="P27" s="142">
        <f t="shared" si="3"/>
        <v>1.0557760772598929E-2</v>
      </c>
      <c r="Q27" s="488">
        <f t="shared" si="4"/>
        <v>0.12104595490444817</v>
      </c>
      <c r="U27" s="592">
        <v>1989</v>
      </c>
      <c r="V27" s="592">
        <v>9242</v>
      </c>
      <c r="W27" s="592">
        <v>8636</v>
      </c>
      <c r="X27" s="592">
        <v>3343</v>
      </c>
      <c r="Y27" s="592">
        <v>258</v>
      </c>
      <c r="Z27" s="592">
        <v>2958</v>
      </c>
      <c r="AB27" s="592">
        <v>24437</v>
      </c>
    </row>
    <row r="28" spans="1:28" ht="11.25" customHeight="1">
      <c r="A28" s="633">
        <v>1990</v>
      </c>
      <c r="B28" s="601">
        <v>9020</v>
      </c>
      <c r="C28" s="601">
        <v>8920</v>
      </c>
      <c r="D28" s="601">
        <v>3265</v>
      </c>
      <c r="E28" s="614">
        <v>264</v>
      </c>
      <c r="F28" s="601">
        <v>2968</v>
      </c>
      <c r="G28" s="601"/>
      <c r="H28" s="601">
        <v>24437</v>
      </c>
      <c r="I28" s="601"/>
      <c r="J28" s="488">
        <f t="shared" si="0"/>
        <v>0.3691124115071408</v>
      </c>
      <c r="K28" s="488"/>
      <c r="L28" s="488">
        <f t="shared" si="1"/>
        <v>0.3650202561689242</v>
      </c>
      <c r="M28" s="488"/>
      <c r="N28" s="488">
        <f t="shared" si="2"/>
        <v>0.13360887179277325</v>
      </c>
      <c r="O28" s="488"/>
      <c r="P28" s="142">
        <f t="shared" si="3"/>
        <v>1.0803290092891927E-2</v>
      </c>
      <c r="Q28" s="488">
        <f t="shared" si="4"/>
        <v>0.12145517043826984</v>
      </c>
      <c r="U28" s="592">
        <v>1990</v>
      </c>
      <c r="V28" s="592">
        <v>9020</v>
      </c>
      <c r="W28" s="592">
        <v>8920</v>
      </c>
      <c r="X28" s="592">
        <v>3265</v>
      </c>
      <c r="Y28" s="592">
        <v>264</v>
      </c>
      <c r="Z28" s="592">
        <v>2968</v>
      </c>
      <c r="AB28" s="592">
        <v>24437</v>
      </c>
    </row>
    <row r="29" spans="1:28" ht="11.25" customHeight="1">
      <c r="A29" s="633">
        <v>1991</v>
      </c>
      <c r="B29" s="601">
        <v>7985</v>
      </c>
      <c r="C29" s="601">
        <v>9504</v>
      </c>
      <c r="D29" s="601">
        <v>3672</v>
      </c>
      <c r="E29" s="614">
        <v>292</v>
      </c>
      <c r="F29" s="601">
        <v>2997</v>
      </c>
      <c r="G29" s="601"/>
      <c r="H29" s="601">
        <v>24450</v>
      </c>
      <c r="I29" s="601"/>
      <c r="J29" s="488">
        <f t="shared" si="0"/>
        <v>0.32658486707566464</v>
      </c>
      <c r="K29" s="488"/>
      <c r="L29" s="488">
        <f t="shared" si="1"/>
        <v>0.38871165644171779</v>
      </c>
      <c r="M29" s="488"/>
      <c r="N29" s="488">
        <f t="shared" si="2"/>
        <v>0.15018404907975461</v>
      </c>
      <c r="O29" s="488"/>
      <c r="P29" s="142">
        <f t="shared" si="3"/>
        <v>1.1942740286298568E-2</v>
      </c>
      <c r="Q29" s="488">
        <f t="shared" si="4"/>
        <v>0.12257668711656441</v>
      </c>
      <c r="U29" s="592">
        <v>1991</v>
      </c>
      <c r="V29" s="592">
        <v>7985</v>
      </c>
      <c r="W29" s="592">
        <v>9504</v>
      </c>
      <c r="X29" s="592">
        <v>3672</v>
      </c>
      <c r="Y29" s="592">
        <v>292</v>
      </c>
      <c r="Z29" s="592">
        <v>2997</v>
      </c>
      <c r="AB29" s="592">
        <v>24450</v>
      </c>
    </row>
    <row r="30" spans="1:28" ht="11.25" customHeight="1">
      <c r="A30" s="633">
        <v>1992</v>
      </c>
      <c r="B30" s="601">
        <v>8288</v>
      </c>
      <c r="C30" s="601">
        <v>9102</v>
      </c>
      <c r="D30" s="601">
        <v>3728</v>
      </c>
      <c r="E30" s="614">
        <v>334</v>
      </c>
      <c r="F30" s="601">
        <v>2977</v>
      </c>
      <c r="G30" s="601"/>
      <c r="H30" s="601">
        <v>24429</v>
      </c>
      <c r="I30" s="601"/>
      <c r="J30" s="488">
        <f t="shared" si="0"/>
        <v>0.3392689017151746</v>
      </c>
      <c r="K30" s="488"/>
      <c r="L30" s="488">
        <f t="shared" si="1"/>
        <v>0.37258995456220068</v>
      </c>
      <c r="M30" s="488"/>
      <c r="N30" s="488">
        <f t="shared" si="2"/>
        <v>0.15260550984485652</v>
      </c>
      <c r="O30" s="488"/>
      <c r="P30" s="142">
        <f t="shared" si="3"/>
        <v>1.3672274755413648E-2</v>
      </c>
      <c r="Q30" s="488">
        <f t="shared" si="4"/>
        <v>0.12186335912235458</v>
      </c>
      <c r="U30" s="592">
        <v>1992</v>
      </c>
      <c r="V30" s="592">
        <v>8288</v>
      </c>
      <c r="W30" s="592">
        <v>9102</v>
      </c>
      <c r="X30" s="592">
        <v>3728</v>
      </c>
      <c r="Y30" s="592">
        <v>334</v>
      </c>
      <c r="Z30" s="592">
        <v>2977</v>
      </c>
      <c r="AB30" s="592">
        <v>24429</v>
      </c>
    </row>
    <row r="31" spans="1:28" ht="14.25" customHeight="1">
      <c r="A31" s="633">
        <v>1993</v>
      </c>
      <c r="B31" s="601">
        <v>7802</v>
      </c>
      <c r="C31" s="601">
        <v>9213</v>
      </c>
      <c r="D31" s="601">
        <v>4123</v>
      </c>
      <c r="E31" s="614">
        <v>358</v>
      </c>
      <c r="F31" s="601">
        <v>2948</v>
      </c>
      <c r="G31" s="601"/>
      <c r="H31" s="601">
        <v>24444</v>
      </c>
      <c r="I31" s="601"/>
      <c r="J31" s="488">
        <f t="shared" si="0"/>
        <v>0.31917853051873668</v>
      </c>
      <c r="K31" s="488"/>
      <c r="L31" s="488">
        <f t="shared" si="1"/>
        <v>0.37690230731467844</v>
      </c>
      <c r="M31" s="488"/>
      <c r="N31" s="488">
        <f t="shared" si="2"/>
        <v>0.1686712485681558</v>
      </c>
      <c r="O31" s="488"/>
      <c r="P31" s="142">
        <f t="shared" si="3"/>
        <v>1.4645720831287842E-2</v>
      </c>
      <c r="Q31" s="488">
        <f t="shared" si="4"/>
        <v>0.12060219276714122</v>
      </c>
      <c r="U31" s="592">
        <v>1993</v>
      </c>
      <c r="V31" s="592">
        <v>7802</v>
      </c>
      <c r="W31" s="592">
        <v>9213</v>
      </c>
      <c r="X31" s="592">
        <v>4123</v>
      </c>
      <c r="Y31" s="592">
        <v>358</v>
      </c>
      <c r="Z31" s="592">
        <v>2948</v>
      </c>
      <c r="AB31" s="592">
        <v>24444</v>
      </c>
    </row>
    <row r="32" spans="1:28" ht="11.25" customHeight="1">
      <c r="A32" s="633">
        <v>1994</v>
      </c>
      <c r="B32" s="601">
        <v>7286</v>
      </c>
      <c r="C32" s="601">
        <v>9257</v>
      </c>
      <c r="D32" s="601">
        <v>4551</v>
      </c>
      <c r="E32" s="614">
        <v>392</v>
      </c>
      <c r="F32" s="601">
        <v>2941</v>
      </c>
      <c r="G32" s="601"/>
      <c r="H32" s="601">
        <v>24427</v>
      </c>
      <c r="I32" s="601"/>
      <c r="J32" s="488">
        <f t="shared" si="0"/>
        <v>0.29827649731854095</v>
      </c>
      <c r="K32" s="488"/>
      <c r="L32" s="488">
        <f t="shared" si="1"/>
        <v>0.3789658983911246</v>
      </c>
      <c r="M32" s="488"/>
      <c r="N32" s="488">
        <f t="shared" si="2"/>
        <v>0.18631023048266263</v>
      </c>
      <c r="O32" s="488"/>
      <c r="P32" s="142">
        <f t="shared" si="3"/>
        <v>1.6047815941376345E-2</v>
      </c>
      <c r="Q32" s="488">
        <f t="shared" si="4"/>
        <v>0.1203995578662955</v>
      </c>
      <c r="U32" s="592">
        <v>1994</v>
      </c>
      <c r="V32" s="592">
        <v>7286</v>
      </c>
      <c r="W32" s="592">
        <v>9257</v>
      </c>
      <c r="X32" s="592">
        <v>4551</v>
      </c>
      <c r="Y32" s="592">
        <v>392</v>
      </c>
      <c r="Z32" s="592">
        <v>2941</v>
      </c>
      <c r="AB32" s="592">
        <v>24427</v>
      </c>
    </row>
    <row r="33" spans="1:28" ht="11.25" customHeight="1">
      <c r="A33" s="633">
        <v>1995</v>
      </c>
      <c r="B33" s="601">
        <v>4883</v>
      </c>
      <c r="C33" s="601">
        <v>10461</v>
      </c>
      <c r="D33" s="601">
        <v>4942</v>
      </c>
      <c r="E33" s="614">
        <v>294</v>
      </c>
      <c r="F33" s="601">
        <v>2157</v>
      </c>
      <c r="G33" s="601"/>
      <c r="H33" s="601">
        <v>22737</v>
      </c>
      <c r="I33" s="601"/>
      <c r="J33" s="488">
        <f t="shared" si="0"/>
        <v>0.214760082684611</v>
      </c>
      <c r="K33" s="488"/>
      <c r="L33" s="488">
        <f t="shared" si="1"/>
        <v>0.46008708272859217</v>
      </c>
      <c r="M33" s="488"/>
      <c r="N33" s="488">
        <f t="shared" si="2"/>
        <v>0.2173549720719532</v>
      </c>
      <c r="O33" s="488"/>
      <c r="P33" s="142">
        <f t="shared" si="3"/>
        <v>1.2930465760654439E-2</v>
      </c>
      <c r="Q33" s="488">
        <f t="shared" si="4"/>
        <v>9.4867396754189204E-2</v>
      </c>
      <c r="U33" s="592">
        <v>1995</v>
      </c>
      <c r="V33" s="592">
        <v>4883</v>
      </c>
      <c r="W33" s="592">
        <v>10461</v>
      </c>
      <c r="X33" s="592">
        <v>4942</v>
      </c>
      <c r="Y33" s="592">
        <v>294</v>
      </c>
      <c r="Z33" s="592">
        <v>2157</v>
      </c>
      <c r="AB33" s="592">
        <v>22737</v>
      </c>
    </row>
    <row r="34" spans="1:28" ht="11.25" customHeight="1">
      <c r="A34" s="633">
        <v>1996</v>
      </c>
      <c r="B34" s="601">
        <v>4276</v>
      </c>
      <c r="C34" s="601">
        <v>10929</v>
      </c>
      <c r="D34" s="601">
        <v>5078</v>
      </c>
      <c r="E34" s="614">
        <v>298</v>
      </c>
      <c r="F34" s="601">
        <v>2157</v>
      </c>
      <c r="G34" s="601"/>
      <c r="H34" s="601">
        <v>22738</v>
      </c>
      <c r="I34" s="601"/>
      <c r="J34" s="488">
        <f t="shared" si="0"/>
        <v>0.18805523792769813</v>
      </c>
      <c r="K34" s="488"/>
      <c r="L34" s="488">
        <f t="shared" si="1"/>
        <v>0.48064913360893657</v>
      </c>
      <c r="M34" s="488"/>
      <c r="N34" s="488">
        <f t="shared" si="2"/>
        <v>0.223326589849591</v>
      </c>
      <c r="O34" s="488"/>
      <c r="P34" s="142">
        <f t="shared" si="3"/>
        <v>1.3105814055765679E-2</v>
      </c>
      <c r="Q34" s="488">
        <f t="shared" si="4"/>
        <v>9.4863224558008621E-2</v>
      </c>
      <c r="U34" s="592">
        <v>1996</v>
      </c>
      <c r="V34" s="592">
        <v>4276</v>
      </c>
      <c r="W34" s="592">
        <v>10929</v>
      </c>
      <c r="X34" s="592">
        <v>5078</v>
      </c>
      <c r="Y34" s="592">
        <v>298</v>
      </c>
      <c r="Z34" s="592">
        <v>2157</v>
      </c>
      <c r="AB34" s="592">
        <v>22738</v>
      </c>
    </row>
    <row r="35" spans="1:28" ht="14.25" customHeight="1">
      <c r="A35" s="630">
        <v>1997</v>
      </c>
      <c r="B35" s="615">
        <v>4449</v>
      </c>
      <c r="C35" s="615">
        <v>10608</v>
      </c>
      <c r="D35" s="615">
        <v>4754</v>
      </c>
      <c r="E35" s="616">
        <v>301</v>
      </c>
      <c r="F35" s="615">
        <v>2076</v>
      </c>
      <c r="G35" s="615"/>
      <c r="H35" s="615">
        <v>22188</v>
      </c>
      <c r="I35" s="615"/>
      <c r="J35" s="488">
        <f t="shared" si="0"/>
        <v>0.20051379123850729</v>
      </c>
      <c r="K35" s="488"/>
      <c r="L35" s="488">
        <f t="shared" si="1"/>
        <v>0.4780962682531098</v>
      </c>
      <c r="M35" s="488"/>
      <c r="N35" s="488">
        <f t="shared" si="2"/>
        <v>0.21425996033892195</v>
      </c>
      <c r="O35" s="488"/>
      <c r="P35" s="142">
        <f t="shared" si="3"/>
        <v>1.3565891472868217E-2</v>
      </c>
      <c r="Q35" s="488">
        <f t="shared" si="4"/>
        <v>9.3564088696592759E-2</v>
      </c>
      <c r="U35" s="592">
        <v>1997</v>
      </c>
      <c r="V35" s="592">
        <v>4449</v>
      </c>
      <c r="W35" s="592">
        <v>10608</v>
      </c>
      <c r="X35" s="592">
        <v>4754</v>
      </c>
      <c r="Y35" s="592">
        <v>301</v>
      </c>
      <c r="Z35" s="592">
        <v>2076</v>
      </c>
      <c r="AB35" s="592">
        <v>22188</v>
      </c>
    </row>
    <row r="36" spans="1:28" ht="11.25" customHeight="1">
      <c r="A36" s="630">
        <v>1998</v>
      </c>
      <c r="B36" s="615">
        <v>4772</v>
      </c>
      <c r="C36" s="615">
        <v>10411</v>
      </c>
      <c r="D36" s="615">
        <v>4629</v>
      </c>
      <c r="E36" s="616">
        <v>304</v>
      </c>
      <c r="F36" s="615">
        <v>2083</v>
      </c>
      <c r="G36" s="615"/>
      <c r="H36" s="615">
        <v>22199</v>
      </c>
      <c r="I36" s="615"/>
      <c r="J36" s="488">
        <f t="shared" si="0"/>
        <v>0.21496463804675886</v>
      </c>
      <c r="K36" s="488"/>
      <c r="L36" s="488">
        <f t="shared" si="1"/>
        <v>0.46898508941844225</v>
      </c>
      <c r="M36" s="488"/>
      <c r="N36" s="488">
        <f t="shared" si="2"/>
        <v>0.2085229064372269</v>
      </c>
      <c r="O36" s="488"/>
      <c r="P36" s="142">
        <f t="shared" si="3"/>
        <v>1.3694310554529483E-2</v>
      </c>
      <c r="Q36" s="488">
        <f t="shared" si="4"/>
        <v>9.3833055543042485E-2</v>
      </c>
      <c r="U36" s="592">
        <v>1998</v>
      </c>
      <c r="V36" s="592">
        <v>4772</v>
      </c>
      <c r="W36" s="592">
        <v>10411</v>
      </c>
      <c r="X36" s="592">
        <v>4629</v>
      </c>
      <c r="Y36" s="592">
        <v>304</v>
      </c>
      <c r="Z36" s="592">
        <v>2083</v>
      </c>
      <c r="AB36" s="592">
        <v>22199</v>
      </c>
    </row>
    <row r="37" spans="1:28" ht="11.25" customHeight="1">
      <c r="A37" s="630">
        <v>1999</v>
      </c>
      <c r="B37" s="615">
        <v>6144</v>
      </c>
      <c r="C37" s="615">
        <v>9134</v>
      </c>
      <c r="D37" s="615">
        <v>4485</v>
      </c>
      <c r="E37" s="616">
        <v>444</v>
      </c>
      <c r="F37" s="615">
        <v>1973</v>
      </c>
      <c r="G37" s="615"/>
      <c r="H37" s="615">
        <v>22180</v>
      </c>
      <c r="I37" s="615"/>
      <c r="J37" s="488">
        <f t="shared" si="0"/>
        <v>0.2770063119927863</v>
      </c>
      <c r="K37" s="488"/>
      <c r="L37" s="488">
        <f t="shared" si="1"/>
        <v>0.41181244364292158</v>
      </c>
      <c r="M37" s="488"/>
      <c r="N37" s="488">
        <f t="shared" si="2"/>
        <v>0.20220919747520288</v>
      </c>
      <c r="O37" s="488"/>
      <c r="P37" s="142">
        <f t="shared" si="3"/>
        <v>2.0018034265103696E-2</v>
      </c>
      <c r="Q37" s="488">
        <f t="shared" si="4"/>
        <v>8.8954012623985571E-2</v>
      </c>
      <c r="U37" s="592">
        <v>1999</v>
      </c>
      <c r="V37" s="592">
        <v>6144</v>
      </c>
      <c r="W37" s="592">
        <v>9134</v>
      </c>
      <c r="X37" s="592">
        <v>4485</v>
      </c>
      <c r="Y37" s="592">
        <v>444</v>
      </c>
      <c r="Z37" s="592">
        <v>1973</v>
      </c>
      <c r="AB37" s="592">
        <v>22180</v>
      </c>
    </row>
    <row r="38" spans="1:28" ht="11.25" customHeight="1">
      <c r="A38" s="630">
        <v>2000</v>
      </c>
      <c r="B38" s="615">
        <v>6785</v>
      </c>
      <c r="C38" s="615">
        <v>8529</v>
      </c>
      <c r="D38" s="615">
        <v>4457</v>
      </c>
      <c r="E38" s="616">
        <v>447</v>
      </c>
      <c r="F38" s="615">
        <v>2071</v>
      </c>
      <c r="G38" s="615"/>
      <c r="H38" s="615">
        <v>22289</v>
      </c>
      <c r="I38" s="615"/>
      <c r="J38" s="488">
        <f t="shared" si="0"/>
        <v>0.30441024720714255</v>
      </c>
      <c r="K38" s="488"/>
      <c r="L38" s="488">
        <f t="shared" si="1"/>
        <v>0.38265512136031227</v>
      </c>
      <c r="M38" s="488"/>
      <c r="N38" s="488">
        <f t="shared" si="2"/>
        <v>0.19996410785589305</v>
      </c>
      <c r="O38" s="488"/>
      <c r="P38" s="142">
        <f t="shared" si="3"/>
        <v>2.0054735519763112E-2</v>
      </c>
      <c r="Q38" s="488">
        <f t="shared" si="4"/>
        <v>9.2915788056889048E-2</v>
      </c>
      <c r="U38" s="592">
        <v>2000</v>
      </c>
      <c r="V38" s="592">
        <v>6785</v>
      </c>
      <c r="W38" s="592">
        <v>8529</v>
      </c>
      <c r="X38" s="592">
        <v>4457</v>
      </c>
      <c r="Y38" s="592">
        <v>447</v>
      </c>
      <c r="Z38" s="592">
        <v>2071</v>
      </c>
      <c r="AB38" s="592">
        <v>22289</v>
      </c>
    </row>
    <row r="39" spans="1:28" ht="14.25" customHeight="1">
      <c r="A39" s="630">
        <v>2001</v>
      </c>
      <c r="B39" s="615">
        <v>6941</v>
      </c>
      <c r="C39" s="615">
        <v>8487</v>
      </c>
      <c r="D39" s="615">
        <v>4382</v>
      </c>
      <c r="E39" s="616">
        <v>418</v>
      </c>
      <c r="F39" s="615">
        <v>2091</v>
      </c>
      <c r="G39" s="615"/>
      <c r="H39" s="615">
        <v>22319</v>
      </c>
      <c r="I39" s="615"/>
      <c r="J39" s="488">
        <f t="shared" si="0"/>
        <v>0.31099063578117297</v>
      </c>
      <c r="K39" s="488"/>
      <c r="L39" s="488">
        <f t="shared" si="1"/>
        <v>0.38025897217617277</v>
      </c>
      <c r="M39" s="488"/>
      <c r="N39" s="488">
        <f t="shared" si="2"/>
        <v>0.19633496124378333</v>
      </c>
      <c r="O39" s="488"/>
      <c r="P39" s="142">
        <f t="shared" si="3"/>
        <v>1.8728437654016758E-2</v>
      </c>
      <c r="Q39" s="488">
        <f t="shared" si="4"/>
        <v>9.3686993144854167E-2</v>
      </c>
      <c r="U39" s="592">
        <v>2001</v>
      </c>
      <c r="V39" s="592">
        <v>6941</v>
      </c>
      <c r="W39" s="592">
        <v>8487</v>
      </c>
      <c r="X39" s="592">
        <v>4382</v>
      </c>
      <c r="Y39" s="592">
        <v>418</v>
      </c>
      <c r="Z39" s="592">
        <v>2091</v>
      </c>
      <c r="AB39" s="592">
        <v>22319</v>
      </c>
    </row>
    <row r="40" spans="1:28" ht="11.25" customHeight="1">
      <c r="A40" s="630">
        <v>2002</v>
      </c>
      <c r="B40" s="615">
        <v>7178</v>
      </c>
      <c r="C40" s="615">
        <v>8117</v>
      </c>
      <c r="D40" s="615">
        <v>4379</v>
      </c>
      <c r="E40" s="616">
        <v>415</v>
      </c>
      <c r="F40" s="615">
        <v>2094</v>
      </c>
      <c r="G40" s="615"/>
      <c r="H40" s="615">
        <v>22183</v>
      </c>
      <c r="I40" s="615"/>
      <c r="J40" s="488">
        <f t="shared" si="0"/>
        <v>0.32358112067799666</v>
      </c>
      <c r="K40" s="488"/>
      <c r="L40" s="488">
        <f t="shared" si="1"/>
        <v>0.36591083261957352</v>
      </c>
      <c r="M40" s="488"/>
      <c r="N40" s="488">
        <f t="shared" si="2"/>
        <v>0.19740341703105982</v>
      </c>
      <c r="O40" s="488"/>
      <c r="P40" s="142">
        <f t="shared" si="3"/>
        <v>1.870801965469053E-2</v>
      </c>
      <c r="Q40" s="488">
        <f t="shared" si="4"/>
        <v>9.4396610016679441E-2</v>
      </c>
      <c r="U40" s="592">
        <v>2002</v>
      </c>
      <c r="V40" s="592">
        <v>7178</v>
      </c>
      <c r="W40" s="592">
        <v>8117</v>
      </c>
      <c r="X40" s="592">
        <v>4379</v>
      </c>
      <c r="Y40" s="592">
        <v>415</v>
      </c>
      <c r="Z40" s="592">
        <v>2094</v>
      </c>
      <c r="AB40" s="592">
        <v>22183</v>
      </c>
    </row>
    <row r="41" spans="1:28" ht="11.25" customHeight="1">
      <c r="A41" s="630">
        <v>2003</v>
      </c>
      <c r="B41" s="617">
        <v>7768</v>
      </c>
      <c r="C41" s="617">
        <v>7207</v>
      </c>
      <c r="D41" s="617">
        <v>4551</v>
      </c>
      <c r="E41" s="617">
        <v>388</v>
      </c>
      <c r="F41" s="617">
        <v>2125</v>
      </c>
      <c r="G41" s="615"/>
      <c r="H41" s="615">
        <v>22039</v>
      </c>
      <c r="I41" s="615"/>
      <c r="J41" s="488">
        <f t="shared" si="0"/>
        <v>0.35246608285312403</v>
      </c>
      <c r="K41" s="488"/>
      <c r="L41" s="488">
        <f t="shared" si="1"/>
        <v>0.32701120740505468</v>
      </c>
      <c r="M41" s="488"/>
      <c r="N41" s="488">
        <f t="shared" si="2"/>
        <v>0.20649757248513997</v>
      </c>
      <c r="O41" s="488"/>
      <c r="P41" s="142">
        <f t="shared" si="3"/>
        <v>1.7605154498842961E-2</v>
      </c>
      <c r="Q41" s="488">
        <f t="shared" si="4"/>
        <v>9.6419982757838377E-2</v>
      </c>
      <c r="U41" s="592">
        <v>2003</v>
      </c>
      <c r="V41" s="592">
        <v>7768</v>
      </c>
      <c r="W41" s="592">
        <v>7207</v>
      </c>
      <c r="X41" s="592">
        <v>4551</v>
      </c>
      <c r="Y41" s="592">
        <v>388</v>
      </c>
      <c r="Z41" s="592">
        <v>2125</v>
      </c>
      <c r="AB41" s="592">
        <v>22039</v>
      </c>
    </row>
    <row r="42" spans="1:28" s="591" customFormat="1" ht="11.25" customHeight="1">
      <c r="A42" s="630">
        <v>2004</v>
      </c>
      <c r="B42" s="615">
        <v>8038</v>
      </c>
      <c r="C42" s="615">
        <v>6669</v>
      </c>
      <c r="D42" s="615">
        <v>4714</v>
      </c>
      <c r="E42" s="615">
        <v>355</v>
      </c>
      <c r="F42" s="615">
        <v>2213</v>
      </c>
      <c r="G42" s="615"/>
      <c r="H42" s="615">
        <v>21989</v>
      </c>
      <c r="I42" s="615"/>
      <c r="J42" s="488">
        <f t="shared" si="0"/>
        <v>0.36554640956842055</v>
      </c>
      <c r="K42" s="488"/>
      <c r="L42" s="488">
        <f t="shared" si="1"/>
        <v>0.30328800764018371</v>
      </c>
      <c r="M42" s="488"/>
      <c r="N42" s="488">
        <f t="shared" si="2"/>
        <v>0.21437991723134295</v>
      </c>
      <c r="O42" s="488"/>
      <c r="P42" s="142">
        <f t="shared" si="3"/>
        <v>1.6144435854290783E-2</v>
      </c>
      <c r="Q42" s="488">
        <f t="shared" si="4"/>
        <v>0.10064122970576198</v>
      </c>
      <c r="U42" s="592">
        <v>2004</v>
      </c>
      <c r="V42" s="591">
        <v>8038</v>
      </c>
      <c r="W42" s="591">
        <v>6669</v>
      </c>
      <c r="X42" s="591">
        <v>4714</v>
      </c>
      <c r="Y42" s="591">
        <v>355</v>
      </c>
      <c r="Z42" s="591">
        <v>2213</v>
      </c>
      <c r="AB42" s="591">
        <v>21989</v>
      </c>
    </row>
    <row r="43" spans="1:28" s="591" customFormat="1" ht="14.25" customHeight="1">
      <c r="A43" s="630">
        <v>2005</v>
      </c>
      <c r="B43" s="615">
        <v>8193</v>
      </c>
      <c r="C43" s="615">
        <v>6518</v>
      </c>
      <c r="D43" s="615">
        <v>4743</v>
      </c>
      <c r="E43" s="615">
        <v>357</v>
      </c>
      <c r="F43" s="615">
        <v>2233</v>
      </c>
      <c r="G43" s="615"/>
      <c r="H43" s="615">
        <v>22044</v>
      </c>
      <c r="I43" s="615"/>
      <c r="J43" s="488">
        <f t="shared" si="0"/>
        <v>0.37166575939031027</v>
      </c>
      <c r="K43" s="488"/>
      <c r="L43" s="488">
        <f t="shared" si="1"/>
        <v>0.29568136454363997</v>
      </c>
      <c r="M43" s="488"/>
      <c r="N43" s="488">
        <f t="shared" si="2"/>
        <v>0.21516058791507894</v>
      </c>
      <c r="O43" s="488"/>
      <c r="P43" s="142">
        <f t="shared" si="3"/>
        <v>1.6194882961350028E-2</v>
      </c>
      <c r="Q43" s="488">
        <f t="shared" si="4"/>
        <v>0.10129740518962076</v>
      </c>
      <c r="U43" s="592">
        <v>2005</v>
      </c>
      <c r="V43" s="591">
        <v>8193</v>
      </c>
      <c r="W43" s="591">
        <v>6518</v>
      </c>
      <c r="X43" s="591">
        <v>4743</v>
      </c>
      <c r="Y43" s="591">
        <v>357</v>
      </c>
      <c r="Z43" s="591">
        <v>2233</v>
      </c>
      <c r="AB43" s="591">
        <v>22044</v>
      </c>
    </row>
    <row r="44" spans="1:28" s="591" customFormat="1" ht="11.25" customHeight="1">
      <c r="A44" s="630">
        <v>2006</v>
      </c>
      <c r="B44" s="615">
        <v>8495</v>
      </c>
      <c r="C44" s="615">
        <v>6176</v>
      </c>
      <c r="D44" s="615">
        <v>4723</v>
      </c>
      <c r="E44" s="615">
        <v>364</v>
      </c>
      <c r="F44" s="615">
        <v>2273</v>
      </c>
      <c r="G44" s="615"/>
      <c r="H44" s="615">
        <v>22031</v>
      </c>
      <c r="I44" s="615"/>
      <c r="J44" s="488">
        <f t="shared" ref="J44:J51" si="5">B44/$H44</f>
        <v>0.38559302800599154</v>
      </c>
      <c r="K44" s="488"/>
      <c r="L44" s="488">
        <f t="shared" si="1"/>
        <v>0.28033225908946485</v>
      </c>
      <c r="M44" s="488"/>
      <c r="N44" s="488">
        <f t="shared" si="2"/>
        <v>0.21437973764241297</v>
      </c>
      <c r="O44" s="488"/>
      <c r="P44" s="142">
        <f t="shared" si="3"/>
        <v>1.6522173301257319E-2</v>
      </c>
      <c r="Q44" s="488">
        <f t="shared" si="4"/>
        <v>0.10317280196087332</v>
      </c>
      <c r="U44" s="592">
        <v>2006</v>
      </c>
      <c r="V44" s="591">
        <v>8495</v>
      </c>
      <c r="W44" s="591">
        <v>6176</v>
      </c>
      <c r="X44" s="591">
        <v>4723</v>
      </c>
      <c r="Y44" s="591">
        <v>364</v>
      </c>
      <c r="Z44" s="591">
        <v>2273</v>
      </c>
      <c r="AB44" s="591">
        <v>22031</v>
      </c>
    </row>
    <row r="45" spans="1:28" s="591" customFormat="1" ht="11.25" customHeight="1">
      <c r="A45" s="630">
        <v>2007</v>
      </c>
      <c r="B45" s="615">
        <v>9431</v>
      </c>
      <c r="C45" s="615">
        <v>5483</v>
      </c>
      <c r="D45" s="615">
        <v>4420</v>
      </c>
      <c r="E45" s="615">
        <v>537</v>
      </c>
      <c r="F45" s="615">
        <v>2173</v>
      </c>
      <c r="G45" s="615"/>
      <c r="H45" s="615">
        <v>22044</v>
      </c>
      <c r="I45" s="615"/>
      <c r="J45" s="488">
        <f t="shared" si="5"/>
        <v>0.42782616585011796</v>
      </c>
      <c r="K45" s="488"/>
      <c r="L45" s="488">
        <f t="shared" si="1"/>
        <v>0.24872981310107059</v>
      </c>
      <c r="M45" s="488"/>
      <c r="N45" s="488">
        <f t="shared" si="2"/>
        <v>0.20050807475957177</v>
      </c>
      <c r="O45" s="488"/>
      <c r="P45" s="142">
        <f t="shared" si="3"/>
        <v>2.4360370168753403E-2</v>
      </c>
      <c r="Q45" s="488">
        <f t="shared" si="4"/>
        <v>9.85755761204863E-2</v>
      </c>
      <c r="U45" s="592">
        <v>2007</v>
      </c>
      <c r="V45" s="591">
        <v>9431</v>
      </c>
      <c r="W45" s="591">
        <v>5483</v>
      </c>
      <c r="X45" s="591">
        <v>4420</v>
      </c>
      <c r="Y45" s="591">
        <v>537</v>
      </c>
      <c r="Z45" s="591">
        <v>2173</v>
      </c>
      <c r="AB45" s="591">
        <v>22044</v>
      </c>
    </row>
    <row r="46" spans="1:28" s="591" customFormat="1" ht="11.25" customHeight="1">
      <c r="A46" s="630">
        <v>2008</v>
      </c>
      <c r="B46" s="615">
        <v>9721</v>
      </c>
      <c r="C46" s="615">
        <v>5122</v>
      </c>
      <c r="D46" s="615">
        <v>4467</v>
      </c>
      <c r="E46" s="615">
        <v>569</v>
      </c>
      <c r="F46" s="615">
        <v>2225</v>
      </c>
      <c r="G46" s="615"/>
      <c r="H46" s="615">
        <v>22104</v>
      </c>
      <c r="I46" s="615"/>
      <c r="J46" s="488">
        <f t="shared" si="5"/>
        <v>0.43978465436120157</v>
      </c>
      <c r="K46" s="488"/>
      <c r="L46" s="488">
        <f t="shared" si="1"/>
        <v>0.23172276511038725</v>
      </c>
      <c r="M46" s="488"/>
      <c r="N46" s="488">
        <f t="shared" si="2"/>
        <v>0.20209011943539631</v>
      </c>
      <c r="O46" s="488"/>
      <c r="P46" s="142">
        <f t="shared" si="3"/>
        <v>2.5741947158885271E-2</v>
      </c>
      <c r="Q46" s="488">
        <f t="shared" si="4"/>
        <v>0.10066051393412957</v>
      </c>
      <c r="U46" s="592">
        <v>2008</v>
      </c>
      <c r="V46" s="591">
        <v>9721</v>
      </c>
      <c r="W46" s="591">
        <v>5122</v>
      </c>
      <c r="X46" s="591">
        <v>4467</v>
      </c>
      <c r="Y46" s="591">
        <v>569</v>
      </c>
      <c r="Z46" s="591">
        <v>2225</v>
      </c>
      <c r="AB46" s="591">
        <v>22104</v>
      </c>
    </row>
    <row r="47" spans="1:28" ht="14.25" customHeight="1">
      <c r="A47" s="630">
        <v>2009</v>
      </c>
      <c r="B47" s="615">
        <v>9553</v>
      </c>
      <c r="C47" s="615">
        <v>4436</v>
      </c>
      <c r="D47" s="615">
        <v>4083</v>
      </c>
      <c r="E47" s="615">
        <v>570</v>
      </c>
      <c r="F47" s="615">
        <v>2060</v>
      </c>
      <c r="G47" s="615"/>
      <c r="H47" s="615">
        <v>20702</v>
      </c>
      <c r="I47" s="615"/>
      <c r="J47" s="488">
        <f t="shared" si="5"/>
        <v>0.46145299971017295</v>
      </c>
      <c r="K47" s="488"/>
      <c r="L47" s="488">
        <f t="shared" si="1"/>
        <v>0.21427881364119408</v>
      </c>
      <c r="M47" s="488"/>
      <c r="N47" s="488">
        <f t="shared" si="2"/>
        <v>0.19722732103178436</v>
      </c>
      <c r="O47" s="488"/>
      <c r="P47" s="142">
        <f t="shared" si="3"/>
        <v>2.7533571635590764E-2</v>
      </c>
      <c r="Q47" s="488">
        <f t="shared" si="4"/>
        <v>9.9507293981257849E-2</v>
      </c>
      <c r="U47" s="592">
        <v>2009</v>
      </c>
      <c r="V47" s="592">
        <v>9553</v>
      </c>
      <c r="W47" s="592">
        <v>4436</v>
      </c>
      <c r="X47" s="592">
        <v>4083</v>
      </c>
      <c r="Y47" s="592">
        <v>570</v>
      </c>
      <c r="Z47" s="592">
        <v>2060</v>
      </c>
      <c r="AB47" s="592">
        <v>20702</v>
      </c>
    </row>
    <row r="48" spans="1:28">
      <c r="A48" s="630">
        <v>2010</v>
      </c>
      <c r="B48" s="615">
        <v>9406</v>
      </c>
      <c r="C48" s="615">
        <v>4831</v>
      </c>
      <c r="D48" s="615">
        <v>3944</v>
      </c>
      <c r="E48" s="615">
        <v>568</v>
      </c>
      <c r="F48" s="615">
        <v>1962</v>
      </c>
      <c r="G48" s="615"/>
      <c r="H48" s="615">
        <v>20711</v>
      </c>
      <c r="I48" s="615"/>
      <c r="J48" s="488">
        <f t="shared" si="5"/>
        <v>0.45415479696779487</v>
      </c>
      <c r="K48" s="488"/>
      <c r="L48" s="488">
        <f t="shared" si="1"/>
        <v>0.23325768915069287</v>
      </c>
      <c r="M48" s="488"/>
      <c r="N48" s="488">
        <f t="shared" si="2"/>
        <v>0.19043020617063397</v>
      </c>
      <c r="O48" s="488"/>
      <c r="P48" s="142">
        <f t="shared" si="3"/>
        <v>2.7425039833904687E-2</v>
      </c>
      <c r="Q48" s="488">
        <f t="shared" si="4"/>
        <v>9.4732267876973586E-2</v>
      </c>
      <c r="U48" s="592">
        <v>2010</v>
      </c>
      <c r="V48" s="592">
        <v>9406</v>
      </c>
      <c r="W48" s="592">
        <v>4831</v>
      </c>
      <c r="X48" s="592">
        <v>3944</v>
      </c>
      <c r="Y48" s="592">
        <v>568</v>
      </c>
      <c r="Z48" s="592">
        <v>1962</v>
      </c>
      <c r="AB48" s="592">
        <v>20711</v>
      </c>
    </row>
    <row r="49" spans="1:28">
      <c r="A49" s="630">
        <v>2011</v>
      </c>
      <c r="B49" s="615">
        <v>9445</v>
      </c>
      <c r="C49" s="615">
        <v>5707</v>
      </c>
      <c r="D49" s="615">
        <v>3104</v>
      </c>
      <c r="E49" s="615">
        <v>568</v>
      </c>
      <c r="F49" s="615">
        <v>1855</v>
      </c>
      <c r="G49" s="615"/>
      <c r="H49" s="615">
        <v>20679</v>
      </c>
      <c r="J49" s="488">
        <f t="shared" si="5"/>
        <v>0.45674355626480972</v>
      </c>
      <c r="K49" s="488"/>
      <c r="L49" s="488">
        <f t="shared" si="1"/>
        <v>0.27598046327191839</v>
      </c>
      <c r="M49" s="488"/>
      <c r="N49" s="488">
        <f t="shared" si="2"/>
        <v>0.15010397021132549</v>
      </c>
      <c r="O49" s="488"/>
      <c r="P49" s="142">
        <f t="shared" si="3"/>
        <v>2.7467479085062141E-2</v>
      </c>
      <c r="Q49" s="488">
        <f t="shared" si="4"/>
        <v>8.9704531166884274E-2</v>
      </c>
      <c r="U49" s="592">
        <v>2011</v>
      </c>
      <c r="V49" s="592">
        <v>9445</v>
      </c>
      <c r="W49" s="592">
        <v>5707</v>
      </c>
      <c r="X49" s="592">
        <v>3104</v>
      </c>
      <c r="Y49" s="592">
        <v>568</v>
      </c>
      <c r="Z49" s="592">
        <v>1855</v>
      </c>
      <c r="AB49" s="592">
        <v>20679</v>
      </c>
    </row>
    <row r="50" spans="1:28">
      <c r="A50" s="630">
        <v>2012</v>
      </c>
      <c r="B50" s="615">
        <v>9004</v>
      </c>
      <c r="C50" s="615">
        <v>6559</v>
      </c>
      <c r="D50" s="615">
        <v>2711</v>
      </c>
      <c r="E50" s="615">
        <v>584</v>
      </c>
      <c r="F50" s="615">
        <v>1787</v>
      </c>
      <c r="G50" s="615"/>
      <c r="H50" s="615">
        <v>20645</v>
      </c>
      <c r="J50" s="488">
        <f t="shared" si="5"/>
        <v>0.43613465730201018</v>
      </c>
      <c r="K50" s="488"/>
      <c r="L50" s="488">
        <f t="shared" si="1"/>
        <v>0.31770404456284812</v>
      </c>
      <c r="M50" s="488"/>
      <c r="N50" s="488">
        <f t="shared" si="2"/>
        <v>0.13131508839912812</v>
      </c>
      <c r="O50" s="488"/>
      <c r="P50" s="142">
        <f t="shared" si="3"/>
        <v>2.8287720997820294E-2</v>
      </c>
      <c r="Q50" s="488">
        <f t="shared" si="4"/>
        <v>8.6558488738193273E-2</v>
      </c>
      <c r="U50" s="592">
        <v>2012</v>
      </c>
      <c r="V50" s="592">
        <v>9004</v>
      </c>
      <c r="W50" s="592">
        <v>6559</v>
      </c>
      <c r="X50" s="592">
        <v>2711</v>
      </c>
      <c r="Y50" s="592">
        <v>584</v>
      </c>
      <c r="Z50" s="592">
        <v>1787</v>
      </c>
      <c r="AB50" s="592">
        <v>20645</v>
      </c>
    </row>
    <row r="51" spans="1:28">
      <c r="A51" s="630">
        <v>2013</v>
      </c>
      <c r="B51" s="615">
        <v>8589</v>
      </c>
      <c r="C51" s="615">
        <v>6842</v>
      </c>
      <c r="D51" s="615">
        <v>2576</v>
      </c>
      <c r="E51" s="615">
        <v>590</v>
      </c>
      <c r="F51" s="615">
        <v>1991</v>
      </c>
      <c r="G51" s="615"/>
      <c r="H51" s="615">
        <f>SUM(B51:F51)</f>
        <v>20588</v>
      </c>
      <c r="J51" s="488">
        <f t="shared" si="5"/>
        <v>0.41718476782591801</v>
      </c>
      <c r="K51" s="488"/>
      <c r="L51" s="488">
        <f t="shared" si="1"/>
        <v>0.33232951233728386</v>
      </c>
      <c r="M51" s="488"/>
      <c r="N51" s="488">
        <f t="shared" si="2"/>
        <v>0.12512142995919953</v>
      </c>
      <c r="O51" s="488"/>
      <c r="P51" s="142">
        <f t="shared" si="3"/>
        <v>2.8657470371089955E-2</v>
      </c>
      <c r="Q51" s="488">
        <f t="shared" si="4"/>
        <v>9.670681950650864E-2</v>
      </c>
      <c r="U51" s="592">
        <v>2013</v>
      </c>
      <c r="V51" s="592">
        <v>8589</v>
      </c>
      <c r="W51" s="592">
        <v>6842</v>
      </c>
      <c r="X51" s="592">
        <v>2576</v>
      </c>
      <c r="Y51" s="592">
        <v>590</v>
      </c>
      <c r="Z51" s="592">
        <v>1991</v>
      </c>
      <c r="AB51" s="592">
        <v>20588</v>
      </c>
    </row>
    <row r="52" spans="1:28" ht="12" customHeight="1">
      <c r="A52" s="630">
        <v>2014</v>
      </c>
      <c r="B52" s="615">
        <v>8261</v>
      </c>
      <c r="C52" s="615">
        <v>7129</v>
      </c>
      <c r="D52" s="615">
        <v>2235</v>
      </c>
      <c r="E52" s="615">
        <v>591</v>
      </c>
      <c r="F52" s="615">
        <v>2362</v>
      </c>
      <c r="G52" s="615"/>
      <c r="H52" s="615">
        <v>20578</v>
      </c>
      <c r="J52" s="154">
        <v>0.40144814850811544</v>
      </c>
      <c r="K52" s="154"/>
      <c r="L52" s="154">
        <v>0.34643794343473611</v>
      </c>
      <c r="M52" s="154"/>
      <c r="N52" s="154">
        <v>0.10861113810865973</v>
      </c>
      <c r="O52" s="154"/>
      <c r="P52" s="154">
        <v>2.8719992224705997E-2</v>
      </c>
      <c r="Q52" s="154">
        <v>0.11478277772378268</v>
      </c>
      <c r="U52" s="592">
        <v>2014</v>
      </c>
      <c r="V52" s="592">
        <v>8261</v>
      </c>
      <c r="W52" s="592">
        <v>7129</v>
      </c>
      <c r="X52" s="592">
        <v>2235</v>
      </c>
      <c r="Y52" s="592">
        <v>591</v>
      </c>
      <c r="Z52" s="592">
        <v>2362</v>
      </c>
      <c r="AB52" s="592">
        <v>20578</v>
      </c>
    </row>
    <row r="53" spans="1:28" ht="12" customHeight="1">
      <c r="A53" s="630">
        <v>2015</v>
      </c>
      <c r="B53" s="615">
        <v>8766</v>
      </c>
      <c r="C53" s="615">
        <v>6873</v>
      </c>
      <c r="D53" s="615">
        <v>1810</v>
      </c>
      <c r="E53" s="615">
        <v>592</v>
      </c>
      <c r="F53" s="615">
        <v>2241</v>
      </c>
      <c r="G53" s="615"/>
      <c r="H53" s="615">
        <v>20282</v>
      </c>
      <c r="J53" s="154">
        <v>0.43220589685435362</v>
      </c>
      <c r="K53" s="154"/>
      <c r="L53" s="154">
        <v>0.33887190612365642</v>
      </c>
      <c r="M53" s="154"/>
      <c r="N53" s="154">
        <v>8.924169214081451E-2</v>
      </c>
      <c r="O53" s="154"/>
      <c r="P53" s="154">
        <v>2.9188442954343752E-2</v>
      </c>
      <c r="Q53" s="154">
        <v>0.11049206192683167</v>
      </c>
      <c r="U53" s="592">
        <v>2015</v>
      </c>
      <c r="V53" s="592">
        <v>8766</v>
      </c>
      <c r="W53" s="592">
        <v>6873</v>
      </c>
      <c r="X53" s="592">
        <v>1810</v>
      </c>
      <c r="Y53" s="592">
        <v>592</v>
      </c>
      <c r="Z53" s="592">
        <v>2241</v>
      </c>
      <c r="AB53" s="592">
        <v>20282</v>
      </c>
    </row>
    <row r="54" spans="1:28" ht="12" customHeight="1">
      <c r="A54" s="630">
        <v>2016</v>
      </c>
      <c r="B54" s="615">
        <v>8709</v>
      </c>
      <c r="C54" s="615">
        <v>6851</v>
      </c>
      <c r="D54" s="615">
        <v>1822</v>
      </c>
      <c r="E54" s="615">
        <v>596</v>
      </c>
      <c r="F54" s="615">
        <v>2251</v>
      </c>
      <c r="G54" s="615"/>
      <c r="H54" s="615">
        <v>20229</v>
      </c>
      <c r="J54" s="154">
        <f>B54/$H54</f>
        <v>0.43052053981907162</v>
      </c>
      <c r="K54" s="154"/>
      <c r="L54" s="154">
        <f>C54/$H54</f>
        <v>0.33867220327252956</v>
      </c>
      <c r="M54" s="154"/>
      <c r="N54" s="154">
        <f>D54/$H54</f>
        <v>9.0068713233476691E-2</v>
      </c>
      <c r="O54" s="154"/>
      <c r="P54" s="154">
        <f>E54/$H54</f>
        <v>2.9462652627416087E-2</v>
      </c>
      <c r="Q54" s="154">
        <f>F54/$H54</f>
        <v>0.11127589104750606</v>
      </c>
      <c r="U54" s="630">
        <v>2016</v>
      </c>
      <c r="V54" s="615">
        <v>8709</v>
      </c>
      <c r="W54" s="615">
        <v>6851</v>
      </c>
      <c r="X54" s="615">
        <v>1822</v>
      </c>
      <c r="Y54" s="615">
        <v>596</v>
      </c>
      <c r="Z54" s="615">
        <v>2251</v>
      </c>
    </row>
    <row r="55" spans="1:28" ht="12" customHeight="1">
      <c r="A55" s="630">
        <v>2017</v>
      </c>
      <c r="B55" s="615">
        <v>9233</v>
      </c>
      <c r="C55" s="615">
        <v>6439</v>
      </c>
      <c r="D55" s="615">
        <v>1803</v>
      </c>
      <c r="E55" s="615">
        <v>634</v>
      </c>
      <c r="F55" s="615">
        <v>2100</v>
      </c>
      <c r="G55" s="615"/>
      <c r="H55" s="615">
        <f>SUM(B55:F55)</f>
        <v>20209</v>
      </c>
      <c r="J55" s="154">
        <f>B55/$H55</f>
        <v>0.45687564946311049</v>
      </c>
      <c r="K55" s="154"/>
      <c r="L55" s="154">
        <f>C55/$H55</f>
        <v>0.31862041664604879</v>
      </c>
      <c r="M55" s="154"/>
      <c r="N55" s="154">
        <f>D55/$H55</f>
        <v>8.9217675293186208E-2</v>
      </c>
      <c r="O55" s="154"/>
      <c r="P55" s="154">
        <f>E55/$H55</f>
        <v>3.137216091840269E-2</v>
      </c>
      <c r="Q55" s="154">
        <f>F55/$H55</f>
        <v>0.10391409767925182</v>
      </c>
      <c r="U55" s="630">
        <v>2017</v>
      </c>
      <c r="V55" s="615">
        <v>9233</v>
      </c>
      <c r="W55" s="615">
        <v>6439</v>
      </c>
      <c r="X55" s="615">
        <v>1803</v>
      </c>
      <c r="Y55" s="615">
        <v>634</v>
      </c>
      <c r="Z55" s="615">
        <v>2100</v>
      </c>
    </row>
    <row r="56" spans="1:28" ht="12" customHeight="1">
      <c r="A56" s="630">
        <f>'24 Councillors table'!A68</f>
        <v>2018</v>
      </c>
      <c r="B56" s="615">
        <f>'24 Councillors table'!B68</f>
        <v>9102</v>
      </c>
      <c r="C56" s="615">
        <f>'24 Councillors table'!C68</f>
        <v>6485</v>
      </c>
      <c r="D56" s="615">
        <f>'24 Councillors table'!D68</f>
        <v>1873</v>
      </c>
      <c r="E56" s="615">
        <f>'24 Councillors table'!E68</f>
        <v>631</v>
      </c>
      <c r="F56" s="615">
        <f>'24 Councillors table'!F68</f>
        <v>2019</v>
      </c>
      <c r="G56" s="615">
        <f>'24 Councillors table'!G68</f>
        <v>0</v>
      </c>
      <c r="H56" s="615">
        <f>'24 Councillors table'!H68</f>
        <v>20110</v>
      </c>
      <c r="I56" s="615"/>
      <c r="J56" s="154">
        <f>'24 Councillors table'!J68</f>
        <v>0.45261064147190455</v>
      </c>
      <c r="K56" s="154"/>
      <c r="L56" s="154">
        <f>'24 Councillors table'!M68</f>
        <v>0.32247637991049227</v>
      </c>
      <c r="M56" s="154"/>
      <c r="N56" s="154">
        <f>'24 Councillors table'!P68</f>
        <v>9.3137742416708108E-2</v>
      </c>
      <c r="O56" s="154"/>
      <c r="P56" s="154">
        <f>'24 Councillors table'!S68</f>
        <v>3.1377424167081051E-2</v>
      </c>
      <c r="Q56" s="154">
        <f>'24 Councillors table'!V68</f>
        <v>0.10039781203381402</v>
      </c>
      <c r="U56" s="630">
        <v>2018</v>
      </c>
      <c r="V56" s="615">
        <f>B56</f>
        <v>9102</v>
      </c>
      <c r="W56" s="615">
        <f>C56</f>
        <v>6485</v>
      </c>
      <c r="X56" s="615">
        <f>D56</f>
        <v>1873</v>
      </c>
      <c r="Y56" s="615">
        <f>E56</f>
        <v>631</v>
      </c>
      <c r="Z56" s="615">
        <f>F56</f>
        <v>2019</v>
      </c>
    </row>
    <row r="57" spans="1:28" ht="12" customHeight="1">
      <c r="A57" s="630">
        <v>2019</v>
      </c>
      <c r="B57" s="1647">
        <v>7507</v>
      </c>
      <c r="C57" s="1647">
        <v>6332</v>
      </c>
      <c r="D57" s="1647">
        <v>2531</v>
      </c>
      <c r="E57" s="1647">
        <v>622</v>
      </c>
      <c r="F57" s="1647">
        <v>2655</v>
      </c>
      <c r="G57" s="1647"/>
      <c r="H57" s="1647">
        <v>19647</v>
      </c>
      <c r="I57" s="1638"/>
      <c r="J57" s="2255"/>
      <c r="K57" s="2255"/>
      <c r="L57" s="2255"/>
      <c r="M57" s="2255"/>
      <c r="N57" s="2255"/>
      <c r="O57" s="2255"/>
      <c r="P57" s="2255"/>
      <c r="Q57" s="2255"/>
      <c r="R57" s="2255"/>
      <c r="S57" s="2256"/>
      <c r="T57" s="2255"/>
      <c r="U57" s="630">
        <v>2019</v>
      </c>
      <c r="V57" s="1647">
        <v>7507</v>
      </c>
      <c r="W57" s="1647">
        <v>6332</v>
      </c>
      <c r="X57" s="1647">
        <v>2531</v>
      </c>
      <c r="Y57" s="1647">
        <v>622</v>
      </c>
      <c r="Z57" s="1647">
        <v>2655</v>
      </c>
      <c r="AA57" s="1647"/>
      <c r="AB57" s="1647">
        <v>19647</v>
      </c>
    </row>
    <row r="58" spans="1:28" ht="12" customHeight="1">
      <c r="A58" s="630"/>
      <c r="B58" s="1647"/>
      <c r="C58" s="1647"/>
      <c r="D58" s="1647"/>
      <c r="E58" s="1647"/>
      <c r="F58" s="1647"/>
      <c r="G58" s="1647"/>
      <c r="H58" s="1647"/>
      <c r="I58" s="1638"/>
      <c r="J58" s="2255"/>
      <c r="K58" s="2255"/>
      <c r="L58" s="2255"/>
      <c r="M58" s="2255"/>
      <c r="N58" s="2255"/>
      <c r="O58" s="2255"/>
      <c r="P58" s="2255"/>
      <c r="Q58" s="2255"/>
      <c r="R58" s="2255"/>
      <c r="S58" s="2256"/>
      <c r="T58" s="2255"/>
      <c r="U58" s="630">
        <v>2021</v>
      </c>
      <c r="V58" s="1647">
        <v>7562</v>
      </c>
      <c r="W58" s="1647">
        <v>5849</v>
      </c>
      <c r="X58" s="1647">
        <v>2487</v>
      </c>
      <c r="Y58" s="1647">
        <v>605</v>
      </c>
      <c r="Z58" s="1647">
        <v>2838</v>
      </c>
      <c r="AA58" s="1647"/>
      <c r="AB58" s="1647">
        <v>19341</v>
      </c>
    </row>
    <row r="59" spans="1:28" s="591" customFormat="1" ht="3" customHeight="1">
      <c r="A59" s="636"/>
      <c r="B59" s="618"/>
      <c r="C59" s="618"/>
      <c r="D59" s="618"/>
      <c r="E59" s="618"/>
      <c r="F59" s="618"/>
      <c r="G59" s="618"/>
      <c r="H59" s="618"/>
      <c r="I59" s="618"/>
      <c r="J59" s="618"/>
      <c r="K59" s="618"/>
      <c r="L59" s="618"/>
      <c r="M59" s="618"/>
      <c r="N59" s="618"/>
      <c r="O59" s="618"/>
      <c r="P59" s="618"/>
      <c r="Q59" s="618"/>
      <c r="V59" s="615"/>
      <c r="W59" s="615"/>
      <c r="X59" s="615"/>
      <c r="Y59" s="615"/>
      <c r="Z59" s="615"/>
    </row>
    <row r="60" spans="1:28" s="591" customFormat="1" ht="2.25" customHeight="1">
      <c r="A60" s="630"/>
      <c r="B60" s="616"/>
      <c r="C60" s="616"/>
      <c r="D60" s="616"/>
      <c r="E60" s="616"/>
      <c r="F60" s="616"/>
      <c r="G60" s="616"/>
      <c r="H60" s="616"/>
      <c r="I60" s="616"/>
      <c r="J60" s="616"/>
      <c r="K60" s="616"/>
      <c r="L60" s="616"/>
      <c r="M60" s="616"/>
      <c r="N60" s="616"/>
      <c r="O60" s="616"/>
      <c r="P60" s="616"/>
      <c r="Q60" s="616"/>
    </row>
    <row r="61" spans="1:28" s="623" customFormat="1" ht="13">
      <c r="A61" s="637" t="s">
        <v>1673</v>
      </c>
      <c r="B61" s="589"/>
      <c r="C61" s="619"/>
      <c r="D61" s="619"/>
      <c r="E61" s="619"/>
      <c r="F61" s="619"/>
      <c r="G61" s="619"/>
      <c r="H61" s="619"/>
      <c r="I61" s="620"/>
      <c r="J61" s="621"/>
      <c r="K61" s="621"/>
      <c r="L61" s="622"/>
      <c r="M61" s="622"/>
      <c r="N61" s="622"/>
      <c r="O61" s="622"/>
      <c r="P61" s="622"/>
      <c r="Q61" s="622"/>
    </row>
    <row r="62" spans="1:28" s="623" customFormat="1" ht="2.25" customHeight="1">
      <c r="A62" s="638"/>
      <c r="B62" s="624"/>
      <c r="C62" s="624"/>
      <c r="D62" s="624"/>
      <c r="E62" s="624"/>
      <c r="F62" s="624"/>
      <c r="G62" s="624"/>
      <c r="H62" s="624"/>
      <c r="I62" s="625"/>
      <c r="J62" s="625"/>
      <c r="K62" s="625"/>
      <c r="L62" s="626"/>
      <c r="M62" s="626"/>
      <c r="N62" s="626"/>
      <c r="O62" s="626"/>
      <c r="P62" s="626"/>
      <c r="Q62" s="626"/>
    </row>
    <row r="63" spans="1:28" s="623" customFormat="1" ht="13">
      <c r="A63" s="639" t="s">
        <v>1674</v>
      </c>
      <c r="B63" s="589"/>
      <c r="C63" s="589"/>
      <c r="D63" s="589"/>
      <c r="E63" s="589"/>
      <c r="F63" s="589"/>
      <c r="G63" s="589"/>
      <c r="H63" s="589"/>
      <c r="I63" s="621"/>
      <c r="J63" s="621"/>
      <c r="K63" s="621"/>
    </row>
    <row r="64" spans="1:28" s="623" customFormat="1" ht="13">
      <c r="A64" s="640" t="s">
        <v>1602</v>
      </c>
      <c r="B64" s="589"/>
      <c r="C64" s="589"/>
      <c r="D64" s="589"/>
      <c r="E64" s="589"/>
      <c r="F64" s="589"/>
      <c r="G64" s="589"/>
      <c r="H64" s="589"/>
      <c r="I64" s="621"/>
      <c r="J64" s="621"/>
      <c r="K64" s="842"/>
    </row>
    <row r="65" spans="1:11" s="623" customFormat="1" ht="13">
      <c r="A65" s="640" t="s">
        <v>1603</v>
      </c>
      <c r="B65" s="589"/>
      <c r="C65" s="589"/>
      <c r="D65" s="589"/>
      <c r="E65" s="589"/>
      <c r="F65" s="589"/>
      <c r="G65" s="589"/>
      <c r="H65" s="589"/>
      <c r="I65" s="621"/>
      <c r="J65" s="621"/>
      <c r="K65" s="621"/>
    </row>
    <row r="66" spans="1:11" s="623" customFormat="1" ht="13">
      <c r="A66" s="639" t="s">
        <v>1675</v>
      </c>
      <c r="B66" s="589"/>
      <c r="C66" s="589"/>
      <c r="D66" s="589"/>
      <c r="E66" s="589"/>
      <c r="F66" s="589"/>
      <c r="G66" s="589"/>
      <c r="H66" s="589"/>
    </row>
    <row r="67" spans="1:11" s="627" customFormat="1" ht="13">
      <c r="A67" s="641"/>
      <c r="B67" s="590"/>
      <c r="C67" s="590"/>
      <c r="D67" s="590"/>
      <c r="E67" s="590"/>
      <c r="F67" s="590"/>
      <c r="G67" s="590"/>
      <c r="H67" s="590"/>
    </row>
    <row r="69" spans="1:11">
      <c r="H69" s="628"/>
    </row>
    <row r="88" spans="4:28">
      <c r="E88" s="3032"/>
      <c r="F88" s="3032"/>
      <c r="G88" s="3032"/>
      <c r="H88" s="3032"/>
      <c r="I88" s="3032"/>
      <c r="J88" s="3032"/>
      <c r="K88" s="3032"/>
      <c r="L88" s="3032"/>
      <c r="M88" s="3032"/>
      <c r="N88" s="3032"/>
      <c r="O88" s="3032"/>
      <c r="P88" s="3032"/>
      <c r="Q88" s="3032"/>
      <c r="R88" s="3032"/>
      <c r="S88" s="3032"/>
      <c r="T88" s="3032"/>
      <c r="U88" s="3032"/>
      <c r="V88" s="3032"/>
      <c r="W88" s="3032"/>
      <c r="X88" s="3032"/>
      <c r="Y88" s="3032"/>
      <c r="Z88" s="3032"/>
      <c r="AA88" s="3032"/>
      <c r="AB88" s="3032"/>
    </row>
    <row r="89" spans="4:28">
      <c r="E89" s="3032"/>
      <c r="F89" s="3032"/>
      <c r="G89" s="3032"/>
      <c r="H89" s="3032"/>
      <c r="I89" s="3032"/>
      <c r="J89" s="3032"/>
      <c r="K89" s="3032"/>
      <c r="L89" s="3032"/>
      <c r="M89" s="3032"/>
      <c r="N89" s="3032"/>
      <c r="O89" s="3032"/>
      <c r="P89" s="3032"/>
      <c r="Q89" s="3032"/>
      <c r="R89" s="3032"/>
      <c r="S89" s="3032"/>
      <c r="T89" s="3032"/>
      <c r="U89" s="3032"/>
      <c r="V89" s="3032"/>
      <c r="W89" s="3032"/>
      <c r="X89" s="3032"/>
      <c r="Y89" s="3032"/>
      <c r="Z89" s="3032"/>
      <c r="AA89" s="3032"/>
      <c r="AB89" s="3032"/>
    </row>
    <row r="90" spans="4:28">
      <c r="E90" s="3032"/>
      <c r="F90" s="3032"/>
      <c r="G90" s="3032"/>
      <c r="H90" s="3032"/>
      <c r="I90" s="3032"/>
      <c r="J90" s="3032"/>
      <c r="K90" s="3032"/>
      <c r="L90" s="3032"/>
      <c r="M90" s="3032"/>
      <c r="N90" s="3032"/>
      <c r="O90" s="3032"/>
      <c r="P90" s="3032"/>
      <c r="Q90" s="3032"/>
      <c r="R90" s="3032"/>
      <c r="S90" s="3032"/>
      <c r="T90" s="3032"/>
      <c r="U90" s="3032"/>
      <c r="V90" s="3032"/>
      <c r="W90" s="3032"/>
      <c r="X90" s="3032"/>
      <c r="Y90" s="3032"/>
      <c r="Z90" s="3032"/>
      <c r="AA90" s="3032"/>
      <c r="AB90" s="3032"/>
    </row>
    <row r="91" spans="4:28">
      <c r="D91" s="2577"/>
      <c r="E91" s="3033"/>
      <c r="F91" s="3033"/>
      <c r="G91" s="3033"/>
      <c r="H91" s="3033"/>
      <c r="I91" s="3033"/>
      <c r="J91" s="3033"/>
      <c r="K91" s="3033"/>
      <c r="L91" s="3033"/>
      <c r="M91" s="3033"/>
      <c r="N91" s="3033"/>
      <c r="O91" s="3033"/>
      <c r="P91" s="3033"/>
      <c r="Q91" s="3033"/>
      <c r="R91" s="3034"/>
      <c r="S91" s="3033"/>
      <c r="T91" s="3033"/>
      <c r="U91" s="3032"/>
      <c r="V91" s="3032"/>
      <c r="W91" s="3032"/>
      <c r="X91" s="3032"/>
      <c r="Y91" s="3032"/>
      <c r="Z91" s="3032"/>
      <c r="AA91" s="3032"/>
      <c r="AB91" s="3032"/>
    </row>
    <row r="92" spans="4:28">
      <c r="D92" s="2577"/>
      <c r="E92" s="3033"/>
      <c r="F92" s="3033"/>
      <c r="G92" s="3033"/>
      <c r="H92" s="3033"/>
      <c r="I92" s="3033"/>
      <c r="J92" s="3033"/>
      <c r="K92" s="3033"/>
      <c r="L92" s="3033"/>
      <c r="M92" s="3033"/>
      <c r="N92" s="3033"/>
      <c r="O92" s="3033"/>
      <c r="P92" s="3033"/>
      <c r="Q92" s="3033"/>
      <c r="R92" s="3033"/>
      <c r="S92" s="3033"/>
      <c r="T92" s="3033"/>
      <c r="U92" s="3032"/>
      <c r="V92" s="3032"/>
      <c r="W92" s="3032"/>
      <c r="X92" s="3032"/>
      <c r="Y92" s="3032"/>
      <c r="Z92" s="3032"/>
      <c r="AA92" s="3032"/>
      <c r="AB92" s="3032"/>
    </row>
    <row r="93" spans="4:28">
      <c r="D93" s="2577"/>
      <c r="E93" s="3035"/>
      <c r="F93" s="3035"/>
      <c r="G93" s="3035"/>
      <c r="H93" s="3035"/>
      <c r="I93" s="3035"/>
      <c r="J93" s="3035"/>
      <c r="K93" s="3035"/>
      <c r="L93" s="3035"/>
      <c r="M93" s="3035"/>
      <c r="N93" s="3035"/>
      <c r="O93" s="3035"/>
      <c r="P93" s="3035"/>
      <c r="Q93" s="3035"/>
      <c r="R93" s="3035"/>
      <c r="S93" s="3035"/>
      <c r="T93" s="3035"/>
      <c r="U93" s="3032"/>
      <c r="V93" s="3032"/>
      <c r="W93" s="3032"/>
      <c r="X93" s="3032"/>
      <c r="Y93" s="3032"/>
      <c r="Z93" s="3032"/>
      <c r="AA93" s="3032"/>
      <c r="AB93" s="3032"/>
    </row>
    <row r="94" spans="4:28">
      <c r="E94" s="3032"/>
      <c r="F94" s="3032"/>
      <c r="G94" s="3032"/>
      <c r="H94" s="3032"/>
      <c r="I94" s="3032"/>
      <c r="J94" s="3032"/>
      <c r="K94" s="3032"/>
      <c r="L94" s="3032"/>
      <c r="M94" s="3032"/>
      <c r="N94" s="3032"/>
      <c r="O94" s="3032"/>
      <c r="P94" s="3032"/>
      <c r="Q94" s="3032"/>
      <c r="R94" s="3032"/>
      <c r="S94" s="3032"/>
      <c r="T94" s="3032"/>
      <c r="U94" s="3032"/>
      <c r="V94" s="3032"/>
      <c r="W94" s="3032"/>
      <c r="X94" s="3032"/>
      <c r="Y94" s="3032"/>
      <c r="Z94" s="3032"/>
      <c r="AA94" s="3032"/>
      <c r="AB94" s="3032"/>
    </row>
    <row r="95" spans="4:28">
      <c r="E95" s="3032"/>
      <c r="F95" s="3032"/>
      <c r="G95" s="3032"/>
      <c r="H95" s="3032"/>
      <c r="I95" s="3032"/>
      <c r="J95" s="3032"/>
      <c r="K95" s="3032"/>
      <c r="L95" s="3032"/>
      <c r="M95" s="3032"/>
      <c r="N95" s="3032"/>
      <c r="O95" s="3032"/>
      <c r="P95" s="3032"/>
      <c r="Q95" s="3032"/>
      <c r="R95" s="3032"/>
      <c r="S95" s="3032"/>
      <c r="T95" s="3032"/>
      <c r="U95" s="3032"/>
      <c r="V95" s="3032"/>
      <c r="W95" s="3032"/>
      <c r="X95" s="3032"/>
      <c r="Y95" s="3032"/>
      <c r="Z95" s="3032"/>
      <c r="AA95" s="3032"/>
      <c r="AB95" s="3032"/>
    </row>
    <row r="96" spans="4:28">
      <c r="E96" s="3032"/>
      <c r="F96" s="3032"/>
      <c r="G96" s="3032"/>
      <c r="H96" s="3032"/>
      <c r="I96" s="3032"/>
      <c r="J96" s="3032"/>
      <c r="K96" s="3032"/>
      <c r="L96" s="3032"/>
      <c r="M96" s="3032"/>
      <c r="N96" s="3032"/>
      <c r="O96" s="3032"/>
      <c r="P96" s="3032"/>
      <c r="Q96" s="3032"/>
      <c r="R96" s="3032"/>
      <c r="S96" s="3032"/>
      <c r="T96" s="3032"/>
      <c r="U96" s="3032"/>
      <c r="V96" s="3032"/>
      <c r="W96" s="3032"/>
      <c r="X96" s="3032"/>
      <c r="Y96" s="3032"/>
      <c r="Z96" s="3032"/>
      <c r="AA96" s="3032"/>
      <c r="AB96" s="3032"/>
    </row>
    <row r="97" spans="5:28">
      <c r="E97" s="3032"/>
      <c r="F97" s="3032"/>
      <c r="G97" s="3032"/>
      <c r="H97" s="3032"/>
      <c r="I97" s="3032"/>
      <c r="J97" s="3032"/>
      <c r="K97" s="3032"/>
      <c r="L97" s="3032"/>
      <c r="M97" s="3032"/>
      <c r="N97" s="3032"/>
      <c r="O97" s="3032"/>
      <c r="P97" s="3032"/>
      <c r="Q97" s="3032"/>
      <c r="R97" s="3032"/>
      <c r="S97" s="3032"/>
      <c r="T97" s="3032"/>
      <c r="U97" s="3032"/>
      <c r="V97" s="3032"/>
      <c r="W97" s="3032"/>
      <c r="X97" s="3032"/>
      <c r="Y97" s="3032"/>
      <c r="Z97" s="3032"/>
      <c r="AA97" s="3032"/>
      <c r="AB97" s="3032"/>
    </row>
    <row r="98" spans="5:28">
      <c r="E98" s="3032"/>
      <c r="F98" s="3032"/>
      <c r="G98" s="3032"/>
      <c r="H98" s="3032"/>
      <c r="I98" s="3032"/>
      <c r="J98" s="3032"/>
      <c r="K98" s="3032"/>
      <c r="L98" s="3032"/>
      <c r="M98" s="3032"/>
      <c r="N98" s="3032"/>
      <c r="O98" s="3032"/>
      <c r="P98" s="3032"/>
      <c r="Q98" s="3032"/>
      <c r="R98" s="3032"/>
      <c r="S98" s="3032"/>
      <c r="T98" s="3032"/>
      <c r="U98" s="3032"/>
      <c r="V98" s="3032"/>
      <c r="W98" s="3032"/>
      <c r="X98" s="3032"/>
      <c r="Y98" s="3032"/>
      <c r="Z98" s="3032"/>
      <c r="AA98" s="3032"/>
      <c r="AB98" s="3032"/>
    </row>
    <row r="99" spans="5:28">
      <c r="E99" s="3032"/>
      <c r="F99" s="3032"/>
      <c r="G99" s="3032"/>
      <c r="H99" s="3032"/>
      <c r="I99" s="3032"/>
      <c r="J99" s="3032"/>
      <c r="K99" s="3032"/>
      <c r="L99" s="3032"/>
      <c r="M99" s="3032"/>
      <c r="N99" s="3032"/>
      <c r="O99" s="3032"/>
      <c r="P99" s="3032"/>
      <c r="Q99" s="3032"/>
      <c r="R99" s="3032"/>
      <c r="S99" s="3032"/>
      <c r="T99" s="3032"/>
      <c r="U99" s="3032"/>
      <c r="V99" s="3032"/>
      <c r="W99" s="3032"/>
      <c r="X99" s="3032"/>
      <c r="Y99" s="3032"/>
      <c r="Z99" s="3032"/>
      <c r="AA99" s="3032"/>
      <c r="AB99" s="3032"/>
    </row>
    <row r="100" spans="5:28">
      <c r="E100" s="3032"/>
      <c r="F100" s="3032"/>
      <c r="G100" s="3032"/>
      <c r="H100" s="3032"/>
      <c r="I100" s="3032"/>
      <c r="J100" s="3032"/>
      <c r="K100" s="3032"/>
      <c r="L100" s="3032"/>
      <c r="M100" s="3032"/>
      <c r="N100" s="3032"/>
      <c r="O100" s="3032"/>
      <c r="P100" s="3032"/>
      <c r="Q100" s="3032"/>
      <c r="R100" s="3032"/>
      <c r="S100" s="3032"/>
      <c r="T100" s="3032"/>
      <c r="U100" s="3032"/>
      <c r="V100" s="3032"/>
      <c r="W100" s="3032"/>
      <c r="X100" s="3032"/>
      <c r="Y100" s="3032"/>
      <c r="Z100" s="3032"/>
      <c r="AA100" s="3032"/>
      <c r="AB100" s="3032"/>
    </row>
    <row r="101" spans="5:28">
      <c r="E101" s="3032"/>
      <c r="F101" s="3032"/>
      <c r="G101" s="3032"/>
      <c r="H101" s="3032"/>
      <c r="I101" s="3032"/>
      <c r="J101" s="3032"/>
      <c r="K101" s="3032"/>
      <c r="L101" s="3032"/>
      <c r="M101" s="3032"/>
      <c r="N101" s="3032"/>
      <c r="O101" s="3032"/>
      <c r="P101" s="3032"/>
      <c r="Q101" s="3032"/>
      <c r="R101" s="3032"/>
      <c r="S101" s="3032"/>
      <c r="T101" s="3032"/>
      <c r="U101" s="3032"/>
      <c r="V101" s="3032"/>
      <c r="W101" s="3032"/>
      <c r="X101" s="3032"/>
      <c r="Y101" s="3032"/>
      <c r="Z101" s="3032"/>
      <c r="AA101" s="3032"/>
      <c r="AB101" s="3032"/>
    </row>
    <row r="102" spans="5:28">
      <c r="E102" s="3032"/>
      <c r="F102" s="3032"/>
      <c r="G102" s="3032"/>
      <c r="H102" s="3032"/>
      <c r="I102" s="3032"/>
      <c r="J102" s="3032"/>
      <c r="K102" s="3032"/>
      <c r="L102" s="3032"/>
      <c r="M102" s="3032"/>
      <c r="N102" s="3032"/>
      <c r="O102" s="3032"/>
      <c r="P102" s="3032"/>
      <c r="Q102" s="3032"/>
      <c r="R102" s="3032"/>
      <c r="S102" s="3032"/>
      <c r="T102" s="3032"/>
      <c r="U102" s="3032"/>
      <c r="V102" s="3032"/>
      <c r="W102" s="3032"/>
      <c r="X102" s="3032"/>
      <c r="Y102" s="3032"/>
      <c r="Z102" s="3032"/>
      <c r="AA102" s="3032"/>
      <c r="AB102" s="3032"/>
    </row>
    <row r="103" spans="5:28">
      <c r="E103" s="3032"/>
      <c r="F103" s="3032"/>
      <c r="G103" s="3032"/>
      <c r="H103" s="3032"/>
      <c r="I103" s="3032"/>
      <c r="J103" s="3032"/>
      <c r="K103" s="3032"/>
      <c r="L103" s="3032"/>
      <c r="M103" s="3032"/>
      <c r="N103" s="3032"/>
      <c r="O103" s="3032"/>
      <c r="P103" s="3032"/>
      <c r="Q103" s="3032"/>
      <c r="R103" s="3032"/>
      <c r="S103" s="3032"/>
      <c r="T103" s="3032"/>
      <c r="U103" s="3032"/>
      <c r="V103" s="3032"/>
      <c r="W103" s="3032"/>
      <c r="X103" s="3032"/>
      <c r="Y103" s="3032"/>
      <c r="Z103" s="3032"/>
      <c r="AA103" s="3032"/>
      <c r="AB103" s="3032"/>
    </row>
    <row r="104" spans="5:28">
      <c r="E104" s="3032"/>
      <c r="F104" s="3032"/>
      <c r="G104" s="3032"/>
      <c r="H104" s="3032"/>
      <c r="I104" s="3032"/>
      <c r="J104" s="3032"/>
      <c r="K104" s="3032"/>
      <c r="L104" s="3032"/>
      <c r="M104" s="3032"/>
      <c r="N104" s="3032"/>
      <c r="O104" s="3032"/>
      <c r="P104" s="3032"/>
      <c r="Q104" s="3032"/>
      <c r="R104" s="3032"/>
      <c r="S104" s="3032"/>
      <c r="T104" s="3032"/>
      <c r="U104" s="3032"/>
      <c r="V104" s="3032"/>
      <c r="W104" s="3032"/>
      <c r="X104" s="3032"/>
      <c r="Y104" s="3032"/>
      <c r="Z104" s="3032"/>
      <c r="AA104" s="3032"/>
      <c r="AB104" s="3032"/>
    </row>
    <row r="105" spans="5:28">
      <c r="E105" s="3032"/>
      <c r="F105" s="3032"/>
      <c r="G105" s="3032"/>
      <c r="H105" s="3032"/>
      <c r="I105" s="3032"/>
      <c r="J105" s="3032"/>
      <c r="K105" s="3032"/>
      <c r="L105" s="3032"/>
      <c r="M105" s="3032"/>
      <c r="N105" s="3032"/>
      <c r="O105" s="3032"/>
      <c r="P105" s="3032"/>
      <c r="Q105" s="3032"/>
      <c r="R105" s="3032"/>
      <c r="S105" s="3032"/>
      <c r="T105" s="3032"/>
      <c r="U105" s="3032"/>
      <c r="V105" s="3032"/>
      <c r="W105" s="3032"/>
      <c r="X105" s="3032"/>
      <c r="Y105" s="3032"/>
      <c r="Z105" s="3032"/>
      <c r="AA105" s="3032"/>
      <c r="AB105" s="3032"/>
    </row>
    <row r="106" spans="5:28">
      <c r="E106" s="3032"/>
      <c r="F106" s="3032"/>
      <c r="G106" s="3032"/>
      <c r="H106" s="3032"/>
      <c r="I106" s="3032"/>
      <c r="J106" s="3032"/>
      <c r="K106" s="3032"/>
      <c r="L106" s="3032"/>
      <c r="M106" s="3032"/>
      <c r="N106" s="3032"/>
      <c r="O106" s="3032"/>
      <c r="P106" s="3032"/>
      <c r="Q106" s="3032"/>
      <c r="R106" s="3032"/>
      <c r="S106" s="3032"/>
      <c r="T106" s="3032"/>
      <c r="U106" s="3032"/>
      <c r="V106" s="3032"/>
      <c r="W106" s="3032"/>
      <c r="X106" s="3032"/>
      <c r="Y106" s="3032"/>
      <c r="Z106" s="3032"/>
      <c r="AA106" s="3032"/>
      <c r="AB106" s="3032"/>
    </row>
  </sheetData>
  <mergeCells count="2">
    <mergeCell ref="B5:H5"/>
    <mergeCell ref="J5:Q5"/>
  </mergeCells>
  <conditionalFormatting sqref="J9:K55 J56:Q56">
    <cfRule type="dataBar" priority="10">
      <dataBar>
        <cfvo type="min"/>
        <cfvo type="max"/>
        <color rgb="FF0000FF"/>
      </dataBar>
      <extLst>
        <ext xmlns:x14="http://schemas.microsoft.com/office/spreadsheetml/2009/9/main" uri="{B025F937-C7B1-47D3-B67F-A62EFF666E3E}">
          <x14:id>{05D301EE-361C-427D-A926-7CC50D345665}</x14:id>
        </ext>
      </extLst>
    </cfRule>
  </conditionalFormatting>
  <conditionalFormatting sqref="L10:M55">
    <cfRule type="dataBar" priority="14">
      <dataBar>
        <cfvo type="min"/>
        <cfvo type="max"/>
        <color rgb="FFFF0000"/>
      </dataBar>
      <extLst>
        <ext xmlns:x14="http://schemas.microsoft.com/office/spreadsheetml/2009/9/main" uri="{B025F937-C7B1-47D3-B67F-A62EFF666E3E}">
          <x14:id>{A870F1BF-3157-4CEE-A62A-3A594186974F}</x14:id>
        </ext>
      </extLst>
    </cfRule>
  </conditionalFormatting>
  <conditionalFormatting sqref="N10:O55">
    <cfRule type="dataBar" priority="13">
      <dataBar>
        <cfvo type="min"/>
        <cfvo type="max"/>
        <color rgb="FFFFC000"/>
      </dataBar>
      <extLst>
        <ext xmlns:x14="http://schemas.microsoft.com/office/spreadsheetml/2009/9/main" uri="{B025F937-C7B1-47D3-B67F-A62EFF666E3E}">
          <x14:id>{2F3BC62A-1E6F-47EC-A8ED-3934A317B026}</x14:id>
        </ext>
      </extLst>
    </cfRule>
  </conditionalFormatting>
  <conditionalFormatting sqref="P10:P55">
    <cfRule type="dataBar" priority="12">
      <dataBar>
        <cfvo type="min"/>
        <cfvo type="max"/>
        <color rgb="FF00FF00"/>
      </dataBar>
      <extLst>
        <ext xmlns:x14="http://schemas.microsoft.com/office/spreadsheetml/2009/9/main" uri="{B025F937-C7B1-47D3-B67F-A62EFF666E3E}">
          <x14:id>{5DCD6539-54BA-4752-A7E4-06B8F00A01CE}</x14:id>
        </ext>
      </extLst>
    </cfRule>
  </conditionalFormatting>
  <conditionalFormatting sqref="Q10:Q55">
    <cfRule type="dataBar" priority="11">
      <dataBar>
        <cfvo type="min"/>
        <cfvo type="max"/>
        <color theme="0" tint="-0.34998626667073579"/>
      </dataBar>
      <extLst>
        <ext xmlns:x14="http://schemas.microsoft.com/office/spreadsheetml/2009/9/main" uri="{B025F937-C7B1-47D3-B67F-A62EFF666E3E}">
          <x14:id>{6B158419-8B2A-4DD4-8344-93CC86D14772}</x14:id>
        </ext>
      </extLst>
    </cfRule>
  </conditionalFormatting>
  <conditionalFormatting sqref="L9:M55">
    <cfRule type="dataBar" priority="9">
      <dataBar>
        <cfvo type="min"/>
        <cfvo type="max"/>
        <color rgb="FFFF0000"/>
      </dataBar>
      <extLst>
        <ext xmlns:x14="http://schemas.microsoft.com/office/spreadsheetml/2009/9/main" uri="{B025F937-C7B1-47D3-B67F-A62EFF666E3E}">
          <x14:id>{7DDF3C70-8289-43BB-935F-82244BF465D2}</x14:id>
        </ext>
      </extLst>
    </cfRule>
  </conditionalFormatting>
  <conditionalFormatting sqref="N9:O55">
    <cfRule type="dataBar" priority="8">
      <dataBar>
        <cfvo type="min"/>
        <cfvo type="max"/>
        <color rgb="FFFFC000"/>
      </dataBar>
      <extLst>
        <ext xmlns:x14="http://schemas.microsoft.com/office/spreadsheetml/2009/9/main" uri="{B025F937-C7B1-47D3-B67F-A62EFF666E3E}">
          <x14:id>{C1410D40-D655-4C83-A4A4-8296C565534A}</x14:id>
        </ext>
      </extLst>
    </cfRule>
  </conditionalFormatting>
  <conditionalFormatting sqref="Q9:Q55">
    <cfRule type="dataBar" priority="7">
      <dataBar>
        <cfvo type="min"/>
        <cfvo type="max"/>
        <color theme="0" tint="-0.34998626667073579"/>
      </dataBar>
      <extLst>
        <ext xmlns:x14="http://schemas.microsoft.com/office/spreadsheetml/2009/9/main" uri="{B025F937-C7B1-47D3-B67F-A62EFF666E3E}">
          <x14:id>{E79C0899-7AF0-407B-910C-FD641EC41680}</x14:id>
        </ext>
      </extLst>
    </cfRule>
  </conditionalFormatting>
  <pageMargins left="0.7" right="0.7" top="0.75" bottom="0.75" header="0.3" footer="0.3"/>
  <pageSetup paperSize="9" orientation="portrait" verticalDpi="1200" r:id="rId1"/>
  <ignoredErrors>
    <ignoredError sqref="J9" evalError="1"/>
    <ignoredError sqref="H51" formulaRange="1"/>
  </ignoredErrors>
  <drawing r:id="rId2"/>
  <extLst>
    <ext xmlns:x14="http://schemas.microsoft.com/office/spreadsheetml/2009/9/main" uri="{78C0D931-6437-407d-A8EE-F0AAD7539E65}">
      <x14:conditionalFormattings>
        <x14:conditionalFormatting xmlns:xm="http://schemas.microsoft.com/office/excel/2006/main">
          <x14:cfRule type="dataBar" id="{05D301EE-361C-427D-A926-7CC50D345665}">
            <x14:dataBar minLength="0" maxLength="100" negativeBarColorSameAsPositive="1" axisPosition="none">
              <x14:cfvo type="min"/>
              <x14:cfvo type="max"/>
            </x14:dataBar>
          </x14:cfRule>
          <xm:sqref>J9:K55 J56:Q56</xm:sqref>
        </x14:conditionalFormatting>
        <x14:conditionalFormatting xmlns:xm="http://schemas.microsoft.com/office/excel/2006/main">
          <x14:cfRule type="dataBar" id="{A870F1BF-3157-4CEE-A62A-3A594186974F}">
            <x14:dataBar minLength="0" maxLength="100" negativeBarColorSameAsPositive="1" axisPosition="none">
              <x14:cfvo type="min"/>
              <x14:cfvo type="max"/>
            </x14:dataBar>
          </x14:cfRule>
          <xm:sqref>L10:M55</xm:sqref>
        </x14:conditionalFormatting>
        <x14:conditionalFormatting xmlns:xm="http://schemas.microsoft.com/office/excel/2006/main">
          <x14:cfRule type="dataBar" id="{2F3BC62A-1E6F-47EC-A8ED-3934A317B026}">
            <x14:dataBar minLength="0" maxLength="100" negativeBarColorSameAsPositive="1" axisPosition="none">
              <x14:cfvo type="min"/>
              <x14:cfvo type="max"/>
            </x14:dataBar>
          </x14:cfRule>
          <xm:sqref>N10:O55</xm:sqref>
        </x14:conditionalFormatting>
        <x14:conditionalFormatting xmlns:xm="http://schemas.microsoft.com/office/excel/2006/main">
          <x14:cfRule type="dataBar" id="{5DCD6539-54BA-4752-A7E4-06B8F00A01CE}">
            <x14:dataBar minLength="0" maxLength="100" negativeBarColorSameAsPositive="1" axisPosition="none">
              <x14:cfvo type="min"/>
              <x14:cfvo type="max"/>
            </x14:dataBar>
          </x14:cfRule>
          <xm:sqref>P10:P55</xm:sqref>
        </x14:conditionalFormatting>
        <x14:conditionalFormatting xmlns:xm="http://schemas.microsoft.com/office/excel/2006/main">
          <x14:cfRule type="dataBar" id="{6B158419-8B2A-4DD4-8344-93CC86D14772}">
            <x14:dataBar minLength="0" maxLength="100" negativeBarColorSameAsPositive="1" axisPosition="none">
              <x14:cfvo type="min"/>
              <x14:cfvo type="max"/>
            </x14:dataBar>
          </x14:cfRule>
          <xm:sqref>Q10:Q55</xm:sqref>
        </x14:conditionalFormatting>
        <x14:conditionalFormatting xmlns:xm="http://schemas.microsoft.com/office/excel/2006/main">
          <x14:cfRule type="dataBar" id="{7DDF3C70-8289-43BB-935F-82244BF465D2}">
            <x14:dataBar minLength="0" maxLength="100" negativeBarColorSameAsPositive="1" axisPosition="none">
              <x14:cfvo type="min"/>
              <x14:cfvo type="max"/>
            </x14:dataBar>
          </x14:cfRule>
          <xm:sqref>L9:M55</xm:sqref>
        </x14:conditionalFormatting>
        <x14:conditionalFormatting xmlns:xm="http://schemas.microsoft.com/office/excel/2006/main">
          <x14:cfRule type="dataBar" id="{C1410D40-D655-4C83-A4A4-8296C565534A}">
            <x14:dataBar minLength="0" maxLength="100" negativeBarColorSameAsPositive="1" axisPosition="none">
              <x14:cfvo type="min"/>
              <x14:cfvo type="max"/>
            </x14:dataBar>
          </x14:cfRule>
          <xm:sqref>N9:O55</xm:sqref>
        </x14:conditionalFormatting>
        <x14:conditionalFormatting xmlns:xm="http://schemas.microsoft.com/office/excel/2006/main">
          <x14:cfRule type="dataBar" id="{E79C0899-7AF0-407B-910C-FD641EC41680}">
            <x14:dataBar minLength="0" maxLength="100" negativeBarColorSameAsPositive="1" axisPosition="none">
              <x14:cfvo type="min"/>
              <x14:cfvo type="max"/>
            </x14:dataBar>
          </x14:cfRule>
          <xm:sqref>Q9:Q55</xm:sqref>
        </x14:conditionalFormatting>
      </x14:conditionalFormatting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4">
    <tabColor theme="4"/>
  </sheetPr>
  <dimension ref="A1:O67"/>
  <sheetViews>
    <sheetView showGridLines="0" topLeftCell="A37" zoomScale="70" zoomScaleNormal="70" workbookViewId="0">
      <selection activeCell="A57" sqref="A57:L67"/>
    </sheetView>
  </sheetViews>
  <sheetFormatPr baseColWidth="10" defaultColWidth="9.3984375" defaultRowHeight="13"/>
  <cols>
    <col min="1" max="1" width="9.59765625" style="1703" customWidth="1"/>
    <col min="2" max="4" width="11.3984375" style="1703" customWidth="1"/>
    <col min="5" max="5" width="11.3984375" style="1708" customWidth="1"/>
    <col min="6" max="6" width="15.3984375" style="1703" customWidth="1"/>
    <col min="7" max="7" width="1.19921875" style="1703" customWidth="1"/>
    <col min="8" max="8" width="10.796875" style="1703" customWidth="1"/>
    <col min="9" max="14" width="9.3984375" style="1703"/>
    <col min="15" max="15" width="12.59765625" style="1703" customWidth="1"/>
    <col min="16" max="16384" width="9.3984375" style="1703"/>
  </cols>
  <sheetData>
    <row r="1" spans="1:15" ht="26.25" customHeight="1">
      <c r="A1" s="3487" t="s">
        <v>2084</v>
      </c>
      <c r="B1" s="3487"/>
      <c r="C1" s="3487"/>
      <c r="D1" s="3487"/>
      <c r="E1" s="3487"/>
      <c r="F1" s="3487"/>
      <c r="G1" s="3487"/>
    </row>
    <row r="2" spans="1:15" ht="26.25" customHeight="1">
      <c r="A2" s="1704" t="s">
        <v>35</v>
      </c>
      <c r="B2" s="1705"/>
      <c r="C2" s="1705"/>
      <c r="D2" s="1705"/>
      <c r="E2" s="1705"/>
      <c r="F2" s="1705"/>
      <c r="G2" s="1705"/>
    </row>
    <row r="3" spans="1:15" ht="19.5" customHeight="1">
      <c r="A3" s="3489" t="s">
        <v>2706</v>
      </c>
      <c r="B3" s="3489"/>
      <c r="C3" s="3489"/>
      <c r="D3" s="3489"/>
      <c r="E3" s="3489"/>
      <c r="F3" s="3489"/>
      <c r="G3" s="3489"/>
    </row>
    <row r="4" spans="1:15" ht="15.5" customHeight="1">
      <c r="A4" s="3489"/>
      <c r="B4" s="3489"/>
      <c r="C4" s="3489"/>
      <c r="D4" s="3489"/>
      <c r="E4" s="3489"/>
      <c r="F4" s="3489"/>
      <c r="G4" s="3489"/>
    </row>
    <row r="5" spans="1:15" s="1706" customFormat="1" ht="3.75" customHeight="1">
      <c r="A5" s="1724"/>
      <c r="B5" s="1725"/>
      <c r="C5" s="1725"/>
      <c r="D5" s="1726"/>
      <c r="E5" s="1727"/>
      <c r="F5" s="1724"/>
      <c r="G5" s="1724"/>
    </row>
    <row r="6" spans="1:15" s="1718" customFormat="1">
      <c r="A6" s="1728"/>
      <c r="B6" s="2243" t="s">
        <v>806</v>
      </c>
      <c r="C6" s="2244" t="s">
        <v>807</v>
      </c>
      <c r="D6" s="2245" t="s">
        <v>808</v>
      </c>
      <c r="E6" s="2246" t="s">
        <v>12</v>
      </c>
      <c r="F6" s="2258" t="s">
        <v>1920</v>
      </c>
      <c r="G6" s="2259"/>
    </row>
    <row r="7" spans="1:15" ht="2.25" customHeight="1">
      <c r="A7" s="1728"/>
      <c r="B7" s="1729"/>
      <c r="C7" s="1729"/>
      <c r="D7" s="1729"/>
      <c r="E7" s="1727"/>
      <c r="F7" s="1724"/>
      <c r="G7" s="1730"/>
    </row>
    <row r="8" spans="1:15" ht="4.5" customHeight="1">
      <c r="A8" s="1710"/>
      <c r="B8" s="1711"/>
      <c r="C8" s="1711"/>
      <c r="D8" s="1711"/>
      <c r="E8" s="1712"/>
      <c r="F8" s="1706"/>
      <c r="G8" s="1706"/>
      <c r="H8" s="1706"/>
    </row>
    <row r="9" spans="1:15" ht="13.5" customHeight="1">
      <c r="A9" s="1716">
        <v>1979</v>
      </c>
      <c r="B9" s="1469">
        <v>0.45</v>
      </c>
      <c r="C9" s="1469">
        <v>0.38</v>
      </c>
      <c r="D9" s="1469">
        <v>0.14000000000000001</v>
      </c>
      <c r="E9" s="1713">
        <f>1-B9-C9-D9</f>
        <v>3.0000000000000027E-2</v>
      </c>
      <c r="F9" s="1706"/>
      <c r="G9" s="1706"/>
      <c r="H9" s="1706"/>
    </row>
    <row r="10" spans="1:15" ht="13.5" customHeight="1">
      <c r="A10" s="1715">
        <v>1980</v>
      </c>
      <c r="B10" s="1066">
        <v>0.4</v>
      </c>
      <c r="C10" s="1066">
        <v>0.42</v>
      </c>
      <c r="D10" s="1066">
        <v>0.13</v>
      </c>
      <c r="E10" s="1714">
        <f t="shared" ref="E10:E36" si="0">1-B10-C10-D10</f>
        <v>4.9999999999999989E-2</v>
      </c>
      <c r="F10" s="1706"/>
      <c r="G10" s="1706"/>
      <c r="H10" s="1706"/>
    </row>
    <row r="11" spans="1:15" ht="13.5" customHeight="1" thickBot="1">
      <c r="A11" s="1715">
        <v>1981</v>
      </c>
      <c r="B11" s="1066">
        <v>0.38</v>
      </c>
      <c r="C11" s="1066">
        <v>0.41</v>
      </c>
      <c r="D11" s="1066">
        <v>0.17</v>
      </c>
      <c r="E11" s="1714">
        <f t="shared" si="0"/>
        <v>4.0000000000000008E-2</v>
      </c>
      <c r="F11" s="1706"/>
      <c r="G11" s="1706"/>
      <c r="H11" s="1706"/>
    </row>
    <row r="12" spans="1:15" ht="13.5" customHeight="1" thickBot="1">
      <c r="A12" s="1715">
        <v>1982</v>
      </c>
      <c r="B12" s="1066">
        <v>0.4</v>
      </c>
      <c r="C12" s="1066">
        <v>0.28999999999999998</v>
      </c>
      <c r="D12" s="1066">
        <v>0.27</v>
      </c>
      <c r="E12" s="1714">
        <f t="shared" si="0"/>
        <v>3.999999999999998E-2</v>
      </c>
      <c r="F12" s="1706"/>
      <c r="G12" s="1706"/>
      <c r="H12" s="1706"/>
      <c r="K12" s="1070" t="s">
        <v>806</v>
      </c>
      <c r="L12" s="1071" t="s">
        <v>807</v>
      </c>
      <c r="M12" s="1072" t="s">
        <v>808</v>
      </c>
      <c r="N12" s="1087" t="s">
        <v>12</v>
      </c>
      <c r="O12" s="1702" t="s">
        <v>1920</v>
      </c>
    </row>
    <row r="13" spans="1:15" ht="13.5" customHeight="1">
      <c r="A13" s="1715">
        <v>1983</v>
      </c>
      <c r="B13" s="1066">
        <v>0.39</v>
      </c>
      <c r="C13" s="1066">
        <v>0.36</v>
      </c>
      <c r="D13" s="1066">
        <v>0.2</v>
      </c>
      <c r="E13" s="1714">
        <f t="shared" si="0"/>
        <v>4.9999999999999989E-2</v>
      </c>
      <c r="F13" s="1718"/>
      <c r="G13" s="1706"/>
      <c r="H13" s="1706"/>
    </row>
    <row r="14" spans="1:15" ht="13.5" customHeight="1">
      <c r="A14" s="1715">
        <v>1984</v>
      </c>
      <c r="B14" s="1066">
        <v>0.38</v>
      </c>
      <c r="C14" s="1066">
        <v>0.37</v>
      </c>
      <c r="D14" s="1066">
        <v>0.21</v>
      </c>
      <c r="E14" s="1714">
        <f t="shared" si="0"/>
        <v>4.0000000000000008E-2</v>
      </c>
      <c r="F14" s="1706"/>
      <c r="G14" s="1706"/>
      <c r="H14" s="1706"/>
    </row>
    <row r="15" spans="1:15" ht="13.5" customHeight="1">
      <c r="A15" s="1715">
        <v>1985</v>
      </c>
      <c r="B15" s="1066">
        <v>0.32</v>
      </c>
      <c r="C15" s="1066">
        <v>0.39</v>
      </c>
      <c r="D15" s="1066">
        <v>0.26</v>
      </c>
      <c r="E15" s="1714">
        <f t="shared" si="0"/>
        <v>2.9999999999999916E-2</v>
      </c>
      <c r="F15" s="1706"/>
      <c r="G15" s="1706"/>
      <c r="H15" s="1706"/>
    </row>
    <row r="16" spans="1:15" ht="13.5" customHeight="1">
      <c r="A16" s="1715">
        <v>1986</v>
      </c>
      <c r="B16" s="1066">
        <v>0.34</v>
      </c>
      <c r="C16" s="1066">
        <v>0.37</v>
      </c>
      <c r="D16" s="1066">
        <v>0.26</v>
      </c>
      <c r="E16" s="1714">
        <f t="shared" si="0"/>
        <v>2.9999999999999916E-2</v>
      </c>
      <c r="F16" s="1706"/>
      <c r="G16" s="1706"/>
      <c r="H16" s="1706"/>
    </row>
    <row r="17" spans="1:8" ht="13.5" customHeight="1">
      <c r="A17" s="1715">
        <v>1987</v>
      </c>
      <c r="B17" s="1066">
        <v>0.38</v>
      </c>
      <c r="C17" s="1066">
        <v>0.32</v>
      </c>
      <c r="D17" s="1066">
        <v>0.27</v>
      </c>
      <c r="E17" s="1714">
        <f t="shared" si="0"/>
        <v>2.9999999999999971E-2</v>
      </c>
      <c r="F17" s="1718"/>
      <c r="G17" s="1706"/>
      <c r="H17" s="1706"/>
    </row>
    <row r="18" spans="1:8" ht="13.5" customHeight="1">
      <c r="A18" s="1715">
        <v>1988</v>
      </c>
      <c r="B18" s="1066">
        <v>0.39</v>
      </c>
      <c r="C18" s="1066">
        <v>0.38</v>
      </c>
      <c r="D18" s="1066">
        <v>0.18</v>
      </c>
      <c r="E18" s="1714">
        <f t="shared" si="0"/>
        <v>4.9999999999999989E-2</v>
      </c>
      <c r="F18" s="1706"/>
      <c r="G18" s="1706"/>
      <c r="H18" s="1706"/>
    </row>
    <row r="19" spans="1:8" ht="13.5" customHeight="1">
      <c r="A19" s="1715">
        <v>1989</v>
      </c>
      <c r="B19" s="1066">
        <v>0.36</v>
      </c>
      <c r="C19" s="1066">
        <v>0.42</v>
      </c>
      <c r="D19" s="1066">
        <v>0.19</v>
      </c>
      <c r="E19" s="1714">
        <f t="shared" si="0"/>
        <v>3.0000000000000027E-2</v>
      </c>
      <c r="F19" s="1706"/>
      <c r="G19" s="1706"/>
      <c r="H19" s="1706"/>
    </row>
    <row r="20" spans="1:8" ht="13.5" customHeight="1">
      <c r="A20" s="1715">
        <v>1990</v>
      </c>
      <c r="B20" s="1066">
        <v>0.33</v>
      </c>
      <c r="C20" s="1066">
        <v>0.44</v>
      </c>
      <c r="D20" s="1066">
        <v>0.17</v>
      </c>
      <c r="E20" s="1714">
        <f t="shared" si="0"/>
        <v>5.9999999999999915E-2</v>
      </c>
      <c r="F20" s="1706"/>
      <c r="G20" s="1706"/>
      <c r="H20" s="1706"/>
    </row>
    <row r="21" spans="1:8" ht="13.5" customHeight="1">
      <c r="A21" s="1715">
        <v>1991</v>
      </c>
      <c r="B21" s="1066">
        <v>0.35</v>
      </c>
      <c r="C21" s="1066">
        <v>0.38</v>
      </c>
      <c r="D21" s="1066">
        <v>0.22</v>
      </c>
      <c r="E21" s="1714">
        <f t="shared" si="0"/>
        <v>5.0000000000000017E-2</v>
      </c>
      <c r="F21" s="1706"/>
      <c r="G21" s="1706"/>
      <c r="H21" s="1706"/>
    </row>
    <row r="22" spans="1:8" ht="13.5" customHeight="1">
      <c r="A22" s="1715">
        <v>1992</v>
      </c>
      <c r="B22" s="1066">
        <v>0.46</v>
      </c>
      <c r="C22" s="1066">
        <v>0.3</v>
      </c>
      <c r="D22" s="1066">
        <v>0.2</v>
      </c>
      <c r="E22" s="1714">
        <f t="shared" si="0"/>
        <v>4.0000000000000036E-2</v>
      </c>
      <c r="F22" s="1718"/>
      <c r="G22" s="1706"/>
      <c r="H22" s="1706"/>
    </row>
    <row r="23" spans="1:8" ht="13.5" customHeight="1">
      <c r="A23" s="1715">
        <v>1993</v>
      </c>
      <c r="B23" s="1066">
        <v>0.31</v>
      </c>
      <c r="C23" s="1066">
        <v>0.39</v>
      </c>
      <c r="D23" s="1066">
        <v>0.25</v>
      </c>
      <c r="E23" s="1714">
        <f t="shared" si="0"/>
        <v>4.9999999999999933E-2</v>
      </c>
      <c r="F23" s="1706"/>
      <c r="G23" s="1706"/>
      <c r="H23" s="1706"/>
    </row>
    <row r="24" spans="1:8" ht="13.5" customHeight="1">
      <c r="A24" s="1715">
        <v>1994</v>
      </c>
      <c r="B24" s="1066">
        <v>0.28000000000000003</v>
      </c>
      <c r="C24" s="1066">
        <v>0.4</v>
      </c>
      <c r="D24" s="1066">
        <v>0.27</v>
      </c>
      <c r="E24" s="1714">
        <f t="shared" si="0"/>
        <v>4.9999999999999933E-2</v>
      </c>
      <c r="F24" s="1706"/>
      <c r="G24" s="1706"/>
      <c r="H24" s="1706"/>
    </row>
    <row r="25" spans="1:8" ht="13.5" customHeight="1">
      <c r="A25" s="1715">
        <v>1995</v>
      </c>
      <c r="B25" s="1066">
        <v>0.25</v>
      </c>
      <c r="C25" s="1066">
        <v>0.47</v>
      </c>
      <c r="D25" s="1066">
        <v>0.23</v>
      </c>
      <c r="E25" s="1714">
        <f t="shared" si="0"/>
        <v>5.0000000000000017E-2</v>
      </c>
      <c r="F25" s="1706"/>
      <c r="G25" s="1706"/>
      <c r="H25" s="1706"/>
    </row>
    <row r="26" spans="1:8" ht="13.5" customHeight="1">
      <c r="A26" s="1715">
        <v>1996</v>
      </c>
      <c r="B26" s="1066">
        <v>0.28999999999999998</v>
      </c>
      <c r="C26" s="1066">
        <v>0.43</v>
      </c>
      <c r="D26" s="1066">
        <v>0.24</v>
      </c>
      <c r="E26" s="1714">
        <f t="shared" si="0"/>
        <v>3.999999999999998E-2</v>
      </c>
      <c r="F26" s="1706"/>
      <c r="G26" s="1706"/>
      <c r="H26" s="1706"/>
    </row>
    <row r="27" spans="1:8" ht="13.5" customHeight="1">
      <c r="A27" s="1716">
        <v>1997</v>
      </c>
      <c r="B27" s="1469">
        <v>0.31</v>
      </c>
      <c r="C27" s="1469">
        <v>0.44</v>
      </c>
      <c r="D27" s="1469">
        <v>0.17</v>
      </c>
      <c r="E27" s="1713">
        <f t="shared" si="0"/>
        <v>7.9999999999999932E-2</v>
      </c>
      <c r="F27" s="1706"/>
      <c r="G27" s="1706"/>
      <c r="H27" s="1706"/>
    </row>
    <row r="28" spans="1:8" ht="13.5" customHeight="1">
      <c r="A28" s="1715">
        <v>1998</v>
      </c>
      <c r="B28" s="1066">
        <v>0.33</v>
      </c>
      <c r="C28" s="1066">
        <v>0.37</v>
      </c>
      <c r="D28" s="1066">
        <v>0.25</v>
      </c>
      <c r="E28" s="1714">
        <f t="shared" si="0"/>
        <v>4.9999999999999933E-2</v>
      </c>
      <c r="F28" s="1706"/>
      <c r="G28" s="1706"/>
      <c r="H28" s="1706"/>
    </row>
    <row r="29" spans="1:8" ht="13.5" customHeight="1">
      <c r="A29" s="1715">
        <v>1999</v>
      </c>
      <c r="B29" s="1066">
        <v>0.34</v>
      </c>
      <c r="C29" s="1066">
        <v>0.36</v>
      </c>
      <c r="D29" s="1066">
        <v>0.25</v>
      </c>
      <c r="E29" s="1714">
        <f t="shared" si="0"/>
        <v>4.9999999999999933E-2</v>
      </c>
      <c r="F29" s="1706"/>
      <c r="G29" s="1706"/>
      <c r="H29" s="1706"/>
    </row>
    <row r="30" spans="1:8" ht="13.5" customHeight="1">
      <c r="A30" s="1715">
        <v>2000</v>
      </c>
      <c r="B30" s="1066">
        <v>0.38</v>
      </c>
      <c r="C30" s="1066">
        <v>0.3</v>
      </c>
      <c r="D30" s="1066">
        <v>0.26</v>
      </c>
      <c r="E30" s="1714">
        <f t="shared" si="0"/>
        <v>0.06</v>
      </c>
      <c r="F30" s="1706"/>
      <c r="G30" s="1706"/>
      <c r="H30" s="1706"/>
    </row>
    <row r="31" spans="1:8" ht="13.5" customHeight="1">
      <c r="A31" s="1716">
        <v>2001</v>
      </c>
      <c r="B31" s="1469">
        <v>0.33</v>
      </c>
      <c r="C31" s="1469">
        <v>0.42</v>
      </c>
      <c r="D31" s="1469">
        <v>0.19</v>
      </c>
      <c r="E31" s="1713">
        <f t="shared" si="0"/>
        <v>5.9999999999999942E-2</v>
      </c>
      <c r="F31" s="1706"/>
      <c r="G31" s="1706"/>
      <c r="H31" s="1706"/>
    </row>
    <row r="32" spans="1:8" ht="13.5" customHeight="1">
      <c r="A32" s="1715">
        <v>2002</v>
      </c>
      <c r="B32" s="1066">
        <v>0.34</v>
      </c>
      <c r="C32" s="1066">
        <v>0.33</v>
      </c>
      <c r="D32" s="1066">
        <v>0.25</v>
      </c>
      <c r="E32" s="1714">
        <f t="shared" si="0"/>
        <v>7.9999999999999905E-2</v>
      </c>
      <c r="F32" s="1706"/>
      <c r="G32" s="1706"/>
      <c r="H32" s="1706"/>
    </row>
    <row r="33" spans="1:13" ht="13.5" customHeight="1">
      <c r="A33" s="1715">
        <v>2003</v>
      </c>
      <c r="B33" s="1066">
        <v>0.35</v>
      </c>
      <c r="C33" s="1066">
        <v>0.3</v>
      </c>
      <c r="D33" s="1066">
        <v>0.27</v>
      </c>
      <c r="E33" s="1714">
        <f t="shared" si="0"/>
        <v>8.0000000000000016E-2</v>
      </c>
      <c r="F33" s="1706"/>
      <c r="G33" s="1706"/>
      <c r="H33" s="1706"/>
    </row>
    <row r="34" spans="1:13" ht="13.5" customHeight="1">
      <c r="A34" s="1715">
        <v>2004</v>
      </c>
      <c r="B34" s="1066">
        <v>0.37</v>
      </c>
      <c r="C34" s="1066">
        <v>0.26</v>
      </c>
      <c r="D34" s="1066">
        <v>0.27</v>
      </c>
      <c r="E34" s="1714">
        <f t="shared" si="0"/>
        <v>9.9999999999999978E-2</v>
      </c>
      <c r="F34" s="1706"/>
      <c r="G34" s="1706"/>
      <c r="H34" s="1706"/>
    </row>
    <row r="35" spans="1:13" ht="13.5" customHeight="1">
      <c r="A35" s="1716">
        <v>2005</v>
      </c>
      <c r="B35" s="1469">
        <v>0.33200000000000002</v>
      </c>
      <c r="C35" s="1469">
        <v>0.36099999999999999</v>
      </c>
      <c r="D35" s="1469">
        <v>0.22600000000000001</v>
      </c>
      <c r="E35" s="1713">
        <f t="shared" si="0"/>
        <v>8.0999999999999933E-2</v>
      </c>
      <c r="F35" s="1706"/>
      <c r="G35" s="1706"/>
      <c r="H35" s="1706"/>
    </row>
    <row r="36" spans="1:13" ht="13.5" customHeight="1">
      <c r="A36" s="1715">
        <v>2006</v>
      </c>
      <c r="B36" s="1066">
        <v>0.39</v>
      </c>
      <c r="C36" s="1066">
        <v>0.26</v>
      </c>
      <c r="D36" s="1066">
        <v>0.25</v>
      </c>
      <c r="E36" s="1714">
        <f t="shared" si="0"/>
        <v>9.9999999999999978E-2</v>
      </c>
      <c r="F36" s="1706"/>
      <c r="G36" s="1706"/>
      <c r="H36" s="1706"/>
    </row>
    <row r="37" spans="1:13" ht="13.5" customHeight="1">
      <c r="A37" s="1715">
        <v>2007</v>
      </c>
      <c r="B37" s="1066">
        <v>0.4</v>
      </c>
      <c r="C37" s="1066">
        <v>0.26</v>
      </c>
      <c r="D37" s="1066">
        <v>0.24</v>
      </c>
      <c r="E37" s="1714">
        <f>1-B37-C37-D37</f>
        <v>9.9999999999999978E-2</v>
      </c>
      <c r="F37" s="1706"/>
      <c r="G37" s="1706"/>
      <c r="H37" s="1706"/>
    </row>
    <row r="38" spans="1:13" ht="13.5" customHeight="1">
      <c r="A38" s="1715">
        <v>2008</v>
      </c>
      <c r="B38" s="1066">
        <v>0.43</v>
      </c>
      <c r="C38" s="1066">
        <v>0.24</v>
      </c>
      <c r="D38" s="1066">
        <v>0.23</v>
      </c>
      <c r="E38" s="1714">
        <f>1-B38-C38-D38</f>
        <v>0.10000000000000006</v>
      </c>
      <c r="F38" s="1706"/>
      <c r="G38" s="1706"/>
      <c r="H38" s="1706"/>
    </row>
    <row r="39" spans="1:13" ht="13.5" customHeight="1">
      <c r="A39" s="1715">
        <v>2009</v>
      </c>
      <c r="B39" s="1066">
        <v>0.35</v>
      </c>
      <c r="C39" s="1066">
        <v>0.22</v>
      </c>
      <c r="D39" s="1066">
        <v>0.25</v>
      </c>
      <c r="E39" s="1714">
        <f>1-B39-C39-D39</f>
        <v>0.18000000000000005</v>
      </c>
      <c r="F39" s="1706"/>
      <c r="G39" s="1706"/>
      <c r="H39" s="1706"/>
      <c r="M39" s="1709"/>
    </row>
    <row r="40" spans="1:13" ht="13.5" customHeight="1">
      <c r="A40" s="1716">
        <v>2010</v>
      </c>
      <c r="B40" s="1469">
        <v>0.36899999999999999</v>
      </c>
      <c r="C40" s="1469">
        <v>0.29699999999999999</v>
      </c>
      <c r="D40" s="1469">
        <v>0.23599999999999999</v>
      </c>
      <c r="E40" s="1713">
        <v>9.9000000000000005E-2</v>
      </c>
      <c r="F40" s="1706"/>
      <c r="G40" s="1706"/>
      <c r="H40" s="1706"/>
    </row>
    <row r="41" spans="1:13" ht="13.5" customHeight="1">
      <c r="A41" s="1715">
        <v>2011</v>
      </c>
      <c r="B41" s="1066">
        <v>0.38</v>
      </c>
      <c r="C41" s="1066">
        <v>0.37</v>
      </c>
      <c r="D41" s="1066">
        <v>0.16</v>
      </c>
      <c r="E41" s="1714">
        <f t="shared" ref="E41:E46" si="1">1-B41-C41-D41</f>
        <v>0.09</v>
      </c>
      <c r="F41" s="1706"/>
      <c r="G41" s="1706"/>
      <c r="H41" s="1706"/>
    </row>
    <row r="42" spans="1:13" ht="13.5" customHeight="1">
      <c r="A42" s="1715">
        <v>2012</v>
      </c>
      <c r="B42" s="1066">
        <v>0.33</v>
      </c>
      <c r="C42" s="1066">
        <v>0.39</v>
      </c>
      <c r="D42" s="1066">
        <v>0.15</v>
      </c>
      <c r="E42" s="1714">
        <f t="shared" si="1"/>
        <v>0.12999999999999992</v>
      </c>
      <c r="F42" s="1706"/>
      <c r="G42" s="1706"/>
      <c r="H42" s="1706"/>
    </row>
    <row r="43" spans="1:13" ht="13.5" customHeight="1">
      <c r="A43" s="1715">
        <v>2013</v>
      </c>
      <c r="B43" s="1066">
        <v>0.26</v>
      </c>
      <c r="C43" s="1066">
        <v>0.28999999999999998</v>
      </c>
      <c r="D43" s="1066">
        <v>0.13</v>
      </c>
      <c r="E43" s="1066">
        <f t="shared" si="1"/>
        <v>0.32</v>
      </c>
      <c r="F43" s="1719">
        <v>0.22</v>
      </c>
      <c r="G43" s="1706"/>
      <c r="H43" s="1706"/>
    </row>
    <row r="44" spans="1:13" ht="13.5" customHeight="1">
      <c r="A44" s="1715">
        <v>2014</v>
      </c>
      <c r="B44" s="1066">
        <v>0.3</v>
      </c>
      <c r="C44" s="1066">
        <v>0.31</v>
      </c>
      <c r="D44" s="1066">
        <v>0.11</v>
      </c>
      <c r="E44" s="1066">
        <f t="shared" si="1"/>
        <v>0.27999999999999997</v>
      </c>
      <c r="F44" s="1719">
        <v>0.18</v>
      </c>
      <c r="G44" s="1706"/>
      <c r="H44" s="1706"/>
    </row>
    <row r="45" spans="1:13" ht="13.5" customHeight="1">
      <c r="A45" s="1716">
        <v>2015</v>
      </c>
      <c r="B45" s="1469">
        <v>0.36799999999999999</v>
      </c>
      <c r="C45" s="1469">
        <v>0.30399999999999999</v>
      </c>
      <c r="D45" s="1469">
        <v>7.9000000000000001E-2</v>
      </c>
      <c r="E45" s="1469">
        <f t="shared" si="1"/>
        <v>0.249</v>
      </c>
      <c r="F45" s="1720">
        <v>0.13</v>
      </c>
      <c r="G45" s="1706"/>
      <c r="H45" s="1706"/>
    </row>
    <row r="46" spans="1:13" s="1709" customFormat="1" ht="13.5" customHeight="1">
      <c r="A46" s="1715">
        <v>2016</v>
      </c>
      <c r="B46" s="1066">
        <v>0.32</v>
      </c>
      <c r="C46" s="1066">
        <v>0.33</v>
      </c>
      <c r="D46" s="1066">
        <v>0.14000000000000001</v>
      </c>
      <c r="E46" s="1066">
        <f t="shared" si="1"/>
        <v>0.20999999999999991</v>
      </c>
      <c r="F46" s="1719">
        <v>0.12</v>
      </c>
      <c r="G46" s="1718"/>
      <c r="H46" s="1718"/>
    </row>
    <row r="47" spans="1:13" s="1709" customFormat="1" ht="13.5" customHeight="1">
      <c r="A47" s="1715">
        <v>2017</v>
      </c>
      <c r="B47" s="1066">
        <v>0.39</v>
      </c>
      <c r="C47" s="1066">
        <v>0.28000000000000003</v>
      </c>
      <c r="D47" s="1066">
        <v>0.18</v>
      </c>
      <c r="E47" s="1066">
        <v>0.15</v>
      </c>
      <c r="F47" s="1066">
        <v>0.04</v>
      </c>
      <c r="G47" s="1718"/>
      <c r="H47" s="1718"/>
    </row>
    <row r="48" spans="1:13" s="1709" customFormat="1" ht="13.5" customHeight="1">
      <c r="A48" s="1715">
        <v>2018</v>
      </c>
      <c r="B48" s="1066">
        <v>0.37</v>
      </c>
      <c r="C48" s="1066">
        <v>0.36</v>
      </c>
      <c r="D48" s="1066">
        <v>0.14000000000000001</v>
      </c>
      <c r="E48" s="1066">
        <v>0.13</v>
      </c>
      <c r="F48" s="1066">
        <v>0.02</v>
      </c>
      <c r="G48" s="1718"/>
      <c r="H48" s="1718"/>
    </row>
    <row r="49" spans="1:8" s="1709" customFormat="1" ht="13.5" customHeight="1">
      <c r="A49" s="1715">
        <v>2019</v>
      </c>
      <c r="B49" s="1066">
        <v>0.31</v>
      </c>
      <c r="C49" s="1066">
        <v>0.31</v>
      </c>
      <c r="D49" s="1066">
        <v>0.17</v>
      </c>
      <c r="E49" s="1066">
        <v>0.21</v>
      </c>
      <c r="F49" s="1066">
        <v>0.04</v>
      </c>
      <c r="G49" s="1718"/>
      <c r="H49" s="1718"/>
    </row>
    <row r="50" spans="1:8" s="1709" customFormat="1" ht="13.5" customHeight="1">
      <c r="A50" s="1715">
        <v>2021</v>
      </c>
      <c r="B50" s="1066">
        <v>0.4</v>
      </c>
      <c r="C50" s="1066">
        <v>0.3</v>
      </c>
      <c r="D50" s="1066">
        <v>0.15</v>
      </c>
      <c r="E50" s="1066">
        <v>0.15</v>
      </c>
      <c r="F50" s="1066"/>
      <c r="G50" s="1718"/>
      <c r="H50" s="1718"/>
    </row>
    <row r="51" spans="1:8" ht="4" customHeight="1">
      <c r="A51" s="1724"/>
      <c r="B51" s="1731"/>
      <c r="C51" s="1731"/>
      <c r="D51" s="1731"/>
      <c r="E51" s="1731"/>
      <c r="F51" s="1724"/>
      <c r="G51" s="1724"/>
      <c r="H51" s="1706"/>
    </row>
    <row r="52" spans="1:8" s="919" customFormat="1" ht="27" customHeight="1">
      <c r="A52" s="3398" t="s">
        <v>2804</v>
      </c>
      <c r="B52" s="3398"/>
      <c r="C52" s="3398"/>
      <c r="D52" s="3398"/>
      <c r="E52" s="3398"/>
      <c r="F52" s="3398"/>
      <c r="G52" s="3398"/>
      <c r="H52" s="1012"/>
    </row>
    <row r="53" spans="1:8" s="919" customFormat="1" ht="2.25" hidden="1" customHeight="1">
      <c r="A53" s="1721" t="s">
        <v>2363</v>
      </c>
      <c r="B53" s="1707"/>
      <c r="C53" s="1706"/>
      <c r="D53" s="1706"/>
      <c r="E53" s="1712"/>
      <c r="F53" s="1706"/>
      <c r="G53" s="944"/>
      <c r="H53" s="944"/>
    </row>
    <row r="54" spans="1:8" s="919" customFormat="1" ht="15" customHeight="1">
      <c r="A54" s="1722" t="s">
        <v>2364</v>
      </c>
      <c r="B54" s="1706"/>
      <c r="C54" s="1706"/>
      <c r="D54" s="1706"/>
      <c r="E54" s="1712"/>
      <c r="F54" s="1706"/>
      <c r="G54" s="944"/>
      <c r="H54" s="944"/>
    </row>
    <row r="55" spans="1:8" s="919" customFormat="1">
      <c r="A55" s="1722" t="s">
        <v>1921</v>
      </c>
      <c r="B55" s="1706"/>
      <c r="C55" s="1706"/>
      <c r="D55" s="1706"/>
      <c r="E55" s="1712"/>
      <c r="F55" s="1706"/>
      <c r="G55" s="944"/>
      <c r="H55" s="944"/>
    </row>
    <row r="56" spans="1:8" s="919" customFormat="1" ht="15.75" customHeight="1">
      <c r="A56" s="1723" t="s">
        <v>2083</v>
      </c>
      <c r="B56" s="1706"/>
      <c r="C56" s="1706"/>
      <c r="D56" s="1706"/>
      <c r="E56" s="1712"/>
      <c r="F56" s="1706"/>
      <c r="G56" s="944"/>
      <c r="H56" s="944"/>
    </row>
    <row r="57" spans="1:8" s="919" customFormat="1" ht="11.25" customHeight="1">
      <c r="A57" s="3488" t="s">
        <v>2365</v>
      </c>
      <c r="B57" s="3488"/>
      <c r="C57" s="3488"/>
      <c r="D57" s="3488"/>
      <c r="E57" s="3488"/>
      <c r="F57" s="3488"/>
      <c r="G57" s="944"/>
      <c r="H57" s="944"/>
    </row>
    <row r="58" spans="1:8" ht="11.25" customHeight="1">
      <c r="A58" s="3488"/>
      <c r="B58" s="3488"/>
      <c r="C58" s="3488"/>
      <c r="D58" s="3488"/>
      <c r="E58" s="3488"/>
      <c r="F58" s="3488"/>
      <c r="G58" s="1706"/>
      <c r="H58" s="1706"/>
    </row>
    <row r="59" spans="1:8">
      <c r="A59" s="3488"/>
      <c r="B59" s="3488"/>
      <c r="C59" s="3488"/>
      <c r="D59" s="3488"/>
      <c r="E59" s="3488"/>
      <c r="F59" s="3488"/>
      <c r="G59" s="1706"/>
      <c r="H59" s="1706"/>
    </row>
    <row r="60" spans="1:8">
      <c r="A60" s="1717" t="s">
        <v>1922</v>
      </c>
    </row>
    <row r="61" spans="1:8" ht="14">
      <c r="A61" s="1671" t="s">
        <v>2224</v>
      </c>
    </row>
    <row r="62" spans="1:8">
      <c r="A62" s="1703" t="s">
        <v>21</v>
      </c>
    </row>
    <row r="63" spans="1:8">
      <c r="A63" s="1703" t="s">
        <v>2805</v>
      </c>
    </row>
    <row r="64" spans="1:8">
      <c r="A64" s="1703" t="s">
        <v>2806</v>
      </c>
    </row>
    <row r="65" spans="1:1">
      <c r="A65" s="1703" t="s">
        <v>2807</v>
      </c>
    </row>
    <row r="66" spans="1:1">
      <c r="A66" s="3310" t="s">
        <v>2809</v>
      </c>
    </row>
    <row r="67" spans="1:1">
      <c r="A67" s="3310" t="s">
        <v>2808</v>
      </c>
    </row>
  </sheetData>
  <mergeCells count="4">
    <mergeCell ref="A1:G1"/>
    <mergeCell ref="A52:G52"/>
    <mergeCell ref="A57:F59"/>
    <mergeCell ref="A3:G4"/>
  </mergeCells>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5">
    <tabColor theme="0"/>
  </sheetPr>
  <dimension ref="A1:H60"/>
  <sheetViews>
    <sheetView showGridLines="0" zoomScale="70" zoomScaleNormal="70" workbookViewId="0">
      <selection activeCell="O40" sqref="O40"/>
    </sheetView>
  </sheetViews>
  <sheetFormatPr baseColWidth="10" defaultColWidth="9.3984375" defaultRowHeight="12"/>
  <cols>
    <col min="1" max="4" width="10.796875" style="466" customWidth="1"/>
    <col min="5" max="5" width="10.796875" style="470" customWidth="1"/>
    <col min="6" max="6" width="15.796875" style="466" customWidth="1"/>
    <col min="7" max="7" width="6.796875" style="466" customWidth="1"/>
    <col min="8" max="8" width="10.796875" style="466" customWidth="1"/>
    <col min="9" max="16384" width="9.3984375" style="466"/>
  </cols>
  <sheetData>
    <row r="1" spans="1:7" ht="26.25" customHeight="1">
      <c r="A1" s="3490" t="s">
        <v>1932</v>
      </c>
      <c r="B1" s="3490"/>
      <c r="C1" s="3490"/>
      <c r="D1" s="3490"/>
      <c r="E1" s="3490"/>
      <c r="F1" s="3490"/>
      <c r="G1" s="3490"/>
    </row>
    <row r="2" spans="1:7" ht="6" customHeight="1" thickBot="1">
      <c r="A2" s="467"/>
      <c r="B2" s="468"/>
      <c r="C2" s="468"/>
      <c r="D2" s="469"/>
    </row>
    <row r="3" spans="1:7" ht="4.5" hidden="1" customHeight="1" thickBot="1">
      <c r="A3" s="467"/>
      <c r="B3" s="468"/>
      <c r="C3" s="468"/>
      <c r="D3" s="469"/>
      <c r="E3" s="471"/>
    </row>
    <row r="4" spans="1:7" ht="13" thickTop="1">
      <c r="A4" s="472"/>
      <c r="B4" s="578" t="s">
        <v>806</v>
      </c>
      <c r="C4" s="579" t="s">
        <v>807</v>
      </c>
      <c r="D4" s="580" t="s">
        <v>808</v>
      </c>
      <c r="E4" s="581" t="s">
        <v>1972</v>
      </c>
    </row>
    <row r="5" spans="1:7" ht="13">
      <c r="A5" s="473">
        <v>2021</v>
      </c>
      <c r="B5" s="1066">
        <v>0.4</v>
      </c>
      <c r="C5" s="1066">
        <v>0.3</v>
      </c>
      <c r="D5" s="1066">
        <v>0.15</v>
      </c>
      <c r="E5" s="1066">
        <v>0.15</v>
      </c>
    </row>
    <row r="6" spans="1:7">
      <c r="A6" s="473">
        <v>2019</v>
      </c>
      <c r="B6" s="479">
        <v>0.31</v>
      </c>
      <c r="C6" s="479">
        <v>0.31</v>
      </c>
      <c r="D6" s="479">
        <v>0.17</v>
      </c>
      <c r="E6" s="479">
        <v>0.21</v>
      </c>
    </row>
    <row r="7" spans="1:7" s="977" customFormat="1">
      <c r="A7" s="978">
        <v>2018</v>
      </c>
      <c r="B7" s="479">
        <v>0.37</v>
      </c>
      <c r="C7" s="479">
        <v>0.36</v>
      </c>
      <c r="D7" s="479">
        <v>0.14000000000000001</v>
      </c>
      <c r="E7" s="479">
        <v>0.13</v>
      </c>
    </row>
    <row r="8" spans="1:7" s="750" customFormat="1">
      <c r="A8" s="478">
        <v>2017</v>
      </c>
      <c r="B8" s="479">
        <v>0.39</v>
      </c>
      <c r="C8" s="479">
        <v>0.28000000000000003</v>
      </c>
      <c r="D8" s="479">
        <v>0.18</v>
      </c>
      <c r="E8" s="479">
        <v>0.15</v>
      </c>
      <c r="F8" s="154">
        <v>0.04</v>
      </c>
    </row>
    <row r="9" spans="1:7" s="751" customFormat="1" ht="12" customHeight="1">
      <c r="A9" s="749">
        <v>2016</v>
      </c>
      <c r="B9" s="517">
        <v>0.32</v>
      </c>
      <c r="C9" s="517">
        <v>0.33</v>
      </c>
      <c r="D9" s="517">
        <v>0.14000000000000001</v>
      </c>
      <c r="E9" s="517">
        <f>1-B9-C9-D9</f>
        <v>0.20999999999999991</v>
      </c>
      <c r="F9" s="747">
        <v>0.12</v>
      </c>
    </row>
    <row r="10" spans="1:7" s="755" customFormat="1" ht="12" customHeight="1">
      <c r="A10" s="752">
        <v>2015</v>
      </c>
      <c r="B10" s="753">
        <v>0.36799999999999999</v>
      </c>
      <c r="C10" s="753">
        <v>0.30399999999999999</v>
      </c>
      <c r="D10" s="753">
        <v>7.9000000000000001E-2</v>
      </c>
      <c r="E10" s="754">
        <v>0.249</v>
      </c>
      <c r="F10" s="748">
        <v>0.13</v>
      </c>
    </row>
    <row r="11" spans="1:7" ht="11.5" customHeight="1">
      <c r="A11" s="575">
        <v>2014</v>
      </c>
      <c r="B11" s="576">
        <v>0.3</v>
      </c>
      <c r="C11" s="576">
        <v>0.31</v>
      </c>
      <c r="D11" s="576">
        <v>0.11</v>
      </c>
      <c r="E11" s="577">
        <v>0.27999999999999997</v>
      </c>
      <c r="F11" s="747">
        <v>0.18</v>
      </c>
    </row>
    <row r="12" spans="1:7" ht="11.5" customHeight="1">
      <c r="A12" s="478">
        <v>2013</v>
      </c>
      <c r="B12" s="479">
        <v>0.26</v>
      </c>
      <c r="C12" s="479">
        <v>0.28999999999999998</v>
      </c>
      <c r="D12" s="479">
        <v>0.13</v>
      </c>
      <c r="E12" s="477">
        <v>0.32</v>
      </c>
      <c r="F12" s="747">
        <v>0.22</v>
      </c>
    </row>
    <row r="13" spans="1:7" ht="11.5" customHeight="1">
      <c r="A13" s="478">
        <v>2012</v>
      </c>
      <c r="B13" s="479">
        <v>0.33</v>
      </c>
      <c r="C13" s="479">
        <v>0.39</v>
      </c>
      <c r="D13" s="479">
        <v>0.15</v>
      </c>
      <c r="E13" s="477">
        <f>1-B13-C13-D13</f>
        <v>0.12999999999999992</v>
      </c>
    </row>
    <row r="14" spans="1:7" ht="11.5" customHeight="1">
      <c r="A14" s="478">
        <v>2011</v>
      </c>
      <c r="B14" s="479">
        <v>0.38</v>
      </c>
      <c r="C14" s="479">
        <v>0.37</v>
      </c>
      <c r="D14" s="479">
        <v>0.16</v>
      </c>
      <c r="E14" s="477">
        <f>1-B14-C14-D14</f>
        <v>0.09</v>
      </c>
    </row>
    <row r="15" spans="1:7" ht="11.5" customHeight="1">
      <c r="A15" s="480">
        <v>2010</v>
      </c>
      <c r="B15" s="481">
        <v>0.36899999999999999</v>
      </c>
      <c r="C15" s="481">
        <v>0.29699999999999999</v>
      </c>
      <c r="D15" s="481">
        <v>0.23599999999999999</v>
      </c>
      <c r="E15" s="475">
        <v>9.9000000000000005E-2</v>
      </c>
    </row>
    <row r="16" spans="1:7" ht="11.5" customHeight="1">
      <c r="A16" s="478">
        <v>2009</v>
      </c>
      <c r="B16" s="479">
        <v>0.35</v>
      </c>
      <c r="C16" s="479">
        <v>0.22</v>
      </c>
      <c r="D16" s="479">
        <v>0.25</v>
      </c>
      <c r="E16" s="477">
        <f t="shared" ref="E16:E46" si="0">1-B16-C16-D16</f>
        <v>0.18000000000000005</v>
      </c>
    </row>
    <row r="17" spans="1:5" ht="11.5" customHeight="1">
      <c r="A17" s="478">
        <v>2008</v>
      </c>
      <c r="B17" s="479">
        <v>0.43</v>
      </c>
      <c r="C17" s="479">
        <v>0.24</v>
      </c>
      <c r="D17" s="479">
        <v>0.23</v>
      </c>
      <c r="E17" s="477">
        <f t="shared" si="0"/>
        <v>0.10000000000000006</v>
      </c>
    </row>
    <row r="18" spans="1:5" ht="11.5" customHeight="1">
      <c r="A18" s="478">
        <v>2007</v>
      </c>
      <c r="B18" s="479">
        <v>0.4</v>
      </c>
      <c r="C18" s="479">
        <v>0.26</v>
      </c>
      <c r="D18" s="479">
        <v>0.24</v>
      </c>
      <c r="E18" s="477">
        <f t="shared" si="0"/>
        <v>9.9999999999999978E-2</v>
      </c>
    </row>
    <row r="19" spans="1:5" ht="11.5" customHeight="1">
      <c r="A19" s="478">
        <v>2006</v>
      </c>
      <c r="B19" s="479">
        <v>0.39</v>
      </c>
      <c r="C19" s="479">
        <v>0.26</v>
      </c>
      <c r="D19" s="479">
        <v>0.25</v>
      </c>
      <c r="E19" s="477">
        <f t="shared" si="0"/>
        <v>9.9999999999999978E-2</v>
      </c>
    </row>
    <row r="20" spans="1:5" ht="11.5" customHeight="1">
      <c r="A20" s="480">
        <v>2005</v>
      </c>
      <c r="B20" s="481">
        <v>0.33200000000000002</v>
      </c>
      <c r="C20" s="481">
        <v>0.36099999999999999</v>
      </c>
      <c r="D20" s="481">
        <v>0.22600000000000001</v>
      </c>
      <c r="E20" s="475">
        <f t="shared" si="0"/>
        <v>8.0999999999999933E-2</v>
      </c>
    </row>
    <row r="21" spans="1:5" ht="11.5" customHeight="1">
      <c r="A21" s="476">
        <v>2004</v>
      </c>
      <c r="B21" s="479">
        <v>0.37</v>
      </c>
      <c r="C21" s="479">
        <v>0.26</v>
      </c>
      <c r="D21" s="479">
        <v>0.27</v>
      </c>
      <c r="E21" s="477">
        <f t="shared" si="0"/>
        <v>9.9999999999999978E-2</v>
      </c>
    </row>
    <row r="22" spans="1:5" ht="11.5" customHeight="1">
      <c r="A22" s="478">
        <v>2003</v>
      </c>
      <c r="B22" s="479">
        <v>0.35</v>
      </c>
      <c r="C22" s="479">
        <v>0.3</v>
      </c>
      <c r="D22" s="479">
        <v>0.27</v>
      </c>
      <c r="E22" s="477">
        <f t="shared" si="0"/>
        <v>8.0000000000000016E-2</v>
      </c>
    </row>
    <row r="23" spans="1:5" ht="11.5" customHeight="1">
      <c r="A23" s="476">
        <v>2002</v>
      </c>
      <c r="B23" s="154">
        <v>0.34</v>
      </c>
      <c r="C23" s="154">
        <v>0.33</v>
      </c>
      <c r="D23" s="154">
        <v>0.25</v>
      </c>
      <c r="E23" s="477">
        <f t="shared" si="0"/>
        <v>7.9999999999999905E-2</v>
      </c>
    </row>
    <row r="24" spans="1:5" ht="11.5" customHeight="1">
      <c r="A24" s="473">
        <v>2001</v>
      </c>
      <c r="B24" s="474">
        <v>0.33</v>
      </c>
      <c r="C24" s="474">
        <v>0.42</v>
      </c>
      <c r="D24" s="474">
        <v>0.19</v>
      </c>
      <c r="E24" s="475">
        <f t="shared" si="0"/>
        <v>5.9999999999999942E-2</v>
      </c>
    </row>
    <row r="25" spans="1:5" ht="11.5" customHeight="1">
      <c r="A25" s="476">
        <v>2000</v>
      </c>
      <c r="B25" s="154">
        <v>0.38</v>
      </c>
      <c r="C25" s="154">
        <v>0.3</v>
      </c>
      <c r="D25" s="154">
        <v>0.26</v>
      </c>
      <c r="E25" s="477">
        <f t="shared" si="0"/>
        <v>0.06</v>
      </c>
    </row>
    <row r="26" spans="1:5" ht="11.5" customHeight="1">
      <c r="A26" s="476">
        <v>1999</v>
      </c>
      <c r="B26" s="154">
        <v>0.34</v>
      </c>
      <c r="C26" s="154">
        <v>0.36</v>
      </c>
      <c r="D26" s="154">
        <v>0.25</v>
      </c>
      <c r="E26" s="477">
        <f t="shared" si="0"/>
        <v>4.9999999999999933E-2</v>
      </c>
    </row>
    <row r="27" spans="1:5" ht="11.5" customHeight="1">
      <c r="A27" s="476">
        <v>1998</v>
      </c>
      <c r="B27" s="154">
        <v>0.33</v>
      </c>
      <c r="C27" s="154">
        <v>0.37</v>
      </c>
      <c r="D27" s="154">
        <v>0.25</v>
      </c>
      <c r="E27" s="477">
        <f t="shared" si="0"/>
        <v>4.9999999999999933E-2</v>
      </c>
    </row>
    <row r="28" spans="1:5" ht="11.5" customHeight="1">
      <c r="A28" s="473">
        <v>1997</v>
      </c>
      <c r="B28" s="474">
        <v>0.31</v>
      </c>
      <c r="C28" s="474">
        <v>0.44</v>
      </c>
      <c r="D28" s="474">
        <v>0.17</v>
      </c>
      <c r="E28" s="475">
        <f t="shared" si="0"/>
        <v>7.9999999999999932E-2</v>
      </c>
    </row>
    <row r="29" spans="1:5" ht="11.5" customHeight="1">
      <c r="A29" s="476">
        <v>1996</v>
      </c>
      <c r="B29" s="154">
        <v>0.28999999999999998</v>
      </c>
      <c r="C29" s="154">
        <v>0.43</v>
      </c>
      <c r="D29" s="154">
        <v>0.24</v>
      </c>
      <c r="E29" s="477">
        <f t="shared" si="0"/>
        <v>3.999999999999998E-2</v>
      </c>
    </row>
    <row r="30" spans="1:5" ht="11.5" customHeight="1">
      <c r="A30" s="476">
        <v>1995</v>
      </c>
      <c r="B30" s="154">
        <v>0.25</v>
      </c>
      <c r="C30" s="154">
        <v>0.47</v>
      </c>
      <c r="D30" s="154">
        <v>0.23</v>
      </c>
      <c r="E30" s="477">
        <f t="shared" si="0"/>
        <v>5.0000000000000017E-2</v>
      </c>
    </row>
    <row r="31" spans="1:5" ht="11.5" customHeight="1">
      <c r="A31" s="476">
        <v>1994</v>
      </c>
      <c r="B31" s="154">
        <v>0.28000000000000003</v>
      </c>
      <c r="C31" s="154">
        <v>0.4</v>
      </c>
      <c r="D31" s="154">
        <v>0.27</v>
      </c>
      <c r="E31" s="477">
        <f t="shared" si="0"/>
        <v>4.9999999999999933E-2</v>
      </c>
    </row>
    <row r="32" spans="1:5" ht="11.5" customHeight="1">
      <c r="A32" s="476">
        <v>1993</v>
      </c>
      <c r="B32" s="154">
        <v>0.31</v>
      </c>
      <c r="C32" s="154">
        <v>0.39</v>
      </c>
      <c r="D32" s="154">
        <v>0.25</v>
      </c>
      <c r="E32" s="477">
        <f t="shared" si="0"/>
        <v>4.9999999999999933E-2</v>
      </c>
    </row>
    <row r="33" spans="1:8" ht="11.5" customHeight="1">
      <c r="A33" s="476">
        <v>1992</v>
      </c>
      <c r="B33" s="154">
        <v>0.46</v>
      </c>
      <c r="C33" s="154">
        <v>0.3</v>
      </c>
      <c r="D33" s="154">
        <v>0.2</v>
      </c>
      <c r="E33" s="477">
        <f t="shared" si="0"/>
        <v>4.0000000000000036E-2</v>
      </c>
    </row>
    <row r="34" spans="1:8" ht="11.5" customHeight="1">
      <c r="A34" s="476">
        <v>1991</v>
      </c>
      <c r="B34" s="154">
        <v>0.35</v>
      </c>
      <c r="C34" s="154">
        <v>0.38</v>
      </c>
      <c r="D34" s="154">
        <v>0.22</v>
      </c>
      <c r="E34" s="477">
        <f t="shared" si="0"/>
        <v>5.0000000000000017E-2</v>
      </c>
    </row>
    <row r="35" spans="1:8" ht="11.5" customHeight="1">
      <c r="A35" s="476">
        <v>1990</v>
      </c>
      <c r="B35" s="154">
        <v>0.33</v>
      </c>
      <c r="C35" s="154">
        <v>0.44</v>
      </c>
      <c r="D35" s="154">
        <v>0.17</v>
      </c>
      <c r="E35" s="477">
        <f t="shared" si="0"/>
        <v>5.9999999999999915E-2</v>
      </c>
    </row>
    <row r="36" spans="1:8" ht="11.5" customHeight="1">
      <c r="A36" s="476">
        <v>1989</v>
      </c>
      <c r="B36" s="154">
        <v>0.36</v>
      </c>
      <c r="C36" s="154">
        <v>0.42</v>
      </c>
      <c r="D36" s="154">
        <v>0.19</v>
      </c>
      <c r="E36" s="477">
        <f t="shared" si="0"/>
        <v>3.0000000000000027E-2</v>
      </c>
    </row>
    <row r="37" spans="1:8" ht="11.5" customHeight="1">
      <c r="A37" s="476">
        <v>1988</v>
      </c>
      <c r="B37" s="154">
        <v>0.39</v>
      </c>
      <c r="C37" s="154">
        <v>0.38</v>
      </c>
      <c r="D37" s="154">
        <v>0.18</v>
      </c>
      <c r="E37" s="477">
        <f t="shared" si="0"/>
        <v>4.9999999999999989E-2</v>
      </c>
    </row>
    <row r="38" spans="1:8" ht="11.5" customHeight="1">
      <c r="A38" s="476">
        <v>1987</v>
      </c>
      <c r="B38" s="154">
        <v>0.38</v>
      </c>
      <c r="C38" s="154">
        <v>0.32</v>
      </c>
      <c r="D38" s="154">
        <v>0.27</v>
      </c>
      <c r="E38" s="477">
        <f t="shared" si="0"/>
        <v>2.9999999999999971E-2</v>
      </c>
    </row>
    <row r="39" spans="1:8" ht="11.5" customHeight="1">
      <c r="A39" s="476">
        <v>1986</v>
      </c>
      <c r="B39" s="154">
        <v>0.34</v>
      </c>
      <c r="C39" s="154">
        <v>0.37</v>
      </c>
      <c r="D39" s="154">
        <v>0.26</v>
      </c>
      <c r="E39" s="477">
        <f t="shared" si="0"/>
        <v>2.9999999999999916E-2</v>
      </c>
    </row>
    <row r="40" spans="1:8" ht="11.5" customHeight="1">
      <c r="A40" s="476">
        <v>1985</v>
      </c>
      <c r="B40" s="154">
        <v>0.32</v>
      </c>
      <c r="C40" s="154">
        <v>0.39</v>
      </c>
      <c r="D40" s="154">
        <v>0.26</v>
      </c>
      <c r="E40" s="477">
        <f t="shared" si="0"/>
        <v>2.9999999999999916E-2</v>
      </c>
    </row>
    <row r="41" spans="1:8" ht="11.5" customHeight="1">
      <c r="A41" s="476">
        <v>1984</v>
      </c>
      <c r="B41" s="154">
        <v>0.38</v>
      </c>
      <c r="C41" s="154">
        <v>0.37</v>
      </c>
      <c r="D41" s="154">
        <v>0.21</v>
      </c>
      <c r="E41" s="477">
        <f t="shared" si="0"/>
        <v>4.0000000000000008E-2</v>
      </c>
    </row>
    <row r="42" spans="1:8" ht="11.5" customHeight="1">
      <c r="A42" s="476">
        <v>1983</v>
      </c>
      <c r="B42" s="154">
        <v>0.39</v>
      </c>
      <c r="C42" s="154">
        <v>0.36</v>
      </c>
      <c r="D42" s="154">
        <v>0.2</v>
      </c>
      <c r="E42" s="477">
        <f t="shared" si="0"/>
        <v>4.9999999999999989E-2</v>
      </c>
    </row>
    <row r="43" spans="1:8" ht="11.5" customHeight="1">
      <c r="A43" s="476">
        <v>1982</v>
      </c>
      <c r="B43" s="154">
        <v>0.4</v>
      </c>
      <c r="C43" s="154">
        <v>0.28999999999999998</v>
      </c>
      <c r="D43" s="154">
        <v>0.27</v>
      </c>
      <c r="E43" s="477">
        <f t="shared" si="0"/>
        <v>3.999999999999998E-2</v>
      </c>
    </row>
    <row r="44" spans="1:8" ht="11.5" customHeight="1">
      <c r="A44" s="476">
        <v>1981</v>
      </c>
      <c r="B44" s="154">
        <v>0.38</v>
      </c>
      <c r="C44" s="154">
        <v>0.41</v>
      </c>
      <c r="D44" s="154">
        <v>0.17</v>
      </c>
      <c r="E44" s="477">
        <f t="shared" si="0"/>
        <v>4.0000000000000008E-2</v>
      </c>
    </row>
    <row r="45" spans="1:8" ht="11.5" customHeight="1">
      <c r="A45" s="476">
        <v>1980</v>
      </c>
      <c r="B45" s="154">
        <v>0.4</v>
      </c>
      <c r="C45" s="154">
        <v>0.42</v>
      </c>
      <c r="D45" s="154">
        <v>0.13</v>
      </c>
      <c r="E45" s="477">
        <f t="shared" si="0"/>
        <v>4.9999999999999989E-2</v>
      </c>
    </row>
    <row r="46" spans="1:8" ht="0.75" customHeight="1">
      <c r="A46" s="473">
        <v>1979</v>
      </c>
      <c r="B46" s="474">
        <v>0.45</v>
      </c>
      <c r="C46" s="474">
        <v>0.38</v>
      </c>
      <c r="D46" s="474">
        <v>0.14000000000000001</v>
      </c>
      <c r="E46" s="475">
        <f t="shared" si="0"/>
        <v>3.0000000000000027E-2</v>
      </c>
    </row>
    <row r="47" spans="1:8" ht="1.5" customHeight="1">
      <c r="A47" s="482"/>
      <c r="B47" s="483"/>
      <c r="C47" s="483"/>
      <c r="D47" s="483"/>
      <c r="E47" s="484"/>
    </row>
    <row r="48" spans="1:8" s="101" customFormat="1" ht="21" customHeight="1">
      <c r="A48" s="466"/>
      <c r="B48" s="466"/>
      <c r="C48" s="466"/>
      <c r="D48" s="466"/>
      <c r="E48" s="470"/>
      <c r="F48" s="466"/>
      <c r="G48" s="152"/>
      <c r="H48" s="128"/>
    </row>
    <row r="49" spans="1:8" s="101" customFormat="1" ht="2.25" hidden="1" customHeight="1">
      <c r="A49" s="152" t="s">
        <v>1466</v>
      </c>
      <c r="B49" s="152"/>
      <c r="C49" s="152"/>
      <c r="D49" s="152"/>
      <c r="E49" s="152"/>
      <c r="F49" s="152"/>
    </row>
    <row r="50" spans="1:8" s="101" customFormat="1" ht="11.25" customHeight="1">
      <c r="A50" s="138"/>
      <c r="B50" s="154"/>
      <c r="C50" s="154"/>
      <c r="D50" s="154"/>
    </row>
    <row r="51" spans="1:8" s="101" customFormat="1" ht="11.25" customHeight="1">
      <c r="A51" s="139" t="s">
        <v>21</v>
      </c>
      <c r="B51" s="487"/>
      <c r="C51" s="487"/>
      <c r="D51" s="487"/>
      <c r="E51" s="165"/>
      <c r="F51" s="165"/>
    </row>
    <row r="52" spans="1:8" s="101" customFormat="1" ht="11.25" customHeight="1">
      <c r="A52" s="140" t="s">
        <v>1602</v>
      </c>
      <c r="B52" s="165"/>
      <c r="C52" s="140"/>
      <c r="D52" s="140"/>
      <c r="E52" s="140"/>
      <c r="F52" s="165"/>
    </row>
    <row r="53" spans="1:8" s="101" customFormat="1" ht="11.25" customHeight="1">
      <c r="A53" s="140" t="s">
        <v>1603</v>
      </c>
      <c r="B53" s="165"/>
      <c r="C53" s="140"/>
      <c r="D53" s="140"/>
      <c r="E53" s="140"/>
      <c r="F53" s="165"/>
    </row>
    <row r="54" spans="1:8" s="470" customFormat="1" ht="11.25" customHeight="1">
      <c r="A54" s="140" t="s">
        <v>2085</v>
      </c>
      <c r="B54" s="165"/>
      <c r="C54" s="140"/>
      <c r="D54" s="140"/>
      <c r="E54" s="140"/>
      <c r="F54" s="165"/>
      <c r="G54" s="466"/>
      <c r="H54" s="466"/>
    </row>
    <row r="55" spans="1:8">
      <c r="A55" s="485"/>
      <c r="B55" s="485"/>
      <c r="C55" s="485"/>
      <c r="D55" s="485"/>
    </row>
    <row r="57" spans="1:8" s="470" customFormat="1">
      <c r="A57" s="466"/>
      <c r="B57" s="466"/>
      <c r="C57" s="466"/>
      <c r="D57" s="466"/>
      <c r="F57" s="466"/>
      <c r="G57" s="466"/>
      <c r="H57" s="466"/>
    </row>
    <row r="58" spans="1:8" s="470" customFormat="1">
      <c r="A58" s="485"/>
      <c r="B58" s="486"/>
      <c r="C58" s="466"/>
      <c r="D58" s="466"/>
      <c r="F58" s="466"/>
      <c r="G58" s="466"/>
      <c r="H58" s="466"/>
    </row>
    <row r="59" spans="1:8" s="470" customFormat="1">
      <c r="A59" s="485"/>
      <c r="B59" s="486"/>
      <c r="C59" s="466"/>
      <c r="D59" s="466"/>
      <c r="F59" s="466"/>
      <c r="G59" s="466"/>
      <c r="H59" s="466"/>
    </row>
    <row r="60" spans="1:8">
      <c r="A60" s="485"/>
      <c r="B60" s="486"/>
    </row>
  </sheetData>
  <mergeCells count="1">
    <mergeCell ref="A1:G1"/>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101">
    <tabColor theme="4"/>
  </sheetPr>
  <dimension ref="A1:X59"/>
  <sheetViews>
    <sheetView showGridLines="0" topLeftCell="C1" zoomScale="70" zoomScaleNormal="70" workbookViewId="0">
      <selection activeCell="B2" sqref="B2"/>
    </sheetView>
  </sheetViews>
  <sheetFormatPr baseColWidth="10" defaultColWidth="9.3984375" defaultRowHeight="14"/>
  <cols>
    <col min="1" max="1" width="9.3984375" style="867"/>
    <col min="2" max="2" width="11" style="850" customWidth="1"/>
    <col min="3" max="18" width="7.796875" style="850" customWidth="1"/>
    <col min="19" max="16384" width="9.3984375" style="850"/>
  </cols>
  <sheetData>
    <row r="1" spans="1:23">
      <c r="B1" s="880" t="s">
        <v>2853</v>
      </c>
    </row>
    <row r="3" spans="1:23" ht="17">
      <c r="B3" s="2385" t="s">
        <v>2853</v>
      </c>
      <c r="C3" s="1218"/>
      <c r="D3" s="1218"/>
      <c r="E3" s="1218"/>
      <c r="F3" s="1218"/>
      <c r="G3" s="1218"/>
      <c r="H3" s="1218"/>
      <c r="I3" s="1218"/>
      <c r="J3" s="1218"/>
      <c r="K3" s="1218"/>
      <c r="L3" s="1218"/>
      <c r="M3" s="1218"/>
      <c r="N3" s="1218"/>
      <c r="O3" s="1218"/>
      <c r="P3" s="1218"/>
      <c r="Q3" s="1218"/>
      <c r="R3" s="1218"/>
    </row>
    <row r="4" spans="1:23">
      <c r="B4" s="871"/>
      <c r="C4" s="921">
        <v>2005</v>
      </c>
      <c r="D4" s="921">
        <v>2006</v>
      </c>
      <c r="E4" s="921">
        <v>2007</v>
      </c>
      <c r="F4" s="921">
        <v>2008</v>
      </c>
      <c r="G4" s="921">
        <v>2009</v>
      </c>
      <c r="H4" s="921">
        <v>2010</v>
      </c>
      <c r="I4" s="921">
        <v>2011</v>
      </c>
      <c r="J4" s="921">
        <v>2012</v>
      </c>
      <c r="K4" s="921">
        <v>2013</v>
      </c>
      <c r="L4" s="921">
        <v>2014</v>
      </c>
      <c r="M4" s="921">
        <v>2015</v>
      </c>
      <c r="N4" s="921">
        <v>2016</v>
      </c>
      <c r="O4" s="921">
        <v>2017</v>
      </c>
      <c r="P4" s="921">
        <v>2018</v>
      </c>
      <c r="Q4" s="921">
        <v>2019</v>
      </c>
      <c r="R4" s="921">
        <v>2021</v>
      </c>
    </row>
    <row r="5" spans="1:23" ht="15" thickBot="1">
      <c r="B5" s="1736" t="s">
        <v>1925</v>
      </c>
      <c r="C5" s="1737"/>
      <c r="D5" s="1737"/>
      <c r="E5" s="1737"/>
      <c r="F5" s="1737"/>
      <c r="G5" s="1737"/>
      <c r="H5" s="1737"/>
      <c r="I5" s="1737"/>
      <c r="J5" s="1737"/>
      <c r="K5" s="1737"/>
      <c r="L5" s="1737"/>
      <c r="M5" s="1737"/>
      <c r="N5" s="1737"/>
      <c r="O5" s="1737"/>
      <c r="P5" s="1737"/>
      <c r="Q5" s="1737"/>
      <c r="R5" s="1737"/>
    </row>
    <row r="6" spans="1:23" ht="15" thickBot="1">
      <c r="B6" s="1453" t="s">
        <v>2351</v>
      </c>
      <c r="C6" s="850">
        <v>155</v>
      </c>
      <c r="D6" s="850">
        <v>168</v>
      </c>
      <c r="E6" s="850">
        <v>204</v>
      </c>
      <c r="F6" s="850">
        <v>213</v>
      </c>
      <c r="G6" s="850">
        <v>207</v>
      </c>
      <c r="H6" s="850">
        <v>199</v>
      </c>
      <c r="I6" s="850">
        <v>199</v>
      </c>
      <c r="J6" s="850">
        <v>190</v>
      </c>
      <c r="K6" s="850">
        <v>180</v>
      </c>
      <c r="L6" s="850">
        <v>164</v>
      </c>
      <c r="M6" s="850">
        <v>192</v>
      </c>
      <c r="N6" s="850">
        <v>191</v>
      </c>
      <c r="O6" s="850">
        <v>200</v>
      </c>
      <c r="P6" s="850">
        <v>198</v>
      </c>
      <c r="Q6" s="850">
        <v>143</v>
      </c>
      <c r="R6" s="850">
        <v>139</v>
      </c>
    </row>
    <row r="7" spans="1:23" ht="15" thickBot="1">
      <c r="B7" s="1451" t="s">
        <v>2350</v>
      </c>
      <c r="C7" s="850">
        <v>71</v>
      </c>
      <c r="D7" s="850">
        <v>54</v>
      </c>
      <c r="E7" s="850">
        <v>48</v>
      </c>
      <c r="F7" s="850">
        <v>44</v>
      </c>
      <c r="G7" s="850">
        <v>33</v>
      </c>
      <c r="H7" s="850">
        <v>50</v>
      </c>
      <c r="I7" s="850">
        <v>77</v>
      </c>
      <c r="J7" s="850">
        <v>100</v>
      </c>
      <c r="K7" s="850">
        <v>103</v>
      </c>
      <c r="L7" s="850">
        <v>106</v>
      </c>
      <c r="M7" s="850">
        <v>100</v>
      </c>
      <c r="N7" s="850">
        <v>100</v>
      </c>
      <c r="O7" s="850">
        <v>99</v>
      </c>
      <c r="P7" s="850">
        <v>98</v>
      </c>
      <c r="Q7" s="850">
        <v>91</v>
      </c>
      <c r="R7" s="850">
        <v>77</v>
      </c>
    </row>
    <row r="8" spans="1:23" ht="15" thickBot="1">
      <c r="B8" s="1455" t="s">
        <v>2353</v>
      </c>
      <c r="C8" s="850">
        <v>31</v>
      </c>
      <c r="D8" s="850">
        <v>32</v>
      </c>
      <c r="E8" s="850">
        <v>29</v>
      </c>
      <c r="F8" s="850">
        <v>29</v>
      </c>
      <c r="G8" s="850">
        <v>26</v>
      </c>
      <c r="H8" s="850">
        <v>25</v>
      </c>
      <c r="I8" s="850">
        <v>14</v>
      </c>
      <c r="J8" s="850">
        <v>12</v>
      </c>
      <c r="K8" s="850">
        <v>12</v>
      </c>
      <c r="L8" s="850">
        <v>10</v>
      </c>
      <c r="M8" s="850">
        <v>6</v>
      </c>
      <c r="N8" s="850">
        <v>7</v>
      </c>
      <c r="O8" s="850">
        <v>8</v>
      </c>
      <c r="P8" s="850">
        <v>11</v>
      </c>
      <c r="Q8" s="850">
        <v>23</v>
      </c>
      <c r="R8" s="850">
        <v>22</v>
      </c>
    </row>
    <row r="9" spans="1:23" ht="15" thickBot="1">
      <c r="B9" s="1513" t="s">
        <v>1923</v>
      </c>
      <c r="C9" s="850">
        <v>7</v>
      </c>
      <c r="D9" s="850">
        <v>5</v>
      </c>
      <c r="E9" s="850">
        <v>5</v>
      </c>
      <c r="F9" s="850">
        <v>5</v>
      </c>
      <c r="G9" s="850">
        <v>4</v>
      </c>
      <c r="H9" s="850">
        <v>4</v>
      </c>
      <c r="I9" s="850">
        <v>1</v>
      </c>
      <c r="J9" s="850">
        <v>1</v>
      </c>
      <c r="K9" s="850">
        <v>1</v>
      </c>
      <c r="L9" s="850">
        <v>1</v>
      </c>
      <c r="M9" s="850">
        <v>2</v>
      </c>
      <c r="N9" s="850">
        <v>1</v>
      </c>
      <c r="O9" s="850">
        <v>2</v>
      </c>
      <c r="P9" s="850">
        <v>1</v>
      </c>
      <c r="Q9" s="850">
        <v>5</v>
      </c>
      <c r="R9" s="850">
        <v>5</v>
      </c>
    </row>
    <row r="10" spans="1:23">
      <c r="B10" s="1040" t="s">
        <v>1924</v>
      </c>
      <c r="C10" s="850">
        <v>122</v>
      </c>
      <c r="D10" s="850">
        <v>127</v>
      </c>
      <c r="E10" s="850">
        <v>100</v>
      </c>
      <c r="F10" s="850">
        <v>95</v>
      </c>
      <c r="G10" s="850">
        <v>81</v>
      </c>
      <c r="H10" s="850">
        <v>73</v>
      </c>
      <c r="I10" s="850">
        <v>60</v>
      </c>
      <c r="J10" s="850">
        <v>48</v>
      </c>
      <c r="K10" s="850">
        <v>55</v>
      </c>
      <c r="L10" s="850">
        <v>70</v>
      </c>
      <c r="M10" s="850">
        <v>51</v>
      </c>
      <c r="N10" s="850">
        <v>52</v>
      </c>
      <c r="O10" s="850">
        <v>42</v>
      </c>
      <c r="P10" s="850">
        <v>43</v>
      </c>
      <c r="Q10" s="850">
        <v>79</v>
      </c>
      <c r="R10" s="850">
        <v>88</v>
      </c>
    </row>
    <row r="11" spans="1:23" s="880" customFormat="1">
      <c r="A11" s="1733"/>
      <c r="B11" s="1040" t="s">
        <v>267</v>
      </c>
      <c r="C11" s="880">
        <f>SUM(C6:C10)</f>
        <v>386</v>
      </c>
      <c r="D11" s="880">
        <f t="shared" ref="D11:N11" si="0">SUM(D6:D10)</f>
        <v>386</v>
      </c>
      <c r="E11" s="880">
        <f t="shared" si="0"/>
        <v>386</v>
      </c>
      <c r="F11" s="880">
        <f t="shared" si="0"/>
        <v>386</v>
      </c>
      <c r="G11" s="880">
        <f t="shared" si="0"/>
        <v>351</v>
      </c>
      <c r="H11" s="880">
        <f t="shared" si="0"/>
        <v>351</v>
      </c>
      <c r="I11" s="880">
        <f t="shared" si="0"/>
        <v>351</v>
      </c>
      <c r="J11" s="880">
        <f t="shared" si="0"/>
        <v>351</v>
      </c>
      <c r="K11" s="880">
        <f t="shared" si="0"/>
        <v>351</v>
      </c>
      <c r="L11" s="880">
        <f t="shared" si="0"/>
        <v>351</v>
      </c>
      <c r="M11" s="880">
        <f t="shared" si="0"/>
        <v>351</v>
      </c>
      <c r="N11" s="880">
        <f t="shared" si="0"/>
        <v>351</v>
      </c>
      <c r="O11" s="880">
        <f>SUM(O6:O10)</f>
        <v>351</v>
      </c>
      <c r="P11" s="880">
        <v>351</v>
      </c>
      <c r="Q11" s="880">
        <f>SUM(Q6:Q10)</f>
        <v>341</v>
      </c>
      <c r="R11" s="880">
        <f>SUM(R6:R10)</f>
        <v>331</v>
      </c>
    </row>
    <row r="12" spans="1:23" ht="3" customHeight="1" thickBot="1"/>
    <row r="13" spans="1:23" ht="15" thickBot="1">
      <c r="B13" s="880" t="s">
        <v>1927</v>
      </c>
      <c r="C13" s="1163"/>
      <c r="D13" s="1163"/>
      <c r="E13" s="1163"/>
      <c r="F13" s="1163"/>
      <c r="G13" s="1163"/>
      <c r="H13" s="1163"/>
      <c r="I13" s="1163"/>
      <c r="J13" s="1163"/>
      <c r="K13" s="1163"/>
      <c r="L13" s="1163"/>
      <c r="M13" s="1163"/>
      <c r="N13" s="1163"/>
      <c r="O13" s="1163"/>
      <c r="P13" s="1163"/>
      <c r="Q13" s="1163"/>
      <c r="R13" s="1163"/>
      <c r="W13" s="1453" t="s">
        <v>2351</v>
      </c>
    </row>
    <row r="14" spans="1:23" ht="15" thickBot="1">
      <c r="B14" s="1453" t="s">
        <v>2351</v>
      </c>
      <c r="C14" s="1217">
        <f t="shared" ref="C14:N14" si="1">C6/C$11</f>
        <v>0.4015544041450777</v>
      </c>
      <c r="D14" s="1217">
        <f t="shared" si="1"/>
        <v>0.43523316062176165</v>
      </c>
      <c r="E14" s="1217">
        <f t="shared" si="1"/>
        <v>0.52849740932642486</v>
      </c>
      <c r="F14" s="1217">
        <f t="shared" si="1"/>
        <v>0.55181347150259064</v>
      </c>
      <c r="G14" s="1217">
        <f t="shared" si="1"/>
        <v>0.58974358974358976</v>
      </c>
      <c r="H14" s="1217">
        <f t="shared" si="1"/>
        <v>0.5669515669515669</v>
      </c>
      <c r="I14" s="1217">
        <f t="shared" si="1"/>
        <v>0.5669515669515669</v>
      </c>
      <c r="J14" s="1217">
        <f t="shared" si="1"/>
        <v>0.54131054131054135</v>
      </c>
      <c r="K14" s="1217">
        <f t="shared" si="1"/>
        <v>0.51282051282051277</v>
      </c>
      <c r="L14" s="1217">
        <f t="shared" si="1"/>
        <v>0.46723646723646722</v>
      </c>
      <c r="M14" s="1217">
        <f t="shared" si="1"/>
        <v>0.54700854700854706</v>
      </c>
      <c r="N14" s="1217">
        <f t="shared" si="1"/>
        <v>0.54415954415954415</v>
      </c>
      <c r="O14" s="1217">
        <f t="shared" ref="O14:P19" si="2">O6/O$11</f>
        <v>0.56980056980056981</v>
      </c>
      <c r="P14" s="1217">
        <f t="shared" si="2"/>
        <v>0.5641025641025641</v>
      </c>
      <c r="Q14" s="1217">
        <f t="shared" ref="Q14:Q19" si="3">Q6/$Q$11</f>
        <v>0.41935483870967744</v>
      </c>
      <c r="R14" s="1217">
        <f t="shared" ref="R14:R19" si="4">R6/$R$11</f>
        <v>0.41993957703927492</v>
      </c>
      <c r="T14" s="1217">
        <f>AVERAGE(C14:R14)</f>
        <v>0.51415489571439232</v>
      </c>
      <c r="W14" s="1451" t="s">
        <v>2350</v>
      </c>
    </row>
    <row r="15" spans="1:23" ht="15" thickBot="1">
      <c r="B15" s="1451" t="s">
        <v>2350</v>
      </c>
      <c r="C15" s="1217">
        <f t="shared" ref="C15:N15" si="5">C7/C$11</f>
        <v>0.18393782383419688</v>
      </c>
      <c r="D15" s="1217">
        <f t="shared" si="5"/>
        <v>0.13989637305699482</v>
      </c>
      <c r="E15" s="1217">
        <f t="shared" si="5"/>
        <v>0.12435233160621761</v>
      </c>
      <c r="F15" s="1217">
        <f t="shared" si="5"/>
        <v>0.11398963730569948</v>
      </c>
      <c r="G15" s="1217">
        <f t="shared" si="5"/>
        <v>9.4017094017094016E-2</v>
      </c>
      <c r="H15" s="1217">
        <f t="shared" si="5"/>
        <v>0.14245014245014245</v>
      </c>
      <c r="I15" s="1217">
        <f t="shared" si="5"/>
        <v>0.21937321937321938</v>
      </c>
      <c r="J15" s="1217">
        <f t="shared" si="5"/>
        <v>0.28490028490028491</v>
      </c>
      <c r="K15" s="1217">
        <f t="shared" si="5"/>
        <v>0.29344729344729342</v>
      </c>
      <c r="L15" s="1217">
        <f t="shared" si="5"/>
        <v>0.30199430199430199</v>
      </c>
      <c r="M15" s="1217">
        <f t="shared" si="5"/>
        <v>0.28490028490028491</v>
      </c>
      <c r="N15" s="1217">
        <f t="shared" si="5"/>
        <v>0.28490028490028491</v>
      </c>
      <c r="O15" s="1217">
        <f t="shared" si="2"/>
        <v>0.28205128205128205</v>
      </c>
      <c r="P15" s="1217">
        <f t="shared" si="2"/>
        <v>0.27920227920227919</v>
      </c>
      <c r="Q15" s="1217">
        <f t="shared" si="3"/>
        <v>0.26686217008797652</v>
      </c>
      <c r="R15" s="1217">
        <f t="shared" si="4"/>
        <v>0.23262839879154079</v>
      </c>
      <c r="T15" s="1217">
        <f t="shared" ref="T15:T56" si="6">AVERAGE(C15:R15)</f>
        <v>0.22055645011994332</v>
      </c>
      <c r="W15" s="1455" t="s">
        <v>2353</v>
      </c>
    </row>
    <row r="16" spans="1:23" ht="15" thickBot="1">
      <c r="B16" s="1455" t="s">
        <v>2353</v>
      </c>
      <c r="C16" s="1217">
        <f t="shared" ref="C16:N16" si="7">C8/C$11</f>
        <v>8.0310880829015538E-2</v>
      </c>
      <c r="D16" s="1217">
        <f t="shared" si="7"/>
        <v>8.2901554404145081E-2</v>
      </c>
      <c r="E16" s="1217">
        <f t="shared" si="7"/>
        <v>7.512953367875648E-2</v>
      </c>
      <c r="F16" s="1217">
        <f t="shared" si="7"/>
        <v>7.512953367875648E-2</v>
      </c>
      <c r="G16" s="1217">
        <f t="shared" si="7"/>
        <v>7.407407407407407E-2</v>
      </c>
      <c r="H16" s="1217">
        <f t="shared" si="7"/>
        <v>7.1225071225071226E-2</v>
      </c>
      <c r="I16" s="1217">
        <f t="shared" si="7"/>
        <v>3.9886039886039885E-2</v>
      </c>
      <c r="J16" s="1217">
        <f t="shared" si="7"/>
        <v>3.4188034188034191E-2</v>
      </c>
      <c r="K16" s="1217">
        <f t="shared" si="7"/>
        <v>3.4188034188034191E-2</v>
      </c>
      <c r="L16" s="1217">
        <f t="shared" si="7"/>
        <v>2.8490028490028491E-2</v>
      </c>
      <c r="M16" s="1217">
        <f t="shared" si="7"/>
        <v>1.7094017094017096E-2</v>
      </c>
      <c r="N16" s="1217">
        <f t="shared" si="7"/>
        <v>1.9943019943019943E-2</v>
      </c>
      <c r="O16" s="1217">
        <f t="shared" si="2"/>
        <v>2.2792022792022793E-2</v>
      </c>
      <c r="P16" s="1217">
        <f t="shared" si="2"/>
        <v>3.1339031339031341E-2</v>
      </c>
      <c r="Q16" s="1217">
        <f t="shared" si="3"/>
        <v>6.7448680351906154E-2</v>
      </c>
      <c r="R16" s="1217">
        <f t="shared" si="4"/>
        <v>6.6465256797583083E-2</v>
      </c>
      <c r="T16" s="1217">
        <f t="shared" si="6"/>
        <v>5.1287800809971008E-2</v>
      </c>
    </row>
    <row r="17" spans="1:24" ht="15" thickBot="1">
      <c r="B17" s="1513" t="s">
        <v>1923</v>
      </c>
      <c r="C17" s="1217">
        <f t="shared" ref="C17:N17" si="8">C9/C$11</f>
        <v>1.8134715025906734E-2</v>
      </c>
      <c r="D17" s="1217">
        <f t="shared" si="8"/>
        <v>1.2953367875647668E-2</v>
      </c>
      <c r="E17" s="1217">
        <f t="shared" si="8"/>
        <v>1.2953367875647668E-2</v>
      </c>
      <c r="F17" s="1217">
        <f t="shared" si="8"/>
        <v>1.2953367875647668E-2</v>
      </c>
      <c r="G17" s="1217">
        <f t="shared" si="8"/>
        <v>1.1396011396011397E-2</v>
      </c>
      <c r="H17" s="1217">
        <f t="shared" si="8"/>
        <v>1.1396011396011397E-2</v>
      </c>
      <c r="I17" s="1217">
        <f t="shared" si="8"/>
        <v>2.8490028490028491E-3</v>
      </c>
      <c r="J17" s="1217">
        <f t="shared" si="8"/>
        <v>2.8490028490028491E-3</v>
      </c>
      <c r="K17" s="1217">
        <f t="shared" si="8"/>
        <v>2.8490028490028491E-3</v>
      </c>
      <c r="L17" s="1217">
        <f t="shared" si="8"/>
        <v>2.8490028490028491E-3</v>
      </c>
      <c r="M17" s="1217">
        <f t="shared" si="8"/>
        <v>5.6980056980056983E-3</v>
      </c>
      <c r="N17" s="1217">
        <f t="shared" si="8"/>
        <v>2.8490028490028491E-3</v>
      </c>
      <c r="O17" s="1217">
        <f t="shared" si="2"/>
        <v>5.6980056980056983E-3</v>
      </c>
      <c r="P17" s="1217">
        <f t="shared" si="2"/>
        <v>2.8490028490028491E-3</v>
      </c>
      <c r="Q17" s="1217">
        <f t="shared" si="3"/>
        <v>1.466275659824047E-2</v>
      </c>
      <c r="R17" s="1217">
        <f t="shared" si="4"/>
        <v>1.5105740181268883E-2</v>
      </c>
      <c r="T17" s="1217">
        <f t="shared" si="6"/>
        <v>8.6278354196506479E-3</v>
      </c>
    </row>
    <row r="18" spans="1:24" ht="15" thickBot="1">
      <c r="B18" s="1040" t="s">
        <v>1924</v>
      </c>
      <c r="C18" s="1217">
        <f t="shared" ref="C18:N18" si="9">C10/C$11</f>
        <v>0.31606217616580312</v>
      </c>
      <c r="D18" s="1217">
        <f t="shared" si="9"/>
        <v>0.32901554404145078</v>
      </c>
      <c r="E18" s="1217">
        <f t="shared" si="9"/>
        <v>0.25906735751295334</v>
      </c>
      <c r="F18" s="1217">
        <f t="shared" si="9"/>
        <v>0.24611398963730569</v>
      </c>
      <c r="G18" s="1217">
        <f t="shared" si="9"/>
        <v>0.23076923076923078</v>
      </c>
      <c r="H18" s="1217">
        <f t="shared" si="9"/>
        <v>0.20797720797720798</v>
      </c>
      <c r="I18" s="1217">
        <f t="shared" si="9"/>
        <v>0.17094017094017094</v>
      </c>
      <c r="J18" s="1217">
        <f t="shared" si="9"/>
        <v>0.13675213675213677</v>
      </c>
      <c r="K18" s="1217">
        <f t="shared" si="9"/>
        <v>0.15669515669515668</v>
      </c>
      <c r="L18" s="1217">
        <f t="shared" si="9"/>
        <v>0.19943019943019943</v>
      </c>
      <c r="M18" s="1217">
        <f t="shared" si="9"/>
        <v>0.14529914529914531</v>
      </c>
      <c r="N18" s="1217">
        <f t="shared" si="9"/>
        <v>0.14814814814814814</v>
      </c>
      <c r="O18" s="1217">
        <f t="shared" si="2"/>
        <v>0.11965811965811966</v>
      </c>
      <c r="P18" s="1217">
        <f t="shared" si="2"/>
        <v>0.12250712250712251</v>
      </c>
      <c r="Q18" s="1217">
        <f t="shared" si="3"/>
        <v>0.2316715542521994</v>
      </c>
      <c r="R18" s="1217">
        <f t="shared" si="4"/>
        <v>0.26586102719033233</v>
      </c>
      <c r="T18" s="1217">
        <f t="shared" si="6"/>
        <v>0.20537301793604268</v>
      </c>
      <c r="W18" s="1513" t="s">
        <v>2354</v>
      </c>
    </row>
    <row r="19" spans="1:24" s="1631" customFormat="1" ht="15" thickBot="1">
      <c r="A19" s="1734"/>
      <c r="B19" s="1630" t="s">
        <v>267</v>
      </c>
      <c r="C19" s="1631">
        <f t="shared" ref="C19:N19" si="10">C11/C$11</f>
        <v>1</v>
      </c>
      <c r="D19" s="1631">
        <f t="shared" si="10"/>
        <v>1</v>
      </c>
      <c r="E19" s="1631">
        <f t="shared" si="10"/>
        <v>1</v>
      </c>
      <c r="F19" s="1631">
        <f t="shared" si="10"/>
        <v>1</v>
      </c>
      <c r="G19" s="1631">
        <f t="shared" si="10"/>
        <v>1</v>
      </c>
      <c r="H19" s="1631">
        <f t="shared" si="10"/>
        <v>1</v>
      </c>
      <c r="I19" s="1631">
        <f t="shared" si="10"/>
        <v>1</v>
      </c>
      <c r="J19" s="1631">
        <f t="shared" si="10"/>
        <v>1</v>
      </c>
      <c r="K19" s="1631">
        <f t="shared" si="10"/>
        <v>1</v>
      </c>
      <c r="L19" s="1631">
        <f t="shared" si="10"/>
        <v>1</v>
      </c>
      <c r="M19" s="1631">
        <f t="shared" si="10"/>
        <v>1</v>
      </c>
      <c r="N19" s="1631">
        <f t="shared" si="10"/>
        <v>1</v>
      </c>
      <c r="O19" s="1631">
        <f t="shared" si="2"/>
        <v>1</v>
      </c>
      <c r="P19" s="1631">
        <f t="shared" si="2"/>
        <v>1</v>
      </c>
      <c r="Q19" s="2558">
        <f t="shared" si="3"/>
        <v>1</v>
      </c>
      <c r="R19" s="2558">
        <f t="shared" si="4"/>
        <v>1</v>
      </c>
      <c r="T19" s="1217">
        <f t="shared" si="6"/>
        <v>1</v>
      </c>
      <c r="X19" s="1473" t="s">
        <v>2352</v>
      </c>
    </row>
    <row r="20" spans="1:24" ht="3" customHeight="1" thickBot="1">
      <c r="T20" s="1217" t="e">
        <f t="shared" si="6"/>
        <v>#DIV/0!</v>
      </c>
    </row>
    <row r="21" spans="1:24" ht="15" thickBot="1">
      <c r="B21" s="1736" t="s">
        <v>1926</v>
      </c>
      <c r="C21" s="1737"/>
      <c r="D21" s="1737"/>
      <c r="E21" s="1737"/>
      <c r="F21" s="1737"/>
      <c r="G21" s="1737"/>
      <c r="H21" s="1737"/>
      <c r="I21" s="1737"/>
      <c r="J21" s="1737"/>
      <c r="K21" s="1737"/>
      <c r="L21" s="1737"/>
      <c r="M21" s="1737"/>
      <c r="N21" s="1737"/>
      <c r="O21" s="1737"/>
      <c r="P21" s="1737"/>
      <c r="Q21" s="1737"/>
      <c r="R21" s="1737"/>
      <c r="T21" s="1217" t="e">
        <f t="shared" si="6"/>
        <v>#DIV/0!</v>
      </c>
      <c r="W21" s="1454" t="s">
        <v>2349</v>
      </c>
    </row>
    <row r="22" spans="1:24" ht="15" thickBot="1">
      <c r="B22" s="1453" t="s">
        <v>2351</v>
      </c>
      <c r="C22" s="850">
        <v>1</v>
      </c>
      <c r="D22" s="850">
        <v>1</v>
      </c>
      <c r="E22" s="850">
        <v>1</v>
      </c>
      <c r="F22" s="850">
        <v>2</v>
      </c>
      <c r="G22" s="850">
        <v>2</v>
      </c>
      <c r="H22" s="850">
        <v>2</v>
      </c>
      <c r="I22" s="850">
        <v>2</v>
      </c>
      <c r="J22" s="850">
        <v>0</v>
      </c>
      <c r="K22" s="850">
        <v>0</v>
      </c>
      <c r="L22" s="850">
        <v>0</v>
      </c>
      <c r="M22" s="850">
        <v>0</v>
      </c>
      <c r="N22" s="850">
        <v>0</v>
      </c>
      <c r="O22" s="850">
        <v>1</v>
      </c>
      <c r="P22" s="850">
        <v>1</v>
      </c>
      <c r="Q22" s="850">
        <v>1</v>
      </c>
      <c r="R22" s="850">
        <v>1</v>
      </c>
      <c r="T22" s="1217">
        <f t="shared" si="6"/>
        <v>0.9375</v>
      </c>
      <c r="W22" s="1514" t="s">
        <v>2355</v>
      </c>
    </row>
    <row r="23" spans="1:24" ht="15" thickBot="1">
      <c r="B23" s="1451" t="s">
        <v>2350</v>
      </c>
      <c r="C23" s="850">
        <v>8</v>
      </c>
      <c r="D23" s="850">
        <v>8</v>
      </c>
      <c r="E23" s="850">
        <v>8</v>
      </c>
      <c r="F23" s="850">
        <v>2</v>
      </c>
      <c r="G23" s="850">
        <v>2</v>
      </c>
      <c r="H23" s="850">
        <v>2</v>
      </c>
      <c r="I23" s="850">
        <v>2</v>
      </c>
      <c r="J23" s="850">
        <v>10</v>
      </c>
      <c r="K23" s="850">
        <v>10</v>
      </c>
      <c r="L23" s="850">
        <v>10</v>
      </c>
      <c r="M23" s="850">
        <v>10</v>
      </c>
      <c r="N23" s="850">
        <v>10</v>
      </c>
      <c r="O23" s="850">
        <v>7</v>
      </c>
      <c r="P23" s="850">
        <v>7</v>
      </c>
      <c r="Q23" s="850">
        <v>7</v>
      </c>
      <c r="R23" s="850">
        <v>7</v>
      </c>
      <c r="T23" s="1217">
        <f t="shared" si="6"/>
        <v>6.875</v>
      </c>
    </row>
    <row r="24" spans="1:24" ht="15" thickBot="1">
      <c r="B24" s="1455" t="s">
        <v>2353</v>
      </c>
      <c r="C24" s="850">
        <v>0</v>
      </c>
      <c r="D24" s="850">
        <v>0</v>
      </c>
      <c r="E24" s="850">
        <v>0</v>
      </c>
      <c r="F24" s="850">
        <v>0</v>
      </c>
      <c r="G24" s="850">
        <v>0</v>
      </c>
      <c r="H24" s="850">
        <v>0</v>
      </c>
      <c r="I24" s="850">
        <v>0</v>
      </c>
      <c r="J24" s="850">
        <v>0</v>
      </c>
      <c r="K24" s="850">
        <v>0</v>
      </c>
      <c r="L24" s="850">
        <v>0</v>
      </c>
      <c r="M24" s="850">
        <v>0</v>
      </c>
      <c r="N24" s="850">
        <v>0</v>
      </c>
      <c r="O24" s="850">
        <v>0</v>
      </c>
      <c r="P24" s="850">
        <v>0</v>
      </c>
      <c r="Q24" s="850">
        <v>0</v>
      </c>
      <c r="R24" s="850">
        <v>0</v>
      </c>
      <c r="T24" s="1217">
        <f t="shared" si="6"/>
        <v>0</v>
      </c>
    </row>
    <row r="25" spans="1:24" ht="15" thickBot="1">
      <c r="B25" s="1513" t="s">
        <v>1923</v>
      </c>
      <c r="C25" s="850">
        <v>3</v>
      </c>
      <c r="D25" s="850">
        <v>3</v>
      </c>
      <c r="E25" s="850">
        <v>3</v>
      </c>
      <c r="F25" s="850">
        <v>5</v>
      </c>
      <c r="G25" s="850">
        <v>5</v>
      </c>
      <c r="H25" s="850">
        <v>5</v>
      </c>
      <c r="I25" s="850">
        <v>5</v>
      </c>
      <c r="J25" s="850">
        <v>3</v>
      </c>
      <c r="K25" s="850">
        <v>2</v>
      </c>
      <c r="L25" s="850">
        <v>2</v>
      </c>
      <c r="M25" s="850">
        <v>2</v>
      </c>
      <c r="N25" s="850">
        <v>2</v>
      </c>
      <c r="O25" s="850">
        <v>3</v>
      </c>
      <c r="P25" s="850">
        <v>3</v>
      </c>
      <c r="Q25" s="850">
        <v>3</v>
      </c>
      <c r="R25" s="850">
        <v>3</v>
      </c>
      <c r="T25" s="1217">
        <f t="shared" si="6"/>
        <v>3.25</v>
      </c>
    </row>
    <row r="26" spans="1:24" ht="15" thickBot="1">
      <c r="B26" s="1452" t="s">
        <v>99</v>
      </c>
      <c r="C26" s="850">
        <v>1</v>
      </c>
      <c r="D26" s="850">
        <v>1</v>
      </c>
      <c r="E26" s="850">
        <v>1</v>
      </c>
      <c r="F26" s="850">
        <v>0</v>
      </c>
      <c r="G26" s="850">
        <v>0</v>
      </c>
      <c r="H26" s="850">
        <v>0</v>
      </c>
      <c r="I26" s="850">
        <v>0</v>
      </c>
      <c r="J26" s="850">
        <v>0</v>
      </c>
      <c r="K26" s="850">
        <v>0</v>
      </c>
      <c r="L26" s="850">
        <v>0</v>
      </c>
      <c r="M26" s="850">
        <v>0</v>
      </c>
      <c r="N26" s="850">
        <v>1</v>
      </c>
      <c r="O26" s="850">
        <v>1</v>
      </c>
      <c r="P26" s="850">
        <v>1</v>
      </c>
      <c r="Q26" s="850">
        <v>1</v>
      </c>
      <c r="R26" s="850">
        <v>1</v>
      </c>
      <c r="T26" s="1217">
        <f t="shared" si="6"/>
        <v>0.5</v>
      </c>
    </row>
    <row r="27" spans="1:24">
      <c r="B27" s="1040" t="s">
        <v>1924</v>
      </c>
      <c r="C27" s="850">
        <v>9</v>
      </c>
      <c r="D27" s="850">
        <v>9</v>
      </c>
      <c r="E27" s="850">
        <v>9</v>
      </c>
      <c r="F27" s="850">
        <v>13</v>
      </c>
      <c r="G27" s="850">
        <v>13</v>
      </c>
      <c r="H27" s="850">
        <v>13</v>
      </c>
      <c r="I27" s="850">
        <v>13</v>
      </c>
      <c r="J27" s="850">
        <v>9</v>
      </c>
      <c r="K27" s="850">
        <v>10</v>
      </c>
      <c r="L27" s="850">
        <v>10</v>
      </c>
      <c r="M27" s="850">
        <v>10</v>
      </c>
      <c r="N27" s="850">
        <v>9</v>
      </c>
      <c r="O27" s="850">
        <v>10</v>
      </c>
      <c r="P27" s="850">
        <v>10</v>
      </c>
      <c r="Q27" s="850">
        <v>10</v>
      </c>
      <c r="R27" s="850">
        <v>10</v>
      </c>
      <c r="T27" s="1217">
        <f t="shared" si="6"/>
        <v>10.4375</v>
      </c>
    </row>
    <row r="28" spans="1:24">
      <c r="B28" s="1040" t="s">
        <v>267</v>
      </c>
      <c r="C28" s="880">
        <v>22</v>
      </c>
      <c r="D28" s="880">
        <v>22</v>
      </c>
      <c r="E28" s="880">
        <v>22</v>
      </c>
      <c r="F28" s="880">
        <v>22</v>
      </c>
      <c r="G28" s="880">
        <v>22</v>
      </c>
      <c r="H28" s="880">
        <v>22</v>
      </c>
      <c r="I28" s="880">
        <v>22</v>
      </c>
      <c r="J28" s="880">
        <v>22</v>
      </c>
      <c r="K28" s="880">
        <v>22</v>
      </c>
      <c r="L28" s="880">
        <v>22</v>
      </c>
      <c r="M28" s="880">
        <v>22</v>
      </c>
      <c r="N28" s="880">
        <f>SUM(N22:N27)</f>
        <v>22</v>
      </c>
      <c r="O28" s="880">
        <f>SUM(O22:O27)</f>
        <v>22</v>
      </c>
      <c r="P28" s="880">
        <v>22</v>
      </c>
      <c r="Q28" s="880">
        <v>22</v>
      </c>
      <c r="R28" s="880">
        <v>22</v>
      </c>
      <c r="T28" s="1217">
        <f t="shared" si="6"/>
        <v>22</v>
      </c>
    </row>
    <row r="29" spans="1:24" ht="3" customHeight="1">
      <c r="T29" s="1217" t="e">
        <f t="shared" si="6"/>
        <v>#DIV/0!</v>
      </c>
    </row>
    <row r="30" spans="1:24" ht="15" thickBot="1">
      <c r="B30" s="880" t="s">
        <v>1928</v>
      </c>
      <c r="C30" s="1163"/>
      <c r="D30" s="1163"/>
      <c r="E30" s="1163"/>
      <c r="F30" s="1163"/>
      <c r="G30" s="1163"/>
      <c r="H30" s="1163"/>
      <c r="I30" s="1163"/>
      <c r="J30" s="1163"/>
      <c r="K30" s="1163"/>
      <c r="L30" s="1163"/>
      <c r="M30" s="1163"/>
      <c r="N30" s="1163"/>
      <c r="O30" s="1163"/>
      <c r="P30" s="1292"/>
      <c r="Q30" s="1292"/>
      <c r="R30" s="1292"/>
      <c r="T30" s="1217" t="e">
        <f t="shared" si="6"/>
        <v>#DIV/0!</v>
      </c>
    </row>
    <row r="31" spans="1:24" ht="15" thickBot="1">
      <c r="B31" s="1453" t="s">
        <v>2351</v>
      </c>
      <c r="C31" s="1217">
        <f t="shared" ref="C31:N31" si="11">C22/C$28</f>
        <v>4.5454545454545456E-2</v>
      </c>
      <c r="D31" s="1217">
        <f t="shared" si="11"/>
        <v>4.5454545454545456E-2</v>
      </c>
      <c r="E31" s="1217">
        <f t="shared" si="11"/>
        <v>4.5454545454545456E-2</v>
      </c>
      <c r="F31" s="1217">
        <f t="shared" si="11"/>
        <v>9.0909090909090912E-2</v>
      </c>
      <c r="G31" s="1217">
        <f t="shared" si="11"/>
        <v>9.0909090909090912E-2</v>
      </c>
      <c r="H31" s="1217">
        <f t="shared" si="11"/>
        <v>9.0909090909090912E-2</v>
      </c>
      <c r="I31" s="1217">
        <f t="shared" si="11"/>
        <v>9.0909090909090912E-2</v>
      </c>
      <c r="J31" s="1217">
        <f t="shared" si="11"/>
        <v>0</v>
      </c>
      <c r="K31" s="1217">
        <f t="shared" si="11"/>
        <v>0</v>
      </c>
      <c r="L31" s="1217">
        <f t="shared" si="11"/>
        <v>0</v>
      </c>
      <c r="M31" s="1217">
        <f t="shared" si="11"/>
        <v>0</v>
      </c>
      <c r="N31" s="1217">
        <f t="shared" si="11"/>
        <v>0</v>
      </c>
      <c r="O31" s="1217">
        <f>O22/O$28</f>
        <v>4.5454545454545456E-2</v>
      </c>
      <c r="P31" s="1217">
        <f>P22/P$28</f>
        <v>4.5454545454545456E-2</v>
      </c>
      <c r="Q31" s="1217">
        <v>4.5454545454545456E-2</v>
      </c>
      <c r="R31" s="1217">
        <v>4.5454545454545456E-2</v>
      </c>
      <c r="T31" s="1217">
        <f t="shared" si="6"/>
        <v>4.2613636363636354E-2</v>
      </c>
    </row>
    <row r="32" spans="1:24" ht="15" thickBot="1">
      <c r="B32" s="1451" t="s">
        <v>2350</v>
      </c>
      <c r="C32" s="1217">
        <f t="shared" ref="C32:M32" si="12">C23/C$28</f>
        <v>0.36363636363636365</v>
      </c>
      <c r="D32" s="1217">
        <f t="shared" si="12"/>
        <v>0.36363636363636365</v>
      </c>
      <c r="E32" s="1217">
        <f t="shared" si="12"/>
        <v>0.36363636363636365</v>
      </c>
      <c r="F32" s="1217">
        <f t="shared" si="12"/>
        <v>9.0909090909090912E-2</v>
      </c>
      <c r="G32" s="1217">
        <f t="shared" si="12"/>
        <v>9.0909090909090912E-2</v>
      </c>
      <c r="H32" s="1217">
        <f t="shared" si="12"/>
        <v>9.0909090909090912E-2</v>
      </c>
      <c r="I32" s="1217">
        <f t="shared" si="12"/>
        <v>9.0909090909090912E-2</v>
      </c>
      <c r="J32" s="1217">
        <f t="shared" si="12"/>
        <v>0.45454545454545453</v>
      </c>
      <c r="K32" s="1217">
        <f t="shared" si="12"/>
        <v>0.45454545454545453</v>
      </c>
      <c r="L32" s="1217">
        <f t="shared" si="12"/>
        <v>0.45454545454545453</v>
      </c>
      <c r="M32" s="1217">
        <f t="shared" si="12"/>
        <v>0.45454545454545453</v>
      </c>
      <c r="N32" s="1217">
        <f t="shared" ref="N32:O37" si="13">N23/N$28</f>
        <v>0.45454545454545453</v>
      </c>
      <c r="O32" s="1217">
        <f t="shared" si="13"/>
        <v>0.31818181818181818</v>
      </c>
      <c r="P32" s="1217">
        <f t="shared" ref="P32:P37" si="14">P23/P$28</f>
        <v>0.31818181818181818</v>
      </c>
      <c r="Q32" s="1217">
        <v>0.31818181818181818</v>
      </c>
      <c r="R32" s="1217">
        <v>0.31818181818181818</v>
      </c>
      <c r="T32" s="1217">
        <f t="shared" si="6"/>
        <v>0.3125</v>
      </c>
    </row>
    <row r="33" spans="1:20" ht="15" thickBot="1">
      <c r="B33" s="1455" t="s">
        <v>2353</v>
      </c>
      <c r="C33" s="1217">
        <f t="shared" ref="C33:M33" si="15">C24/C$28</f>
        <v>0</v>
      </c>
      <c r="D33" s="1217">
        <f t="shared" si="15"/>
        <v>0</v>
      </c>
      <c r="E33" s="1217">
        <f t="shared" si="15"/>
        <v>0</v>
      </c>
      <c r="F33" s="1217">
        <f t="shared" si="15"/>
        <v>0</v>
      </c>
      <c r="G33" s="1217">
        <f t="shared" si="15"/>
        <v>0</v>
      </c>
      <c r="H33" s="1217">
        <f t="shared" si="15"/>
        <v>0</v>
      </c>
      <c r="I33" s="1217">
        <f t="shared" si="15"/>
        <v>0</v>
      </c>
      <c r="J33" s="1217">
        <f t="shared" si="15"/>
        <v>0</v>
      </c>
      <c r="K33" s="1217">
        <f t="shared" si="15"/>
        <v>0</v>
      </c>
      <c r="L33" s="1217">
        <f t="shared" si="15"/>
        <v>0</v>
      </c>
      <c r="M33" s="1217">
        <f t="shared" si="15"/>
        <v>0</v>
      </c>
      <c r="N33" s="1217">
        <f t="shared" si="13"/>
        <v>0</v>
      </c>
      <c r="O33" s="1217">
        <f t="shared" si="13"/>
        <v>0</v>
      </c>
      <c r="P33" s="1217">
        <f t="shared" si="14"/>
        <v>0</v>
      </c>
      <c r="Q33" s="1217">
        <v>0</v>
      </c>
      <c r="R33" s="1217">
        <v>0</v>
      </c>
      <c r="T33" s="1217">
        <f t="shared" si="6"/>
        <v>0</v>
      </c>
    </row>
    <row r="34" spans="1:20" ht="15" thickBot="1">
      <c r="B34" s="1513" t="s">
        <v>1923</v>
      </c>
      <c r="C34" s="1217">
        <f t="shared" ref="C34:M34" si="16">C25/C$28</f>
        <v>0.13636363636363635</v>
      </c>
      <c r="D34" s="1217">
        <f t="shared" si="16"/>
        <v>0.13636363636363635</v>
      </c>
      <c r="E34" s="1217">
        <f t="shared" si="16"/>
        <v>0.13636363636363635</v>
      </c>
      <c r="F34" s="1217">
        <f t="shared" si="16"/>
        <v>0.22727272727272727</v>
      </c>
      <c r="G34" s="1217">
        <f t="shared" si="16"/>
        <v>0.22727272727272727</v>
      </c>
      <c r="H34" s="1217">
        <f t="shared" si="16"/>
        <v>0.22727272727272727</v>
      </c>
      <c r="I34" s="1217">
        <f t="shared" si="16"/>
        <v>0.22727272727272727</v>
      </c>
      <c r="J34" s="1217">
        <f t="shared" si="16"/>
        <v>0.13636363636363635</v>
      </c>
      <c r="K34" s="1217">
        <f t="shared" si="16"/>
        <v>9.0909090909090912E-2</v>
      </c>
      <c r="L34" s="1217">
        <f t="shared" si="16"/>
        <v>9.0909090909090912E-2</v>
      </c>
      <c r="M34" s="1217">
        <f t="shared" si="16"/>
        <v>9.0909090909090912E-2</v>
      </c>
      <c r="N34" s="1217">
        <f t="shared" si="13"/>
        <v>9.0909090909090912E-2</v>
      </c>
      <c r="O34" s="1217">
        <f t="shared" si="13"/>
        <v>0.13636363636363635</v>
      </c>
      <c r="P34" s="1217">
        <f t="shared" si="14"/>
        <v>0.13636363636363635</v>
      </c>
      <c r="Q34" s="1217">
        <v>0.13636363636363635</v>
      </c>
      <c r="R34" s="1217">
        <v>0.13636363636363635</v>
      </c>
      <c r="T34" s="1217">
        <f t="shared" si="6"/>
        <v>0.14772727272727268</v>
      </c>
    </row>
    <row r="35" spans="1:20" ht="15" thickBot="1">
      <c r="B35" s="1452" t="s">
        <v>99</v>
      </c>
      <c r="C35" s="1217">
        <f t="shared" ref="C35:M35" si="17">C26/C$28</f>
        <v>4.5454545454545456E-2</v>
      </c>
      <c r="D35" s="1217">
        <f t="shared" si="17"/>
        <v>4.5454545454545456E-2</v>
      </c>
      <c r="E35" s="1217">
        <f t="shared" si="17"/>
        <v>4.5454545454545456E-2</v>
      </c>
      <c r="F35" s="1217">
        <f t="shared" si="17"/>
        <v>0</v>
      </c>
      <c r="G35" s="1217">
        <f t="shared" si="17"/>
        <v>0</v>
      </c>
      <c r="H35" s="1217">
        <f t="shared" si="17"/>
        <v>0</v>
      </c>
      <c r="I35" s="1217">
        <f t="shared" si="17"/>
        <v>0</v>
      </c>
      <c r="J35" s="1217">
        <f t="shared" si="17"/>
        <v>0</v>
      </c>
      <c r="K35" s="1217">
        <f t="shared" si="17"/>
        <v>0</v>
      </c>
      <c r="L35" s="1217">
        <f t="shared" si="17"/>
        <v>0</v>
      </c>
      <c r="M35" s="1217">
        <f t="shared" si="17"/>
        <v>0</v>
      </c>
      <c r="N35" s="1217">
        <f t="shared" si="13"/>
        <v>4.5454545454545456E-2</v>
      </c>
      <c r="O35" s="1217">
        <f t="shared" si="13"/>
        <v>4.5454545454545456E-2</v>
      </c>
      <c r="P35" s="1217">
        <f t="shared" si="14"/>
        <v>4.5454545454545456E-2</v>
      </c>
      <c r="Q35" s="1217">
        <v>4.5454545454545456E-2</v>
      </c>
      <c r="R35" s="1217">
        <v>4.5454545454545456E-2</v>
      </c>
      <c r="T35" s="1217">
        <f t="shared" si="6"/>
        <v>2.2727272727272731E-2</v>
      </c>
    </row>
    <row r="36" spans="1:20">
      <c r="B36" s="1040" t="s">
        <v>1924</v>
      </c>
      <c r="C36" s="1217">
        <f t="shared" ref="C36:M36" si="18">C27/C$28</f>
        <v>0.40909090909090912</v>
      </c>
      <c r="D36" s="1217">
        <f t="shared" si="18"/>
        <v>0.40909090909090912</v>
      </c>
      <c r="E36" s="1217">
        <f t="shared" si="18"/>
        <v>0.40909090909090912</v>
      </c>
      <c r="F36" s="1217">
        <f t="shared" si="18"/>
        <v>0.59090909090909094</v>
      </c>
      <c r="G36" s="1217">
        <f t="shared" si="18"/>
        <v>0.59090909090909094</v>
      </c>
      <c r="H36" s="1217">
        <f t="shared" si="18"/>
        <v>0.59090909090909094</v>
      </c>
      <c r="I36" s="1217">
        <f t="shared" si="18"/>
        <v>0.59090909090909094</v>
      </c>
      <c r="J36" s="1217">
        <f t="shared" si="18"/>
        <v>0.40909090909090912</v>
      </c>
      <c r="K36" s="1217">
        <f t="shared" si="18"/>
        <v>0.45454545454545453</v>
      </c>
      <c r="L36" s="1217">
        <f t="shared" si="18"/>
        <v>0.45454545454545453</v>
      </c>
      <c r="M36" s="1217">
        <f t="shared" si="18"/>
        <v>0.45454545454545453</v>
      </c>
      <c r="N36" s="1217">
        <f t="shared" si="13"/>
        <v>0.40909090909090912</v>
      </c>
      <c r="O36" s="1217">
        <f t="shared" si="13"/>
        <v>0.45454545454545453</v>
      </c>
      <c r="P36" s="1217">
        <f t="shared" si="14"/>
        <v>0.45454545454545453</v>
      </c>
      <c r="Q36" s="1217">
        <v>0.45454545454545453</v>
      </c>
      <c r="R36" s="1217">
        <v>0.45454545454545453</v>
      </c>
      <c r="T36" s="1217">
        <f t="shared" si="6"/>
        <v>0.47443181818181801</v>
      </c>
    </row>
    <row r="37" spans="1:20" s="1631" customFormat="1">
      <c r="A37" s="1734"/>
      <c r="B37" s="1040" t="s">
        <v>267</v>
      </c>
      <c r="C37" s="1631">
        <f t="shared" ref="C37:M37" si="19">C28/C$28</f>
        <v>1</v>
      </c>
      <c r="D37" s="1631">
        <f t="shared" si="19"/>
        <v>1</v>
      </c>
      <c r="E37" s="1631">
        <f t="shared" si="19"/>
        <v>1</v>
      </c>
      <c r="F37" s="1631">
        <f t="shared" si="19"/>
        <v>1</v>
      </c>
      <c r="G37" s="1631">
        <f t="shared" si="19"/>
        <v>1</v>
      </c>
      <c r="H37" s="1631">
        <f t="shared" si="19"/>
        <v>1</v>
      </c>
      <c r="I37" s="1631">
        <f t="shared" si="19"/>
        <v>1</v>
      </c>
      <c r="J37" s="1631">
        <f t="shared" si="19"/>
        <v>1</v>
      </c>
      <c r="K37" s="1631">
        <f t="shared" si="19"/>
        <v>1</v>
      </c>
      <c r="L37" s="1631">
        <f t="shared" si="19"/>
        <v>1</v>
      </c>
      <c r="M37" s="1631">
        <f t="shared" si="19"/>
        <v>1</v>
      </c>
      <c r="N37" s="1631">
        <f t="shared" si="13"/>
        <v>1</v>
      </c>
      <c r="O37" s="1631">
        <f t="shared" si="13"/>
        <v>1</v>
      </c>
      <c r="P37" s="1631">
        <f t="shared" si="14"/>
        <v>1</v>
      </c>
      <c r="Q37" s="1631">
        <v>1</v>
      </c>
      <c r="R37" s="1631">
        <v>1</v>
      </c>
      <c r="T37" s="1217">
        <f t="shared" si="6"/>
        <v>1</v>
      </c>
    </row>
    <row r="38" spans="1:20" ht="3" customHeight="1">
      <c r="C38" s="1217"/>
      <c r="D38" s="1217"/>
      <c r="E38" s="1217"/>
      <c r="F38" s="1217"/>
      <c r="G38" s="1217"/>
      <c r="H38" s="1217"/>
      <c r="I38" s="1217"/>
      <c r="J38" s="1217"/>
      <c r="K38" s="1217"/>
      <c r="L38" s="1217"/>
      <c r="M38" s="1217"/>
      <c r="N38" s="1217"/>
      <c r="O38" s="1217"/>
      <c r="P38" s="1217"/>
      <c r="Q38" s="1217"/>
      <c r="R38" s="1217"/>
      <c r="T38" s="1217" t="e">
        <f t="shared" si="6"/>
        <v>#DIV/0!</v>
      </c>
    </row>
    <row r="39" spans="1:20" ht="15" thickBot="1">
      <c r="B39" s="1736" t="s">
        <v>1929</v>
      </c>
      <c r="C39" s="1737"/>
      <c r="D39" s="1737"/>
      <c r="E39" s="1737"/>
      <c r="F39" s="1737"/>
      <c r="G39" s="1737"/>
      <c r="H39" s="1737"/>
      <c r="I39" s="1737"/>
      <c r="J39" s="1737"/>
      <c r="K39" s="1737"/>
      <c r="L39" s="1737"/>
      <c r="M39" s="1737"/>
      <c r="N39" s="1737"/>
      <c r="O39" s="1737"/>
      <c r="P39" s="1737"/>
      <c r="Q39" s="1737"/>
      <c r="R39" s="1737"/>
      <c r="T39" s="1217" t="e">
        <f t="shared" si="6"/>
        <v>#DIV/0!</v>
      </c>
    </row>
    <row r="40" spans="1:20" ht="15" thickBot="1">
      <c r="A40" s="1472"/>
      <c r="B40" s="1453" t="s">
        <v>2351</v>
      </c>
      <c r="C40" s="850">
        <v>0</v>
      </c>
      <c r="D40" s="850">
        <v>0</v>
      </c>
      <c r="E40" s="850">
        <v>0</v>
      </c>
      <c r="F40" s="850">
        <v>0</v>
      </c>
      <c r="G40" s="850">
        <v>0</v>
      </c>
      <c r="H40" s="850">
        <v>0</v>
      </c>
      <c r="I40" s="850">
        <v>0</v>
      </c>
      <c r="J40" s="850">
        <v>0</v>
      </c>
      <c r="K40" s="850">
        <v>0</v>
      </c>
      <c r="L40" s="850">
        <v>0</v>
      </c>
      <c r="M40" s="850">
        <v>0</v>
      </c>
      <c r="N40" s="850">
        <v>0</v>
      </c>
      <c r="O40" s="850">
        <v>0</v>
      </c>
      <c r="P40" s="850">
        <v>0</v>
      </c>
      <c r="Q40" s="850">
        <v>0</v>
      </c>
      <c r="R40" s="850">
        <v>0</v>
      </c>
      <c r="T40" s="1217">
        <f t="shared" si="6"/>
        <v>0</v>
      </c>
    </row>
    <row r="41" spans="1:20" ht="15" thickBot="1">
      <c r="A41" s="1472"/>
      <c r="B41" s="1451" t="s">
        <v>2350</v>
      </c>
      <c r="C41" s="850">
        <v>13</v>
      </c>
      <c r="D41" s="850">
        <v>13</v>
      </c>
      <c r="E41" s="850">
        <v>2</v>
      </c>
      <c r="F41" s="850">
        <v>2</v>
      </c>
      <c r="G41" s="850">
        <v>2</v>
      </c>
      <c r="H41" s="850">
        <v>2</v>
      </c>
      <c r="I41" s="850">
        <v>3</v>
      </c>
      <c r="J41" s="850">
        <v>4</v>
      </c>
      <c r="K41" s="850">
        <v>5</v>
      </c>
      <c r="L41" s="850">
        <v>5</v>
      </c>
      <c r="M41" s="850">
        <v>4</v>
      </c>
      <c r="N41" s="850">
        <v>5</v>
      </c>
      <c r="O41" s="850">
        <v>0</v>
      </c>
      <c r="P41" s="850">
        <v>0</v>
      </c>
      <c r="Q41" s="850">
        <v>0</v>
      </c>
      <c r="R41" s="850">
        <v>0</v>
      </c>
      <c r="T41" s="1217">
        <f t="shared" si="6"/>
        <v>3.75</v>
      </c>
    </row>
    <row r="42" spans="1:20" ht="15" thickBot="1">
      <c r="A42" s="1735"/>
      <c r="B42" s="1455" t="s">
        <v>2353</v>
      </c>
      <c r="C42" s="850">
        <v>1</v>
      </c>
      <c r="D42" s="850">
        <v>1</v>
      </c>
      <c r="E42" s="850">
        <v>0</v>
      </c>
      <c r="F42" s="850">
        <v>0</v>
      </c>
      <c r="G42" s="850">
        <v>0</v>
      </c>
      <c r="H42" s="850">
        <v>0</v>
      </c>
      <c r="I42" s="850">
        <v>0</v>
      </c>
      <c r="J42" s="850">
        <v>0</v>
      </c>
      <c r="K42" s="850">
        <v>0</v>
      </c>
      <c r="L42" s="850">
        <v>0</v>
      </c>
      <c r="M42" s="850">
        <v>0</v>
      </c>
      <c r="N42" s="850">
        <v>0</v>
      </c>
      <c r="O42" s="850">
        <v>0</v>
      </c>
      <c r="P42" s="850">
        <v>0</v>
      </c>
      <c r="Q42" s="850">
        <v>0</v>
      </c>
      <c r="R42" s="850">
        <v>0</v>
      </c>
      <c r="T42" s="1217">
        <f t="shared" si="6"/>
        <v>0.125</v>
      </c>
    </row>
    <row r="43" spans="1:20" ht="15" thickBot="1">
      <c r="A43" s="1472"/>
      <c r="B43" s="1513" t="s">
        <v>1923</v>
      </c>
      <c r="C43" s="850">
        <v>6</v>
      </c>
      <c r="D43" s="850">
        <v>6</v>
      </c>
      <c r="E43" s="850">
        <v>3</v>
      </c>
      <c r="F43" s="850">
        <v>3</v>
      </c>
      <c r="G43" s="850">
        <v>3</v>
      </c>
      <c r="H43" s="850">
        <v>3</v>
      </c>
      <c r="I43" s="850">
        <v>3</v>
      </c>
      <c r="J43" s="850">
        <v>3</v>
      </c>
      <c r="K43" s="850">
        <v>3</v>
      </c>
      <c r="L43" s="850">
        <v>3</v>
      </c>
      <c r="M43" s="850">
        <v>3</v>
      </c>
      <c r="N43" s="850">
        <v>3</v>
      </c>
      <c r="O43" s="850">
        <v>3</v>
      </c>
      <c r="P43" s="850">
        <v>3</v>
      </c>
      <c r="Q43" s="850">
        <v>3</v>
      </c>
      <c r="R43" s="850">
        <v>3</v>
      </c>
      <c r="T43" s="1217">
        <f t="shared" si="6"/>
        <v>3.375</v>
      </c>
    </row>
    <row r="44" spans="1:20" ht="15" thickBot="1">
      <c r="A44" s="1735"/>
      <c r="B44" s="1732" t="s">
        <v>101</v>
      </c>
      <c r="C44" s="850">
        <v>1</v>
      </c>
      <c r="D44" s="850">
        <v>1</v>
      </c>
      <c r="E44" s="850">
        <v>0</v>
      </c>
      <c r="F44" s="850">
        <v>0</v>
      </c>
      <c r="G44" s="850">
        <v>0</v>
      </c>
      <c r="H44" s="850">
        <v>0</v>
      </c>
      <c r="I44" s="850">
        <v>0</v>
      </c>
      <c r="J44" s="850">
        <v>2</v>
      </c>
      <c r="K44" s="850">
        <v>2</v>
      </c>
      <c r="L44" s="850">
        <v>2</v>
      </c>
      <c r="M44" s="850">
        <v>2</v>
      </c>
      <c r="N44" s="850">
        <v>2</v>
      </c>
      <c r="O44" s="850">
        <v>0</v>
      </c>
      <c r="P44" s="850">
        <v>0</v>
      </c>
      <c r="Q44" s="850">
        <v>0</v>
      </c>
      <c r="R44" s="850">
        <v>0</v>
      </c>
      <c r="T44" s="1217">
        <f t="shared" si="6"/>
        <v>0.75</v>
      </c>
    </row>
    <row r="45" spans="1:20">
      <c r="A45" s="1040"/>
      <c r="B45" s="1040" t="s">
        <v>1924</v>
      </c>
      <c r="C45" s="850">
        <v>11</v>
      </c>
      <c r="D45" s="850">
        <v>11</v>
      </c>
      <c r="E45" s="850">
        <v>27</v>
      </c>
      <c r="F45" s="850">
        <v>27</v>
      </c>
      <c r="G45" s="850">
        <v>27</v>
      </c>
      <c r="H45" s="850">
        <v>27</v>
      </c>
      <c r="I45" s="850">
        <v>26</v>
      </c>
      <c r="J45" s="850">
        <v>23</v>
      </c>
      <c r="K45" s="850">
        <v>22</v>
      </c>
      <c r="L45" s="850">
        <v>22</v>
      </c>
      <c r="M45" s="850">
        <v>23</v>
      </c>
      <c r="N45" s="850">
        <v>22</v>
      </c>
      <c r="O45" s="850">
        <v>29</v>
      </c>
      <c r="P45" s="850">
        <v>29</v>
      </c>
      <c r="Q45" s="850">
        <v>29</v>
      </c>
      <c r="R45" s="850">
        <v>29</v>
      </c>
      <c r="T45" s="1217">
        <f t="shared" si="6"/>
        <v>24</v>
      </c>
    </row>
    <row r="46" spans="1:20" s="880" customFormat="1">
      <c r="A46" s="1733"/>
      <c r="B46" s="1040" t="s">
        <v>267</v>
      </c>
      <c r="C46" s="880">
        <f t="shared" ref="C46:N46" si="20">SUM(C40:C45)</f>
        <v>32</v>
      </c>
      <c r="D46" s="880">
        <f t="shared" si="20"/>
        <v>32</v>
      </c>
      <c r="E46" s="880">
        <f t="shared" si="20"/>
        <v>32</v>
      </c>
      <c r="F46" s="880">
        <f t="shared" si="20"/>
        <v>32</v>
      </c>
      <c r="G46" s="880">
        <f t="shared" si="20"/>
        <v>32</v>
      </c>
      <c r="H46" s="880">
        <f t="shared" si="20"/>
        <v>32</v>
      </c>
      <c r="I46" s="880">
        <f t="shared" si="20"/>
        <v>32</v>
      </c>
      <c r="J46" s="880">
        <f t="shared" si="20"/>
        <v>32</v>
      </c>
      <c r="K46" s="880">
        <f t="shared" si="20"/>
        <v>32</v>
      </c>
      <c r="L46" s="880">
        <f t="shared" si="20"/>
        <v>32</v>
      </c>
      <c r="M46" s="880">
        <f t="shared" si="20"/>
        <v>32</v>
      </c>
      <c r="N46" s="880">
        <f t="shared" si="20"/>
        <v>32</v>
      </c>
      <c r="O46" s="880">
        <f>SUM(O40:O45)</f>
        <v>32</v>
      </c>
      <c r="P46" s="880">
        <v>32</v>
      </c>
      <c r="Q46" s="880">
        <v>32</v>
      </c>
      <c r="R46" s="880">
        <v>32</v>
      </c>
      <c r="T46" s="1217">
        <f t="shared" si="6"/>
        <v>32</v>
      </c>
    </row>
    <row r="47" spans="1:20" ht="3" customHeight="1">
      <c r="T47" s="1217" t="e">
        <f t="shared" si="6"/>
        <v>#DIV/0!</v>
      </c>
    </row>
    <row r="48" spans="1:20" ht="15" thickBot="1">
      <c r="B48" s="880" t="s">
        <v>1930</v>
      </c>
      <c r="C48" s="1163"/>
      <c r="D48" s="1163"/>
      <c r="E48" s="1163"/>
      <c r="F48" s="1163"/>
      <c r="G48" s="1163"/>
      <c r="H48" s="1163"/>
      <c r="I48" s="1163"/>
      <c r="J48" s="1163"/>
      <c r="K48" s="1163"/>
      <c r="L48" s="1163"/>
      <c r="M48" s="1163"/>
      <c r="N48" s="1163"/>
      <c r="O48" s="1163"/>
      <c r="P48" s="1163"/>
      <c r="Q48" s="1163"/>
      <c r="R48" s="1163"/>
      <c r="T48" s="1217" t="e">
        <f t="shared" si="6"/>
        <v>#DIV/0!</v>
      </c>
    </row>
    <row r="49" spans="1:20" ht="15" thickBot="1">
      <c r="B49" s="1453" t="s">
        <v>2351</v>
      </c>
      <c r="C49" s="1217">
        <f t="shared" ref="C49:N49" si="21">C40/C$46</f>
        <v>0</v>
      </c>
      <c r="D49" s="1217">
        <f t="shared" si="21"/>
        <v>0</v>
      </c>
      <c r="E49" s="1217">
        <f t="shared" si="21"/>
        <v>0</v>
      </c>
      <c r="F49" s="1217">
        <f t="shared" si="21"/>
        <v>0</v>
      </c>
      <c r="G49" s="1217">
        <f t="shared" si="21"/>
        <v>0</v>
      </c>
      <c r="H49" s="1217">
        <f t="shared" si="21"/>
        <v>0</v>
      </c>
      <c r="I49" s="1217">
        <f t="shared" si="21"/>
        <v>0</v>
      </c>
      <c r="J49" s="1217">
        <f t="shared" si="21"/>
        <v>0</v>
      </c>
      <c r="K49" s="1217">
        <f t="shared" si="21"/>
        <v>0</v>
      </c>
      <c r="L49" s="1217">
        <f t="shared" si="21"/>
        <v>0</v>
      </c>
      <c r="M49" s="1217">
        <f t="shared" si="21"/>
        <v>0</v>
      </c>
      <c r="N49" s="1217">
        <f t="shared" si="21"/>
        <v>0</v>
      </c>
      <c r="O49" s="1217">
        <f>O40/O$46</f>
        <v>0</v>
      </c>
      <c r="P49" s="1217">
        <f>P40/P$46</f>
        <v>0</v>
      </c>
      <c r="Q49" s="1217">
        <v>0</v>
      </c>
      <c r="R49" s="1217">
        <v>0</v>
      </c>
      <c r="T49" s="1217">
        <f t="shared" si="6"/>
        <v>0</v>
      </c>
    </row>
    <row r="50" spans="1:20" ht="15" thickBot="1">
      <c r="B50" s="1451" t="s">
        <v>2350</v>
      </c>
      <c r="C50" s="1217">
        <f t="shared" ref="C50:M50" si="22">C41/C$46</f>
        <v>0.40625</v>
      </c>
      <c r="D50" s="1217">
        <f t="shared" si="22"/>
        <v>0.40625</v>
      </c>
      <c r="E50" s="1217">
        <f t="shared" si="22"/>
        <v>6.25E-2</v>
      </c>
      <c r="F50" s="1217">
        <f t="shared" si="22"/>
        <v>6.25E-2</v>
      </c>
      <c r="G50" s="1217">
        <f t="shared" si="22"/>
        <v>6.25E-2</v>
      </c>
      <c r="H50" s="1217">
        <f t="shared" si="22"/>
        <v>6.25E-2</v>
      </c>
      <c r="I50" s="1217">
        <f t="shared" si="22"/>
        <v>9.375E-2</v>
      </c>
      <c r="J50" s="1217">
        <f t="shared" si="22"/>
        <v>0.125</v>
      </c>
      <c r="K50" s="1217">
        <f t="shared" si="22"/>
        <v>0.15625</v>
      </c>
      <c r="L50" s="1217">
        <f t="shared" si="22"/>
        <v>0.15625</v>
      </c>
      <c r="M50" s="1217">
        <f t="shared" si="22"/>
        <v>0.125</v>
      </c>
      <c r="N50" s="1217">
        <f t="shared" ref="N50:O55" si="23">N41/N$46</f>
        <v>0.15625</v>
      </c>
      <c r="O50" s="1217">
        <f t="shared" si="23"/>
        <v>0</v>
      </c>
      <c r="P50" s="1217">
        <f t="shared" ref="P50:P55" si="24">P41/P$46</f>
        <v>0</v>
      </c>
      <c r="Q50" s="1217">
        <v>0</v>
      </c>
      <c r="R50" s="1217">
        <v>0</v>
      </c>
      <c r="T50" s="1217">
        <f t="shared" si="6"/>
        <v>0.1171875</v>
      </c>
    </row>
    <row r="51" spans="1:20" ht="15" thickBot="1">
      <c r="B51" s="1455" t="s">
        <v>2353</v>
      </c>
      <c r="C51" s="1217">
        <f t="shared" ref="C51:M51" si="25">C42/C$46</f>
        <v>3.125E-2</v>
      </c>
      <c r="D51" s="1217">
        <f t="shared" si="25"/>
        <v>3.125E-2</v>
      </c>
      <c r="E51" s="1217">
        <f t="shared" si="25"/>
        <v>0</v>
      </c>
      <c r="F51" s="1217">
        <f t="shared" si="25"/>
        <v>0</v>
      </c>
      <c r="G51" s="1217">
        <f t="shared" si="25"/>
        <v>0</v>
      </c>
      <c r="H51" s="1217">
        <f t="shared" si="25"/>
        <v>0</v>
      </c>
      <c r="I51" s="1217">
        <f t="shared" si="25"/>
        <v>0</v>
      </c>
      <c r="J51" s="1217">
        <f t="shared" si="25"/>
        <v>0</v>
      </c>
      <c r="K51" s="1217">
        <f t="shared" si="25"/>
        <v>0</v>
      </c>
      <c r="L51" s="1217">
        <f t="shared" si="25"/>
        <v>0</v>
      </c>
      <c r="M51" s="1217">
        <f t="shared" si="25"/>
        <v>0</v>
      </c>
      <c r="N51" s="1217">
        <f t="shared" si="23"/>
        <v>0</v>
      </c>
      <c r="O51" s="1217">
        <f t="shared" si="23"/>
        <v>0</v>
      </c>
      <c r="P51" s="1217">
        <f t="shared" si="24"/>
        <v>0</v>
      </c>
      <c r="Q51" s="1217">
        <v>0</v>
      </c>
      <c r="R51" s="1217">
        <v>0</v>
      </c>
      <c r="T51" s="1217">
        <f t="shared" si="6"/>
        <v>3.90625E-3</v>
      </c>
    </row>
    <row r="52" spans="1:20" ht="15" thickBot="1">
      <c r="B52" s="1513" t="s">
        <v>1923</v>
      </c>
      <c r="C52" s="1217">
        <f t="shared" ref="C52:M52" si="26">C43/C$46</f>
        <v>0.1875</v>
      </c>
      <c r="D52" s="1217">
        <f t="shared" si="26"/>
        <v>0.1875</v>
      </c>
      <c r="E52" s="1217">
        <f t="shared" si="26"/>
        <v>9.375E-2</v>
      </c>
      <c r="F52" s="1217">
        <f t="shared" si="26"/>
        <v>9.375E-2</v>
      </c>
      <c r="G52" s="1217">
        <f t="shared" si="26"/>
        <v>9.375E-2</v>
      </c>
      <c r="H52" s="1217">
        <f t="shared" si="26"/>
        <v>9.375E-2</v>
      </c>
      <c r="I52" s="1217">
        <f t="shared" si="26"/>
        <v>9.375E-2</v>
      </c>
      <c r="J52" s="1217">
        <f t="shared" si="26"/>
        <v>9.375E-2</v>
      </c>
      <c r="K52" s="1217">
        <f t="shared" si="26"/>
        <v>9.375E-2</v>
      </c>
      <c r="L52" s="1217">
        <f t="shared" si="26"/>
        <v>9.375E-2</v>
      </c>
      <c r="M52" s="1217">
        <f t="shared" si="26"/>
        <v>9.375E-2</v>
      </c>
      <c r="N52" s="1217">
        <f t="shared" si="23"/>
        <v>9.375E-2</v>
      </c>
      <c r="O52" s="1217">
        <f t="shared" si="23"/>
        <v>9.375E-2</v>
      </c>
      <c r="P52" s="1217">
        <f t="shared" si="24"/>
        <v>9.375E-2</v>
      </c>
      <c r="Q52" s="1217">
        <v>9.375E-2</v>
      </c>
      <c r="R52" s="1217">
        <v>9.375E-2</v>
      </c>
      <c r="T52" s="1217">
        <f t="shared" si="6"/>
        <v>0.10546875</v>
      </c>
    </row>
    <row r="53" spans="1:20" ht="15" thickBot="1">
      <c r="B53" s="1732" t="s">
        <v>101</v>
      </c>
      <c r="C53" s="1217">
        <f t="shared" ref="C53:M53" si="27">C44/C$46</f>
        <v>3.125E-2</v>
      </c>
      <c r="D53" s="1217">
        <f t="shared" si="27"/>
        <v>3.125E-2</v>
      </c>
      <c r="E53" s="1217">
        <f t="shared" si="27"/>
        <v>0</v>
      </c>
      <c r="F53" s="1217">
        <f t="shared" si="27"/>
        <v>0</v>
      </c>
      <c r="G53" s="1217">
        <f t="shared" si="27"/>
        <v>0</v>
      </c>
      <c r="H53" s="1217">
        <f t="shared" si="27"/>
        <v>0</v>
      </c>
      <c r="I53" s="1217">
        <f t="shared" si="27"/>
        <v>0</v>
      </c>
      <c r="J53" s="1217">
        <f t="shared" si="27"/>
        <v>6.25E-2</v>
      </c>
      <c r="K53" s="1217">
        <f t="shared" si="27"/>
        <v>6.25E-2</v>
      </c>
      <c r="L53" s="1217">
        <f t="shared" si="27"/>
        <v>6.25E-2</v>
      </c>
      <c r="M53" s="1217">
        <f t="shared" si="27"/>
        <v>6.25E-2</v>
      </c>
      <c r="N53" s="1217">
        <f t="shared" si="23"/>
        <v>6.25E-2</v>
      </c>
      <c r="O53" s="1217">
        <f t="shared" si="23"/>
        <v>0</v>
      </c>
      <c r="P53" s="1217">
        <f t="shared" si="24"/>
        <v>0</v>
      </c>
      <c r="Q53" s="1217">
        <v>0</v>
      </c>
      <c r="R53" s="1217">
        <v>0</v>
      </c>
      <c r="T53" s="1217">
        <f t="shared" si="6"/>
        <v>2.34375E-2</v>
      </c>
    </row>
    <row r="54" spans="1:20">
      <c r="B54" s="1040" t="s">
        <v>1924</v>
      </c>
      <c r="C54" s="1217">
        <f t="shared" ref="C54:M54" si="28">C45/C$46</f>
        <v>0.34375</v>
      </c>
      <c r="D54" s="1217">
        <f t="shared" si="28"/>
        <v>0.34375</v>
      </c>
      <c r="E54" s="1217">
        <f t="shared" si="28"/>
        <v>0.84375</v>
      </c>
      <c r="F54" s="1217">
        <f t="shared" si="28"/>
        <v>0.84375</v>
      </c>
      <c r="G54" s="1217">
        <f t="shared" si="28"/>
        <v>0.84375</v>
      </c>
      <c r="H54" s="1217">
        <f t="shared" si="28"/>
        <v>0.84375</v>
      </c>
      <c r="I54" s="1217">
        <f t="shared" si="28"/>
        <v>0.8125</v>
      </c>
      <c r="J54" s="1217">
        <f t="shared" si="28"/>
        <v>0.71875</v>
      </c>
      <c r="K54" s="1217">
        <f t="shared" si="28"/>
        <v>0.6875</v>
      </c>
      <c r="L54" s="1217">
        <f t="shared" si="28"/>
        <v>0.6875</v>
      </c>
      <c r="M54" s="1217">
        <f t="shared" si="28"/>
        <v>0.71875</v>
      </c>
      <c r="N54" s="1217">
        <f t="shared" si="23"/>
        <v>0.6875</v>
      </c>
      <c r="O54" s="1217">
        <f t="shared" si="23"/>
        <v>0.90625</v>
      </c>
      <c r="P54" s="1217">
        <f t="shared" si="24"/>
        <v>0.90625</v>
      </c>
      <c r="Q54" s="1217">
        <v>0.90625</v>
      </c>
      <c r="R54" s="1217">
        <v>0.90625</v>
      </c>
      <c r="T54" s="1217">
        <f t="shared" si="6"/>
        <v>0.75</v>
      </c>
    </row>
    <row r="55" spans="1:20" s="1631" customFormat="1">
      <c r="A55" s="1734"/>
      <c r="B55" s="1040" t="s">
        <v>267</v>
      </c>
      <c r="C55" s="1631">
        <f t="shared" ref="C55:M55" si="29">C46/C$46</f>
        <v>1</v>
      </c>
      <c r="D55" s="1631">
        <f t="shared" si="29"/>
        <v>1</v>
      </c>
      <c r="E55" s="1631">
        <f t="shared" si="29"/>
        <v>1</v>
      </c>
      <c r="F55" s="1631">
        <f t="shared" si="29"/>
        <v>1</v>
      </c>
      <c r="G55" s="1631">
        <f t="shared" si="29"/>
        <v>1</v>
      </c>
      <c r="H55" s="1631">
        <f t="shared" si="29"/>
        <v>1</v>
      </c>
      <c r="I55" s="1631">
        <f t="shared" si="29"/>
        <v>1</v>
      </c>
      <c r="J55" s="1631">
        <f t="shared" si="29"/>
        <v>1</v>
      </c>
      <c r="K55" s="1631">
        <f t="shared" si="29"/>
        <v>1</v>
      </c>
      <c r="L55" s="1631">
        <f t="shared" si="29"/>
        <v>1</v>
      </c>
      <c r="M55" s="1631">
        <f t="shared" si="29"/>
        <v>1</v>
      </c>
      <c r="N55" s="1631">
        <f t="shared" si="23"/>
        <v>1</v>
      </c>
      <c r="O55" s="1631">
        <f t="shared" si="23"/>
        <v>1</v>
      </c>
      <c r="P55" s="1631">
        <f t="shared" si="24"/>
        <v>1</v>
      </c>
      <c r="Q55" s="1631">
        <v>1</v>
      </c>
      <c r="R55" s="1631">
        <v>1</v>
      </c>
      <c r="T55" s="1217">
        <f t="shared" si="6"/>
        <v>1</v>
      </c>
    </row>
    <row r="56" spans="1:20" ht="3.75" customHeight="1">
      <c r="B56" s="871"/>
      <c r="C56" s="871"/>
      <c r="D56" s="871"/>
      <c r="E56" s="871"/>
      <c r="F56" s="871"/>
      <c r="G56" s="871"/>
      <c r="H56" s="871"/>
      <c r="I56" s="871"/>
      <c r="J56" s="871"/>
      <c r="K56" s="871"/>
      <c r="L56" s="871"/>
      <c r="M56" s="871"/>
      <c r="N56" s="871"/>
      <c r="O56" s="871"/>
      <c r="P56" s="871"/>
      <c r="Q56" s="871"/>
      <c r="R56" s="871"/>
      <c r="T56" s="1217" t="e">
        <f t="shared" si="6"/>
        <v>#DIV/0!</v>
      </c>
    </row>
    <row r="57" spans="1:20">
      <c r="B57" s="850" t="s">
        <v>2860</v>
      </c>
      <c r="T57" s="1217" t="e">
        <f>AVERAGE(C57:N57)</f>
        <v>#DIV/0!</v>
      </c>
    </row>
    <row r="58" spans="1:20">
      <c r="B58" s="850" t="s">
        <v>2859</v>
      </c>
    </row>
    <row r="59" spans="1:20">
      <c r="B59" s="850" t="s">
        <v>2858</v>
      </c>
    </row>
  </sheetData>
  <pageMargins left="0.7" right="0.7" top="0.75" bottom="0.75" header="0.3" footer="0.3"/>
  <pageSetup paperSize="9"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102">
    <tabColor theme="0"/>
  </sheetPr>
  <dimension ref="B1:R57"/>
  <sheetViews>
    <sheetView showGridLines="0" zoomScale="70" zoomScaleNormal="70" workbookViewId="0">
      <selection activeCell="S58" sqref="S58:AC69"/>
    </sheetView>
  </sheetViews>
  <sheetFormatPr baseColWidth="10" defaultColWidth="9.3984375" defaultRowHeight="13"/>
  <cols>
    <col min="1" max="1" width="9.3984375" style="113"/>
    <col min="2" max="2" width="11" style="113" customWidth="1"/>
    <col min="3" max="14" width="8.796875" style="113" customWidth="1"/>
    <col min="15" max="15" width="9.3984375" style="113" customWidth="1"/>
    <col min="16" max="16" width="8.796875" style="113" customWidth="1"/>
    <col min="17" max="16384" width="9.3984375" style="113"/>
  </cols>
  <sheetData>
    <row r="1" spans="2:18">
      <c r="B1" s="490" t="s">
        <v>1965</v>
      </c>
      <c r="C1" s="153"/>
      <c r="D1" s="153"/>
      <c r="E1" s="153"/>
      <c r="F1" s="153"/>
      <c r="G1" s="153"/>
      <c r="H1" s="153"/>
      <c r="I1" s="153"/>
      <c r="J1" s="153"/>
      <c r="K1" s="153"/>
      <c r="L1" s="153"/>
      <c r="M1" s="153"/>
      <c r="N1" s="153"/>
      <c r="P1" s="153"/>
    </row>
    <row r="2" spans="2:18" ht="3" customHeight="1" thickBot="1">
      <c r="B2" s="665"/>
      <c r="C2" s="665"/>
      <c r="D2" s="665"/>
      <c r="E2" s="665"/>
      <c r="F2" s="665"/>
      <c r="G2" s="665"/>
      <c r="H2" s="665"/>
      <c r="I2" s="665"/>
      <c r="J2" s="665"/>
      <c r="K2" s="665"/>
      <c r="L2" s="665"/>
      <c r="M2" s="665"/>
      <c r="N2" s="665"/>
      <c r="P2" s="665"/>
    </row>
    <row r="3" spans="2:18" ht="3" customHeight="1">
      <c r="B3" s="153"/>
      <c r="C3" s="153"/>
      <c r="D3" s="153"/>
      <c r="E3" s="153"/>
      <c r="F3" s="153"/>
      <c r="G3" s="153"/>
      <c r="H3" s="153"/>
      <c r="I3" s="153"/>
      <c r="J3" s="153"/>
      <c r="K3" s="153"/>
      <c r="L3" s="153"/>
      <c r="M3" s="153"/>
      <c r="N3" s="153"/>
      <c r="P3" s="153"/>
    </row>
    <row r="4" spans="2:18">
      <c r="C4" s="186">
        <v>2005</v>
      </c>
      <c r="D4" s="186">
        <v>2006</v>
      </c>
      <c r="E4" s="186">
        <v>2007</v>
      </c>
      <c r="F4" s="186">
        <v>2008</v>
      </c>
      <c r="G4" s="186">
        <v>2009</v>
      </c>
      <c r="H4" s="186">
        <v>2010</v>
      </c>
      <c r="I4" s="186">
        <v>2011</v>
      </c>
      <c r="J4" s="186">
        <v>2012</v>
      </c>
      <c r="K4" s="186">
        <v>2013</v>
      </c>
      <c r="L4" s="186">
        <v>2014</v>
      </c>
      <c r="M4" s="186">
        <v>2015</v>
      </c>
      <c r="N4" s="186">
        <v>2016</v>
      </c>
      <c r="P4" s="186">
        <v>2018</v>
      </c>
    </row>
    <row r="5" spans="2:18" ht="15" customHeight="1">
      <c r="B5" s="153"/>
      <c r="C5" s="184"/>
      <c r="D5" s="184"/>
      <c r="E5" s="184"/>
      <c r="F5" s="184"/>
      <c r="G5" s="184"/>
      <c r="H5" s="184"/>
      <c r="I5" s="184"/>
      <c r="J5" s="184"/>
      <c r="K5" s="184"/>
      <c r="L5" s="184"/>
      <c r="M5" s="184"/>
      <c r="N5" s="184"/>
      <c r="O5" s="153"/>
      <c r="P5" s="187"/>
    </row>
    <row r="6" spans="2:18" ht="15" customHeight="1">
      <c r="B6" s="490" t="s">
        <v>1925</v>
      </c>
      <c r="C6" s="184"/>
      <c r="D6" s="184"/>
      <c r="E6" s="184"/>
      <c r="F6" s="184"/>
      <c r="G6" s="184"/>
      <c r="H6" s="184"/>
      <c r="I6" s="184"/>
      <c r="J6" s="184"/>
      <c r="K6" s="184"/>
      <c r="L6" s="184"/>
      <c r="M6" s="184"/>
      <c r="N6" s="184"/>
      <c r="O6" s="153"/>
      <c r="P6" s="186"/>
    </row>
    <row r="7" spans="2:18" ht="14" thickBot="1">
      <c r="C7" s="186">
        <v>2005</v>
      </c>
      <c r="D7" s="186">
        <v>2006</v>
      </c>
      <c r="E7" s="186">
        <v>2007</v>
      </c>
      <c r="F7" s="186">
        <v>2008</v>
      </c>
      <c r="G7" s="186">
        <v>2009</v>
      </c>
      <c r="H7" s="186">
        <v>2010</v>
      </c>
      <c r="I7" s="186">
        <v>2011</v>
      </c>
      <c r="J7" s="186">
        <v>2012</v>
      </c>
      <c r="K7" s="186">
        <v>2013</v>
      </c>
      <c r="L7" s="186">
        <v>2014</v>
      </c>
      <c r="M7" s="186">
        <v>2015</v>
      </c>
      <c r="N7" s="186">
        <v>2016</v>
      </c>
      <c r="O7" s="186">
        <v>2017</v>
      </c>
      <c r="P7" s="186">
        <v>2018</v>
      </c>
      <c r="Q7" s="186">
        <v>2019</v>
      </c>
      <c r="R7" s="186">
        <v>2021</v>
      </c>
    </row>
    <row r="8" spans="2:18" ht="15" thickTop="1" thickBot="1">
      <c r="B8" s="668" t="s">
        <v>698</v>
      </c>
      <c r="C8" s="113">
        <v>155</v>
      </c>
      <c r="D8" s="113">
        <v>168</v>
      </c>
      <c r="E8" s="113">
        <v>204</v>
      </c>
      <c r="F8" s="113">
        <v>213</v>
      </c>
      <c r="G8" s="113">
        <v>207</v>
      </c>
      <c r="H8" s="113">
        <v>199</v>
      </c>
      <c r="I8" s="113">
        <v>199</v>
      </c>
      <c r="J8" s="113">
        <v>190</v>
      </c>
      <c r="K8" s="113">
        <v>180</v>
      </c>
      <c r="L8" s="113">
        <v>164</v>
      </c>
      <c r="M8" s="113">
        <v>192</v>
      </c>
      <c r="N8" s="113">
        <v>191</v>
      </c>
      <c r="O8" s="113">
        <v>200</v>
      </c>
      <c r="P8" s="113">
        <v>198</v>
      </c>
      <c r="Q8" s="113">
        <v>143</v>
      </c>
      <c r="R8" s="113">
        <v>139</v>
      </c>
    </row>
    <row r="9" spans="2:18" ht="15" thickTop="1" thickBot="1">
      <c r="B9" s="669" t="s">
        <v>699</v>
      </c>
      <c r="C9" s="113">
        <v>71</v>
      </c>
      <c r="D9" s="113">
        <v>54</v>
      </c>
      <c r="E9" s="113">
        <v>48</v>
      </c>
      <c r="F9" s="113">
        <v>44</v>
      </c>
      <c r="G9" s="113">
        <v>33</v>
      </c>
      <c r="H9" s="113">
        <v>50</v>
      </c>
      <c r="I9" s="113">
        <v>77</v>
      </c>
      <c r="J9" s="113">
        <v>100</v>
      </c>
      <c r="K9" s="113">
        <v>103</v>
      </c>
      <c r="L9" s="113">
        <v>106</v>
      </c>
      <c r="M9" s="113">
        <v>100</v>
      </c>
      <c r="N9" s="113">
        <v>100</v>
      </c>
      <c r="O9" s="113">
        <v>99</v>
      </c>
      <c r="P9" s="113">
        <v>98</v>
      </c>
      <c r="Q9" s="113">
        <v>91</v>
      </c>
      <c r="R9" s="113">
        <v>77</v>
      </c>
    </row>
    <row r="10" spans="2:18" ht="15" thickTop="1" thickBot="1">
      <c r="B10" s="756" t="s">
        <v>827</v>
      </c>
      <c r="C10" s="113">
        <v>31</v>
      </c>
      <c r="D10" s="113">
        <v>32</v>
      </c>
      <c r="E10" s="113">
        <v>29</v>
      </c>
      <c r="F10" s="113">
        <v>29</v>
      </c>
      <c r="G10" s="113">
        <v>26</v>
      </c>
      <c r="H10" s="113">
        <v>25</v>
      </c>
      <c r="I10" s="113">
        <v>14</v>
      </c>
      <c r="J10" s="113">
        <v>12</v>
      </c>
      <c r="K10" s="113">
        <v>12</v>
      </c>
      <c r="L10" s="113">
        <v>10</v>
      </c>
      <c r="M10" s="113">
        <v>6</v>
      </c>
      <c r="N10" s="113">
        <v>7</v>
      </c>
      <c r="O10" s="113">
        <v>8</v>
      </c>
      <c r="P10" s="113">
        <v>11</v>
      </c>
      <c r="Q10" s="113">
        <v>23</v>
      </c>
      <c r="R10" s="113">
        <v>22</v>
      </c>
    </row>
    <row r="11" spans="2:18" ht="15" thickTop="1" thickBot="1">
      <c r="B11" s="757" t="s">
        <v>1923</v>
      </c>
      <c r="C11" s="113">
        <v>7</v>
      </c>
      <c r="D11" s="113">
        <v>5</v>
      </c>
      <c r="E11" s="113">
        <v>5</v>
      </c>
      <c r="F11" s="113">
        <v>5</v>
      </c>
      <c r="G11" s="113">
        <v>4</v>
      </c>
      <c r="H11" s="113">
        <v>4</v>
      </c>
      <c r="I11" s="113">
        <v>1</v>
      </c>
      <c r="J11" s="113">
        <v>1</v>
      </c>
      <c r="K11" s="113">
        <v>1</v>
      </c>
      <c r="L11" s="113">
        <v>1</v>
      </c>
      <c r="M11" s="113">
        <v>2</v>
      </c>
      <c r="N11" s="113">
        <v>1</v>
      </c>
      <c r="O11" s="113">
        <v>2</v>
      </c>
      <c r="P11" s="113">
        <v>1</v>
      </c>
      <c r="Q11" s="113">
        <v>5</v>
      </c>
      <c r="R11" s="113">
        <v>5</v>
      </c>
    </row>
    <row r="12" spans="2:18" ht="15" thickTop="1" thickBot="1">
      <c r="B12" s="760" t="s">
        <v>1924</v>
      </c>
      <c r="C12" s="113">
        <v>122</v>
      </c>
      <c r="D12" s="113">
        <v>127</v>
      </c>
      <c r="E12" s="113">
        <v>100</v>
      </c>
      <c r="F12" s="113">
        <v>95</v>
      </c>
      <c r="G12" s="113">
        <v>81</v>
      </c>
      <c r="H12" s="113">
        <v>73</v>
      </c>
      <c r="I12" s="113">
        <v>60</v>
      </c>
      <c r="J12" s="113">
        <v>48</v>
      </c>
      <c r="K12" s="113">
        <v>55</v>
      </c>
      <c r="L12" s="113">
        <v>70</v>
      </c>
      <c r="M12" s="113">
        <v>51</v>
      </c>
      <c r="N12" s="178">
        <v>52</v>
      </c>
      <c r="O12" s="113">
        <v>42</v>
      </c>
      <c r="P12" s="113">
        <v>43</v>
      </c>
      <c r="Q12" s="113">
        <v>79</v>
      </c>
      <c r="R12" s="113">
        <v>88</v>
      </c>
    </row>
    <row r="13" spans="2:18" s="178" customFormat="1" ht="14" thickTop="1">
      <c r="B13" s="758" t="s">
        <v>267</v>
      </c>
      <c r="C13" s="178">
        <f>SUM(C8:C12)</f>
        <v>386</v>
      </c>
      <c r="D13" s="178">
        <f t="shared" ref="D13:O13" si="0">SUM(D8:D12)</f>
        <v>386</v>
      </c>
      <c r="E13" s="178">
        <f t="shared" si="0"/>
        <v>386</v>
      </c>
      <c r="F13" s="178">
        <f t="shared" si="0"/>
        <v>386</v>
      </c>
      <c r="G13" s="178">
        <f t="shared" si="0"/>
        <v>351</v>
      </c>
      <c r="H13" s="178">
        <f t="shared" si="0"/>
        <v>351</v>
      </c>
      <c r="I13" s="178">
        <f t="shared" si="0"/>
        <v>351</v>
      </c>
      <c r="J13" s="178">
        <f t="shared" si="0"/>
        <v>351</v>
      </c>
      <c r="K13" s="178">
        <f t="shared" si="0"/>
        <v>351</v>
      </c>
      <c r="L13" s="178">
        <f t="shared" si="0"/>
        <v>351</v>
      </c>
      <c r="M13" s="178">
        <f t="shared" si="0"/>
        <v>351</v>
      </c>
      <c r="N13" s="178">
        <f t="shared" si="0"/>
        <v>351</v>
      </c>
      <c r="O13" s="178">
        <f t="shared" si="0"/>
        <v>351</v>
      </c>
      <c r="P13" s="178">
        <v>351</v>
      </c>
      <c r="Q13" s="178">
        <v>341</v>
      </c>
      <c r="R13" s="178">
        <v>331</v>
      </c>
    </row>
    <row r="14" spans="2:18" ht="5.5" customHeight="1">
      <c r="P14" s="186"/>
    </row>
    <row r="15" spans="2:18" ht="14.25" customHeight="1">
      <c r="B15" s="178" t="s">
        <v>1926</v>
      </c>
      <c r="P15" s="150"/>
    </row>
    <row r="16" spans="2:18" ht="14" thickBot="1">
      <c r="C16" s="186">
        <v>2005</v>
      </c>
      <c r="D16" s="186">
        <v>2006</v>
      </c>
      <c r="E16" s="186">
        <v>2007</v>
      </c>
      <c r="F16" s="186">
        <v>2008</v>
      </c>
      <c r="G16" s="186">
        <v>2009</v>
      </c>
      <c r="H16" s="186">
        <v>2010</v>
      </c>
      <c r="I16" s="186">
        <v>2011</v>
      </c>
      <c r="J16" s="186">
        <v>2012</v>
      </c>
      <c r="K16" s="186">
        <v>2013</v>
      </c>
      <c r="L16" s="186">
        <v>2014</v>
      </c>
      <c r="M16" s="186">
        <v>2015</v>
      </c>
      <c r="N16" s="186">
        <v>2016</v>
      </c>
      <c r="O16" s="186">
        <v>2017</v>
      </c>
      <c r="P16" s="186">
        <v>2018</v>
      </c>
      <c r="Q16" s="186">
        <v>2019</v>
      </c>
      <c r="R16" s="186">
        <v>2021</v>
      </c>
    </row>
    <row r="17" spans="2:18" ht="15" thickTop="1" thickBot="1">
      <c r="B17" s="668" t="s">
        <v>698</v>
      </c>
      <c r="C17" s="113">
        <v>1</v>
      </c>
      <c r="D17" s="113">
        <v>1</v>
      </c>
      <c r="E17" s="113">
        <v>1</v>
      </c>
      <c r="F17" s="113">
        <v>2</v>
      </c>
      <c r="G17" s="113">
        <v>2</v>
      </c>
      <c r="H17" s="113">
        <v>2</v>
      </c>
      <c r="I17" s="113">
        <v>2</v>
      </c>
      <c r="J17" s="113">
        <v>0</v>
      </c>
      <c r="K17" s="113">
        <v>0</v>
      </c>
      <c r="L17" s="113">
        <v>0</v>
      </c>
      <c r="M17" s="113">
        <v>0</v>
      </c>
      <c r="N17" s="113">
        <f>'26 Councilors per party '!N22</f>
        <v>0</v>
      </c>
      <c r="O17" s="113">
        <v>1</v>
      </c>
      <c r="P17" s="113">
        <v>1</v>
      </c>
      <c r="Q17" s="113">
        <v>1</v>
      </c>
      <c r="R17" s="113">
        <v>1</v>
      </c>
    </row>
    <row r="18" spans="2:18" ht="15" thickTop="1" thickBot="1">
      <c r="B18" s="669" t="s">
        <v>699</v>
      </c>
      <c r="C18" s="113">
        <v>8</v>
      </c>
      <c r="D18" s="113">
        <v>8</v>
      </c>
      <c r="E18" s="113">
        <v>8</v>
      </c>
      <c r="F18" s="113">
        <v>2</v>
      </c>
      <c r="G18" s="113">
        <v>2</v>
      </c>
      <c r="H18" s="113">
        <v>2</v>
      </c>
      <c r="I18" s="113">
        <v>2</v>
      </c>
      <c r="J18" s="113">
        <v>10</v>
      </c>
      <c r="K18" s="113">
        <v>10</v>
      </c>
      <c r="L18" s="113">
        <v>10</v>
      </c>
      <c r="M18" s="113">
        <v>10</v>
      </c>
      <c r="N18" s="113">
        <f>'26 Councilors per party '!N23</f>
        <v>10</v>
      </c>
      <c r="O18" s="113">
        <v>7</v>
      </c>
      <c r="P18" s="113">
        <v>7</v>
      </c>
      <c r="Q18" s="113">
        <v>7</v>
      </c>
      <c r="R18" s="113">
        <v>7</v>
      </c>
    </row>
    <row r="19" spans="2:18" ht="15" thickTop="1" thickBot="1">
      <c r="B19" s="756" t="s">
        <v>827</v>
      </c>
      <c r="C19" s="113">
        <v>0</v>
      </c>
      <c r="D19" s="113">
        <v>0</v>
      </c>
      <c r="E19" s="113">
        <v>0</v>
      </c>
      <c r="F19" s="113">
        <v>0</v>
      </c>
      <c r="G19" s="113">
        <v>0</v>
      </c>
      <c r="H19" s="113">
        <v>0</v>
      </c>
      <c r="I19" s="113">
        <v>0</v>
      </c>
      <c r="J19" s="113">
        <v>0</v>
      </c>
      <c r="K19" s="113">
        <v>0</v>
      </c>
      <c r="L19" s="113">
        <v>0</v>
      </c>
      <c r="M19" s="113">
        <v>0</v>
      </c>
      <c r="N19" s="113">
        <f>'26 Councilors per party '!N24</f>
        <v>0</v>
      </c>
      <c r="O19" s="113">
        <v>0</v>
      </c>
      <c r="P19" s="113">
        <v>0</v>
      </c>
      <c r="Q19" s="113">
        <v>0</v>
      </c>
      <c r="R19" s="113">
        <v>0</v>
      </c>
    </row>
    <row r="20" spans="2:18" ht="15" thickTop="1" thickBot="1">
      <c r="B20" s="757" t="s">
        <v>1923</v>
      </c>
      <c r="C20" s="113">
        <v>3</v>
      </c>
      <c r="D20" s="113">
        <v>3</v>
      </c>
      <c r="E20" s="113">
        <v>3</v>
      </c>
      <c r="F20" s="113">
        <v>5</v>
      </c>
      <c r="G20" s="113">
        <v>5</v>
      </c>
      <c r="H20" s="113">
        <v>5</v>
      </c>
      <c r="I20" s="113">
        <v>5</v>
      </c>
      <c r="J20" s="113">
        <v>3</v>
      </c>
      <c r="K20" s="113">
        <v>2</v>
      </c>
      <c r="L20" s="113">
        <v>2</v>
      </c>
      <c r="M20" s="113">
        <v>2</v>
      </c>
      <c r="N20" s="113">
        <f>'26 Councilors per party '!N25</f>
        <v>2</v>
      </c>
      <c r="O20" s="113">
        <v>3</v>
      </c>
      <c r="P20" s="113">
        <v>3</v>
      </c>
      <c r="Q20" s="113">
        <v>3</v>
      </c>
      <c r="R20" s="113">
        <v>3</v>
      </c>
    </row>
    <row r="21" spans="2:18" ht="15" thickTop="1" thickBot="1">
      <c r="B21" s="761" t="s">
        <v>99</v>
      </c>
      <c r="C21" s="113">
        <v>1</v>
      </c>
      <c r="D21" s="113">
        <v>1</v>
      </c>
      <c r="E21" s="113">
        <v>1</v>
      </c>
      <c r="F21" s="113">
        <v>0</v>
      </c>
      <c r="G21" s="113">
        <v>0</v>
      </c>
      <c r="H21" s="113">
        <v>0</v>
      </c>
      <c r="I21" s="113">
        <v>0</v>
      </c>
      <c r="J21" s="113">
        <v>0</v>
      </c>
      <c r="K21" s="113">
        <v>0</v>
      </c>
      <c r="L21" s="113">
        <v>0</v>
      </c>
      <c r="M21" s="113">
        <v>0</v>
      </c>
      <c r="N21" s="113">
        <f>'26 Councilors per party '!N26</f>
        <v>1</v>
      </c>
      <c r="O21" s="113">
        <v>1</v>
      </c>
      <c r="P21" s="113">
        <v>1</v>
      </c>
      <c r="Q21" s="113">
        <v>1</v>
      </c>
      <c r="R21" s="113">
        <v>1</v>
      </c>
    </row>
    <row r="22" spans="2:18" ht="15" thickTop="1" thickBot="1">
      <c r="B22" s="760" t="s">
        <v>1924</v>
      </c>
      <c r="C22" s="113">
        <v>9</v>
      </c>
      <c r="D22" s="113">
        <v>9</v>
      </c>
      <c r="E22" s="113">
        <v>9</v>
      </c>
      <c r="F22" s="113">
        <v>13</v>
      </c>
      <c r="G22" s="113">
        <v>13</v>
      </c>
      <c r="H22" s="113">
        <v>13</v>
      </c>
      <c r="I22" s="113">
        <v>13</v>
      </c>
      <c r="J22" s="113">
        <v>9</v>
      </c>
      <c r="K22" s="113">
        <v>10</v>
      </c>
      <c r="L22" s="113">
        <v>10</v>
      </c>
      <c r="M22" s="113">
        <v>10</v>
      </c>
      <c r="N22" s="113">
        <f>'26 Councilors per party '!N27</f>
        <v>9</v>
      </c>
      <c r="O22" s="113">
        <v>10</v>
      </c>
      <c r="P22" s="113">
        <v>10</v>
      </c>
      <c r="Q22" s="113">
        <v>10</v>
      </c>
      <c r="R22" s="113">
        <v>10</v>
      </c>
    </row>
    <row r="23" spans="2:18" ht="14" thickTop="1">
      <c r="B23" s="758" t="s">
        <v>267</v>
      </c>
      <c r="C23" s="178">
        <v>22</v>
      </c>
      <c r="D23" s="178">
        <v>22</v>
      </c>
      <c r="E23" s="178">
        <v>22</v>
      </c>
      <c r="F23" s="178">
        <v>22</v>
      </c>
      <c r="G23" s="178">
        <v>22</v>
      </c>
      <c r="H23" s="178">
        <v>22</v>
      </c>
      <c r="I23" s="178">
        <v>22</v>
      </c>
      <c r="J23" s="178">
        <v>22</v>
      </c>
      <c r="K23" s="178">
        <v>22</v>
      </c>
      <c r="L23" s="178">
        <v>22</v>
      </c>
      <c r="M23" s="178">
        <v>22</v>
      </c>
      <c r="N23" s="113">
        <f>'26 Councilors per party '!N28</f>
        <v>22</v>
      </c>
      <c r="O23" s="178">
        <f>SUM(O17:O22)</f>
        <v>22</v>
      </c>
      <c r="P23" s="178">
        <v>22</v>
      </c>
      <c r="Q23" s="113">
        <v>22</v>
      </c>
      <c r="R23" s="113">
        <v>22</v>
      </c>
    </row>
    <row r="24" spans="2:18" ht="5.5" customHeight="1"/>
    <row r="25" spans="2:18" ht="12.75" customHeight="1">
      <c r="B25" s="178" t="s">
        <v>1929</v>
      </c>
      <c r="C25" s="150"/>
      <c r="D25" s="150"/>
      <c r="E25" s="150"/>
      <c r="F25" s="150"/>
      <c r="G25" s="150"/>
      <c r="H25" s="150"/>
      <c r="I25" s="150"/>
      <c r="J25" s="150"/>
      <c r="K25" s="150"/>
      <c r="L25" s="150"/>
      <c r="M25" s="150"/>
      <c r="N25" s="150"/>
    </row>
    <row r="26" spans="2:18" ht="14" thickBot="1">
      <c r="C26" s="186">
        <v>2005</v>
      </c>
      <c r="D26" s="186">
        <v>2006</v>
      </c>
      <c r="E26" s="186">
        <v>2007</v>
      </c>
      <c r="F26" s="186">
        <v>2008</v>
      </c>
      <c r="G26" s="186">
        <v>2009</v>
      </c>
      <c r="H26" s="186">
        <v>2010</v>
      </c>
      <c r="I26" s="186">
        <v>2011</v>
      </c>
      <c r="J26" s="186">
        <v>2012</v>
      </c>
      <c r="K26" s="186">
        <v>2013</v>
      </c>
      <c r="L26" s="186">
        <v>2014</v>
      </c>
      <c r="M26" s="186">
        <v>2015</v>
      </c>
      <c r="N26" s="186">
        <v>2016</v>
      </c>
      <c r="O26" s="186">
        <v>2017</v>
      </c>
      <c r="P26" s="186">
        <v>2018</v>
      </c>
      <c r="Q26" s="186">
        <v>2019</v>
      </c>
      <c r="R26" s="186">
        <v>2021</v>
      </c>
    </row>
    <row r="27" spans="2:18" ht="15" thickTop="1" thickBot="1">
      <c r="B27" s="668" t="s">
        <v>698</v>
      </c>
      <c r="C27" s="548">
        <v>0</v>
      </c>
      <c r="D27" s="548">
        <v>0</v>
      </c>
      <c r="E27" s="548">
        <v>0</v>
      </c>
      <c r="F27" s="548">
        <v>0</v>
      </c>
      <c r="G27" s="548">
        <v>0</v>
      </c>
      <c r="H27" s="548">
        <v>0</v>
      </c>
      <c r="I27" s="548">
        <v>0</v>
      </c>
      <c r="J27" s="548">
        <v>0</v>
      </c>
      <c r="K27" s="548">
        <v>0</v>
      </c>
      <c r="L27" s="548">
        <v>0</v>
      </c>
      <c r="M27" s="548">
        <v>0</v>
      </c>
      <c r="N27" s="113">
        <f>'26 Councilors per party '!N40</f>
        <v>0</v>
      </c>
      <c r="O27" s="113">
        <v>0</v>
      </c>
      <c r="P27" s="113">
        <v>0</v>
      </c>
      <c r="Q27" s="113">
        <v>0</v>
      </c>
      <c r="R27" s="113">
        <v>0</v>
      </c>
    </row>
    <row r="28" spans="2:18" ht="15" thickTop="1" thickBot="1">
      <c r="B28" s="669" t="s">
        <v>699</v>
      </c>
      <c r="C28" s="548">
        <v>13</v>
      </c>
      <c r="D28" s="548">
        <v>13</v>
      </c>
      <c r="E28" s="548">
        <v>2</v>
      </c>
      <c r="F28" s="548">
        <v>2</v>
      </c>
      <c r="G28" s="548">
        <v>2</v>
      </c>
      <c r="H28" s="548">
        <v>2</v>
      </c>
      <c r="I28" s="548">
        <v>3</v>
      </c>
      <c r="J28" s="548">
        <v>4</v>
      </c>
      <c r="K28" s="548">
        <v>5</v>
      </c>
      <c r="L28" s="548">
        <v>5</v>
      </c>
      <c r="M28" s="548">
        <v>4</v>
      </c>
      <c r="N28" s="113">
        <f>'26 Councilors per party '!N41</f>
        <v>5</v>
      </c>
      <c r="O28" s="113">
        <v>0</v>
      </c>
      <c r="P28" s="113">
        <v>0</v>
      </c>
      <c r="Q28" s="113">
        <v>0</v>
      </c>
      <c r="R28" s="113">
        <v>0</v>
      </c>
    </row>
    <row r="29" spans="2:18" ht="15" thickTop="1" thickBot="1">
      <c r="B29" s="756" t="s">
        <v>827</v>
      </c>
      <c r="C29" s="548">
        <v>1</v>
      </c>
      <c r="D29" s="548">
        <v>1</v>
      </c>
      <c r="E29" s="548">
        <v>0</v>
      </c>
      <c r="F29" s="548">
        <v>0</v>
      </c>
      <c r="G29" s="548">
        <v>0</v>
      </c>
      <c r="H29" s="548">
        <v>0</v>
      </c>
      <c r="I29" s="548">
        <v>0</v>
      </c>
      <c r="J29" s="548">
        <v>0</v>
      </c>
      <c r="K29" s="548">
        <v>0</v>
      </c>
      <c r="L29" s="548">
        <v>0</v>
      </c>
      <c r="M29" s="548">
        <v>0</v>
      </c>
      <c r="N29" s="113">
        <f>'26 Councilors per party '!N42</f>
        <v>0</v>
      </c>
      <c r="O29" s="113">
        <v>0</v>
      </c>
      <c r="P29" s="113">
        <v>0</v>
      </c>
      <c r="Q29" s="113">
        <v>0</v>
      </c>
      <c r="R29" s="113">
        <v>0</v>
      </c>
    </row>
    <row r="30" spans="2:18" ht="15" thickTop="1" thickBot="1">
      <c r="B30" s="757" t="s">
        <v>1923</v>
      </c>
      <c r="C30" s="548">
        <v>6</v>
      </c>
      <c r="D30" s="548">
        <v>6</v>
      </c>
      <c r="E30" s="548">
        <v>3</v>
      </c>
      <c r="F30" s="548">
        <v>3</v>
      </c>
      <c r="G30" s="548">
        <v>3</v>
      </c>
      <c r="H30" s="548">
        <v>3</v>
      </c>
      <c r="I30" s="548">
        <v>3</v>
      </c>
      <c r="J30" s="548">
        <v>3</v>
      </c>
      <c r="K30" s="548">
        <v>3</v>
      </c>
      <c r="L30" s="548">
        <v>3</v>
      </c>
      <c r="M30" s="548">
        <v>3</v>
      </c>
      <c r="N30" s="113">
        <f>'26 Councilors per party '!N43</f>
        <v>3</v>
      </c>
      <c r="O30" s="113">
        <v>3</v>
      </c>
      <c r="P30" s="113">
        <v>3</v>
      </c>
      <c r="Q30" s="113">
        <v>3</v>
      </c>
      <c r="R30" s="113">
        <v>3</v>
      </c>
    </row>
    <row r="31" spans="2:18" ht="15" thickTop="1" thickBot="1">
      <c r="B31" s="762" t="s">
        <v>101</v>
      </c>
      <c r="C31" s="548">
        <v>1</v>
      </c>
      <c r="D31" s="548">
        <v>1</v>
      </c>
      <c r="E31" s="548">
        <v>0</v>
      </c>
      <c r="F31" s="548">
        <v>0</v>
      </c>
      <c r="G31" s="548">
        <v>0</v>
      </c>
      <c r="H31" s="548">
        <v>0</v>
      </c>
      <c r="I31" s="548">
        <v>0</v>
      </c>
      <c r="J31" s="548">
        <v>2</v>
      </c>
      <c r="K31" s="548">
        <v>2</v>
      </c>
      <c r="L31" s="548">
        <v>2</v>
      </c>
      <c r="M31" s="548">
        <v>2</v>
      </c>
      <c r="N31" s="113">
        <f>'26 Councilors per party '!N44</f>
        <v>2</v>
      </c>
      <c r="O31" s="113">
        <v>0</v>
      </c>
      <c r="P31" s="113">
        <v>0</v>
      </c>
      <c r="Q31" s="113">
        <v>0</v>
      </c>
      <c r="R31" s="113">
        <v>0</v>
      </c>
    </row>
    <row r="32" spans="2:18" ht="15" thickTop="1" thickBot="1">
      <c r="B32" s="760" t="s">
        <v>1924</v>
      </c>
      <c r="C32" s="548">
        <v>11</v>
      </c>
      <c r="D32" s="548">
        <v>11</v>
      </c>
      <c r="E32" s="548">
        <v>27</v>
      </c>
      <c r="F32" s="548">
        <v>27</v>
      </c>
      <c r="G32" s="548">
        <v>27</v>
      </c>
      <c r="H32" s="548">
        <v>27</v>
      </c>
      <c r="I32" s="548">
        <v>26</v>
      </c>
      <c r="J32" s="548">
        <v>23</v>
      </c>
      <c r="K32" s="548">
        <v>22</v>
      </c>
      <c r="L32" s="548">
        <v>22</v>
      </c>
      <c r="M32" s="548">
        <v>23</v>
      </c>
      <c r="N32" s="113">
        <f>'26 Councilors per party '!N45</f>
        <v>22</v>
      </c>
      <c r="O32" s="113">
        <v>29</v>
      </c>
      <c r="P32" s="113">
        <v>29</v>
      </c>
      <c r="Q32" s="113">
        <v>29</v>
      </c>
      <c r="R32" s="113">
        <v>29</v>
      </c>
    </row>
    <row r="33" spans="2:18" s="178" customFormat="1" ht="14" thickTop="1">
      <c r="B33" s="758" t="s">
        <v>267</v>
      </c>
      <c r="C33" s="1">
        <f t="shared" ref="C33:M33" si="1">SUM(C27:C32)</f>
        <v>32</v>
      </c>
      <c r="D33" s="1">
        <f t="shared" si="1"/>
        <v>32</v>
      </c>
      <c r="E33" s="1">
        <f t="shared" si="1"/>
        <v>32</v>
      </c>
      <c r="F33" s="1">
        <f t="shared" si="1"/>
        <v>32</v>
      </c>
      <c r="G33" s="1">
        <f t="shared" si="1"/>
        <v>32</v>
      </c>
      <c r="H33" s="1">
        <f t="shared" si="1"/>
        <v>32</v>
      </c>
      <c r="I33" s="1">
        <f t="shared" si="1"/>
        <v>32</v>
      </c>
      <c r="J33" s="1">
        <f t="shared" si="1"/>
        <v>32</v>
      </c>
      <c r="K33" s="1">
        <f t="shared" si="1"/>
        <v>32</v>
      </c>
      <c r="L33" s="1">
        <f t="shared" si="1"/>
        <v>32</v>
      </c>
      <c r="M33" s="1">
        <f t="shared" si="1"/>
        <v>32</v>
      </c>
      <c r="N33" s="113">
        <f>'26 Councilors per party '!N46</f>
        <v>32</v>
      </c>
      <c r="O33" s="178">
        <f>SUM(O27:O32)</f>
        <v>32</v>
      </c>
      <c r="P33" s="178">
        <v>32</v>
      </c>
      <c r="Q33" s="178">
        <v>32</v>
      </c>
      <c r="R33" s="178">
        <v>32</v>
      </c>
    </row>
    <row r="34" spans="2:18" ht="5.5" customHeight="1">
      <c r="P34" s="150"/>
    </row>
    <row r="35" spans="2:18">
      <c r="P35" s="150"/>
    </row>
    <row r="36" spans="2:18">
      <c r="P36" s="150"/>
    </row>
    <row r="37" spans="2:18">
      <c r="P37" s="150"/>
    </row>
    <row r="38" spans="2:18">
      <c r="P38" s="759"/>
    </row>
    <row r="39" spans="2:18">
      <c r="P39" s="150"/>
    </row>
    <row r="40" spans="2:18">
      <c r="P40" s="186"/>
    </row>
    <row r="49" spans="16:16">
      <c r="P49" s="186"/>
    </row>
    <row r="50" spans="16:16">
      <c r="P50" s="150"/>
    </row>
    <row r="51" spans="16:16">
      <c r="P51" s="150"/>
    </row>
    <row r="52" spans="16:16">
      <c r="P52" s="150"/>
    </row>
    <row r="53" spans="16:16">
      <c r="P53" s="150"/>
    </row>
    <row r="54" spans="16:16">
      <c r="P54" s="150"/>
    </row>
    <row r="55" spans="16:16">
      <c r="P55" s="150"/>
    </row>
    <row r="56" spans="16:16">
      <c r="P56" s="759"/>
    </row>
    <row r="57" spans="16:16" ht="14" thickBot="1">
      <c r="P57" s="665"/>
    </row>
  </sheetData>
  <pageMargins left="0.7" right="0.7" top="0.75" bottom="0.75" header="0.3" footer="0.3"/>
  <pageSetup paperSize="9" orientation="portrait" horizontalDpi="1200" verticalDpi="1200"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03">
    <tabColor theme="4"/>
    <pageSetUpPr fitToPage="1"/>
  </sheetPr>
  <dimension ref="A2:FJ87"/>
  <sheetViews>
    <sheetView showGridLines="0" zoomScale="85" zoomScaleNormal="85" workbookViewId="0">
      <selection activeCell="G1" sqref="G1"/>
    </sheetView>
  </sheetViews>
  <sheetFormatPr baseColWidth="10" defaultColWidth="9.3984375" defaultRowHeight="14"/>
  <cols>
    <col min="1" max="1" width="9.3984375" style="850"/>
    <col min="2" max="2" width="25.19921875" style="850" customWidth="1"/>
    <col min="3" max="3" width="7.19921875" style="850" customWidth="1"/>
    <col min="4" max="4" width="12.19921875" style="850" customWidth="1"/>
    <col min="5" max="5" width="1.796875" style="850" customWidth="1"/>
    <col min="6" max="6" width="8.19921875" style="850" customWidth="1"/>
    <col min="7" max="7" width="8.796875" style="850" customWidth="1"/>
    <col min="8" max="8" width="9.796875" style="850" customWidth="1"/>
    <col min="9" max="9" width="28.3984375" style="850" customWidth="1"/>
    <col min="10" max="10" width="9.3984375" style="850" customWidth="1"/>
    <col min="11" max="16384" width="9.3984375" style="850"/>
  </cols>
  <sheetData>
    <row r="2" spans="1:166" ht="6" customHeight="1"/>
    <row r="3" spans="1:166">
      <c r="B3" s="880" t="s">
        <v>1933</v>
      </c>
      <c r="C3" s="880"/>
    </row>
    <row r="4" spans="1:166">
      <c r="B4" s="880"/>
      <c r="C4" s="880"/>
    </row>
    <row r="5" spans="1:166" ht="20">
      <c r="B5" s="2247" t="s">
        <v>2877</v>
      </c>
      <c r="C5" s="853"/>
      <c r="D5" s="853"/>
      <c r="E5" s="853"/>
      <c r="F5" s="853"/>
      <c r="G5" s="853"/>
      <c r="H5" s="853"/>
    </row>
    <row r="6" spans="1:166" ht="16.5" customHeight="1">
      <c r="B6" s="854" t="s">
        <v>652</v>
      </c>
      <c r="C6" s="854" t="s">
        <v>653</v>
      </c>
      <c r="D6" s="855" t="s">
        <v>268</v>
      </c>
      <c r="E6" s="855"/>
      <c r="F6" s="855" t="s">
        <v>654</v>
      </c>
      <c r="G6" s="855" t="s">
        <v>655</v>
      </c>
      <c r="H6" s="855" t="s">
        <v>2366</v>
      </c>
    </row>
    <row r="7" spans="1:166" ht="1.5" customHeight="1">
      <c r="B7" s="1738"/>
      <c r="C7" s="1738"/>
      <c r="D7" s="1739"/>
      <c r="E7" s="1739"/>
      <c r="F7" s="1739"/>
      <c r="G7" s="1739"/>
      <c r="H7" s="1739"/>
    </row>
    <row r="8" spans="1:166" ht="13.5" customHeight="1">
      <c r="A8" s="850">
        <v>1</v>
      </c>
      <c r="B8" s="1738" t="s">
        <v>656</v>
      </c>
      <c r="C8" s="1738" t="s">
        <v>657</v>
      </c>
      <c r="D8" s="1740">
        <v>37049</v>
      </c>
      <c r="E8" s="850" t="s">
        <v>854</v>
      </c>
      <c r="F8" s="1739">
        <v>3617</v>
      </c>
      <c r="G8" s="1739">
        <v>10212</v>
      </c>
      <c r="H8" s="1741">
        <v>0.63800000000000001</v>
      </c>
      <c r="FJ8" s="850" t="s">
        <v>1836</v>
      </c>
    </row>
    <row r="9" spans="1:166" ht="13.5" customHeight="1">
      <c r="A9" s="850">
        <v>2</v>
      </c>
      <c r="B9" s="1738" t="s">
        <v>1508</v>
      </c>
      <c r="C9" s="1738" t="s">
        <v>657</v>
      </c>
      <c r="D9" s="1740">
        <v>37070</v>
      </c>
      <c r="F9" s="1739">
        <v>8083</v>
      </c>
      <c r="G9" s="1739">
        <v>16602</v>
      </c>
      <c r="H9" s="1741">
        <v>0.31</v>
      </c>
      <c r="FJ9" s="1738" t="s">
        <v>677</v>
      </c>
    </row>
    <row r="10" spans="1:166" ht="13.5" customHeight="1">
      <c r="A10" s="850">
        <v>3</v>
      </c>
      <c r="B10" s="1738" t="s">
        <v>658</v>
      </c>
      <c r="C10" s="1738" t="s">
        <v>657</v>
      </c>
      <c r="D10" s="1740">
        <v>37070</v>
      </c>
      <c r="F10" s="1739">
        <v>7731</v>
      </c>
      <c r="G10" s="1739">
        <v>16317</v>
      </c>
      <c r="H10" s="1741">
        <v>0.308</v>
      </c>
      <c r="FJ10" s="1738" t="s">
        <v>656</v>
      </c>
    </row>
    <row r="11" spans="1:166" ht="13.5" customHeight="1">
      <c r="A11" s="850">
        <v>4</v>
      </c>
      <c r="B11" s="1738" t="s">
        <v>659</v>
      </c>
      <c r="C11" s="1738" t="s">
        <v>660</v>
      </c>
      <c r="D11" s="1740">
        <v>37084</v>
      </c>
      <c r="F11" s="1739">
        <v>7636</v>
      </c>
      <c r="G11" s="1739">
        <v>7140</v>
      </c>
      <c r="H11" s="1741">
        <v>0.245</v>
      </c>
      <c r="FJ11" s="850" t="s">
        <v>1210</v>
      </c>
    </row>
    <row r="12" spans="1:166" ht="13.5" customHeight="1">
      <c r="A12" s="850">
        <v>5</v>
      </c>
      <c r="B12" s="1738" t="s">
        <v>2367</v>
      </c>
      <c r="C12" s="1738" t="s">
        <v>660</v>
      </c>
      <c r="D12" s="1740">
        <v>37154</v>
      </c>
      <c r="F12" s="1739">
        <v>35453</v>
      </c>
      <c r="G12" s="1739">
        <v>19398</v>
      </c>
      <c r="H12" s="1741">
        <v>0.25</v>
      </c>
      <c r="FJ12" s="850" t="s">
        <v>1211</v>
      </c>
    </row>
    <row r="13" spans="1:166" ht="13.5" customHeight="1">
      <c r="A13" s="850">
        <v>6</v>
      </c>
      <c r="B13" s="1738" t="s">
        <v>661</v>
      </c>
      <c r="C13" s="1738" t="s">
        <v>657</v>
      </c>
      <c r="D13" s="1740">
        <v>37168</v>
      </c>
      <c r="F13" s="1739">
        <v>10169</v>
      </c>
      <c r="G13" s="1739">
        <v>27977</v>
      </c>
      <c r="H13" s="1741">
        <v>0.13</v>
      </c>
      <c r="FJ13" s="1738" t="s">
        <v>668</v>
      </c>
    </row>
    <row r="14" spans="1:166" ht="13.5" customHeight="1">
      <c r="A14" s="850">
        <v>7</v>
      </c>
      <c r="B14" s="1738" t="s">
        <v>662</v>
      </c>
      <c r="C14" s="1738" t="s">
        <v>657</v>
      </c>
      <c r="D14" s="1740">
        <v>37175</v>
      </c>
      <c r="F14" s="1739">
        <v>9593</v>
      </c>
      <c r="G14" s="1739">
        <v>12209</v>
      </c>
      <c r="H14" s="1741">
        <v>0.1</v>
      </c>
      <c r="FJ14" s="850" t="s">
        <v>1212</v>
      </c>
    </row>
    <row r="15" spans="1:166" ht="13.5" customHeight="1">
      <c r="A15" s="850">
        <v>8</v>
      </c>
      <c r="B15" s="1738" t="s">
        <v>663</v>
      </c>
      <c r="C15" s="1738" t="s">
        <v>660</v>
      </c>
      <c r="D15" s="1740">
        <v>37182</v>
      </c>
      <c r="F15" s="1739">
        <v>10667</v>
      </c>
      <c r="G15" s="1739">
        <v>10294</v>
      </c>
      <c r="H15" s="1741">
        <v>0.31</v>
      </c>
      <c r="FJ15" s="1744" t="s">
        <v>966</v>
      </c>
    </row>
    <row r="16" spans="1:166" ht="13.5" customHeight="1">
      <c r="A16" s="850">
        <v>9</v>
      </c>
      <c r="B16" s="1738" t="s">
        <v>664</v>
      </c>
      <c r="C16" s="1738" t="s">
        <v>660</v>
      </c>
      <c r="D16" s="1740">
        <v>37182</v>
      </c>
      <c r="F16" s="1739">
        <v>16822</v>
      </c>
      <c r="G16" s="1739">
        <v>15914</v>
      </c>
      <c r="H16" s="1741">
        <v>0.18</v>
      </c>
      <c r="FJ16" s="1744" t="s">
        <v>60</v>
      </c>
    </row>
    <row r="17" spans="1:166" ht="13.5" customHeight="1">
      <c r="A17" s="850">
        <v>10</v>
      </c>
      <c r="B17" s="1738" t="s">
        <v>665</v>
      </c>
      <c r="C17" s="1738" t="s">
        <v>660</v>
      </c>
      <c r="D17" s="1740">
        <v>37182</v>
      </c>
      <c r="F17" s="1739">
        <v>30262</v>
      </c>
      <c r="G17" s="1739">
        <v>22296</v>
      </c>
      <c r="H17" s="1741">
        <v>0.36</v>
      </c>
      <c r="FJ17" s="1738" t="s">
        <v>1508</v>
      </c>
    </row>
    <row r="18" spans="1:166" ht="13.5" customHeight="1">
      <c r="A18" s="850">
        <v>11</v>
      </c>
      <c r="B18" s="1738" t="s">
        <v>666</v>
      </c>
      <c r="C18" s="1738" t="s">
        <v>657</v>
      </c>
      <c r="D18" s="1740">
        <v>37182</v>
      </c>
      <c r="F18" s="1739">
        <v>10628</v>
      </c>
      <c r="G18" s="1739">
        <v>11869</v>
      </c>
      <c r="H18" s="1741">
        <v>0.33300000000000002</v>
      </c>
      <c r="FJ18" s="850" t="s">
        <v>1723</v>
      </c>
    </row>
    <row r="19" spans="1:166" ht="13.5" customHeight="1">
      <c r="A19" s="850">
        <v>12</v>
      </c>
      <c r="B19" s="1738" t="s">
        <v>667</v>
      </c>
      <c r="C19" s="1738" t="s">
        <v>660</v>
      </c>
      <c r="D19" s="1740">
        <v>37182</v>
      </c>
      <c r="F19" s="1739">
        <v>29067</v>
      </c>
      <c r="G19" s="1739">
        <v>5422</v>
      </c>
      <c r="H19" s="1741">
        <v>0.34</v>
      </c>
      <c r="FJ19" s="1738" t="s">
        <v>681</v>
      </c>
    </row>
    <row r="20" spans="1:166" ht="13.5" customHeight="1">
      <c r="A20" s="850">
        <v>13</v>
      </c>
      <c r="B20" s="1738" t="s">
        <v>668</v>
      </c>
      <c r="C20" s="1738" t="s">
        <v>657</v>
      </c>
      <c r="D20" s="1740">
        <v>37182</v>
      </c>
      <c r="F20" s="1739">
        <v>22724</v>
      </c>
      <c r="G20" s="1739">
        <v>37214</v>
      </c>
      <c r="H20" s="1741">
        <v>0.316</v>
      </c>
      <c r="FJ20" s="850" t="s">
        <v>1213</v>
      </c>
    </row>
    <row r="21" spans="1:166" ht="13.5" customHeight="1">
      <c r="A21" s="850">
        <v>14</v>
      </c>
      <c r="B21" s="1738" t="s">
        <v>669</v>
      </c>
      <c r="C21" s="1738" t="s">
        <v>657</v>
      </c>
      <c r="D21" s="1740">
        <v>37203</v>
      </c>
      <c r="F21" s="1739">
        <v>7250</v>
      </c>
      <c r="G21" s="1739">
        <v>9198</v>
      </c>
      <c r="H21" s="1741">
        <v>0.28299999999999997</v>
      </c>
      <c r="FJ21" s="1744" t="s">
        <v>1176</v>
      </c>
    </row>
    <row r="22" spans="1:166" ht="13.5" customHeight="1">
      <c r="A22" s="850">
        <v>15</v>
      </c>
      <c r="B22" s="1738" t="s">
        <v>249</v>
      </c>
      <c r="C22" s="1738" t="s">
        <v>657</v>
      </c>
      <c r="D22" s="1740">
        <v>37215</v>
      </c>
      <c r="F22" s="1739">
        <v>8327</v>
      </c>
      <c r="G22" s="1739">
        <v>11974</v>
      </c>
      <c r="H22" s="1741">
        <v>0.28499999999999998</v>
      </c>
      <c r="FJ22" s="1744" t="s">
        <v>597</v>
      </c>
    </row>
    <row r="23" spans="1:166" ht="13.5" customHeight="1">
      <c r="A23" s="850">
        <v>16</v>
      </c>
      <c r="B23" s="1738" t="s">
        <v>670</v>
      </c>
      <c r="C23" s="1738" t="s">
        <v>657</v>
      </c>
      <c r="D23" s="1740">
        <v>37232</v>
      </c>
      <c r="F23" s="1739">
        <v>17502</v>
      </c>
      <c r="G23" s="1739">
        <v>23554</v>
      </c>
      <c r="H23" s="1741">
        <v>0.26</v>
      </c>
      <c r="FJ23" s="850" t="s">
        <v>1798</v>
      </c>
    </row>
    <row r="24" spans="1:166" ht="13.5" customHeight="1">
      <c r="A24" s="850">
        <v>17</v>
      </c>
      <c r="B24" s="1738" t="s">
        <v>671</v>
      </c>
      <c r="C24" s="1738" t="s">
        <v>657</v>
      </c>
      <c r="D24" s="1740">
        <v>36915</v>
      </c>
      <c r="F24" s="1739">
        <v>5296</v>
      </c>
      <c r="G24" s="1739">
        <v>15490</v>
      </c>
      <c r="H24" s="1741">
        <v>0.36380000000000001</v>
      </c>
      <c r="FJ24" s="1738"/>
    </row>
    <row r="25" spans="1:166" ht="13.5" customHeight="1">
      <c r="A25" s="850">
        <v>18</v>
      </c>
      <c r="B25" s="1738" t="s">
        <v>672</v>
      </c>
      <c r="C25" s="1738" t="s">
        <v>657</v>
      </c>
      <c r="D25" s="1740">
        <v>36915</v>
      </c>
      <c r="F25" s="1739">
        <v>29559</v>
      </c>
      <c r="G25" s="1739">
        <v>42811</v>
      </c>
      <c r="H25" s="1741">
        <v>0.39800000000000002</v>
      </c>
      <c r="FJ25" s="1738" t="s">
        <v>249</v>
      </c>
    </row>
    <row r="26" spans="1:166" ht="13.5" customHeight="1">
      <c r="A26" s="850">
        <v>19</v>
      </c>
      <c r="B26" s="1738" t="s">
        <v>673</v>
      </c>
      <c r="C26" s="1738" t="s">
        <v>657</v>
      </c>
      <c r="D26" s="1740">
        <v>37287</v>
      </c>
      <c r="F26" s="1739">
        <v>6054</v>
      </c>
      <c r="G26" s="1739">
        <v>13217</v>
      </c>
      <c r="H26" s="1741">
        <v>0.112</v>
      </c>
      <c r="FJ26" s="1738" t="s">
        <v>682</v>
      </c>
    </row>
    <row r="27" spans="1:166" ht="13.5" customHeight="1">
      <c r="A27" s="850">
        <v>20</v>
      </c>
      <c r="B27" s="1738" t="s">
        <v>674</v>
      </c>
      <c r="C27" s="1738" t="s">
        <v>660</v>
      </c>
      <c r="D27" s="1740">
        <v>37287</v>
      </c>
      <c r="F27" s="1739">
        <v>27263</v>
      </c>
      <c r="G27" s="1739">
        <v>12687</v>
      </c>
      <c r="H27" s="1741">
        <v>0.25900000000000001</v>
      </c>
      <c r="FJ27" s="1744" t="s">
        <v>982</v>
      </c>
    </row>
    <row r="28" spans="1:166" ht="13.5" customHeight="1">
      <c r="A28" s="850">
        <v>21</v>
      </c>
      <c r="B28" s="1738" t="s">
        <v>675</v>
      </c>
      <c r="C28" s="1738" t="s">
        <v>657</v>
      </c>
      <c r="D28" s="1740">
        <v>37287</v>
      </c>
      <c r="F28" s="1739">
        <v>3555</v>
      </c>
      <c r="G28" s="1739">
        <v>12190</v>
      </c>
      <c r="H28" s="1741">
        <v>0.41799999999999998</v>
      </c>
      <c r="FJ28" s="1738" t="s">
        <v>658</v>
      </c>
    </row>
    <row r="29" spans="1:166" ht="13.5" customHeight="1">
      <c r="A29" s="850">
        <v>22</v>
      </c>
      <c r="B29" s="1738" t="s">
        <v>676</v>
      </c>
      <c r="C29" s="1738" t="s">
        <v>657</v>
      </c>
      <c r="D29" s="1740">
        <v>37287</v>
      </c>
      <c r="F29" s="1739">
        <v>11357</v>
      </c>
      <c r="G29" s="1739">
        <v>14435</v>
      </c>
      <c r="H29" s="1741">
        <v>0.36299999999999999</v>
      </c>
      <c r="FJ29" s="850" t="s">
        <v>983</v>
      </c>
    </row>
    <row r="30" spans="1:166" ht="13.5" customHeight="1">
      <c r="A30" s="850">
        <v>23</v>
      </c>
      <c r="B30" s="1738" t="s">
        <v>677</v>
      </c>
      <c r="C30" s="1738" t="s">
        <v>660</v>
      </c>
      <c r="D30" s="1740">
        <v>37308</v>
      </c>
      <c r="F30" s="1739">
        <v>11316</v>
      </c>
      <c r="G30" s="1739">
        <v>5537</v>
      </c>
      <c r="H30" s="1741">
        <v>0.155</v>
      </c>
      <c r="FJ30" s="850" t="s">
        <v>2818</v>
      </c>
    </row>
    <row r="31" spans="1:166" ht="13.5" customHeight="1">
      <c r="A31" s="850">
        <v>24</v>
      </c>
      <c r="B31" s="1738" t="s">
        <v>1175</v>
      </c>
      <c r="C31" s="1738" t="s">
        <v>657</v>
      </c>
      <c r="D31" s="1740">
        <v>37378</v>
      </c>
      <c r="F31" s="1739">
        <v>12912</v>
      </c>
      <c r="G31" s="1739">
        <v>16468</v>
      </c>
      <c r="H31" s="1741">
        <v>0.315</v>
      </c>
      <c r="FJ31" s="1738" t="s">
        <v>679</v>
      </c>
    </row>
    <row r="32" spans="1:166" ht="13.5" customHeight="1">
      <c r="A32" s="850">
        <v>25</v>
      </c>
      <c r="B32" s="1738" t="s">
        <v>678</v>
      </c>
      <c r="C32" s="1738" t="s">
        <v>657</v>
      </c>
      <c r="D32" s="1740">
        <v>37378</v>
      </c>
      <c r="F32" s="1739">
        <v>14692</v>
      </c>
      <c r="G32" s="1739">
        <v>18686</v>
      </c>
      <c r="H32" s="1741">
        <v>0.33800000000000002</v>
      </c>
      <c r="FJ32" s="1738"/>
    </row>
    <row r="33" spans="1:166" ht="13.5" customHeight="1">
      <c r="A33" s="850">
        <v>26</v>
      </c>
      <c r="B33" s="1738" t="s">
        <v>679</v>
      </c>
      <c r="C33" s="1738" t="s">
        <v>660</v>
      </c>
      <c r="D33" s="1740">
        <v>37379</v>
      </c>
      <c r="F33" s="1739">
        <v>24697</v>
      </c>
      <c r="G33" s="1739">
        <v>10547</v>
      </c>
      <c r="H33" s="1741">
        <v>0.31900000000000001</v>
      </c>
      <c r="FJ33" s="1738" t="s">
        <v>670</v>
      </c>
    </row>
    <row r="34" spans="1:166" ht="13.5" customHeight="1">
      <c r="A34" s="850">
        <v>27</v>
      </c>
      <c r="B34" s="1738" t="s">
        <v>2368</v>
      </c>
      <c r="C34" s="1738" t="s">
        <v>660</v>
      </c>
      <c r="D34" s="1740">
        <v>37379</v>
      </c>
      <c r="F34" s="1739">
        <v>28601</v>
      </c>
      <c r="G34" s="1739">
        <v>20578</v>
      </c>
      <c r="H34" s="1741">
        <v>0.27800000000000002</v>
      </c>
      <c r="FJ34" s="1738"/>
    </row>
    <row r="35" spans="1:166" ht="13.5" customHeight="1">
      <c r="A35" s="850">
        <v>28</v>
      </c>
      <c r="B35" s="1738" t="s">
        <v>680</v>
      </c>
      <c r="C35" s="1738" t="s">
        <v>660</v>
      </c>
      <c r="D35" s="1740">
        <v>37379</v>
      </c>
      <c r="F35" s="1739">
        <v>8973</v>
      </c>
      <c r="G35" s="1739">
        <v>7350</v>
      </c>
      <c r="H35" s="1741">
        <v>0.2104</v>
      </c>
      <c r="FJ35" s="850" t="s">
        <v>2370</v>
      </c>
    </row>
    <row r="36" spans="1:166" ht="13.5" customHeight="1">
      <c r="A36" s="850">
        <v>29</v>
      </c>
      <c r="B36" s="1738" t="s">
        <v>681</v>
      </c>
      <c r="C36" s="1738" t="s">
        <v>657</v>
      </c>
      <c r="D36" s="1740">
        <v>37525</v>
      </c>
      <c r="F36" s="1739">
        <v>5351</v>
      </c>
      <c r="G36" s="1739">
        <v>6239</v>
      </c>
      <c r="H36" s="1741">
        <v>0.30909999999999999</v>
      </c>
      <c r="FJ36" s="1744" t="s">
        <v>726</v>
      </c>
    </row>
    <row r="37" spans="1:166" ht="13.5" customHeight="1">
      <c r="A37" s="850">
        <v>30</v>
      </c>
      <c r="B37" s="1738" t="s">
        <v>682</v>
      </c>
      <c r="C37" s="1738" t="s">
        <v>657</v>
      </c>
      <c r="D37" s="1740">
        <v>37601</v>
      </c>
      <c r="F37" s="1739">
        <v>9454</v>
      </c>
      <c r="G37" s="1739">
        <v>11655</v>
      </c>
      <c r="H37" s="1741">
        <v>9.8000000000000004E-2</v>
      </c>
      <c r="FJ37" s="1738" t="s">
        <v>661</v>
      </c>
    </row>
    <row r="38" spans="1:166" ht="13.5" customHeight="1">
      <c r="A38" s="850">
        <v>31</v>
      </c>
      <c r="B38" s="1744" t="s">
        <v>60</v>
      </c>
      <c r="C38" s="1744" t="s">
        <v>657</v>
      </c>
      <c r="D38" s="1740">
        <v>38127</v>
      </c>
      <c r="F38" s="1745">
        <v>5308</v>
      </c>
      <c r="G38" s="1745">
        <v>14013</v>
      </c>
      <c r="H38" s="1741">
        <v>0.36299999999999999</v>
      </c>
      <c r="FJ38" s="850" t="s">
        <v>1214</v>
      </c>
    </row>
    <row r="39" spans="1:166" ht="13.5" customHeight="1">
      <c r="A39" s="850">
        <v>32</v>
      </c>
      <c r="B39" s="1744" t="s">
        <v>726</v>
      </c>
      <c r="C39" s="1744" t="s">
        <v>657</v>
      </c>
      <c r="D39" s="1740">
        <v>38477</v>
      </c>
      <c r="E39" s="850" t="s">
        <v>854</v>
      </c>
      <c r="F39" s="1745">
        <v>28786</v>
      </c>
      <c r="G39" s="1745">
        <v>37097</v>
      </c>
      <c r="H39" s="1741">
        <v>0.624</v>
      </c>
      <c r="FJ39" s="1738" t="s">
        <v>664</v>
      </c>
    </row>
    <row r="40" spans="1:166" ht="13.5" customHeight="1">
      <c r="A40" s="850">
        <v>33</v>
      </c>
      <c r="B40" s="1744" t="s">
        <v>61</v>
      </c>
      <c r="C40" s="1744" t="s">
        <v>660</v>
      </c>
      <c r="D40" s="1740">
        <v>38547</v>
      </c>
      <c r="F40" s="1745">
        <v>18074</v>
      </c>
      <c r="G40" s="1745">
        <v>14682</v>
      </c>
      <c r="H40" s="1741">
        <v>0.32100000000000001</v>
      </c>
      <c r="FJ40" s="850" t="s">
        <v>1215</v>
      </c>
    </row>
    <row r="41" spans="1:166" ht="13.5" customHeight="1">
      <c r="A41" s="850">
        <v>34</v>
      </c>
      <c r="B41" s="1744" t="s">
        <v>982</v>
      </c>
      <c r="C41" s="1744" t="s">
        <v>657</v>
      </c>
      <c r="D41" s="1740">
        <v>38547</v>
      </c>
      <c r="F41" s="1745">
        <v>5509</v>
      </c>
      <c r="G41" s="1745">
        <v>17296</v>
      </c>
      <c r="H41" s="1741">
        <v>0.33600000000000002</v>
      </c>
      <c r="FJ41" s="1738" t="s">
        <v>680</v>
      </c>
    </row>
    <row r="42" spans="1:166" ht="13.5" customHeight="1">
      <c r="A42" s="850">
        <v>35</v>
      </c>
      <c r="B42" s="1744" t="s">
        <v>1176</v>
      </c>
      <c r="C42" s="1744" t="s">
        <v>657</v>
      </c>
      <c r="D42" s="1740">
        <v>38841</v>
      </c>
      <c r="F42" s="1745">
        <v>11808</v>
      </c>
      <c r="G42" s="1745">
        <v>18768</v>
      </c>
      <c r="H42" s="1741">
        <v>0.35299999999999998</v>
      </c>
      <c r="FJ42" s="1738"/>
    </row>
    <row r="43" spans="1:166" ht="13.5" customHeight="1">
      <c r="A43" s="850">
        <v>36</v>
      </c>
      <c r="B43" s="1744" t="s">
        <v>597</v>
      </c>
      <c r="C43" s="1744" t="s">
        <v>657</v>
      </c>
      <c r="D43" s="1740">
        <v>39352</v>
      </c>
      <c r="F43" s="1745">
        <v>7981</v>
      </c>
      <c r="G43" s="1745">
        <v>11226</v>
      </c>
      <c r="H43" s="1741">
        <v>0.247</v>
      </c>
      <c r="FJ43" s="850" t="s">
        <v>1800</v>
      </c>
    </row>
    <row r="44" spans="1:166" ht="13.5" customHeight="1">
      <c r="A44" s="850">
        <v>37</v>
      </c>
      <c r="B44" s="1744" t="s">
        <v>966</v>
      </c>
      <c r="C44" s="1744" t="s">
        <v>657</v>
      </c>
      <c r="D44" s="1740">
        <v>39632</v>
      </c>
      <c r="F44" s="1745">
        <v>10338</v>
      </c>
      <c r="G44" s="1745">
        <v>15425</v>
      </c>
      <c r="H44" s="1741">
        <v>0.183</v>
      </c>
      <c r="L44" s="1745"/>
      <c r="FJ44" s="1738"/>
    </row>
    <row r="45" spans="1:166" ht="13.5" customHeight="1">
      <c r="A45" s="850">
        <v>38</v>
      </c>
      <c r="B45" s="1738" t="s">
        <v>2369</v>
      </c>
      <c r="C45" s="1744" t="s">
        <v>176</v>
      </c>
      <c r="D45" s="1740">
        <v>39744</v>
      </c>
      <c r="E45" s="867"/>
      <c r="F45" s="867">
        <v>21231</v>
      </c>
      <c r="G45" s="1745">
        <v>14592</v>
      </c>
      <c r="H45" s="1741">
        <v>0.192</v>
      </c>
      <c r="FJ45" s="850" t="s">
        <v>1216</v>
      </c>
    </row>
    <row r="46" spans="1:166" ht="13.5" customHeight="1">
      <c r="A46" s="850">
        <v>39</v>
      </c>
      <c r="B46" s="850" t="s">
        <v>960</v>
      </c>
      <c r="C46" s="850" t="s">
        <v>175</v>
      </c>
      <c r="D46" s="1740">
        <v>40304</v>
      </c>
      <c r="E46" s="850" t="s">
        <v>854</v>
      </c>
      <c r="F46" s="850">
        <v>60758</v>
      </c>
      <c r="G46" s="850">
        <v>39857</v>
      </c>
      <c r="H46" s="1741">
        <v>0.621</v>
      </c>
      <c r="FJ46" s="1738"/>
    </row>
    <row r="47" spans="1:166" ht="13.5" customHeight="1">
      <c r="A47" s="850">
        <v>40</v>
      </c>
      <c r="B47" s="850" t="s">
        <v>983</v>
      </c>
      <c r="C47" s="850" t="s">
        <v>176</v>
      </c>
      <c r="D47" s="1740">
        <v>40668</v>
      </c>
      <c r="F47" s="850">
        <v>10051</v>
      </c>
      <c r="G47" s="850">
        <v>15595</v>
      </c>
      <c r="H47" s="1741">
        <v>0.36</v>
      </c>
      <c r="FJ47" s="850" t="s">
        <v>2819</v>
      </c>
    </row>
    <row r="48" spans="1:166" ht="13.5" customHeight="1">
      <c r="A48" s="850">
        <v>41</v>
      </c>
      <c r="B48" s="850" t="s">
        <v>1152</v>
      </c>
      <c r="C48" s="850" t="s">
        <v>175</v>
      </c>
      <c r="D48" s="1740">
        <v>40934</v>
      </c>
      <c r="F48" s="850">
        <v>17344</v>
      </c>
      <c r="G48" s="850">
        <v>13653</v>
      </c>
      <c r="H48" s="1741">
        <v>0.18099999999999999</v>
      </c>
      <c r="FJ48" s="1738"/>
    </row>
    <row r="49" spans="1:166" ht="13.5" customHeight="1">
      <c r="A49" s="850">
        <v>42</v>
      </c>
      <c r="B49" s="850" t="s">
        <v>1210</v>
      </c>
      <c r="C49" s="1163" t="s">
        <v>176</v>
      </c>
      <c r="D49" s="1740">
        <v>41032</v>
      </c>
      <c r="F49" s="1746">
        <v>88085</v>
      </c>
      <c r="G49" s="1746">
        <v>120611</v>
      </c>
      <c r="H49" s="1741">
        <v>0.27650460739435451</v>
      </c>
      <c r="FJ49" s="850" t="s">
        <v>2027</v>
      </c>
    </row>
    <row r="50" spans="1:166" ht="13.5" customHeight="1">
      <c r="A50" s="850">
        <v>43</v>
      </c>
      <c r="B50" s="850" t="s">
        <v>1211</v>
      </c>
      <c r="C50" s="1163" t="s">
        <v>176</v>
      </c>
      <c r="D50" s="1740">
        <v>41032</v>
      </c>
      <c r="F50" s="1746">
        <v>53949</v>
      </c>
      <c r="G50" s="1746">
        <v>66283</v>
      </c>
      <c r="H50" s="1741">
        <v>0.35245627715272365</v>
      </c>
      <c r="FJ50" s="850" t="s">
        <v>1217</v>
      </c>
    </row>
    <row r="51" spans="1:166" ht="13.5" customHeight="1">
      <c r="A51" s="850">
        <v>44</v>
      </c>
      <c r="B51" s="850" t="s">
        <v>1212</v>
      </c>
      <c r="C51" s="1163" t="s">
        <v>175</v>
      </c>
      <c r="D51" s="1740">
        <v>41032</v>
      </c>
      <c r="F51" s="1746">
        <v>41032</v>
      </c>
      <c r="G51" s="1746">
        <v>35880</v>
      </c>
      <c r="H51" s="1741">
        <v>0.24118434710075165</v>
      </c>
      <c r="FJ51" s="1738" t="s">
        <v>678</v>
      </c>
    </row>
    <row r="52" spans="1:166" ht="13.5" customHeight="1">
      <c r="A52" s="850">
        <v>45</v>
      </c>
      <c r="B52" s="850" t="s">
        <v>1213</v>
      </c>
      <c r="C52" s="1163" t="s">
        <v>176</v>
      </c>
      <c r="D52" s="1740">
        <v>41032</v>
      </c>
      <c r="F52" s="1746">
        <v>22619</v>
      </c>
      <c r="G52" s="1746">
        <v>39483</v>
      </c>
      <c r="H52" s="1741">
        <v>0.26223513415365385</v>
      </c>
      <c r="FJ52" s="1738" t="s">
        <v>672</v>
      </c>
    </row>
    <row r="53" spans="1:166" ht="13.5" customHeight="1">
      <c r="A53" s="850">
        <v>46</v>
      </c>
      <c r="B53" s="850" t="s">
        <v>1214</v>
      </c>
      <c r="C53" s="1163" t="s">
        <v>176</v>
      </c>
      <c r="D53" s="1740">
        <v>41032</v>
      </c>
      <c r="F53" s="1746">
        <v>62440</v>
      </c>
      <c r="G53" s="1746">
        <v>107910</v>
      </c>
      <c r="H53" s="1741">
        <v>0.30279169140309775</v>
      </c>
      <c r="FJ53" s="1738" t="s">
        <v>669</v>
      </c>
    </row>
    <row r="54" spans="1:166" ht="13.5" customHeight="1">
      <c r="A54" s="850">
        <v>47</v>
      </c>
      <c r="B54" s="850" t="s">
        <v>1215</v>
      </c>
      <c r="C54" s="1163" t="s">
        <v>176</v>
      </c>
      <c r="D54" s="1740">
        <v>41032</v>
      </c>
      <c r="F54" s="1746">
        <v>42677</v>
      </c>
      <c r="G54" s="1746">
        <v>48593</v>
      </c>
      <c r="H54" s="1741">
        <v>0.24709239365849434</v>
      </c>
      <c r="FJ54" s="850" t="s">
        <v>1152</v>
      </c>
    </row>
    <row r="55" spans="1:166" ht="13.5" customHeight="1">
      <c r="A55" s="850">
        <v>48</v>
      </c>
      <c r="B55" s="850" t="s">
        <v>1216</v>
      </c>
      <c r="C55" s="1163" t="s">
        <v>176</v>
      </c>
      <c r="D55" s="1740">
        <v>41032</v>
      </c>
      <c r="F55" s="1746">
        <v>24630</v>
      </c>
      <c r="G55" s="1746">
        <v>40089</v>
      </c>
      <c r="H55" s="1741">
        <v>0.31955739234768699</v>
      </c>
      <c r="FJ55" s="1738" t="s">
        <v>666</v>
      </c>
    </row>
    <row r="56" spans="1:166" ht="13.5" customHeight="1">
      <c r="A56" s="850">
        <v>49</v>
      </c>
      <c r="B56" s="850" t="s">
        <v>1217</v>
      </c>
      <c r="C56" s="1163" t="s">
        <v>176</v>
      </c>
      <c r="D56" s="1740">
        <v>41032</v>
      </c>
      <c r="F56" s="1746">
        <v>20943</v>
      </c>
      <c r="G56" s="1746">
        <v>28320</v>
      </c>
      <c r="H56" s="1741">
        <v>0.23849822081285857</v>
      </c>
      <c r="FJ56" s="850" t="s">
        <v>1218</v>
      </c>
    </row>
    <row r="57" spans="1:166" ht="13.5" customHeight="1">
      <c r="A57" s="850">
        <v>50</v>
      </c>
      <c r="B57" s="850" t="s">
        <v>1218</v>
      </c>
      <c r="C57" s="1163" t="s">
        <v>176</v>
      </c>
      <c r="D57" s="1740">
        <v>41032</v>
      </c>
      <c r="F57" s="1746">
        <v>44571</v>
      </c>
      <c r="G57" s="1746">
        <v>82890</v>
      </c>
      <c r="H57" s="1741">
        <v>0.32064853714371966</v>
      </c>
      <c r="FJ57" s="1738" t="s">
        <v>676</v>
      </c>
    </row>
    <row r="58" spans="1:166" ht="13.5" customHeight="1">
      <c r="A58" s="850">
        <v>51</v>
      </c>
      <c r="B58" s="850" t="s">
        <v>372</v>
      </c>
      <c r="C58" s="1163" t="s">
        <v>176</v>
      </c>
      <c r="D58" s="1740">
        <v>41032</v>
      </c>
      <c r="F58" s="1746">
        <v>27610</v>
      </c>
      <c r="G58" s="1746">
        <v>45357</v>
      </c>
      <c r="H58" s="1741">
        <v>0.28333398050712538</v>
      </c>
      <c r="FJ58" s="1738" t="s">
        <v>673</v>
      </c>
    </row>
    <row r="59" spans="1:166" ht="13.5" customHeight="1">
      <c r="A59" s="850">
        <v>52</v>
      </c>
      <c r="B59" s="850" t="s">
        <v>1798</v>
      </c>
      <c r="C59" s="1163" t="s">
        <v>175</v>
      </c>
      <c r="D59" s="1740">
        <v>41032</v>
      </c>
      <c r="F59" s="1746">
        <v>42196</v>
      </c>
      <c r="G59" s="1746">
        <v>25879</v>
      </c>
      <c r="H59" s="1741">
        <v>0.307</v>
      </c>
      <c r="FJ59" s="1738"/>
    </row>
    <row r="60" spans="1:166" ht="13.5" customHeight="1">
      <c r="A60" s="850">
        <v>53</v>
      </c>
      <c r="B60" s="850" t="s">
        <v>2370</v>
      </c>
      <c r="C60" s="1163" t="s">
        <v>176</v>
      </c>
      <c r="D60" s="1740">
        <v>41228</v>
      </c>
      <c r="F60" s="1746">
        <v>5177</v>
      </c>
      <c r="G60" s="1746">
        <v>7366</v>
      </c>
      <c r="H60" s="1741">
        <v>0.18</v>
      </c>
      <c r="FJ60" s="1738" t="s">
        <v>2369</v>
      </c>
    </row>
    <row r="61" spans="1:166" ht="13.5" customHeight="1">
      <c r="A61" s="850">
        <v>54</v>
      </c>
      <c r="B61" s="850" t="s">
        <v>1800</v>
      </c>
      <c r="C61" s="1163" t="s">
        <v>175</v>
      </c>
      <c r="D61" s="1740">
        <v>41543</v>
      </c>
      <c r="F61" s="1746">
        <v>8674</v>
      </c>
      <c r="G61" s="1746">
        <v>6455</v>
      </c>
      <c r="H61" s="1741">
        <v>0.151</v>
      </c>
      <c r="FJ61" s="1738" t="s">
        <v>662</v>
      </c>
    </row>
    <row r="62" spans="1:166" ht="13.5" customHeight="1">
      <c r="A62" s="850">
        <v>55</v>
      </c>
      <c r="B62" s="850" t="s">
        <v>1723</v>
      </c>
      <c r="C62" s="1163" t="s">
        <v>175</v>
      </c>
      <c r="D62" s="1740">
        <v>41781</v>
      </c>
      <c r="F62" s="1746">
        <v>12671</v>
      </c>
      <c r="G62" s="1746">
        <v>5489</v>
      </c>
      <c r="H62" s="1741">
        <v>0.33900000000000002</v>
      </c>
      <c r="FJ62" s="1744"/>
    </row>
    <row r="63" spans="1:166" ht="13.5" customHeight="1">
      <c r="A63" s="850">
        <v>56</v>
      </c>
      <c r="B63" s="850" t="s">
        <v>1836</v>
      </c>
      <c r="C63" s="1163" t="s">
        <v>176</v>
      </c>
      <c r="D63" s="1740">
        <v>42439</v>
      </c>
      <c r="F63" s="1746">
        <v>8054</v>
      </c>
      <c r="G63" s="1746">
        <v>30557</v>
      </c>
      <c r="H63" s="1741">
        <v>0.28970000000000001</v>
      </c>
      <c r="FJ63" s="850" t="s">
        <v>2028</v>
      </c>
    </row>
    <row r="64" spans="1:166" ht="13.5" customHeight="1">
      <c r="A64" s="850">
        <v>57</v>
      </c>
      <c r="B64" s="850" t="s">
        <v>2027</v>
      </c>
      <c r="C64" s="1163" t="s">
        <v>660</v>
      </c>
      <c r="D64" s="1740">
        <v>42495</v>
      </c>
      <c r="F64" s="1746">
        <v>32546</v>
      </c>
      <c r="G64" s="1746">
        <v>23703</v>
      </c>
      <c r="H64" s="1741">
        <v>0.36599999999999999</v>
      </c>
    </row>
    <row r="65" spans="1:166" ht="13.5" customHeight="1">
      <c r="A65" s="850">
        <v>58</v>
      </c>
      <c r="B65" s="850" t="s">
        <v>2028</v>
      </c>
      <c r="C65" s="1163" t="s">
        <v>176</v>
      </c>
      <c r="D65" s="1740">
        <v>42495</v>
      </c>
      <c r="F65" s="1746">
        <v>9511</v>
      </c>
      <c r="G65" s="1746">
        <v>15846</v>
      </c>
      <c r="H65" s="1741">
        <v>0.253</v>
      </c>
      <c r="FJ65" s="850" t="s">
        <v>2820</v>
      </c>
    </row>
    <row r="66" spans="1:166" ht="13.5" customHeight="1">
      <c r="A66" s="850">
        <v>59</v>
      </c>
      <c r="B66" s="850" t="s">
        <v>2818</v>
      </c>
      <c r="C66" s="1163" t="s">
        <v>176</v>
      </c>
      <c r="D66" s="1740">
        <v>42656</v>
      </c>
      <c r="F66" s="1746">
        <v>4948</v>
      </c>
      <c r="G66" s="1746">
        <v>20639</v>
      </c>
      <c r="H66" s="1741">
        <v>0.249</v>
      </c>
      <c r="FJ66" s="850" t="s">
        <v>372</v>
      </c>
    </row>
    <row r="67" spans="1:166" ht="13.5" customHeight="1">
      <c r="A67" s="850">
        <v>60</v>
      </c>
      <c r="B67" s="850" t="s">
        <v>2819</v>
      </c>
      <c r="C67" s="1163" t="s">
        <v>175</v>
      </c>
      <c r="D67" s="1740">
        <v>44322</v>
      </c>
      <c r="F67" s="1746">
        <v>45960</v>
      </c>
      <c r="G67" s="1746">
        <v>36424</v>
      </c>
      <c r="H67" s="1741">
        <v>0.377</v>
      </c>
      <c r="FJ67" s="1738" t="s">
        <v>659</v>
      </c>
    </row>
    <row r="68" spans="1:166" ht="13.5" customHeight="1">
      <c r="A68" s="850">
        <v>61</v>
      </c>
      <c r="B68" s="850" t="s">
        <v>2820</v>
      </c>
      <c r="C68" s="1163" t="s">
        <v>175</v>
      </c>
      <c r="D68" s="1740">
        <v>44322</v>
      </c>
      <c r="F68" s="1746">
        <v>63029</v>
      </c>
      <c r="G68" s="1746">
        <v>17951</v>
      </c>
      <c r="H68" s="1741">
        <v>0.41799999999999998</v>
      </c>
      <c r="FJ68" s="1738" t="s">
        <v>675</v>
      </c>
    </row>
    <row r="69" spans="1:166" ht="3" customHeight="1">
      <c r="B69" s="1738"/>
      <c r="C69" s="1738"/>
      <c r="D69" s="1740"/>
      <c r="E69" s="1740"/>
      <c r="F69" s="1739"/>
      <c r="G69" s="1739"/>
      <c r="H69" s="1741"/>
    </row>
    <row r="70" spans="1:166" ht="3.75" customHeight="1">
      <c r="B70" s="871"/>
      <c r="C70" s="871"/>
      <c r="D70" s="871"/>
      <c r="E70" s="871"/>
      <c r="F70" s="871"/>
      <c r="G70" s="871"/>
      <c r="H70" s="871"/>
    </row>
    <row r="71" spans="1:166" ht="11.25" customHeight="1">
      <c r="B71" s="850" t="s">
        <v>1113</v>
      </c>
    </row>
    <row r="72" spans="1:166" ht="12.5" customHeight="1">
      <c r="B72" s="850" t="s">
        <v>1417</v>
      </c>
    </row>
    <row r="73" spans="1:166" ht="32" customHeight="1">
      <c r="B73" s="3491" t="s">
        <v>1418</v>
      </c>
      <c r="C73" s="3491"/>
      <c r="D73" s="3491"/>
      <c r="E73" s="3491"/>
      <c r="F73" s="3491"/>
      <c r="G73" s="3491"/>
      <c r="H73" s="3491"/>
      <c r="I73" s="3491"/>
    </row>
    <row r="74" spans="1:166" ht="22.5" customHeight="1">
      <c r="B74" s="3491" t="s">
        <v>1419</v>
      </c>
      <c r="C74" s="3491"/>
      <c r="D74" s="3491"/>
      <c r="E74" s="3491"/>
      <c r="F74" s="3491"/>
      <c r="G74" s="3491"/>
      <c r="H74" s="3491"/>
      <c r="I74" s="3491"/>
    </row>
    <row r="75" spans="1:166" ht="12.75" customHeight="1">
      <c r="B75" s="3491" t="s">
        <v>1826</v>
      </c>
      <c r="C75" s="3491"/>
      <c r="D75" s="3491"/>
      <c r="E75" s="3491"/>
      <c r="F75" s="3491"/>
      <c r="G75" s="3491"/>
      <c r="H75" s="3491"/>
      <c r="I75" s="3491"/>
    </row>
    <row r="76" spans="1:166" ht="2.25" customHeight="1">
      <c r="B76" s="1747"/>
      <c r="C76" s="1747"/>
      <c r="D76" s="1747"/>
      <c r="E76" s="1747"/>
      <c r="F76" s="1747"/>
      <c r="G76" s="1747"/>
      <c r="H76" s="1747"/>
    </row>
    <row r="77" spans="1:166" ht="11.25" customHeight="1">
      <c r="B77" s="850" t="s">
        <v>1794</v>
      </c>
    </row>
    <row r="78" spans="1:166" ht="2.25" customHeight="1"/>
    <row r="79" spans="1:166" ht="11.25" customHeight="1">
      <c r="B79" s="1742" t="s">
        <v>2371</v>
      </c>
      <c r="C79" s="1742"/>
      <c r="D79" s="1742"/>
      <c r="E79" s="1742"/>
      <c r="F79" s="1742"/>
      <c r="G79" s="1742"/>
      <c r="H79" s="1742"/>
      <c r="I79" s="1742"/>
    </row>
    <row r="80" spans="1:166">
      <c r="B80" s="1743" t="s">
        <v>1796</v>
      </c>
      <c r="C80" s="1743"/>
      <c r="F80" s="1199" t="s">
        <v>1797</v>
      </c>
    </row>
    <row r="81" spans="2:3">
      <c r="B81" s="1743"/>
      <c r="C81" s="1743"/>
    </row>
    <row r="82" spans="2:3">
      <c r="B82" s="1199" t="s">
        <v>1101</v>
      </c>
      <c r="C82" s="1199"/>
    </row>
    <row r="83" spans="2:3">
      <c r="B83" s="1199" t="s">
        <v>1102</v>
      </c>
      <c r="C83" s="1199"/>
    </row>
    <row r="84" spans="2:3">
      <c r="B84" s="1199" t="s">
        <v>1153</v>
      </c>
      <c r="C84" s="1199"/>
    </row>
    <row r="86" spans="2:3">
      <c r="B86" s="850">
        <v>39</v>
      </c>
    </row>
    <row r="87" spans="2:3">
      <c r="B87" s="850" t="e">
        <f>COUNTIF(#REF!,Yes)</f>
        <v>#REF!</v>
      </c>
    </row>
  </sheetData>
  <sortState xmlns:xlrd2="http://schemas.microsoft.com/office/spreadsheetml/2017/richdata2" ref="FJ8:FJ68">
    <sortCondition ref="FJ8"/>
  </sortState>
  <mergeCells count="3">
    <mergeCell ref="B73:I73"/>
    <mergeCell ref="B74:I74"/>
    <mergeCell ref="B75:I75"/>
  </mergeCells>
  <hyperlinks>
    <hyperlink ref="B82" r:id="rId1" xr:uid="{00000000-0004-0000-4B00-000000000000}"/>
    <hyperlink ref="B83" r:id="rId2" xr:uid="{00000000-0004-0000-4B00-000001000000}"/>
    <hyperlink ref="B84" r:id="rId3" xr:uid="{00000000-0004-0000-4B00-000002000000}"/>
    <hyperlink ref="F80" r:id="rId4" xr:uid="{00000000-0004-0000-4B00-000003000000}"/>
  </hyperlinks>
  <pageMargins left="0.74803149606299213" right="0.74803149606299213" top="0.98425196850393704" bottom="0.98425196850393704" header="0.51181102362204722" footer="0.51181102362204722"/>
  <pageSetup paperSize="9" scale="72" orientation="portrait" r:id="rId5"/>
  <headerFooter scaleWithDoc="0" alignWithMargins="0">
    <oddHeader>&amp;L&amp;"Arial,Regular"RESEARCH PAPER 12/43</oddHeader>
    <oddFooter>&amp;C&amp;"Arial,Regular"&amp;11 44</oddFooter>
  </headerFooter>
  <drawing r:id="rId6"/>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68">
    <pageSetUpPr fitToPage="1"/>
  </sheetPr>
  <dimension ref="A2:M86"/>
  <sheetViews>
    <sheetView showGridLines="0" topLeftCell="G1" zoomScale="70" zoomScaleNormal="70" workbookViewId="0">
      <selection activeCell="M22" sqref="M22"/>
    </sheetView>
  </sheetViews>
  <sheetFormatPr baseColWidth="10" defaultColWidth="9.3984375" defaultRowHeight="13"/>
  <cols>
    <col min="1" max="1" width="13.796875" style="184" customWidth="1"/>
    <col min="2" max="2" width="28.3984375" style="113" customWidth="1"/>
    <col min="3" max="3" width="14.796875" style="113" customWidth="1"/>
    <col min="4" max="4" width="18.3984375" style="113" customWidth="1"/>
    <col min="5" max="5" width="5.3984375" style="153" customWidth="1"/>
    <col min="6" max="6" width="24.796875" style="113" customWidth="1"/>
    <col min="7" max="7" width="9.3984375" style="113" customWidth="1"/>
    <col min="8" max="8" width="13.796875" style="113" bestFit="1" customWidth="1"/>
    <col min="9" max="9" width="13.796875" style="113" customWidth="1"/>
    <col min="10" max="12" width="10.796875" style="113" customWidth="1"/>
    <col min="13" max="16384" width="9.3984375" style="113"/>
  </cols>
  <sheetData>
    <row r="2" spans="1:12" ht="6" customHeight="1"/>
    <row r="3" spans="1:12">
      <c r="B3" s="490" t="s">
        <v>1933</v>
      </c>
      <c r="C3" s="490"/>
      <c r="D3" s="490"/>
      <c r="E3" s="490"/>
      <c r="F3" s="490" t="s">
        <v>1933</v>
      </c>
      <c r="G3" s="490"/>
      <c r="H3" s="153"/>
      <c r="I3" s="153"/>
      <c r="J3" s="153"/>
      <c r="K3" s="153"/>
      <c r="L3" s="153"/>
    </row>
    <row r="4" spans="1:12" ht="4.5" customHeight="1" thickBot="1">
      <c r="B4" s="490"/>
      <c r="C4" s="490"/>
      <c r="D4" s="490"/>
      <c r="E4" s="490"/>
      <c r="F4" s="490"/>
      <c r="G4" s="490"/>
      <c r="H4" s="153"/>
      <c r="I4" s="153"/>
      <c r="J4" s="153"/>
      <c r="K4" s="153"/>
      <c r="L4" s="153"/>
    </row>
    <row r="5" spans="1:12" ht="3" customHeight="1">
      <c r="B5" s="492" t="s">
        <v>652</v>
      </c>
      <c r="C5" s="491"/>
      <c r="D5" s="491"/>
      <c r="F5" s="491"/>
      <c r="G5" s="491"/>
      <c r="H5" s="491"/>
      <c r="I5" s="491"/>
      <c r="J5" s="491"/>
      <c r="K5" s="491"/>
      <c r="L5" s="491"/>
    </row>
    <row r="6" spans="1:12" ht="20.25" customHeight="1">
      <c r="B6" s="494"/>
      <c r="C6" s="3492" t="s">
        <v>1609</v>
      </c>
      <c r="D6" s="3492"/>
      <c r="F6" s="492" t="s">
        <v>652</v>
      </c>
      <c r="G6" s="492" t="s">
        <v>653</v>
      </c>
      <c r="H6" s="493" t="s">
        <v>268</v>
      </c>
      <c r="I6" s="493" t="s">
        <v>16</v>
      </c>
      <c r="J6" s="493" t="s">
        <v>654</v>
      </c>
      <c r="K6" s="493" t="s">
        <v>655</v>
      </c>
      <c r="L6" s="493" t="s">
        <v>1604</v>
      </c>
    </row>
    <row r="7" spans="1:12" s="360" customFormat="1" ht="12.75" customHeight="1">
      <c r="A7" s="660"/>
      <c r="B7" s="516"/>
      <c r="C7" s="495" t="s">
        <v>654</v>
      </c>
      <c r="D7" s="495" t="s">
        <v>1608</v>
      </c>
      <c r="E7" s="494"/>
      <c r="F7" s="494"/>
      <c r="G7" s="494"/>
      <c r="H7" s="495"/>
      <c r="I7" s="495"/>
      <c r="K7" s="495"/>
      <c r="L7" s="495"/>
    </row>
    <row r="8" spans="1:12" s="153" customFormat="1" ht="12.75" customHeight="1">
      <c r="A8" s="661">
        <v>61</v>
      </c>
      <c r="B8" s="492" t="s">
        <v>960</v>
      </c>
      <c r="C8" s="664">
        <f t="shared" ref="C8:C14" si="0">J8/I8</f>
        <v>0.77831685246225446</v>
      </c>
      <c r="D8" s="664">
        <f t="shared" ref="D8:D14" si="1">K8/I8</f>
        <v>0.22168314753774551</v>
      </c>
      <c r="E8" s="492"/>
      <c r="F8" s="492" t="s">
        <v>960</v>
      </c>
      <c r="G8" s="492" t="s">
        <v>175</v>
      </c>
      <c r="H8" s="493"/>
      <c r="I8" s="113">
        <f t="shared" ref="I8:I13" si="2">SUM(J8:K8)</f>
        <v>81003</v>
      </c>
      <c r="J8" s="153">
        <v>63046</v>
      </c>
      <c r="K8" s="493">
        <v>17957</v>
      </c>
      <c r="L8" s="664">
        <f>I8/202026</f>
        <v>0.40095334263906623</v>
      </c>
    </row>
    <row r="9" spans="1:12" s="153" customFormat="1" ht="12.75" customHeight="1">
      <c r="A9" s="661">
        <v>60</v>
      </c>
      <c r="B9" s="492" t="s">
        <v>674</v>
      </c>
      <c r="C9" s="664">
        <f t="shared" si="0"/>
        <v>0.55787531559526127</v>
      </c>
      <c r="D9" s="664">
        <f t="shared" si="1"/>
        <v>0.44212468440473879</v>
      </c>
      <c r="E9" s="492"/>
      <c r="F9" s="492" t="s">
        <v>674</v>
      </c>
      <c r="G9" s="492" t="s">
        <v>175</v>
      </c>
      <c r="H9" s="493"/>
      <c r="I9" s="113">
        <f t="shared" si="2"/>
        <v>82384</v>
      </c>
      <c r="J9" s="153">
        <v>45960</v>
      </c>
      <c r="K9" s="493">
        <v>36424</v>
      </c>
      <c r="L9" s="664">
        <v>0.37680000000000002</v>
      </c>
    </row>
    <row r="10" spans="1:12" s="153" customFormat="1" ht="12.75" customHeight="1">
      <c r="A10" s="661">
        <v>59</v>
      </c>
      <c r="B10" s="492" t="s">
        <v>2818</v>
      </c>
      <c r="C10" s="664">
        <f t="shared" si="0"/>
        <v>0.19337945050220814</v>
      </c>
      <c r="D10" s="664">
        <f t="shared" si="1"/>
        <v>0.80662054949779183</v>
      </c>
      <c r="E10" s="492"/>
      <c r="F10" s="492" t="s">
        <v>2818</v>
      </c>
      <c r="G10" s="492" t="s">
        <v>176</v>
      </c>
      <c r="H10" s="493"/>
      <c r="I10" s="113">
        <f t="shared" si="2"/>
        <v>25587</v>
      </c>
      <c r="J10" s="153">
        <v>4948</v>
      </c>
      <c r="K10" s="493">
        <v>20639</v>
      </c>
      <c r="L10" s="664">
        <v>0.2487</v>
      </c>
    </row>
    <row r="11" spans="1:12" s="153" customFormat="1" ht="12.75" customHeight="1">
      <c r="A11" s="661">
        <v>58</v>
      </c>
      <c r="B11" s="492" t="s">
        <v>61</v>
      </c>
      <c r="C11" s="664">
        <f t="shared" si="0"/>
        <v>0.37508380328903262</v>
      </c>
      <c r="D11" s="664">
        <f t="shared" si="1"/>
        <v>0.62491619671096743</v>
      </c>
      <c r="E11" s="492"/>
      <c r="F11" s="492" t="s">
        <v>61</v>
      </c>
      <c r="G11" s="492" t="s">
        <v>176</v>
      </c>
      <c r="H11" s="493"/>
      <c r="I11" s="113">
        <f t="shared" si="2"/>
        <v>25357</v>
      </c>
      <c r="J11" s="153">
        <v>9511</v>
      </c>
      <c r="K11" s="493">
        <v>15846</v>
      </c>
      <c r="L11" s="664">
        <v>0.253</v>
      </c>
    </row>
    <row r="12" spans="1:12" s="153" customFormat="1" ht="12.75" customHeight="1">
      <c r="A12" s="661">
        <v>57</v>
      </c>
      <c r="B12" s="153" t="s">
        <v>818</v>
      </c>
      <c r="C12" s="664">
        <f t="shared" si="0"/>
        <v>0.57860584188163344</v>
      </c>
      <c r="D12" s="664">
        <f t="shared" si="1"/>
        <v>0.42139415811836656</v>
      </c>
      <c r="E12" s="492"/>
      <c r="F12" s="153" t="s">
        <v>818</v>
      </c>
      <c r="G12" s="492" t="s">
        <v>175</v>
      </c>
      <c r="H12" s="493"/>
      <c r="I12" s="113">
        <f t="shared" si="2"/>
        <v>56249</v>
      </c>
      <c r="J12" s="153">
        <v>32546</v>
      </c>
      <c r="K12" s="493">
        <v>23703</v>
      </c>
      <c r="L12" s="793">
        <v>0.36599999999999999</v>
      </c>
    </row>
    <row r="13" spans="1:12" s="153" customFormat="1" ht="12.75" customHeight="1">
      <c r="A13" s="661">
        <v>56</v>
      </c>
      <c r="B13" s="153" t="s">
        <v>1836</v>
      </c>
      <c r="C13" s="664">
        <f t="shared" si="0"/>
        <v>0.20859340602418999</v>
      </c>
      <c r="D13" s="664">
        <f t="shared" si="1"/>
        <v>0.79140659397581004</v>
      </c>
      <c r="E13" s="492"/>
      <c r="F13" s="153" t="s">
        <v>1836</v>
      </c>
      <c r="G13" s="186" t="s">
        <v>176</v>
      </c>
      <c r="H13" s="500">
        <v>42439</v>
      </c>
      <c r="I13" s="113">
        <f t="shared" si="2"/>
        <v>38611</v>
      </c>
      <c r="J13" s="504">
        <v>8054</v>
      </c>
      <c r="K13" s="504">
        <v>30557</v>
      </c>
      <c r="L13" s="501">
        <v>0.28970000000000001</v>
      </c>
    </row>
    <row r="14" spans="1:12" ht="12" customHeight="1">
      <c r="A14" s="661">
        <v>55</v>
      </c>
      <c r="B14" s="153" t="s">
        <v>1723</v>
      </c>
      <c r="C14" s="150">
        <f t="shared" si="0"/>
        <v>0.69774229074889871</v>
      </c>
      <c r="D14" s="150">
        <f t="shared" si="1"/>
        <v>0.30225770925110135</v>
      </c>
      <c r="F14" s="153" t="s">
        <v>1723</v>
      </c>
      <c r="G14" s="186" t="s">
        <v>175</v>
      </c>
      <c r="H14" s="500" t="s">
        <v>1791</v>
      </c>
      <c r="I14" s="659">
        <f t="shared" ref="I14:I45" si="3">SUM(J14:K14)</f>
        <v>18160</v>
      </c>
      <c r="J14" s="504">
        <v>12671</v>
      </c>
      <c r="K14" s="504">
        <v>5489</v>
      </c>
      <c r="L14" s="501">
        <v>0.33900000000000002</v>
      </c>
    </row>
    <row r="15" spans="1:12" ht="12" customHeight="1">
      <c r="A15" s="661">
        <v>54</v>
      </c>
      <c r="B15" s="113" t="s">
        <v>667</v>
      </c>
      <c r="C15" s="150">
        <f t="shared" ref="C15:C68" si="4">J15/I15</f>
        <v>0.57333597726221164</v>
      </c>
      <c r="D15" s="150">
        <f t="shared" ref="D15:D68" si="5">K15/I15</f>
        <v>0.42666402273778836</v>
      </c>
      <c r="F15" s="113" t="s">
        <v>1800</v>
      </c>
      <c r="G15" s="186" t="s">
        <v>175</v>
      </c>
      <c r="H15" s="500">
        <v>41543</v>
      </c>
      <c r="I15" s="659">
        <f t="shared" si="3"/>
        <v>15129</v>
      </c>
      <c r="J15" s="504">
        <v>8674</v>
      </c>
      <c r="K15" s="504">
        <v>6455</v>
      </c>
      <c r="L15" s="501">
        <v>0.151</v>
      </c>
    </row>
    <row r="16" spans="1:12" ht="12" customHeight="1">
      <c r="A16" s="661">
        <v>53</v>
      </c>
      <c r="B16" s="113" t="s">
        <v>663</v>
      </c>
      <c r="C16" s="150">
        <f t="shared" si="4"/>
        <v>0.41274017380212069</v>
      </c>
      <c r="D16" s="150">
        <f t="shared" si="5"/>
        <v>0.58725982619787931</v>
      </c>
      <c r="F16" s="113" t="s">
        <v>1799</v>
      </c>
      <c r="G16" s="186" t="s">
        <v>176</v>
      </c>
      <c r="H16" s="500">
        <v>41228</v>
      </c>
      <c r="I16" s="659">
        <f t="shared" si="3"/>
        <v>12543</v>
      </c>
      <c r="J16" s="504">
        <v>5177</v>
      </c>
      <c r="K16" s="504">
        <v>7366</v>
      </c>
      <c r="L16" s="501">
        <v>0.18</v>
      </c>
    </row>
    <row r="17" spans="1:13" ht="12" customHeight="1">
      <c r="A17" s="661">
        <v>52</v>
      </c>
      <c r="B17" s="113" t="s">
        <v>1792</v>
      </c>
      <c r="C17" s="150">
        <f t="shared" si="4"/>
        <v>0.61984575835475575</v>
      </c>
      <c r="D17" s="150">
        <f t="shared" si="5"/>
        <v>0.3801542416452442</v>
      </c>
      <c r="F17" s="113" t="s">
        <v>1798</v>
      </c>
      <c r="G17" s="186" t="s">
        <v>175</v>
      </c>
      <c r="H17" s="500">
        <v>41032</v>
      </c>
      <c r="I17" s="659">
        <f t="shared" si="3"/>
        <v>68075</v>
      </c>
      <c r="J17" s="504">
        <v>42196</v>
      </c>
      <c r="K17" s="504">
        <v>25879</v>
      </c>
      <c r="L17" s="501">
        <v>0.307</v>
      </c>
    </row>
    <row r="18" spans="1:13" ht="15" customHeight="1">
      <c r="A18" s="661">
        <v>51</v>
      </c>
      <c r="B18" s="113" t="s">
        <v>372</v>
      </c>
      <c r="C18" s="150">
        <f t="shared" si="4"/>
        <v>0.37839023120040566</v>
      </c>
      <c r="D18" s="150">
        <f t="shared" si="5"/>
        <v>0.62160976879959429</v>
      </c>
      <c r="F18" s="113" t="s">
        <v>372</v>
      </c>
      <c r="G18" s="186" t="s">
        <v>176</v>
      </c>
      <c r="H18" s="500">
        <v>41032</v>
      </c>
      <c r="I18" s="659">
        <f t="shared" si="3"/>
        <v>72967</v>
      </c>
      <c r="J18" s="504">
        <v>27610</v>
      </c>
      <c r="K18" s="504">
        <v>45357</v>
      </c>
      <c r="L18" s="501">
        <v>0.28333398050712538</v>
      </c>
    </row>
    <row r="19" spans="1:13" ht="12" customHeight="1">
      <c r="A19" s="661">
        <v>50</v>
      </c>
      <c r="B19" s="113" t="s">
        <v>1218</v>
      </c>
      <c r="C19" s="150">
        <f t="shared" si="4"/>
        <v>0.34968343257937723</v>
      </c>
      <c r="D19" s="150">
        <f t="shared" si="5"/>
        <v>0.65031656742062283</v>
      </c>
      <c r="F19" s="113" t="s">
        <v>1218</v>
      </c>
      <c r="G19" s="186" t="s">
        <v>176</v>
      </c>
      <c r="H19" s="500">
        <v>41032</v>
      </c>
      <c r="I19" s="659">
        <f t="shared" si="3"/>
        <v>127461</v>
      </c>
      <c r="J19" s="504">
        <v>44571</v>
      </c>
      <c r="K19" s="504">
        <v>82890</v>
      </c>
      <c r="L19" s="501">
        <v>0.32064853714371966</v>
      </c>
    </row>
    <row r="20" spans="1:13" ht="12" customHeight="1">
      <c r="A20" s="661">
        <v>49</v>
      </c>
      <c r="B20" s="113" t="s">
        <v>1217</v>
      </c>
      <c r="C20" s="150">
        <f t="shared" si="4"/>
        <v>0.42512636258449549</v>
      </c>
      <c r="D20" s="150">
        <f t="shared" si="5"/>
        <v>0.57487363741550457</v>
      </c>
      <c r="F20" s="113" t="s">
        <v>1217</v>
      </c>
      <c r="G20" s="186" t="s">
        <v>176</v>
      </c>
      <c r="H20" s="500">
        <v>41032</v>
      </c>
      <c r="I20" s="659">
        <f t="shared" si="3"/>
        <v>49263</v>
      </c>
      <c r="J20" s="504">
        <v>20943</v>
      </c>
      <c r="K20" s="504">
        <v>28320</v>
      </c>
      <c r="L20" s="501">
        <v>0.23849822081285857</v>
      </c>
    </row>
    <row r="21" spans="1:13" ht="12" customHeight="1">
      <c r="A21" s="661">
        <v>48</v>
      </c>
      <c r="B21" s="113" t="s">
        <v>1216</v>
      </c>
      <c r="C21" s="150">
        <f t="shared" si="4"/>
        <v>0.38056830297130673</v>
      </c>
      <c r="D21" s="150">
        <f t="shared" si="5"/>
        <v>0.61943169702869327</v>
      </c>
      <c r="F21" s="113" t="s">
        <v>1216</v>
      </c>
      <c r="G21" s="186" t="s">
        <v>176</v>
      </c>
      <c r="H21" s="500">
        <v>41032</v>
      </c>
      <c r="I21" s="659">
        <f t="shared" si="3"/>
        <v>64719</v>
      </c>
      <c r="J21" s="504">
        <v>24630</v>
      </c>
      <c r="K21" s="504">
        <v>40089</v>
      </c>
      <c r="L21" s="501">
        <v>0.31955739234768699</v>
      </c>
    </row>
    <row r="22" spans="1:13" ht="12" customHeight="1">
      <c r="A22" s="661">
        <v>47</v>
      </c>
      <c r="B22" s="113" t="s">
        <v>1215</v>
      </c>
      <c r="C22" s="150">
        <f t="shared" si="4"/>
        <v>0.46759066505971292</v>
      </c>
      <c r="D22" s="150">
        <f t="shared" si="5"/>
        <v>0.53240933494028708</v>
      </c>
      <c r="F22" s="113" t="s">
        <v>1215</v>
      </c>
      <c r="G22" s="186" t="s">
        <v>176</v>
      </c>
      <c r="H22" s="500">
        <v>41032</v>
      </c>
      <c r="I22" s="659">
        <f t="shared" si="3"/>
        <v>91270</v>
      </c>
      <c r="J22" s="504">
        <v>42677</v>
      </c>
      <c r="K22" s="504">
        <v>48593</v>
      </c>
      <c r="L22" s="501">
        <v>0.24709239365849434</v>
      </c>
    </row>
    <row r="23" spans="1:13" ht="15" customHeight="1">
      <c r="A23" s="661">
        <v>46</v>
      </c>
      <c r="B23" s="113" t="s">
        <v>1214</v>
      </c>
      <c r="C23" s="150">
        <f t="shared" si="4"/>
        <v>0.36653947754622834</v>
      </c>
      <c r="D23" s="150">
        <f t="shared" si="5"/>
        <v>0.6334605224537716</v>
      </c>
      <c r="F23" s="113" t="s">
        <v>1214</v>
      </c>
      <c r="G23" s="186" t="s">
        <v>176</v>
      </c>
      <c r="H23" s="500">
        <v>41032</v>
      </c>
      <c r="I23" s="659">
        <f t="shared" si="3"/>
        <v>170350</v>
      </c>
      <c r="J23" s="504">
        <v>62440</v>
      </c>
      <c r="K23" s="504">
        <v>107910</v>
      </c>
      <c r="L23" s="501">
        <v>0.30279169140309775</v>
      </c>
    </row>
    <row r="24" spans="1:13" ht="12" customHeight="1">
      <c r="A24" s="661">
        <v>45</v>
      </c>
      <c r="B24" s="113" t="s">
        <v>1213</v>
      </c>
      <c r="C24" s="150">
        <f t="shared" si="4"/>
        <v>0.36422337444848796</v>
      </c>
      <c r="D24" s="150">
        <f t="shared" si="5"/>
        <v>0.63577662555151204</v>
      </c>
      <c r="F24" s="113" t="s">
        <v>1213</v>
      </c>
      <c r="G24" s="186" t="s">
        <v>176</v>
      </c>
      <c r="H24" s="500">
        <v>41032</v>
      </c>
      <c r="I24" s="659">
        <f t="shared" si="3"/>
        <v>62102</v>
      </c>
      <c r="J24" s="504">
        <v>22619</v>
      </c>
      <c r="K24" s="504">
        <v>39483</v>
      </c>
      <c r="L24" s="501">
        <v>0.26223513415365385</v>
      </c>
    </row>
    <row r="25" spans="1:13" ht="12" customHeight="1">
      <c r="A25" s="661">
        <v>44</v>
      </c>
      <c r="B25" s="113" t="s">
        <v>1212</v>
      </c>
      <c r="C25" s="150">
        <f t="shared" si="4"/>
        <v>0.53349282296650713</v>
      </c>
      <c r="D25" s="150">
        <f t="shared" si="5"/>
        <v>0.46650717703349281</v>
      </c>
      <c r="F25" s="113" t="s">
        <v>1212</v>
      </c>
      <c r="G25" s="186" t="s">
        <v>175</v>
      </c>
      <c r="H25" s="500">
        <v>41032</v>
      </c>
      <c r="I25" s="659">
        <f t="shared" si="3"/>
        <v>76912</v>
      </c>
      <c r="J25" s="504">
        <v>41032</v>
      </c>
      <c r="K25" s="504">
        <v>35880</v>
      </c>
      <c r="L25" s="501">
        <v>0.24118434710075165</v>
      </c>
    </row>
    <row r="26" spans="1:13" ht="12" customHeight="1">
      <c r="A26" s="661">
        <v>43</v>
      </c>
      <c r="B26" s="113" t="s">
        <v>1211</v>
      </c>
      <c r="C26" s="150">
        <f t="shared" si="4"/>
        <v>0.44870749883558453</v>
      </c>
      <c r="D26" s="150">
        <f t="shared" si="5"/>
        <v>0.55129250116441542</v>
      </c>
      <c r="F26" s="113" t="s">
        <v>1211</v>
      </c>
      <c r="G26" s="186" t="s">
        <v>176</v>
      </c>
      <c r="H26" s="500">
        <v>41032</v>
      </c>
      <c r="I26" s="659">
        <f t="shared" si="3"/>
        <v>120232</v>
      </c>
      <c r="J26" s="504">
        <v>53949</v>
      </c>
      <c r="K26" s="504">
        <v>66283</v>
      </c>
      <c r="L26" s="501">
        <v>0.35245627715272365</v>
      </c>
    </row>
    <row r="27" spans="1:13" ht="12" customHeight="1">
      <c r="A27" s="661">
        <v>42</v>
      </c>
      <c r="B27" s="113" t="s">
        <v>1210</v>
      </c>
      <c r="C27" s="150">
        <f t="shared" si="4"/>
        <v>0.42207325487790853</v>
      </c>
      <c r="D27" s="150">
        <f t="shared" si="5"/>
        <v>0.57792674512209141</v>
      </c>
      <c r="E27" s="514"/>
      <c r="F27" s="113" t="s">
        <v>1210</v>
      </c>
      <c r="G27" s="186" t="s">
        <v>176</v>
      </c>
      <c r="H27" s="500">
        <v>41032</v>
      </c>
      <c r="I27" s="659">
        <f t="shared" si="3"/>
        <v>208696</v>
      </c>
      <c r="J27" s="504">
        <v>88085</v>
      </c>
      <c r="K27" s="504">
        <v>120611</v>
      </c>
      <c r="L27" s="501">
        <v>0.27650460739435451</v>
      </c>
      <c r="M27" s="503"/>
    </row>
    <row r="28" spans="1:13" ht="15" customHeight="1">
      <c r="A28" s="661">
        <v>41</v>
      </c>
      <c r="B28" s="113" t="s">
        <v>1152</v>
      </c>
      <c r="C28" s="150">
        <f t="shared" si="4"/>
        <v>0.55953801980836859</v>
      </c>
      <c r="D28" s="150">
        <f t="shared" si="5"/>
        <v>0.44046198019163146</v>
      </c>
      <c r="E28" s="514"/>
      <c r="F28" s="113" t="s">
        <v>1152</v>
      </c>
      <c r="G28" s="113" t="s">
        <v>175</v>
      </c>
      <c r="H28" s="500">
        <v>40934</v>
      </c>
      <c r="I28" s="659">
        <f t="shared" si="3"/>
        <v>30997</v>
      </c>
      <c r="J28" s="113">
        <v>17344</v>
      </c>
      <c r="K28" s="113">
        <v>13653</v>
      </c>
      <c r="L28" s="501">
        <v>0.18099999999999999</v>
      </c>
    </row>
    <row r="29" spans="1:13" ht="12" customHeight="1">
      <c r="A29" s="661">
        <v>34</v>
      </c>
      <c r="B29" s="502" t="s">
        <v>982</v>
      </c>
      <c r="C29" s="150">
        <f t="shared" si="4"/>
        <v>0.24156983117737338</v>
      </c>
      <c r="D29" s="150">
        <f t="shared" si="5"/>
        <v>0.75843016882262659</v>
      </c>
      <c r="E29" s="514"/>
      <c r="F29" s="502" t="s">
        <v>982</v>
      </c>
      <c r="G29" s="502" t="s">
        <v>657</v>
      </c>
      <c r="H29" s="500">
        <v>38547</v>
      </c>
      <c r="I29" s="659">
        <f t="shared" si="3"/>
        <v>22805</v>
      </c>
      <c r="J29" s="503">
        <v>5509</v>
      </c>
      <c r="K29" s="503">
        <v>17296</v>
      </c>
      <c r="L29" s="501">
        <v>0.33600000000000002</v>
      </c>
    </row>
    <row r="30" spans="1:13" ht="12" customHeight="1">
      <c r="A30" s="661">
        <v>33</v>
      </c>
      <c r="B30" s="502" t="s">
        <v>61</v>
      </c>
      <c r="C30" s="150">
        <f t="shared" si="4"/>
        <v>0.55177677372084499</v>
      </c>
      <c r="D30" s="150">
        <f t="shared" si="5"/>
        <v>0.44822322627915495</v>
      </c>
      <c r="E30" s="514"/>
      <c r="F30" s="502" t="s">
        <v>61</v>
      </c>
      <c r="G30" s="502" t="s">
        <v>660</v>
      </c>
      <c r="H30" s="500">
        <v>38547</v>
      </c>
      <c r="I30" s="659">
        <f t="shared" si="3"/>
        <v>32756</v>
      </c>
      <c r="J30" s="503">
        <v>18074</v>
      </c>
      <c r="K30" s="503">
        <v>14682</v>
      </c>
      <c r="L30" s="501">
        <v>0.32100000000000001</v>
      </c>
    </row>
    <row r="31" spans="1:13" ht="12" customHeight="1">
      <c r="A31" s="661">
        <v>32</v>
      </c>
      <c r="B31" s="502" t="s">
        <v>726</v>
      </c>
      <c r="C31" s="150">
        <f t="shared" si="4"/>
        <v>0.43692606590470984</v>
      </c>
      <c r="D31" s="150">
        <f t="shared" si="5"/>
        <v>0.56307393409529016</v>
      </c>
      <c r="E31" s="514"/>
      <c r="F31" s="502" t="s">
        <v>726</v>
      </c>
      <c r="G31" s="502" t="s">
        <v>657</v>
      </c>
      <c r="H31" s="500">
        <v>38477</v>
      </c>
      <c r="I31" s="659">
        <f t="shared" si="3"/>
        <v>65883</v>
      </c>
      <c r="J31" s="503">
        <v>28786</v>
      </c>
      <c r="K31" s="503">
        <v>37097</v>
      </c>
      <c r="L31" s="501">
        <v>0.624</v>
      </c>
    </row>
    <row r="32" spans="1:13" ht="12" customHeight="1">
      <c r="A32" s="661">
        <v>31</v>
      </c>
      <c r="B32" s="502" t="s">
        <v>60</v>
      </c>
      <c r="C32" s="150">
        <f t="shared" si="4"/>
        <v>0.27472698100512394</v>
      </c>
      <c r="D32" s="150">
        <f t="shared" si="5"/>
        <v>0.72527301899487606</v>
      </c>
      <c r="E32" s="514"/>
      <c r="F32" s="502" t="s">
        <v>60</v>
      </c>
      <c r="G32" s="502" t="s">
        <v>657</v>
      </c>
      <c r="H32" s="500">
        <v>38127</v>
      </c>
      <c r="I32" s="659">
        <f t="shared" si="3"/>
        <v>19321</v>
      </c>
      <c r="J32" s="503">
        <v>5308</v>
      </c>
      <c r="K32" s="503">
        <v>14013</v>
      </c>
      <c r="L32" s="501">
        <v>0.36299999999999999</v>
      </c>
    </row>
    <row r="33" spans="1:12" ht="15" customHeight="1">
      <c r="A33" s="661">
        <v>30</v>
      </c>
      <c r="B33" s="492" t="s">
        <v>682</v>
      </c>
      <c r="C33" s="150">
        <f t="shared" si="4"/>
        <v>0.44786583921550049</v>
      </c>
      <c r="D33" s="150">
        <f t="shared" si="5"/>
        <v>0.55213416078449951</v>
      </c>
      <c r="E33" s="514"/>
      <c r="F33" s="492" t="s">
        <v>682</v>
      </c>
      <c r="G33" s="492" t="s">
        <v>657</v>
      </c>
      <c r="H33" s="500">
        <v>37601</v>
      </c>
      <c r="I33" s="659">
        <f t="shared" si="3"/>
        <v>21109</v>
      </c>
      <c r="J33" s="493">
        <v>9454</v>
      </c>
      <c r="K33" s="493">
        <v>11655</v>
      </c>
      <c r="L33" s="501">
        <v>9.8000000000000004E-2</v>
      </c>
    </row>
    <row r="34" spans="1:12" ht="12" customHeight="1">
      <c r="A34" s="661">
        <v>29</v>
      </c>
      <c r="B34" s="496" t="s">
        <v>681</v>
      </c>
      <c r="C34" s="150">
        <f t="shared" si="4"/>
        <v>0.46169111302847282</v>
      </c>
      <c r="D34" s="150">
        <f t="shared" si="5"/>
        <v>0.53830888697152723</v>
      </c>
      <c r="E34" s="492"/>
      <c r="F34" s="496" t="s">
        <v>681</v>
      </c>
      <c r="G34" s="496" t="s">
        <v>657</v>
      </c>
      <c r="H34" s="498">
        <v>37525</v>
      </c>
      <c r="I34" s="659">
        <f t="shared" si="3"/>
        <v>11590</v>
      </c>
      <c r="J34" s="497">
        <v>5351</v>
      </c>
      <c r="K34" s="497">
        <v>6239</v>
      </c>
      <c r="L34" s="499">
        <v>0.30909999999999999</v>
      </c>
    </row>
    <row r="35" spans="1:12" ht="12" customHeight="1">
      <c r="A35" s="661">
        <v>28</v>
      </c>
      <c r="B35" s="496" t="s">
        <v>680</v>
      </c>
      <c r="C35" s="150">
        <f t="shared" si="4"/>
        <v>0.54971512589597504</v>
      </c>
      <c r="D35" s="150">
        <f t="shared" si="5"/>
        <v>0.45028487410402501</v>
      </c>
      <c r="E35" s="492"/>
      <c r="F35" s="496" t="s">
        <v>680</v>
      </c>
      <c r="G35" s="496" t="s">
        <v>660</v>
      </c>
      <c r="H35" s="498">
        <v>37379</v>
      </c>
      <c r="I35" s="659">
        <f t="shared" si="3"/>
        <v>16323</v>
      </c>
      <c r="J35" s="497">
        <v>8973</v>
      </c>
      <c r="K35" s="497">
        <v>7350</v>
      </c>
      <c r="L35" s="499">
        <v>0.2104</v>
      </c>
    </row>
    <row r="36" spans="1:12" ht="12" customHeight="1">
      <c r="A36" s="661">
        <v>27</v>
      </c>
      <c r="B36" s="496" t="s">
        <v>767</v>
      </c>
      <c r="C36" s="150">
        <f t="shared" si="4"/>
        <v>0.58156936903963075</v>
      </c>
      <c r="D36" s="150">
        <f t="shared" si="5"/>
        <v>0.41843063096036925</v>
      </c>
      <c r="E36" s="492"/>
      <c r="F36" s="496" t="s">
        <v>1606</v>
      </c>
      <c r="G36" s="496" t="s">
        <v>660</v>
      </c>
      <c r="H36" s="498">
        <v>37379</v>
      </c>
      <c r="I36" s="659">
        <f t="shared" si="3"/>
        <v>49179</v>
      </c>
      <c r="J36" s="497">
        <v>28601</v>
      </c>
      <c r="K36" s="497">
        <v>20578</v>
      </c>
      <c r="L36" s="499">
        <v>0.27800000000000002</v>
      </c>
    </row>
    <row r="37" spans="1:12" ht="12" customHeight="1">
      <c r="A37" s="661">
        <v>26</v>
      </c>
      <c r="B37" s="496" t="s">
        <v>679</v>
      </c>
      <c r="C37" s="150">
        <f t="shared" si="4"/>
        <v>0.70074338894563615</v>
      </c>
      <c r="D37" s="150">
        <f t="shared" si="5"/>
        <v>0.29925661105436385</v>
      </c>
      <c r="E37" s="492"/>
      <c r="F37" s="496" t="s">
        <v>679</v>
      </c>
      <c r="G37" s="496" t="s">
        <v>660</v>
      </c>
      <c r="H37" s="498">
        <v>37379</v>
      </c>
      <c r="I37" s="659">
        <f t="shared" si="3"/>
        <v>35244</v>
      </c>
      <c r="J37" s="497">
        <v>24697</v>
      </c>
      <c r="K37" s="497">
        <v>10547</v>
      </c>
      <c r="L37" s="499">
        <v>0.31900000000000001</v>
      </c>
    </row>
    <row r="38" spans="1:12" ht="15" customHeight="1">
      <c r="A38" s="661">
        <v>25</v>
      </c>
      <c r="B38" s="496" t="s">
        <v>678</v>
      </c>
      <c r="C38" s="150">
        <f t="shared" si="4"/>
        <v>0.44017017196956076</v>
      </c>
      <c r="D38" s="150">
        <f t="shared" si="5"/>
        <v>0.55982982803043924</v>
      </c>
      <c r="E38" s="492"/>
      <c r="F38" s="496" t="s">
        <v>678</v>
      </c>
      <c r="G38" s="496" t="s">
        <v>657</v>
      </c>
      <c r="H38" s="498">
        <v>37378</v>
      </c>
      <c r="I38" s="659">
        <f t="shared" si="3"/>
        <v>33378</v>
      </c>
      <c r="J38" s="497">
        <v>14692</v>
      </c>
      <c r="K38" s="497">
        <v>18686</v>
      </c>
      <c r="L38" s="499">
        <v>0.33800000000000002</v>
      </c>
    </row>
    <row r="39" spans="1:12" ht="12" customHeight="1">
      <c r="A39" s="661">
        <v>24</v>
      </c>
      <c r="B39" s="496" t="s">
        <v>1175</v>
      </c>
      <c r="C39" s="150">
        <f t="shared" si="4"/>
        <v>0.43948264125255276</v>
      </c>
      <c r="D39" s="150">
        <f t="shared" si="5"/>
        <v>0.56051735874744724</v>
      </c>
      <c r="E39" s="492"/>
      <c r="F39" s="496" t="s">
        <v>1175</v>
      </c>
      <c r="G39" s="496" t="s">
        <v>657</v>
      </c>
      <c r="H39" s="498">
        <v>37378</v>
      </c>
      <c r="I39" s="659">
        <f t="shared" si="3"/>
        <v>29380</v>
      </c>
      <c r="J39" s="497">
        <v>12912</v>
      </c>
      <c r="K39" s="497">
        <v>16468</v>
      </c>
      <c r="L39" s="499">
        <v>0.315</v>
      </c>
    </row>
    <row r="40" spans="1:12" ht="12" customHeight="1">
      <c r="A40" s="661">
        <v>23</v>
      </c>
      <c r="B40" s="496" t="s">
        <v>677</v>
      </c>
      <c r="C40" s="150">
        <f t="shared" si="4"/>
        <v>0.67145315374117365</v>
      </c>
      <c r="D40" s="150">
        <f t="shared" si="5"/>
        <v>0.3285468462588263</v>
      </c>
      <c r="E40" s="492"/>
      <c r="F40" s="496" t="s">
        <v>677</v>
      </c>
      <c r="G40" s="496" t="s">
        <v>660</v>
      </c>
      <c r="H40" s="498">
        <v>37308</v>
      </c>
      <c r="I40" s="659">
        <f t="shared" si="3"/>
        <v>16853</v>
      </c>
      <c r="J40" s="497">
        <v>11316</v>
      </c>
      <c r="K40" s="497">
        <v>5537</v>
      </c>
      <c r="L40" s="499">
        <v>0.155</v>
      </c>
    </row>
    <row r="41" spans="1:12" ht="12" customHeight="1">
      <c r="A41" s="661">
        <v>22</v>
      </c>
      <c r="B41" s="496" t="s">
        <v>676</v>
      </c>
      <c r="C41" s="150">
        <f t="shared" si="4"/>
        <v>0.44033033498759305</v>
      </c>
      <c r="D41" s="150">
        <f t="shared" si="5"/>
        <v>0.559669665012407</v>
      </c>
      <c r="E41" s="492"/>
      <c r="F41" s="496" t="s">
        <v>676</v>
      </c>
      <c r="G41" s="496" t="s">
        <v>657</v>
      </c>
      <c r="H41" s="498">
        <v>37287</v>
      </c>
      <c r="I41" s="659">
        <f t="shared" si="3"/>
        <v>25792</v>
      </c>
      <c r="J41" s="497">
        <v>11357</v>
      </c>
      <c r="K41" s="497">
        <v>14435</v>
      </c>
      <c r="L41" s="499">
        <v>0.36299999999999999</v>
      </c>
    </row>
    <row r="42" spans="1:12" ht="12" customHeight="1">
      <c r="A42" s="661">
        <v>21</v>
      </c>
      <c r="B42" s="496" t="s">
        <v>675</v>
      </c>
      <c r="C42" s="150">
        <f t="shared" si="4"/>
        <v>0.22578596379803112</v>
      </c>
      <c r="D42" s="150">
        <f t="shared" si="5"/>
        <v>0.77421403620196882</v>
      </c>
      <c r="E42" s="492"/>
      <c r="F42" s="496" t="s">
        <v>675</v>
      </c>
      <c r="G42" s="496" t="s">
        <v>657</v>
      </c>
      <c r="H42" s="498">
        <v>37287</v>
      </c>
      <c r="I42" s="659">
        <f t="shared" si="3"/>
        <v>15745</v>
      </c>
      <c r="J42" s="497">
        <v>3555</v>
      </c>
      <c r="K42" s="497">
        <v>12190</v>
      </c>
      <c r="L42" s="499">
        <v>0.41799999999999998</v>
      </c>
    </row>
    <row r="43" spans="1:12" ht="15" customHeight="1">
      <c r="A43" s="661">
        <v>20</v>
      </c>
      <c r="B43" s="496" t="s">
        <v>674</v>
      </c>
      <c r="C43" s="150">
        <f t="shared" si="4"/>
        <v>0.68242803504380478</v>
      </c>
      <c r="D43" s="150">
        <f t="shared" si="5"/>
        <v>0.31757196495619522</v>
      </c>
      <c r="E43" s="492"/>
      <c r="F43" s="496" t="s">
        <v>674</v>
      </c>
      <c r="G43" s="496" t="s">
        <v>660</v>
      </c>
      <c r="H43" s="498">
        <v>37287</v>
      </c>
      <c r="I43" s="659">
        <f t="shared" si="3"/>
        <v>39950</v>
      </c>
      <c r="J43" s="497">
        <v>27263</v>
      </c>
      <c r="K43" s="497">
        <v>12687</v>
      </c>
      <c r="L43" s="499">
        <v>0.25900000000000001</v>
      </c>
    </row>
    <row r="44" spans="1:12" ht="12" customHeight="1">
      <c r="A44" s="661">
        <v>19</v>
      </c>
      <c r="B44" s="496" t="s">
        <v>673</v>
      </c>
      <c r="C44" s="150">
        <f t="shared" si="4"/>
        <v>0.31415079653365158</v>
      </c>
      <c r="D44" s="150">
        <f t="shared" si="5"/>
        <v>0.68584920346634837</v>
      </c>
      <c r="E44" s="492"/>
      <c r="F44" s="496" t="s">
        <v>673</v>
      </c>
      <c r="G44" s="496" t="s">
        <v>657</v>
      </c>
      <c r="H44" s="498">
        <v>37287</v>
      </c>
      <c r="I44" s="659">
        <f t="shared" si="3"/>
        <v>19271</v>
      </c>
      <c r="J44" s="497">
        <v>6054</v>
      </c>
      <c r="K44" s="497">
        <v>13217</v>
      </c>
      <c r="L44" s="499">
        <v>0.112</v>
      </c>
    </row>
    <row r="45" spans="1:12" ht="12.75" customHeight="1">
      <c r="A45" s="661">
        <v>18</v>
      </c>
      <c r="B45" s="496" t="s">
        <v>672</v>
      </c>
      <c r="C45" s="150">
        <f t="shared" si="4"/>
        <v>0.40844272488600247</v>
      </c>
      <c r="D45" s="150">
        <f t="shared" si="5"/>
        <v>0.59155727511399747</v>
      </c>
      <c r="E45" s="492"/>
      <c r="F45" s="496" t="s">
        <v>672</v>
      </c>
      <c r="G45" s="496" t="s">
        <v>657</v>
      </c>
      <c r="H45" s="498">
        <v>36915</v>
      </c>
      <c r="I45" s="659">
        <f t="shared" si="3"/>
        <v>72370</v>
      </c>
      <c r="J45" s="497">
        <v>29559</v>
      </c>
      <c r="K45" s="497">
        <v>42811</v>
      </c>
      <c r="L45" s="499">
        <v>0.39800000000000002</v>
      </c>
    </row>
    <row r="46" spans="1:12" ht="12" customHeight="1">
      <c r="A46" s="661">
        <v>17</v>
      </c>
      <c r="B46" s="496" t="s">
        <v>671</v>
      </c>
      <c r="C46" s="150">
        <f t="shared" si="4"/>
        <v>0.25478687578177622</v>
      </c>
      <c r="D46" s="150">
        <f t="shared" si="5"/>
        <v>0.74521312421822383</v>
      </c>
      <c r="E46" s="492"/>
      <c r="F46" s="496" t="s">
        <v>671</v>
      </c>
      <c r="G46" s="496" t="s">
        <v>657</v>
      </c>
      <c r="H46" s="498">
        <v>36915</v>
      </c>
      <c r="I46" s="659">
        <f t="shared" ref="I46:I68" si="6">SUM(J46:K46)</f>
        <v>20786</v>
      </c>
      <c r="J46" s="497">
        <v>5296</v>
      </c>
      <c r="K46" s="497">
        <v>15490</v>
      </c>
      <c r="L46" s="499">
        <v>0.36380000000000001</v>
      </c>
    </row>
    <row r="47" spans="1:12" ht="12" customHeight="1">
      <c r="A47" s="661">
        <v>16</v>
      </c>
      <c r="B47" s="496" t="s">
        <v>670</v>
      </c>
      <c r="C47" s="150">
        <f t="shared" si="4"/>
        <v>0.42629579111457522</v>
      </c>
      <c r="D47" s="150">
        <f t="shared" si="5"/>
        <v>0.57370420888542484</v>
      </c>
      <c r="E47" s="492"/>
      <c r="F47" s="496" t="s">
        <v>670</v>
      </c>
      <c r="G47" s="496" t="s">
        <v>657</v>
      </c>
      <c r="H47" s="498">
        <v>37232</v>
      </c>
      <c r="I47" s="659">
        <f t="shared" si="6"/>
        <v>41056</v>
      </c>
      <c r="J47" s="497">
        <v>17502</v>
      </c>
      <c r="K47" s="497">
        <v>23554</v>
      </c>
      <c r="L47" s="499">
        <v>0.26</v>
      </c>
    </row>
    <row r="48" spans="1:12" ht="12.75" hidden="1" customHeight="1">
      <c r="A48" s="661">
        <v>35</v>
      </c>
      <c r="B48" s="502" t="s">
        <v>1176</v>
      </c>
      <c r="C48" s="150">
        <f t="shared" si="4"/>
        <v>0.38618524332810045</v>
      </c>
      <c r="D48" s="150">
        <f t="shared" si="5"/>
        <v>0.61381475667189955</v>
      </c>
      <c r="E48" s="490"/>
      <c r="F48" s="502" t="s">
        <v>1176</v>
      </c>
      <c r="G48" s="502" t="s">
        <v>657</v>
      </c>
      <c r="H48" s="500">
        <v>38841</v>
      </c>
      <c r="I48" s="659">
        <f t="shared" si="6"/>
        <v>30576</v>
      </c>
      <c r="J48" s="503">
        <v>11808</v>
      </c>
      <c r="K48" s="503">
        <v>18768</v>
      </c>
      <c r="L48" s="501">
        <v>0.35299999999999998</v>
      </c>
    </row>
    <row r="49" spans="1:12" ht="4.5" hidden="1" customHeight="1" thickBot="1">
      <c r="A49" s="661">
        <v>36</v>
      </c>
      <c r="B49" s="502" t="s">
        <v>597</v>
      </c>
      <c r="C49" s="150">
        <f t="shared" si="4"/>
        <v>0.41552558962878117</v>
      </c>
      <c r="D49" s="150">
        <f t="shared" si="5"/>
        <v>0.58447441037121883</v>
      </c>
      <c r="E49" s="490"/>
      <c r="F49" s="502" t="s">
        <v>597</v>
      </c>
      <c r="G49" s="502" t="s">
        <v>657</v>
      </c>
      <c r="H49" s="500">
        <v>39352</v>
      </c>
      <c r="I49" s="659">
        <f t="shared" si="6"/>
        <v>19207</v>
      </c>
      <c r="J49" s="503">
        <v>7981</v>
      </c>
      <c r="K49" s="503">
        <v>11226</v>
      </c>
      <c r="L49" s="501">
        <v>0.247</v>
      </c>
    </row>
    <row r="50" spans="1:12" ht="3" hidden="1" customHeight="1">
      <c r="A50" s="661">
        <v>37</v>
      </c>
      <c r="B50" s="502" t="s">
        <v>966</v>
      </c>
      <c r="C50" s="150">
        <f t="shared" si="4"/>
        <v>0.40127314365563016</v>
      </c>
      <c r="D50" s="150">
        <f t="shared" si="5"/>
        <v>0.59872685634436984</v>
      </c>
      <c r="F50" s="502" t="s">
        <v>966</v>
      </c>
      <c r="G50" s="502" t="s">
        <v>657</v>
      </c>
      <c r="H50" s="500">
        <v>39632</v>
      </c>
      <c r="I50" s="659">
        <f t="shared" si="6"/>
        <v>25763</v>
      </c>
      <c r="J50" s="503">
        <v>10338</v>
      </c>
      <c r="K50" s="503">
        <v>15425</v>
      </c>
      <c r="L50" s="501">
        <v>0.183</v>
      </c>
    </row>
    <row r="51" spans="1:12" ht="12.75" hidden="1" customHeight="1">
      <c r="A51" s="661">
        <v>38</v>
      </c>
      <c r="B51" s="496" t="s">
        <v>1793</v>
      </c>
      <c r="C51" s="150">
        <f t="shared" si="4"/>
        <v>0.59266393099405412</v>
      </c>
      <c r="D51" s="150">
        <f t="shared" si="5"/>
        <v>0.40733606900594588</v>
      </c>
      <c r="E51" s="492"/>
      <c r="F51" s="496" t="s">
        <v>1793</v>
      </c>
      <c r="G51" s="502" t="s">
        <v>176</v>
      </c>
      <c r="H51" s="500">
        <v>39744</v>
      </c>
      <c r="I51" s="659">
        <f t="shared" si="6"/>
        <v>35823</v>
      </c>
      <c r="J51" s="249">
        <v>21231</v>
      </c>
      <c r="K51" s="503">
        <v>14592</v>
      </c>
      <c r="L51" s="501">
        <v>0.192</v>
      </c>
    </row>
    <row r="52" spans="1:12" ht="1.5" hidden="1" customHeight="1">
      <c r="A52" s="661">
        <v>39</v>
      </c>
      <c r="B52" s="113" t="s">
        <v>960</v>
      </c>
      <c r="C52" s="150">
        <f t="shared" si="4"/>
        <v>0.60386622273020918</v>
      </c>
      <c r="D52" s="150">
        <f t="shared" si="5"/>
        <v>0.39613377726979077</v>
      </c>
      <c r="E52" s="492"/>
      <c r="F52" s="113" t="s">
        <v>960</v>
      </c>
      <c r="G52" s="113" t="s">
        <v>175</v>
      </c>
      <c r="H52" s="500">
        <v>40304</v>
      </c>
      <c r="I52" s="659">
        <f t="shared" si="6"/>
        <v>100615</v>
      </c>
      <c r="J52" s="113">
        <v>60758</v>
      </c>
      <c r="K52" s="113">
        <v>39857</v>
      </c>
      <c r="L52" s="501">
        <v>0.621</v>
      </c>
    </row>
    <row r="53" spans="1:12" ht="4.5" hidden="1" customHeight="1">
      <c r="A53" s="661">
        <v>40</v>
      </c>
      <c r="B53" s="113" t="s">
        <v>983</v>
      </c>
      <c r="C53" s="150">
        <f t="shared" si="4"/>
        <v>0.39191296888403648</v>
      </c>
      <c r="D53" s="150">
        <f t="shared" si="5"/>
        <v>0.60808703111596352</v>
      </c>
      <c r="E53" s="492"/>
      <c r="F53" s="113" t="s">
        <v>983</v>
      </c>
      <c r="G53" s="113" t="s">
        <v>176</v>
      </c>
      <c r="H53" s="500">
        <v>40668</v>
      </c>
      <c r="I53" s="659">
        <f t="shared" si="6"/>
        <v>25646</v>
      </c>
      <c r="J53" s="113">
        <v>10051</v>
      </c>
      <c r="K53" s="113">
        <v>15595</v>
      </c>
      <c r="L53" s="501">
        <v>0.36</v>
      </c>
    </row>
    <row r="54" spans="1:12" ht="15" customHeight="1">
      <c r="A54" s="661">
        <v>15</v>
      </c>
      <c r="B54" s="496" t="s">
        <v>249</v>
      </c>
      <c r="C54" s="150">
        <f t="shared" si="4"/>
        <v>0.41017683857938031</v>
      </c>
      <c r="D54" s="150">
        <f t="shared" si="5"/>
        <v>0.58982316142061963</v>
      </c>
      <c r="E54" s="492"/>
      <c r="F54" s="496" t="s">
        <v>249</v>
      </c>
      <c r="G54" s="496" t="s">
        <v>657</v>
      </c>
      <c r="H54" s="498">
        <v>37215</v>
      </c>
      <c r="I54" s="659">
        <f t="shared" si="6"/>
        <v>20301</v>
      </c>
      <c r="J54" s="497">
        <v>8327</v>
      </c>
      <c r="K54" s="497">
        <v>11974</v>
      </c>
      <c r="L54" s="499">
        <v>0.28499999999999998</v>
      </c>
    </row>
    <row r="55" spans="1:12" ht="12" customHeight="1">
      <c r="A55" s="661">
        <v>14</v>
      </c>
      <c r="B55" s="496" t="s">
        <v>669</v>
      </c>
      <c r="C55" s="150">
        <f t="shared" si="4"/>
        <v>0.44078307392996108</v>
      </c>
      <c r="D55" s="150">
        <f t="shared" si="5"/>
        <v>0.55921692607003892</v>
      </c>
      <c r="E55" s="492"/>
      <c r="F55" s="496" t="s">
        <v>669</v>
      </c>
      <c r="G55" s="496" t="s">
        <v>657</v>
      </c>
      <c r="H55" s="498">
        <v>37203</v>
      </c>
      <c r="I55" s="659">
        <f t="shared" si="6"/>
        <v>16448</v>
      </c>
      <c r="J55" s="497">
        <v>7250</v>
      </c>
      <c r="K55" s="497">
        <v>9198</v>
      </c>
      <c r="L55" s="499">
        <v>0.28299999999999997</v>
      </c>
    </row>
    <row r="56" spans="1:12" ht="12" customHeight="1">
      <c r="A56" s="661">
        <v>13</v>
      </c>
      <c r="B56" s="496" t="s">
        <v>668</v>
      </c>
      <c r="C56" s="150">
        <f t="shared" si="4"/>
        <v>0.37912509593246352</v>
      </c>
      <c r="D56" s="150">
        <f t="shared" si="5"/>
        <v>0.62087490406753643</v>
      </c>
      <c r="E56" s="492"/>
      <c r="F56" s="496" t="s">
        <v>668</v>
      </c>
      <c r="G56" s="496" t="s">
        <v>657</v>
      </c>
      <c r="H56" s="498">
        <v>37182</v>
      </c>
      <c r="I56" s="659">
        <f t="shared" si="6"/>
        <v>59938</v>
      </c>
      <c r="J56" s="497">
        <v>22724</v>
      </c>
      <c r="K56" s="497">
        <v>37214</v>
      </c>
      <c r="L56" s="499">
        <v>0.316</v>
      </c>
    </row>
    <row r="57" spans="1:12" ht="12" customHeight="1">
      <c r="A57" s="661">
        <v>12</v>
      </c>
      <c r="B57" s="496" t="s">
        <v>667</v>
      </c>
      <c r="C57" s="150">
        <f t="shared" si="4"/>
        <v>0.84279045492765814</v>
      </c>
      <c r="D57" s="150">
        <f t="shared" si="5"/>
        <v>0.15720954507234192</v>
      </c>
      <c r="E57" s="492"/>
      <c r="F57" s="496" t="s">
        <v>667</v>
      </c>
      <c r="G57" s="496" t="s">
        <v>660</v>
      </c>
      <c r="H57" s="498">
        <v>37182</v>
      </c>
      <c r="I57" s="659">
        <f t="shared" si="6"/>
        <v>34489</v>
      </c>
      <c r="J57" s="497">
        <v>29067</v>
      </c>
      <c r="K57" s="497">
        <v>5422</v>
      </c>
      <c r="L57" s="499">
        <v>0.34</v>
      </c>
    </row>
    <row r="58" spans="1:12" ht="12" customHeight="1">
      <c r="A58" s="661">
        <v>11</v>
      </c>
      <c r="B58" s="496" t="s">
        <v>666</v>
      </c>
      <c r="C58" s="150">
        <f t="shared" si="4"/>
        <v>0.47241854469484817</v>
      </c>
      <c r="D58" s="150">
        <f t="shared" si="5"/>
        <v>0.52758145530515177</v>
      </c>
      <c r="E58" s="492"/>
      <c r="F58" s="496" t="s">
        <v>666</v>
      </c>
      <c r="G58" s="496" t="s">
        <v>657</v>
      </c>
      <c r="H58" s="498">
        <v>37182</v>
      </c>
      <c r="I58" s="659">
        <f t="shared" si="6"/>
        <v>22497</v>
      </c>
      <c r="J58" s="497">
        <v>10628</v>
      </c>
      <c r="K58" s="497">
        <v>11869</v>
      </c>
      <c r="L58" s="499">
        <v>0.33300000000000002</v>
      </c>
    </row>
    <row r="59" spans="1:12" ht="15" customHeight="1">
      <c r="A59" s="661">
        <v>10</v>
      </c>
      <c r="B59" s="496" t="s">
        <v>665</v>
      </c>
      <c r="C59" s="150">
        <f t="shared" si="4"/>
        <v>0.57578294455648993</v>
      </c>
      <c r="D59" s="150">
        <f t="shared" si="5"/>
        <v>0.42421705544351002</v>
      </c>
      <c r="E59" s="492"/>
      <c r="F59" s="496" t="s">
        <v>665</v>
      </c>
      <c r="G59" s="496" t="s">
        <v>660</v>
      </c>
      <c r="H59" s="498">
        <v>37182</v>
      </c>
      <c r="I59" s="659">
        <f t="shared" si="6"/>
        <v>52558</v>
      </c>
      <c r="J59" s="497">
        <v>30262</v>
      </c>
      <c r="K59" s="497">
        <v>22296</v>
      </c>
      <c r="L59" s="499">
        <v>0.36</v>
      </c>
    </row>
    <row r="60" spans="1:12" ht="12" customHeight="1">
      <c r="A60" s="661">
        <v>9</v>
      </c>
      <c r="B60" s="496" t="s">
        <v>664</v>
      </c>
      <c r="C60" s="150">
        <f t="shared" si="4"/>
        <v>0.51386852394916915</v>
      </c>
      <c r="D60" s="150">
        <f t="shared" si="5"/>
        <v>0.4861314760508309</v>
      </c>
      <c r="E60" s="492"/>
      <c r="F60" s="496" t="s">
        <v>664</v>
      </c>
      <c r="G60" s="496" t="s">
        <v>660</v>
      </c>
      <c r="H60" s="498">
        <v>37182</v>
      </c>
      <c r="I60" s="659">
        <f t="shared" si="6"/>
        <v>32736</v>
      </c>
      <c r="J60" s="497">
        <v>16822</v>
      </c>
      <c r="K60" s="497">
        <v>15914</v>
      </c>
      <c r="L60" s="499">
        <v>0.18</v>
      </c>
    </row>
    <row r="61" spans="1:12" ht="12" customHeight="1">
      <c r="A61" s="661">
        <v>8</v>
      </c>
      <c r="B61" s="496" t="s">
        <v>663</v>
      </c>
      <c r="C61" s="150">
        <f t="shared" si="4"/>
        <v>0.50889747626544535</v>
      </c>
      <c r="D61" s="150">
        <f t="shared" si="5"/>
        <v>0.49110252373455465</v>
      </c>
      <c r="E61" s="492"/>
      <c r="F61" s="496" t="s">
        <v>663</v>
      </c>
      <c r="G61" s="496" t="s">
        <v>660</v>
      </c>
      <c r="H61" s="498">
        <v>37182</v>
      </c>
      <c r="I61" s="659">
        <f t="shared" si="6"/>
        <v>20961</v>
      </c>
      <c r="J61" s="497">
        <v>10667</v>
      </c>
      <c r="K61" s="497">
        <v>10294</v>
      </c>
      <c r="L61" s="499">
        <v>0.31</v>
      </c>
    </row>
    <row r="62" spans="1:12" ht="12" customHeight="1">
      <c r="A62" s="661">
        <v>7</v>
      </c>
      <c r="B62" s="496" t="s">
        <v>662</v>
      </c>
      <c r="C62" s="150">
        <f t="shared" si="4"/>
        <v>0.4400055040821943</v>
      </c>
      <c r="D62" s="150">
        <f t="shared" si="5"/>
        <v>0.5599944959178057</v>
      </c>
      <c r="E62" s="492"/>
      <c r="F62" s="496" t="s">
        <v>662</v>
      </c>
      <c r="G62" s="496" t="s">
        <v>657</v>
      </c>
      <c r="H62" s="498">
        <v>37175</v>
      </c>
      <c r="I62" s="659">
        <f t="shared" si="6"/>
        <v>21802</v>
      </c>
      <c r="J62" s="497">
        <v>9593</v>
      </c>
      <c r="K62" s="497">
        <v>12209</v>
      </c>
      <c r="L62" s="499">
        <v>0.1</v>
      </c>
    </row>
    <row r="63" spans="1:12" ht="12" customHeight="1">
      <c r="A63" s="661">
        <v>6</v>
      </c>
      <c r="B63" s="496" t="s">
        <v>661</v>
      </c>
      <c r="C63" s="150">
        <f t="shared" si="4"/>
        <v>0.26658103077649031</v>
      </c>
      <c r="D63" s="150">
        <f t="shared" si="5"/>
        <v>0.73341896922350969</v>
      </c>
      <c r="E63" s="492"/>
      <c r="F63" s="496" t="s">
        <v>661</v>
      </c>
      <c r="G63" s="496" t="s">
        <v>657</v>
      </c>
      <c r="H63" s="498">
        <v>37168</v>
      </c>
      <c r="I63" s="659">
        <f t="shared" si="6"/>
        <v>38146</v>
      </c>
      <c r="J63" s="497">
        <v>10169</v>
      </c>
      <c r="K63" s="497">
        <v>27977</v>
      </c>
      <c r="L63" s="499">
        <v>0.13</v>
      </c>
    </row>
    <row r="64" spans="1:12" ht="15" customHeight="1">
      <c r="A64" s="661">
        <v>5</v>
      </c>
      <c r="B64" s="496" t="s">
        <v>819</v>
      </c>
      <c r="C64" s="150">
        <f t="shared" si="4"/>
        <v>0.64635102368233943</v>
      </c>
      <c r="D64" s="150">
        <f t="shared" si="5"/>
        <v>0.35364897631766057</v>
      </c>
      <c r="E64" s="492"/>
      <c r="F64" s="496" t="s">
        <v>1605</v>
      </c>
      <c r="G64" s="496" t="s">
        <v>660</v>
      </c>
      <c r="H64" s="498">
        <v>37154</v>
      </c>
      <c r="I64" s="659">
        <f t="shared" si="6"/>
        <v>54851</v>
      </c>
      <c r="J64" s="497">
        <v>35453</v>
      </c>
      <c r="K64" s="497">
        <v>19398</v>
      </c>
      <c r="L64" s="499">
        <v>0.25</v>
      </c>
    </row>
    <row r="65" spans="1:12" ht="12" customHeight="1">
      <c r="A65" s="661">
        <v>4</v>
      </c>
      <c r="B65" s="496" t="s">
        <v>659</v>
      </c>
      <c r="C65" s="150">
        <f t="shared" si="4"/>
        <v>0.51678397401191123</v>
      </c>
      <c r="D65" s="150">
        <f t="shared" si="5"/>
        <v>0.48321602598808877</v>
      </c>
      <c r="E65" s="492"/>
      <c r="F65" s="496" t="s">
        <v>659</v>
      </c>
      <c r="G65" s="496" t="s">
        <v>660</v>
      </c>
      <c r="H65" s="498">
        <v>37084</v>
      </c>
      <c r="I65" s="659">
        <f t="shared" si="6"/>
        <v>14776</v>
      </c>
      <c r="J65" s="497">
        <v>7636</v>
      </c>
      <c r="K65" s="497">
        <v>7140</v>
      </c>
      <c r="L65" s="499">
        <v>0.245</v>
      </c>
    </row>
    <row r="66" spans="1:12" ht="12" customHeight="1">
      <c r="A66" s="661">
        <v>3</v>
      </c>
      <c r="B66" s="496" t="s">
        <v>658</v>
      </c>
      <c r="C66" s="150">
        <f t="shared" si="4"/>
        <v>0.32148203592814373</v>
      </c>
      <c r="D66" s="150">
        <f t="shared" si="5"/>
        <v>0.67851796407185627</v>
      </c>
      <c r="E66" s="492"/>
      <c r="F66" s="496" t="s">
        <v>658</v>
      </c>
      <c r="G66" s="496" t="s">
        <v>657</v>
      </c>
      <c r="H66" s="498">
        <v>37070</v>
      </c>
      <c r="I66" s="659">
        <f t="shared" si="6"/>
        <v>24048</v>
      </c>
      <c r="J66" s="497">
        <v>7731</v>
      </c>
      <c r="K66" s="497">
        <v>16317</v>
      </c>
      <c r="L66" s="499">
        <v>0.308</v>
      </c>
    </row>
    <row r="67" spans="1:12" ht="12" customHeight="1">
      <c r="A67" s="661">
        <v>2</v>
      </c>
      <c r="B67" s="496" t="s">
        <v>1508</v>
      </c>
      <c r="C67" s="150">
        <f t="shared" si="4"/>
        <v>0.32744581729795424</v>
      </c>
      <c r="D67" s="150">
        <f t="shared" si="5"/>
        <v>0.67255418270204581</v>
      </c>
      <c r="E67" s="492"/>
      <c r="F67" s="496" t="s">
        <v>1508</v>
      </c>
      <c r="G67" s="496" t="s">
        <v>657</v>
      </c>
      <c r="H67" s="498">
        <v>37070</v>
      </c>
      <c r="I67" s="659">
        <f t="shared" si="6"/>
        <v>24685</v>
      </c>
      <c r="J67" s="497">
        <v>8083</v>
      </c>
      <c r="K67" s="497">
        <v>16602</v>
      </c>
      <c r="L67" s="499">
        <v>0.31</v>
      </c>
    </row>
    <row r="68" spans="1:12" ht="12" customHeight="1">
      <c r="A68" s="661">
        <v>1</v>
      </c>
      <c r="B68" s="496" t="s">
        <v>656</v>
      </c>
      <c r="C68" s="150">
        <f t="shared" si="4"/>
        <v>0.26155181141080336</v>
      </c>
      <c r="D68" s="150">
        <f t="shared" si="5"/>
        <v>0.73844818858919659</v>
      </c>
      <c r="E68" s="492"/>
      <c r="F68" s="496" t="s">
        <v>656</v>
      </c>
      <c r="G68" s="496" t="s">
        <v>657</v>
      </c>
      <c r="H68" s="498">
        <v>37049</v>
      </c>
      <c r="I68" s="659">
        <f t="shared" si="6"/>
        <v>13829</v>
      </c>
      <c r="J68" s="497">
        <v>3617</v>
      </c>
      <c r="K68" s="497">
        <v>10212</v>
      </c>
      <c r="L68" s="499">
        <v>0.63800000000000001</v>
      </c>
    </row>
    <row r="69" spans="1:12" ht="3" customHeight="1" thickBot="1">
      <c r="A69" s="661"/>
      <c r="B69" s="505"/>
      <c r="C69" s="505"/>
      <c r="D69" s="505"/>
      <c r="E69" s="492"/>
      <c r="F69" s="505"/>
      <c r="G69" s="505"/>
      <c r="H69" s="506"/>
      <c r="I69" s="506"/>
      <c r="J69" s="507"/>
      <c r="K69" s="507"/>
      <c r="L69" s="508"/>
    </row>
    <row r="70" spans="1:12" ht="3" customHeight="1"/>
    <row r="71" spans="1:12" ht="11.25" customHeight="1">
      <c r="B71" s="113" t="s">
        <v>1113</v>
      </c>
      <c r="F71" s="113" t="s">
        <v>1113</v>
      </c>
    </row>
    <row r="72" spans="1:12" ht="11.25" customHeight="1">
      <c r="B72" s="113" t="s">
        <v>1417</v>
      </c>
      <c r="F72" s="113" t="s">
        <v>1417</v>
      </c>
    </row>
    <row r="73" spans="1:12" ht="22.5" customHeight="1">
      <c r="A73" s="662"/>
      <c r="B73" s="509" t="s">
        <v>1418</v>
      </c>
      <c r="C73" s="509"/>
      <c r="D73" s="509"/>
      <c r="E73" s="512"/>
      <c r="F73" s="509"/>
      <c r="G73" s="509"/>
      <c r="H73" s="513"/>
      <c r="I73" s="513"/>
      <c r="J73" s="509"/>
    </row>
    <row r="74" spans="1:12" ht="22.5" customHeight="1">
      <c r="A74" s="662"/>
      <c r="B74" s="509" t="s">
        <v>1419</v>
      </c>
      <c r="C74" s="509"/>
      <c r="D74" s="509"/>
      <c r="E74" s="512"/>
      <c r="F74" s="509"/>
      <c r="G74" s="509"/>
      <c r="H74" s="513"/>
      <c r="I74" s="513"/>
      <c r="J74" s="509"/>
    </row>
    <row r="75" spans="1:12" ht="2.25" customHeight="1">
      <c r="A75" s="662"/>
      <c r="B75" s="509"/>
      <c r="C75" s="509"/>
      <c r="D75" s="509"/>
      <c r="E75" s="512"/>
      <c r="F75" s="509"/>
      <c r="G75" s="509"/>
      <c r="H75" s="509"/>
      <c r="I75" s="509"/>
      <c r="J75" s="509"/>
      <c r="K75" s="509"/>
      <c r="L75" s="509"/>
    </row>
    <row r="76" spans="1:12" ht="11.25" customHeight="1">
      <c r="B76" s="113" t="s">
        <v>1171</v>
      </c>
      <c r="F76" s="113" t="s">
        <v>1794</v>
      </c>
    </row>
    <row r="77" spans="1:12" ht="2.25" customHeight="1"/>
    <row r="78" spans="1:12" ht="11.25" customHeight="1">
      <c r="A78" s="663"/>
      <c r="B78" s="510" t="s">
        <v>1607</v>
      </c>
      <c r="C78" s="510"/>
      <c r="D78" s="510"/>
      <c r="E78" s="510"/>
      <c r="F78" s="510" t="s">
        <v>1795</v>
      </c>
      <c r="G78" s="510"/>
      <c r="H78" s="510"/>
      <c r="I78" s="510"/>
      <c r="J78" s="510"/>
      <c r="K78" s="510"/>
      <c r="L78" s="510"/>
    </row>
    <row r="79" spans="1:12">
      <c r="B79" s="511"/>
      <c r="C79" s="511"/>
      <c r="D79" s="511"/>
      <c r="E79" s="511"/>
      <c r="F79" s="511" t="s">
        <v>1796</v>
      </c>
      <c r="G79" s="511"/>
      <c r="J79" s="650" t="s">
        <v>1797</v>
      </c>
    </row>
    <row r="80" spans="1:12">
      <c r="B80" s="511"/>
      <c r="C80" s="511"/>
      <c r="D80" s="511"/>
      <c r="E80" s="511"/>
      <c r="F80" s="511"/>
      <c r="G80" s="511"/>
    </row>
    <row r="81" spans="2:7">
      <c r="B81" s="489" t="s">
        <v>1101</v>
      </c>
      <c r="C81" s="489"/>
      <c r="D81" s="489"/>
      <c r="E81" s="515"/>
      <c r="F81" s="489" t="s">
        <v>1101</v>
      </c>
      <c r="G81" s="489"/>
    </row>
    <row r="82" spans="2:7">
      <c r="B82" s="489" t="s">
        <v>1102</v>
      </c>
      <c r="C82" s="489"/>
      <c r="D82" s="489"/>
      <c r="E82" s="515"/>
      <c r="F82" s="489" t="s">
        <v>1102</v>
      </c>
      <c r="G82" s="489"/>
    </row>
    <row r="83" spans="2:7">
      <c r="B83" s="489" t="s">
        <v>1153</v>
      </c>
      <c r="C83" s="489"/>
      <c r="D83" s="489"/>
      <c r="E83" s="515"/>
      <c r="F83" s="489" t="s">
        <v>1153</v>
      </c>
      <c r="G83" s="489"/>
    </row>
    <row r="85" spans="2:7">
      <c r="B85" s="113">
        <v>39</v>
      </c>
      <c r="F85" s="113">
        <v>39</v>
      </c>
    </row>
    <row r="86" spans="2:7">
      <c r="B86" s="113" t="e">
        <f>COUNTIF(#REF!,Yes)</f>
        <v>#REF!</v>
      </c>
      <c r="F86" s="113" t="e">
        <f>COUNTIF(#REF!,Yes)</f>
        <v>#REF!</v>
      </c>
    </row>
  </sheetData>
  <mergeCells count="1">
    <mergeCell ref="C6:D6"/>
  </mergeCells>
  <hyperlinks>
    <hyperlink ref="B81" r:id="rId1" xr:uid="{00000000-0004-0000-4C00-000000000000}"/>
    <hyperlink ref="B82" r:id="rId2" xr:uid="{00000000-0004-0000-4C00-000001000000}"/>
    <hyperlink ref="B83" r:id="rId3" xr:uid="{00000000-0004-0000-4C00-000002000000}"/>
    <hyperlink ref="F81" r:id="rId4" xr:uid="{00000000-0004-0000-4C00-000003000000}"/>
    <hyperlink ref="F82" r:id="rId5" xr:uid="{00000000-0004-0000-4C00-000004000000}"/>
    <hyperlink ref="F83" r:id="rId6" xr:uid="{00000000-0004-0000-4C00-000005000000}"/>
    <hyperlink ref="J79" r:id="rId7" xr:uid="{00000000-0004-0000-4C00-000006000000}"/>
  </hyperlinks>
  <pageMargins left="0.74803149606299213" right="0.74803149606299213" top="0.98425196850393704" bottom="0.98425196850393704" header="0.51181102362204722" footer="0.51181102362204722"/>
  <pageSetup paperSize="9" scale="69" orientation="portrait" r:id="rId8"/>
  <headerFooter scaleWithDoc="0" alignWithMargins="0">
    <oddHeader>&amp;L&amp;"Arial,Regular"RESEARCH PAPER 12/43</oddHeader>
    <oddFooter>&amp;C&amp;"Arial,Regular"&amp;11 44</oddFooter>
  </headerFooter>
  <drawing r:id="rId9"/>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0">
    <tabColor theme="4"/>
    <pageSetUpPr fitToPage="1"/>
  </sheetPr>
  <dimension ref="A1:AC862"/>
  <sheetViews>
    <sheetView showGridLines="0" topLeftCell="A49" zoomScale="85" zoomScaleNormal="85" zoomScaleSheetLayoutView="100" workbookViewId="0">
      <selection activeCell="B3" sqref="B3:O82"/>
    </sheetView>
  </sheetViews>
  <sheetFormatPr baseColWidth="10" defaultColWidth="9.3984375" defaultRowHeight="13"/>
  <cols>
    <col min="1" max="1" width="9.3984375" style="919"/>
    <col min="2" max="2" width="13.796875" style="1877" customWidth="1"/>
    <col min="3" max="3" width="9.19921875" style="1987" bestFit="1" customWidth="1"/>
    <col min="4" max="4" width="24.796875" style="919" customWidth="1"/>
    <col min="5" max="5" width="6.3984375" style="944" customWidth="1"/>
    <col min="6" max="6" width="5.59765625" style="1492" customWidth="1"/>
    <col min="7" max="7" width="1" style="919" customWidth="1"/>
    <col min="8" max="8" width="10.19921875" style="1046" customWidth="1"/>
    <col min="9" max="9" width="8.19921875" style="1046" customWidth="1"/>
    <col min="10" max="10" width="2.19921875" style="1046" customWidth="1"/>
    <col min="11" max="12" width="7.796875" style="1046" customWidth="1"/>
    <col min="13" max="13" width="3" style="1046" customWidth="1"/>
    <col min="14" max="14" width="8.3984375" style="1046" customWidth="1"/>
    <col min="15" max="15" width="8.796875" style="1046" customWidth="1"/>
    <col min="16" max="16384" width="9.3984375" style="919"/>
  </cols>
  <sheetData>
    <row r="1" spans="2:17">
      <c r="B1" s="1813"/>
      <c r="C1" s="1814"/>
      <c r="D1" s="1815"/>
      <c r="E1" s="1815"/>
      <c r="F1" s="1816"/>
      <c r="G1" s="1815"/>
      <c r="H1" s="1817"/>
      <c r="I1" s="1818"/>
      <c r="J1" s="1818"/>
      <c r="K1" s="1817"/>
      <c r="L1" s="1817"/>
      <c r="M1" s="1817"/>
      <c r="N1" s="1817"/>
      <c r="O1" s="1819"/>
    </row>
    <row r="2" spans="2:17">
      <c r="B2" s="1813"/>
      <c r="C2" s="1814"/>
      <c r="D2" s="1815"/>
      <c r="E2" s="1815"/>
      <c r="F2" s="1816"/>
      <c r="G2" s="1815"/>
      <c r="H2" s="1817"/>
      <c r="I2" s="1818"/>
      <c r="J2" s="1818"/>
      <c r="K2" s="1817"/>
      <c r="L2" s="1817"/>
      <c r="M2" s="1817"/>
      <c r="N2" s="1817"/>
      <c r="O2" s="1819"/>
    </row>
    <row r="3" spans="2:17" ht="20">
      <c r="B3" s="2386" t="s">
        <v>2880</v>
      </c>
      <c r="C3" s="2087"/>
      <c r="D3" s="2088"/>
      <c r="E3" s="2088"/>
      <c r="F3" s="2088"/>
      <c r="G3" s="2088"/>
      <c r="H3" s="2089"/>
      <c r="I3" s="2090"/>
      <c r="J3" s="2090"/>
      <c r="K3" s="2089"/>
      <c r="L3" s="2089"/>
      <c r="M3" s="2089"/>
      <c r="N3" s="2089"/>
      <c r="O3" s="2091"/>
      <c r="P3" s="944"/>
    </row>
    <row r="4" spans="2:17" ht="14" thickBot="1">
      <c r="B4" s="1549"/>
      <c r="C4" s="2017"/>
      <c r="D4" s="2018"/>
      <c r="E4" s="2018"/>
      <c r="F4" s="2019"/>
      <c r="G4" s="2018"/>
      <c r="H4" s="3493" t="s">
        <v>1170</v>
      </c>
      <c r="I4" s="3409"/>
      <c r="J4" s="1157"/>
      <c r="K4" s="3493" t="s">
        <v>1219</v>
      </c>
      <c r="L4" s="3493"/>
      <c r="M4" s="2020"/>
      <c r="N4" s="3493" t="s">
        <v>267</v>
      </c>
      <c r="O4" s="3409"/>
    </row>
    <row r="5" spans="2:17" ht="16">
      <c r="B5" s="2021" t="s">
        <v>2387</v>
      </c>
      <c r="C5" s="2017"/>
      <c r="D5" s="2018" t="s">
        <v>11</v>
      </c>
      <c r="E5" s="2022" t="s">
        <v>110</v>
      </c>
      <c r="F5" s="2023"/>
      <c r="G5" s="2018"/>
      <c r="H5" s="2020" t="s">
        <v>111</v>
      </c>
      <c r="I5" s="2024" t="s">
        <v>153</v>
      </c>
      <c r="J5" s="2024"/>
      <c r="K5" s="2020" t="s">
        <v>111</v>
      </c>
      <c r="L5" s="2020" t="s">
        <v>153</v>
      </c>
      <c r="M5" s="2020"/>
      <c r="N5" s="2020" t="s">
        <v>111</v>
      </c>
      <c r="O5" s="2025" t="s">
        <v>153</v>
      </c>
    </row>
    <row r="6" spans="2:17" ht="1.5" customHeight="1">
      <c r="B6" s="1813"/>
      <c r="C6" s="1823">
        <v>100</v>
      </c>
      <c r="D6" s="1820"/>
      <c r="E6" s="1820"/>
      <c r="F6" s="1824">
        <v>1</v>
      </c>
      <c r="G6" s="1820"/>
      <c r="H6" s="1822"/>
      <c r="I6" s="1821"/>
      <c r="J6" s="1821"/>
      <c r="K6" s="1822"/>
      <c r="L6" s="1822"/>
      <c r="M6" s="1822"/>
      <c r="N6" s="1822"/>
      <c r="O6" s="1825"/>
      <c r="P6" s="944"/>
      <c r="Q6" s="944"/>
    </row>
    <row r="7" spans="2:17" ht="3.75" customHeight="1">
      <c r="B7" s="1813"/>
      <c r="C7" s="1823"/>
      <c r="D7" s="1820"/>
      <c r="E7" s="1820"/>
      <c r="F7" s="1824"/>
      <c r="G7" s="1820"/>
      <c r="H7" s="1822"/>
      <c r="I7" s="1821"/>
      <c r="J7" s="1821"/>
      <c r="K7" s="1822"/>
      <c r="L7" s="1822"/>
      <c r="M7" s="1822"/>
      <c r="N7" s="1822"/>
      <c r="O7" s="1825"/>
      <c r="P7" s="944"/>
      <c r="Q7" s="944"/>
    </row>
    <row r="8" spans="2:17">
      <c r="B8" s="2026">
        <v>37378</v>
      </c>
      <c r="C8" s="2027"/>
      <c r="D8" s="2028"/>
      <c r="E8" s="2028"/>
      <c r="F8" s="2029"/>
      <c r="G8" s="2028"/>
      <c r="H8" s="2030"/>
      <c r="I8" s="2031"/>
      <c r="J8" s="2031"/>
      <c r="K8" s="2030"/>
      <c r="L8" s="2030"/>
      <c r="M8" s="2030"/>
      <c r="N8" s="2030"/>
      <c r="O8" s="2032"/>
      <c r="P8" s="944"/>
      <c r="Q8" s="944"/>
    </row>
    <row r="9" spans="2:17" ht="6" customHeight="1">
      <c r="B9" s="1826"/>
      <c r="C9" s="1827"/>
      <c r="D9" s="1828"/>
      <c r="E9" s="1815"/>
      <c r="F9" s="1829"/>
      <c r="G9" s="1828"/>
      <c r="H9" s="1830"/>
      <c r="I9" s="1831"/>
      <c r="J9" s="1831"/>
      <c r="K9" s="1830"/>
      <c r="L9" s="1830"/>
      <c r="M9" s="1830"/>
      <c r="N9" s="1830"/>
      <c r="O9" s="1832"/>
    </row>
    <row r="10" spans="2:17" s="935" customFormat="1">
      <c r="B10" s="1833" t="s">
        <v>819</v>
      </c>
      <c r="C10" s="1823"/>
      <c r="D10" s="1834" t="s">
        <v>828</v>
      </c>
      <c r="E10" s="1813" t="s">
        <v>699</v>
      </c>
      <c r="F10" s="1835">
        <v>0.36750047018995674</v>
      </c>
      <c r="G10" s="1834"/>
      <c r="H10" s="1836">
        <v>21494</v>
      </c>
      <c r="I10" s="1458">
        <v>0.36750047018995674</v>
      </c>
      <c r="J10" s="1837"/>
      <c r="K10" s="1836">
        <v>4213</v>
      </c>
      <c r="L10" s="1838">
        <v>0.57099999999999995</v>
      </c>
      <c r="M10" s="1839"/>
      <c r="N10" s="1836">
        <v>25707</v>
      </c>
      <c r="O10" s="1838">
        <v>0.67869683449058793</v>
      </c>
    </row>
    <row r="11" spans="2:17">
      <c r="B11" s="1840" t="s">
        <v>821</v>
      </c>
      <c r="C11" s="1827">
        <v>0.28399999999999997</v>
      </c>
      <c r="D11" s="1828" t="s">
        <v>820</v>
      </c>
      <c r="E11" s="1850" t="s">
        <v>698</v>
      </c>
      <c r="F11" s="1835">
        <v>0.15388034947937149</v>
      </c>
      <c r="G11" s="1841"/>
      <c r="H11" s="1830">
        <v>9000</v>
      </c>
      <c r="I11" s="1051">
        <v>0.15388034947937149</v>
      </c>
      <c r="J11" s="1831"/>
      <c r="K11" s="1830">
        <v>3170</v>
      </c>
      <c r="L11" s="1049">
        <v>0.42899999999999999</v>
      </c>
      <c r="M11" s="1842"/>
      <c r="N11" s="1830">
        <v>12170</v>
      </c>
      <c r="O11" s="1049">
        <v>0.32130316550941207</v>
      </c>
    </row>
    <row r="12" spans="2:17">
      <c r="B12" s="1840"/>
      <c r="C12" s="1827"/>
      <c r="D12" s="1828" t="s">
        <v>822</v>
      </c>
      <c r="E12" s="1847" t="s">
        <v>823</v>
      </c>
      <c r="F12" s="1835">
        <v>0.14480140886008899</v>
      </c>
      <c r="G12" s="1828"/>
      <c r="H12" s="1830">
        <v>8469</v>
      </c>
      <c r="I12" s="1051">
        <v>0.14480140886008858</v>
      </c>
      <c r="J12" s="1831"/>
      <c r="L12" s="919"/>
      <c r="O12" s="919"/>
    </row>
    <row r="13" spans="2:17">
      <c r="B13" s="1833"/>
      <c r="C13" s="1827"/>
      <c r="D13" s="1828" t="s">
        <v>825</v>
      </c>
      <c r="E13" s="1847" t="s">
        <v>931</v>
      </c>
      <c r="F13" s="1835">
        <v>0.12826782019936053</v>
      </c>
      <c r="G13" s="1828"/>
      <c r="H13" s="1830">
        <v>7502</v>
      </c>
      <c r="I13" s="1051">
        <v>0.12826782019936053</v>
      </c>
      <c r="J13" s="1831"/>
      <c r="L13" s="919"/>
      <c r="O13" s="919"/>
    </row>
    <row r="14" spans="2:17">
      <c r="B14" s="1833"/>
      <c r="C14" s="1827"/>
      <c r="D14" s="1828" t="s">
        <v>826</v>
      </c>
      <c r="E14" s="1847" t="s">
        <v>827</v>
      </c>
      <c r="F14" s="1835">
        <v>8.8053755535418124E-2</v>
      </c>
      <c r="G14" s="1828"/>
      <c r="H14" s="1830">
        <v>5150</v>
      </c>
      <c r="I14" s="1051">
        <v>8.8053755535418124E-2</v>
      </c>
      <c r="J14" s="1831"/>
      <c r="L14" s="919"/>
      <c r="O14" s="919"/>
    </row>
    <row r="15" spans="2:17">
      <c r="B15" s="1833"/>
      <c r="C15" s="1827"/>
      <c r="D15" s="1828" t="s">
        <v>1227</v>
      </c>
      <c r="E15" s="1847" t="s">
        <v>931</v>
      </c>
      <c r="F15" s="1835">
        <v>6.9006787833193695E-2</v>
      </c>
      <c r="G15" s="1828"/>
      <c r="H15" s="1830">
        <v>4036</v>
      </c>
      <c r="I15" s="1051">
        <v>6.9006787833193695E-2</v>
      </c>
      <c r="J15" s="1831"/>
      <c r="L15" s="919"/>
      <c r="O15" s="919"/>
    </row>
    <row r="16" spans="2:17">
      <c r="B16" s="1833"/>
      <c r="C16" s="1823"/>
      <c r="D16" s="1828" t="s">
        <v>1228</v>
      </c>
      <c r="E16" s="1847" t="s">
        <v>931</v>
      </c>
      <c r="F16" s="1835">
        <v>4.8489407902610838E-2</v>
      </c>
      <c r="G16" s="1828"/>
      <c r="H16" s="1830">
        <v>2836</v>
      </c>
      <c r="I16" s="1051">
        <v>4.8489407902610838E-2</v>
      </c>
      <c r="J16" s="1831"/>
      <c r="L16" s="919"/>
      <c r="O16" s="919"/>
    </row>
    <row r="17" spans="2:15" ht="4.5" customHeight="1">
      <c r="B17" s="1833"/>
      <c r="C17" s="1827"/>
      <c r="D17" s="1828"/>
      <c r="E17" s="1847"/>
      <c r="F17" s="1835"/>
      <c r="G17" s="1828"/>
      <c r="H17" s="1830"/>
      <c r="I17" s="1051"/>
      <c r="J17" s="1831"/>
      <c r="K17" s="1830"/>
      <c r="L17" s="919"/>
      <c r="M17" s="1830"/>
      <c r="N17" s="1830"/>
      <c r="O17" s="919"/>
    </row>
    <row r="18" spans="2:15">
      <c r="B18" s="2415"/>
      <c r="C18" s="2416"/>
      <c r="D18" s="2417"/>
      <c r="E18" s="2415"/>
      <c r="F18" s="2418"/>
      <c r="G18" s="2417"/>
      <c r="H18" s="2419">
        <v>58487</v>
      </c>
      <c r="I18" s="2421">
        <v>0.99999999999999989</v>
      </c>
      <c r="J18" s="2420"/>
      <c r="K18" s="2419">
        <v>7383</v>
      </c>
      <c r="L18" s="2421">
        <v>1</v>
      </c>
      <c r="M18" s="2420"/>
      <c r="N18" s="2419">
        <v>37877</v>
      </c>
      <c r="O18" s="2421">
        <v>1</v>
      </c>
    </row>
    <row r="19" spans="2:15" ht="6" customHeight="1">
      <c r="B19" s="1833"/>
      <c r="C19" s="1827"/>
      <c r="D19" s="1828"/>
      <c r="E19" s="1847"/>
      <c r="F19" s="1835"/>
      <c r="G19" s="1828"/>
      <c r="H19" s="1830"/>
      <c r="I19" s="1051"/>
      <c r="J19" s="1844"/>
      <c r="K19" s="1830"/>
      <c r="L19" s="919"/>
      <c r="M19" s="1830"/>
      <c r="N19" s="1830"/>
      <c r="O19" s="919"/>
    </row>
    <row r="20" spans="2:15" s="935" customFormat="1">
      <c r="B20" s="1833" t="s">
        <v>814</v>
      </c>
      <c r="C20" s="1823"/>
      <c r="D20" s="1834" t="s">
        <v>832</v>
      </c>
      <c r="E20" s="1852" t="s">
        <v>931</v>
      </c>
      <c r="F20" s="1835">
        <v>0.29144494474007365</v>
      </c>
      <c r="G20" s="1845"/>
      <c r="H20" s="1836">
        <v>5696</v>
      </c>
      <c r="I20" s="1458">
        <v>0.29144494474007365</v>
      </c>
      <c r="J20" s="1837"/>
      <c r="K20" s="1836">
        <v>1699</v>
      </c>
      <c r="L20" s="1838">
        <v>0.55700000000000005</v>
      </c>
      <c r="M20" s="1839"/>
      <c r="N20" s="1836">
        <v>7395</v>
      </c>
      <c r="O20" s="1838">
        <v>0.52125185028547261</v>
      </c>
    </row>
    <row r="21" spans="2:15">
      <c r="B21" s="1840" t="s">
        <v>830</v>
      </c>
      <c r="C21" s="1827">
        <v>0.30099999999999999</v>
      </c>
      <c r="D21" s="1828" t="s">
        <v>833</v>
      </c>
      <c r="E21" s="1850" t="s">
        <v>699</v>
      </c>
      <c r="F21" s="1835">
        <v>0.27824396234138354</v>
      </c>
      <c r="G21" s="1841"/>
      <c r="H21" s="1830">
        <v>5438</v>
      </c>
      <c r="I21" s="1051">
        <v>0.27824396234138354</v>
      </c>
      <c r="J21" s="1831"/>
      <c r="K21" s="1830">
        <v>1354</v>
      </c>
      <c r="L21" s="1049">
        <v>0.44299999999999995</v>
      </c>
      <c r="M21" s="1842"/>
      <c r="N21" s="1830">
        <v>6792</v>
      </c>
      <c r="O21" s="1049">
        <v>0.47874814971452734</v>
      </c>
    </row>
    <row r="22" spans="2:15">
      <c r="B22" s="1833"/>
      <c r="C22" s="1823"/>
      <c r="D22" s="1828" t="s">
        <v>829</v>
      </c>
      <c r="E22" s="1850" t="s">
        <v>931</v>
      </c>
      <c r="F22" s="1835">
        <v>0.26473598035202622</v>
      </c>
      <c r="G22" s="1841"/>
      <c r="H22" s="1830">
        <v>5174</v>
      </c>
      <c r="I22" s="1051">
        <v>0.26473598035202622</v>
      </c>
      <c r="J22" s="1831"/>
      <c r="L22" s="919"/>
      <c r="O22" s="919"/>
    </row>
    <row r="23" spans="2:15">
      <c r="B23" s="1833"/>
      <c r="C23" s="1827"/>
      <c r="D23" s="1828" t="s">
        <v>834</v>
      </c>
      <c r="E23" s="1850" t="s">
        <v>827</v>
      </c>
      <c r="F23" s="1835">
        <v>8.5704052394596802E-2</v>
      </c>
      <c r="G23" s="1841"/>
      <c r="H23" s="1830">
        <v>1675</v>
      </c>
      <c r="I23" s="1051">
        <v>8.5704052394596802E-2</v>
      </c>
      <c r="J23" s="1831"/>
      <c r="L23" s="919"/>
      <c r="O23" s="919"/>
    </row>
    <row r="24" spans="2:15">
      <c r="B24" s="1833"/>
      <c r="C24" s="1827"/>
      <c r="D24" s="1828" t="s">
        <v>831</v>
      </c>
      <c r="E24" s="1850" t="s">
        <v>698</v>
      </c>
      <c r="F24" s="1835">
        <v>7.9871060171919778E-2</v>
      </c>
      <c r="G24" s="1841"/>
      <c r="H24" s="1830">
        <v>1561</v>
      </c>
      <c r="I24" s="1051">
        <v>7.9871060171919778E-2</v>
      </c>
      <c r="J24" s="1831"/>
      <c r="L24" s="919"/>
      <c r="O24" s="919"/>
    </row>
    <row r="25" spans="2:15" ht="4.5" customHeight="1">
      <c r="B25" s="1833"/>
      <c r="C25" s="1827"/>
      <c r="D25" s="1828"/>
      <c r="E25" s="1850"/>
      <c r="F25" s="1835"/>
      <c r="G25" s="1841"/>
      <c r="H25" s="1830"/>
      <c r="I25" s="1051"/>
      <c r="J25" s="1831"/>
      <c r="K25" s="1830"/>
      <c r="L25" s="919"/>
      <c r="M25" s="1830"/>
      <c r="N25" s="1830"/>
      <c r="O25" s="919"/>
    </row>
    <row r="26" spans="2:15">
      <c r="B26" s="2415"/>
      <c r="C26" s="2422"/>
      <c r="D26" s="2423"/>
      <c r="E26" s="2424"/>
      <c r="F26" s="2418"/>
      <c r="G26" s="2423"/>
      <c r="H26" s="2419">
        <v>19544</v>
      </c>
      <c r="I26" s="2421">
        <v>1</v>
      </c>
      <c r="J26" s="2420"/>
      <c r="K26" s="2419">
        <v>3053</v>
      </c>
      <c r="L26" s="2421">
        <v>1</v>
      </c>
      <c r="M26" s="2420"/>
      <c r="N26" s="2419">
        <v>14187</v>
      </c>
      <c r="O26" s="2421">
        <v>1</v>
      </c>
    </row>
    <row r="27" spans="2:15" ht="6" customHeight="1">
      <c r="B27" s="1833"/>
      <c r="C27" s="1827"/>
      <c r="D27" s="1828"/>
      <c r="E27" s="1847"/>
      <c r="F27" s="1835"/>
      <c r="G27" s="1828"/>
      <c r="H27" s="1830"/>
      <c r="I27" s="1051"/>
      <c r="J27" s="1830"/>
      <c r="K27" s="1830"/>
      <c r="L27" s="919"/>
      <c r="M27" s="1830"/>
      <c r="N27" s="1830"/>
      <c r="O27" s="919"/>
    </row>
    <row r="28" spans="2:15" s="935" customFormat="1">
      <c r="B28" s="1833" t="s">
        <v>684</v>
      </c>
      <c r="C28" s="1823"/>
      <c r="D28" s="1834" t="s">
        <v>835</v>
      </c>
      <c r="E28" s="1813" t="s">
        <v>699</v>
      </c>
      <c r="F28" s="1835">
        <v>0.44950357158902016</v>
      </c>
      <c r="G28" s="1834"/>
      <c r="H28" s="1836">
        <v>20011</v>
      </c>
      <c r="I28" s="1458">
        <v>0.44950357158902016</v>
      </c>
      <c r="J28" s="1837"/>
      <c r="K28" s="1836">
        <v>4509</v>
      </c>
      <c r="L28" s="1838">
        <v>0.70900000000000007</v>
      </c>
      <c r="M28" s="1839"/>
      <c r="N28" s="1836">
        <v>24520</v>
      </c>
      <c r="O28" s="1838">
        <v>0.71330909090909089</v>
      </c>
    </row>
    <row r="29" spans="2:15">
      <c r="B29" s="1840" t="s">
        <v>836</v>
      </c>
      <c r="C29" s="1827">
        <v>0.255</v>
      </c>
      <c r="D29" s="1828" t="s">
        <v>840</v>
      </c>
      <c r="E29" s="1847" t="s">
        <v>698</v>
      </c>
      <c r="F29" s="1835">
        <v>0.17979244350599757</v>
      </c>
      <c r="G29" s="1828"/>
      <c r="H29" s="1830">
        <v>8004</v>
      </c>
      <c r="I29" s="1051">
        <v>0.17979244350599757</v>
      </c>
      <c r="J29" s="1831"/>
      <c r="K29" s="1830">
        <v>1851</v>
      </c>
      <c r="L29" s="1049">
        <v>0.29100000000000004</v>
      </c>
      <c r="M29" s="1842"/>
      <c r="N29" s="1830">
        <v>9855</v>
      </c>
      <c r="O29" s="1049">
        <v>0.28669090909090911</v>
      </c>
    </row>
    <row r="30" spans="2:15">
      <c r="B30" s="1833"/>
      <c r="C30" s="1827"/>
      <c r="D30" s="1828" t="s">
        <v>837</v>
      </c>
      <c r="E30" s="1847" t="s">
        <v>827</v>
      </c>
      <c r="F30" s="1835">
        <v>0.16343950761489734</v>
      </c>
      <c r="G30" s="1828"/>
      <c r="H30" s="1830">
        <v>7276</v>
      </c>
      <c r="I30" s="1051">
        <v>0.16343950761489734</v>
      </c>
      <c r="J30" s="1831"/>
      <c r="L30" s="919"/>
      <c r="O30" s="919"/>
    </row>
    <row r="31" spans="2:15">
      <c r="B31" s="1833"/>
      <c r="C31" s="1827"/>
      <c r="D31" s="1828" t="s">
        <v>839</v>
      </c>
      <c r="E31" s="1847" t="s">
        <v>1341</v>
      </c>
      <c r="F31" s="1835">
        <v>0.1239274001527472</v>
      </c>
      <c r="G31" s="1828"/>
      <c r="H31" s="1830">
        <v>5517</v>
      </c>
      <c r="I31" s="1051">
        <v>0.1239274001527472</v>
      </c>
      <c r="J31" s="1831"/>
      <c r="L31" s="919"/>
      <c r="O31" s="919"/>
    </row>
    <row r="32" spans="2:15">
      <c r="B32" s="1833"/>
      <c r="C32" s="1827"/>
      <c r="D32" s="1828" t="s">
        <v>1229</v>
      </c>
      <c r="E32" s="1847" t="s">
        <v>838</v>
      </c>
      <c r="F32" s="1835">
        <v>8.3337077137337706E-2</v>
      </c>
      <c r="G32" s="1828"/>
      <c r="H32" s="1830">
        <v>3710</v>
      </c>
      <c r="I32" s="1051">
        <v>8.3337077137337706E-2</v>
      </c>
      <c r="J32" s="1831"/>
      <c r="L32" s="919"/>
      <c r="O32" s="919"/>
    </row>
    <row r="33" spans="2:15" ht="4.5" customHeight="1">
      <c r="B33" s="1833"/>
      <c r="C33" s="1827"/>
      <c r="D33" s="1828"/>
      <c r="E33" s="1847"/>
      <c r="F33" s="1835"/>
      <c r="G33" s="1828"/>
      <c r="H33" s="1830"/>
      <c r="I33" s="1051"/>
      <c r="J33" s="1831"/>
      <c r="K33" s="1830"/>
      <c r="L33" s="919"/>
      <c r="M33" s="1830"/>
      <c r="N33" s="1830"/>
      <c r="O33" s="919"/>
    </row>
    <row r="34" spans="2:15">
      <c r="B34" s="2415"/>
      <c r="C34" s="2422"/>
      <c r="D34" s="2423"/>
      <c r="E34" s="2424"/>
      <c r="F34" s="2418"/>
      <c r="G34" s="2423"/>
      <c r="H34" s="2419">
        <v>44518</v>
      </c>
      <c r="I34" s="2421">
        <v>1</v>
      </c>
      <c r="J34" s="2420"/>
      <c r="K34" s="2419">
        <v>6360</v>
      </c>
      <c r="L34" s="2425">
        <v>1</v>
      </c>
      <c r="M34" s="2420"/>
      <c r="N34" s="2419">
        <v>34375</v>
      </c>
      <c r="O34" s="2425">
        <v>1</v>
      </c>
    </row>
    <row r="35" spans="2:15" ht="6" customHeight="1">
      <c r="B35" s="1833"/>
      <c r="C35" s="1827"/>
      <c r="D35" s="1828"/>
      <c r="E35" s="1847"/>
      <c r="F35" s="1835"/>
      <c r="G35" s="1828"/>
      <c r="H35" s="1846"/>
      <c r="I35" s="1051"/>
      <c r="J35" s="1846"/>
      <c r="K35" s="1846"/>
      <c r="L35" s="1049"/>
      <c r="M35" s="1846"/>
      <c r="N35" s="1846"/>
      <c r="O35" s="1049"/>
    </row>
    <row r="36" spans="2:15" s="935" customFormat="1">
      <c r="B36" s="1833" t="s">
        <v>841</v>
      </c>
      <c r="C36" s="1823"/>
      <c r="D36" s="1834" t="s">
        <v>847</v>
      </c>
      <c r="E36" s="1813" t="s">
        <v>931</v>
      </c>
      <c r="F36" s="1835">
        <v>0.62775634614468734</v>
      </c>
      <c r="G36" s="1834"/>
      <c r="H36" s="1836">
        <v>26362</v>
      </c>
      <c r="I36" s="1458">
        <v>0.62775634614468734</v>
      </c>
      <c r="J36" s="1837"/>
      <c r="K36" s="1971" t="s">
        <v>685</v>
      </c>
      <c r="L36" s="1964"/>
      <c r="M36" s="1964"/>
      <c r="N36" s="1969">
        <f>H36</f>
        <v>26362</v>
      </c>
      <c r="O36" s="1970">
        <f>I36</f>
        <v>0.62775634614468734</v>
      </c>
    </row>
    <row r="37" spans="2:15">
      <c r="B37" s="1840" t="s">
        <v>843</v>
      </c>
      <c r="C37" s="1827">
        <v>0.41299999999999998</v>
      </c>
      <c r="D37" s="1828" t="s">
        <v>842</v>
      </c>
      <c r="E37" s="1850" t="s">
        <v>699</v>
      </c>
      <c r="F37" s="1835">
        <v>0.22986617135781301</v>
      </c>
      <c r="G37" s="1841"/>
      <c r="H37" s="1830">
        <v>9653</v>
      </c>
      <c r="I37" s="1051">
        <v>0.22986617135781301</v>
      </c>
      <c r="J37" s="1831"/>
      <c r="K37" s="1964" t="s">
        <v>685</v>
      </c>
      <c r="L37" s="1964"/>
      <c r="M37" s="1964"/>
      <c r="N37" s="1977"/>
      <c r="O37" s="1978"/>
    </row>
    <row r="38" spans="2:15">
      <c r="B38" s="1833"/>
      <c r="C38" s="1827"/>
      <c r="D38" s="1828" t="s">
        <v>723</v>
      </c>
      <c r="E38" s="1847" t="s">
        <v>827</v>
      </c>
      <c r="F38" s="1835">
        <v>9.096537600609611E-2</v>
      </c>
      <c r="G38" s="1828"/>
      <c r="H38" s="1830">
        <v>3820</v>
      </c>
      <c r="I38" s="1051">
        <v>9.096537600609611E-2</v>
      </c>
      <c r="J38" s="1831"/>
      <c r="L38" s="919"/>
      <c r="O38" s="919"/>
    </row>
    <row r="39" spans="2:15">
      <c r="B39" s="1833"/>
      <c r="C39" s="1827"/>
      <c r="D39" s="1828" t="s">
        <v>844</v>
      </c>
      <c r="E39" s="1850" t="s">
        <v>698</v>
      </c>
      <c r="F39" s="1835">
        <v>3.5957517740629615E-2</v>
      </c>
      <c r="G39" s="1841"/>
      <c r="H39" s="1830">
        <v>1510</v>
      </c>
      <c r="I39" s="1051">
        <v>3.5957517740629615E-2</v>
      </c>
      <c r="J39" s="1831"/>
      <c r="L39" s="919"/>
      <c r="O39" s="919"/>
    </row>
    <row r="40" spans="2:15">
      <c r="B40" s="1833"/>
      <c r="C40" s="1823"/>
      <c r="D40" s="1828" t="s">
        <v>845</v>
      </c>
      <c r="E40" s="1847" t="s">
        <v>815</v>
      </c>
      <c r="F40" s="1835">
        <v>8.3821498309282275E-3</v>
      </c>
      <c r="G40" s="1828"/>
      <c r="H40" s="1830">
        <v>352</v>
      </c>
      <c r="I40" s="1051">
        <v>8.3821498309282275E-3</v>
      </c>
      <c r="J40" s="1831"/>
      <c r="L40" s="919"/>
      <c r="O40" s="919"/>
    </row>
    <row r="41" spans="2:15">
      <c r="B41" s="1833"/>
      <c r="C41" s="1827"/>
      <c r="D41" s="1828" t="s">
        <v>846</v>
      </c>
      <c r="E41" s="1847" t="s">
        <v>931</v>
      </c>
      <c r="F41" s="1835">
        <v>7.0724389198456913E-3</v>
      </c>
      <c r="G41" s="1828"/>
      <c r="H41" s="1830">
        <v>297</v>
      </c>
      <c r="I41" s="1051">
        <v>7.0724389198456913E-3</v>
      </c>
      <c r="J41" s="1831"/>
      <c r="L41" s="919"/>
      <c r="O41" s="919"/>
    </row>
    <row r="42" spans="2:15" ht="4.5" customHeight="1">
      <c r="B42" s="1833"/>
      <c r="C42" s="1827"/>
      <c r="D42" s="1828"/>
      <c r="E42" s="1847"/>
      <c r="F42" s="1835"/>
      <c r="G42" s="1828"/>
      <c r="H42" s="1830"/>
      <c r="I42" s="1051"/>
      <c r="J42" s="1831"/>
      <c r="L42" s="919"/>
      <c r="O42" s="919"/>
    </row>
    <row r="43" spans="2:15">
      <c r="B43" s="2415"/>
      <c r="C43" s="2422"/>
      <c r="D43" s="2423"/>
      <c r="E43" s="2424"/>
      <c r="F43" s="2418"/>
      <c r="G43" s="2423"/>
      <c r="H43" s="2419">
        <v>41994</v>
      </c>
      <c r="I43" s="2421">
        <v>1</v>
      </c>
      <c r="J43" s="2426"/>
      <c r="K43" s="2427"/>
      <c r="L43" s="2428"/>
      <c r="M43" s="2427"/>
      <c r="N43" s="2427"/>
      <c r="O43" s="2428"/>
    </row>
    <row r="44" spans="2:15" ht="6" customHeight="1">
      <c r="B44" s="1813"/>
      <c r="C44" s="1823"/>
      <c r="D44" s="1820"/>
      <c r="E44" s="1813"/>
      <c r="F44" s="1835"/>
      <c r="G44" s="1820"/>
      <c r="H44" s="1848"/>
      <c r="I44" s="1051"/>
      <c r="J44" s="1849"/>
      <c r="K44" s="1848"/>
      <c r="L44" s="919"/>
      <c r="M44" s="1848"/>
      <c r="N44" s="1848"/>
      <c r="O44" s="919"/>
    </row>
    <row r="45" spans="2:15" s="935" customFormat="1">
      <c r="B45" s="1833" t="s">
        <v>686</v>
      </c>
      <c r="C45" s="1823"/>
      <c r="D45" s="1834" t="s">
        <v>687</v>
      </c>
      <c r="E45" s="1852" t="s">
        <v>699</v>
      </c>
      <c r="F45" s="1835">
        <v>0.50773407726604725</v>
      </c>
      <c r="G45" s="1845"/>
      <c r="H45" s="1836">
        <v>20384</v>
      </c>
      <c r="I45" s="1458">
        <v>0.50773407726604725</v>
      </c>
      <c r="J45" s="1837"/>
      <c r="K45" s="1971" t="s">
        <v>685</v>
      </c>
      <c r="L45" s="1964"/>
      <c r="M45" s="1964"/>
      <c r="N45" s="1969">
        <f>H45</f>
        <v>20384</v>
      </c>
      <c r="O45" s="1970">
        <f>I45</f>
        <v>0.50773407726604725</v>
      </c>
    </row>
    <row r="46" spans="2:15">
      <c r="B46" s="1840" t="s">
        <v>849</v>
      </c>
      <c r="C46" s="1827">
        <v>0.27600000000000002</v>
      </c>
      <c r="D46" s="1828" t="s">
        <v>848</v>
      </c>
      <c r="E46" s="1847" t="s">
        <v>931</v>
      </c>
      <c r="F46" s="1835">
        <v>0.14713428151543079</v>
      </c>
      <c r="G46" s="1828"/>
      <c r="H46" s="1830">
        <v>5907</v>
      </c>
      <c r="I46" s="1051">
        <v>0.14713428151543079</v>
      </c>
      <c r="J46" s="1831"/>
      <c r="K46" s="1964" t="s">
        <v>685</v>
      </c>
      <c r="L46" s="1964"/>
      <c r="M46" s="1964"/>
      <c r="N46" s="1977"/>
      <c r="O46" s="1978"/>
    </row>
    <row r="47" spans="2:15">
      <c r="B47" s="1833"/>
      <c r="C47" s="1827"/>
      <c r="D47" s="1828" t="s">
        <v>852</v>
      </c>
      <c r="E47" s="1847" t="s">
        <v>698</v>
      </c>
      <c r="F47" s="1835">
        <v>0.11545071860911152</v>
      </c>
      <c r="G47" s="1828"/>
      <c r="H47" s="1830">
        <v>4635</v>
      </c>
      <c r="I47" s="1051">
        <v>0.11545071860911152</v>
      </c>
      <c r="J47" s="1831"/>
      <c r="L47" s="919"/>
      <c r="O47" s="919"/>
    </row>
    <row r="48" spans="2:15">
      <c r="B48" s="1833"/>
      <c r="C48" s="1827"/>
      <c r="D48" s="1828" t="s">
        <v>850</v>
      </c>
      <c r="E48" s="1847" t="s">
        <v>172</v>
      </c>
      <c r="F48" s="1835">
        <v>9.0890975664433202E-2</v>
      </c>
      <c r="G48" s="1828"/>
      <c r="H48" s="1830">
        <v>3649</v>
      </c>
      <c r="I48" s="1051">
        <v>9.0890975664433202E-2</v>
      </c>
      <c r="J48" s="1831"/>
      <c r="L48" s="919"/>
      <c r="O48" s="919"/>
    </row>
    <row r="49" spans="2:15">
      <c r="B49" s="1833"/>
      <c r="C49" s="1827"/>
      <c r="D49" s="1828" t="s">
        <v>851</v>
      </c>
      <c r="E49" s="1847" t="s">
        <v>816</v>
      </c>
      <c r="F49" s="1835">
        <v>7.1761277305900817E-2</v>
      </c>
      <c r="G49" s="1828"/>
      <c r="H49" s="1830">
        <v>2881</v>
      </c>
      <c r="I49" s="1051">
        <v>7.1761277305900817E-2</v>
      </c>
      <c r="J49" s="1831"/>
      <c r="L49" s="919"/>
      <c r="O49" s="919"/>
    </row>
    <row r="50" spans="2:15">
      <c r="B50" s="1833"/>
      <c r="C50" s="1823"/>
      <c r="D50" s="1828" t="s">
        <v>853</v>
      </c>
      <c r="E50" s="1850" t="s">
        <v>1341</v>
      </c>
      <c r="F50" s="1835">
        <v>6.7028669639076388E-2</v>
      </c>
      <c r="G50" s="1841"/>
      <c r="H50" s="1830">
        <v>2691</v>
      </c>
      <c r="I50" s="1051">
        <v>6.7028669639076388E-2</v>
      </c>
      <c r="J50" s="1831"/>
      <c r="L50" s="919"/>
      <c r="O50" s="919"/>
    </row>
    <row r="51" spans="2:15" ht="4.5" customHeight="1">
      <c r="B51" s="1833"/>
      <c r="C51" s="1827"/>
      <c r="D51" s="1828"/>
      <c r="E51" s="1850"/>
      <c r="F51" s="1835"/>
      <c r="G51" s="1841"/>
      <c r="H51" s="1830"/>
      <c r="I51" s="1051"/>
      <c r="J51" s="1831"/>
      <c r="K51" s="1830"/>
      <c r="L51" s="919"/>
      <c r="M51" s="1830"/>
      <c r="N51" s="1830"/>
      <c r="O51" s="919"/>
    </row>
    <row r="52" spans="2:15">
      <c r="B52" s="2415"/>
      <c r="C52" s="2422"/>
      <c r="D52" s="2423"/>
      <c r="E52" s="2429"/>
      <c r="F52" s="2418"/>
      <c r="G52" s="2430"/>
      <c r="H52" s="2419">
        <v>40147</v>
      </c>
      <c r="I52" s="2421">
        <v>1</v>
      </c>
      <c r="J52" s="2426"/>
      <c r="K52" s="2431"/>
      <c r="L52" s="2428"/>
      <c r="M52" s="2431"/>
      <c r="N52" s="2431"/>
      <c r="O52" s="2428"/>
    </row>
    <row r="53" spans="2:15" ht="6" customHeight="1">
      <c r="B53" s="1813"/>
      <c r="C53" s="1827"/>
      <c r="D53" s="1815"/>
      <c r="E53" s="1850"/>
      <c r="F53" s="1835"/>
      <c r="G53" s="1851"/>
      <c r="H53" s="1817"/>
      <c r="I53" s="1051"/>
      <c r="J53" s="1817"/>
      <c r="K53" s="1817"/>
      <c r="L53" s="919"/>
      <c r="M53" s="1817"/>
      <c r="N53" s="1817"/>
      <c r="O53" s="919"/>
    </row>
    <row r="54" spans="2:15" s="935" customFormat="1">
      <c r="B54" s="1813" t="s">
        <v>818</v>
      </c>
      <c r="C54" s="1823"/>
      <c r="D54" s="1820" t="s">
        <v>870</v>
      </c>
      <c r="E54" s="1852" t="s">
        <v>698</v>
      </c>
      <c r="F54" s="1835">
        <v>0.35864618417809907</v>
      </c>
      <c r="G54" s="1853"/>
      <c r="H54" s="1854">
        <v>21829</v>
      </c>
      <c r="I54" s="1458">
        <v>0.35864618417809907</v>
      </c>
      <c r="J54" s="1855"/>
      <c r="K54" s="1854">
        <v>4254</v>
      </c>
      <c r="L54" s="1838">
        <v>0.46299999999999997</v>
      </c>
      <c r="M54" s="1856"/>
      <c r="N54" s="1854">
        <v>26083</v>
      </c>
      <c r="O54" s="1838">
        <v>0.51533172639981029</v>
      </c>
    </row>
    <row r="55" spans="2:15">
      <c r="B55" s="1847" t="s">
        <v>867</v>
      </c>
      <c r="C55" s="1827">
        <v>0.42499999999999999</v>
      </c>
      <c r="D55" s="1815" t="s">
        <v>866</v>
      </c>
      <c r="E55" s="1847" t="s">
        <v>699</v>
      </c>
      <c r="F55" s="1835">
        <v>0.32204058161504973</v>
      </c>
      <c r="G55" s="1815"/>
      <c r="H55" s="1817">
        <v>19601</v>
      </c>
      <c r="I55" s="1051">
        <v>0.32204058161504973</v>
      </c>
      <c r="J55" s="1818"/>
      <c r="K55" s="1817">
        <v>4930</v>
      </c>
      <c r="L55" s="1049">
        <v>0.53700000000000003</v>
      </c>
      <c r="M55" s="1857"/>
      <c r="N55" s="1817">
        <v>24531</v>
      </c>
      <c r="O55" s="1049">
        <v>0.48466827360018966</v>
      </c>
    </row>
    <row r="56" spans="2:15">
      <c r="B56" s="1813"/>
      <c r="C56" s="1827"/>
      <c r="D56" s="1815" t="s">
        <v>869</v>
      </c>
      <c r="E56" s="1850" t="s">
        <v>827</v>
      </c>
      <c r="F56" s="1835">
        <v>0.20246447054957692</v>
      </c>
      <c r="G56" s="1851"/>
      <c r="H56" s="1817">
        <v>12323</v>
      </c>
      <c r="I56" s="1051">
        <v>0.20246447054957692</v>
      </c>
      <c r="J56" s="1818"/>
      <c r="K56" s="1043"/>
      <c r="L56" s="919"/>
      <c r="M56" s="1043"/>
      <c r="N56" s="1043"/>
      <c r="O56" s="919"/>
    </row>
    <row r="57" spans="2:15">
      <c r="B57" s="1813"/>
      <c r="C57" s="1823"/>
      <c r="D57" s="1815" t="s">
        <v>871</v>
      </c>
      <c r="E57" s="1850" t="s">
        <v>931</v>
      </c>
      <c r="F57" s="1835">
        <v>8.2034009693584153E-2</v>
      </c>
      <c r="G57" s="1851"/>
      <c r="H57" s="1817">
        <v>4993</v>
      </c>
      <c r="I57" s="1051">
        <v>8.2034009693584153E-2</v>
      </c>
      <c r="J57" s="1818"/>
      <c r="K57" s="1043"/>
      <c r="L57" s="919"/>
      <c r="M57" s="1043"/>
      <c r="N57" s="1043"/>
      <c r="O57" s="919"/>
    </row>
    <row r="58" spans="2:15">
      <c r="B58" s="1813"/>
      <c r="C58" s="1827"/>
      <c r="D58" s="1815" t="s">
        <v>868</v>
      </c>
      <c r="E58" s="1850" t="s">
        <v>815</v>
      </c>
      <c r="F58" s="1835">
        <v>3.4814753963690132E-2</v>
      </c>
      <c r="G58" s="1851"/>
      <c r="H58" s="1817">
        <v>2119</v>
      </c>
      <c r="I58" s="1051">
        <v>3.4814753963690132E-2</v>
      </c>
      <c r="J58" s="1818"/>
      <c r="K58" s="1043"/>
      <c r="L58" s="919"/>
      <c r="M58" s="1043"/>
      <c r="N58" s="1043"/>
      <c r="O58" s="919"/>
    </row>
    <row r="59" spans="2:15" ht="4.5" customHeight="1">
      <c r="B59" s="1813"/>
      <c r="C59" s="1827"/>
      <c r="D59" s="1815"/>
      <c r="E59" s="1850"/>
      <c r="F59" s="1835"/>
      <c r="G59" s="1851"/>
      <c r="H59" s="1817"/>
      <c r="I59" s="1051"/>
      <c r="J59" s="1818"/>
      <c r="K59" s="1817"/>
      <c r="L59" s="919"/>
      <c r="M59" s="1817"/>
      <c r="N59" s="1817"/>
      <c r="O59" s="919"/>
    </row>
    <row r="60" spans="2:15">
      <c r="B60" s="2424"/>
      <c r="C60" s="2422"/>
      <c r="D60" s="2423"/>
      <c r="E60" s="2429"/>
      <c r="F60" s="2432"/>
      <c r="G60" s="2430"/>
      <c r="H60" s="2419">
        <v>60865</v>
      </c>
      <c r="I60" s="2421">
        <v>1</v>
      </c>
      <c r="J60" s="2420"/>
      <c r="K60" s="2419">
        <v>9184</v>
      </c>
      <c r="L60" s="2425">
        <v>1</v>
      </c>
      <c r="M60" s="2420"/>
      <c r="N60" s="2419">
        <v>50614</v>
      </c>
      <c r="O60" s="2425">
        <v>1</v>
      </c>
    </row>
    <row r="61" spans="2:15" ht="6" customHeight="1">
      <c r="B61" s="1813"/>
      <c r="C61" s="1827"/>
      <c r="D61" s="1815"/>
      <c r="E61" s="1850"/>
      <c r="F61" s="1835"/>
      <c r="G61" s="1851"/>
      <c r="H61" s="1817"/>
      <c r="I61" s="1051"/>
      <c r="J61" s="1818"/>
      <c r="K61" s="1817"/>
      <c r="L61" s="1049"/>
      <c r="M61" s="1817"/>
      <c r="N61" s="1817"/>
      <c r="O61" s="1049"/>
    </row>
    <row r="62" spans="2:15" s="935" customFormat="1">
      <c r="B62" s="1813" t="s">
        <v>812</v>
      </c>
      <c r="C62" s="1823"/>
      <c r="D62" s="1820" t="s">
        <v>876</v>
      </c>
      <c r="E62" s="1852" t="s">
        <v>827</v>
      </c>
      <c r="F62" s="1835">
        <v>0.49409111411817774</v>
      </c>
      <c r="G62" s="1853"/>
      <c r="H62" s="1854">
        <v>10954</v>
      </c>
      <c r="I62" s="1458">
        <v>0.49409111411817774</v>
      </c>
      <c r="J62" s="1855"/>
      <c r="K62" s="1854">
        <v>2519</v>
      </c>
      <c r="L62" s="1838">
        <v>0.872</v>
      </c>
      <c r="M62" s="1856"/>
      <c r="N62" s="1854">
        <v>13473</v>
      </c>
      <c r="O62" s="1838">
        <v>0.718866716465692</v>
      </c>
    </row>
    <row r="63" spans="2:15">
      <c r="B63" s="1847" t="s">
        <v>873</v>
      </c>
      <c r="C63" s="1827">
        <v>0.374</v>
      </c>
      <c r="D63" s="1815" t="s">
        <v>1230</v>
      </c>
      <c r="E63" s="1850" t="s">
        <v>699</v>
      </c>
      <c r="F63" s="1835">
        <v>0.22097428958051421</v>
      </c>
      <c r="G63" s="1851"/>
      <c r="H63" s="1817">
        <v>4899</v>
      </c>
      <c r="I63" s="1051">
        <v>0.22097428958051421</v>
      </c>
      <c r="J63" s="1818"/>
      <c r="K63" s="1817">
        <v>370</v>
      </c>
      <c r="L63" s="1049">
        <v>0.128</v>
      </c>
      <c r="M63" s="1857"/>
      <c r="N63" s="1817">
        <v>5269</v>
      </c>
      <c r="O63" s="1049">
        <v>0.281133283534308</v>
      </c>
    </row>
    <row r="64" spans="2:15">
      <c r="B64" s="1813"/>
      <c r="C64" s="1827"/>
      <c r="D64" s="1815" t="s">
        <v>874</v>
      </c>
      <c r="E64" s="1850" t="s">
        <v>698</v>
      </c>
      <c r="F64" s="1835">
        <v>0.21407307171853854</v>
      </c>
      <c r="G64" s="1851"/>
      <c r="H64" s="1817">
        <v>4746</v>
      </c>
      <c r="I64" s="1051">
        <v>0.21407307171853854</v>
      </c>
      <c r="J64" s="1818"/>
      <c r="K64" s="1043"/>
      <c r="L64" s="919"/>
      <c r="M64" s="1043"/>
      <c r="N64" s="1043"/>
      <c r="O64" s="919"/>
    </row>
    <row r="65" spans="2:15">
      <c r="B65" s="1813"/>
      <c r="C65" s="1827"/>
      <c r="D65" s="1815" t="s">
        <v>875</v>
      </c>
      <c r="E65" s="1850" t="s">
        <v>1341</v>
      </c>
      <c r="F65" s="1835">
        <v>3.8385205232295896E-2</v>
      </c>
      <c r="G65" s="1851"/>
      <c r="H65" s="1817">
        <v>851</v>
      </c>
      <c r="I65" s="1051">
        <v>3.8385205232295896E-2</v>
      </c>
      <c r="J65" s="1818"/>
      <c r="K65" s="1043"/>
      <c r="L65" s="919"/>
      <c r="M65" s="1043"/>
      <c r="N65" s="1043"/>
      <c r="O65" s="919"/>
    </row>
    <row r="66" spans="2:15">
      <c r="B66" s="1813"/>
      <c r="C66" s="1823"/>
      <c r="D66" s="1815" t="s">
        <v>877</v>
      </c>
      <c r="E66" s="1850" t="s">
        <v>815</v>
      </c>
      <c r="F66" s="1835">
        <v>1.7591339648173207E-2</v>
      </c>
      <c r="G66" s="1851"/>
      <c r="H66" s="1817">
        <v>390</v>
      </c>
      <c r="I66" s="1051">
        <v>1.7591339648173207E-2</v>
      </c>
      <c r="J66" s="1818"/>
      <c r="K66" s="1043"/>
      <c r="L66" s="919"/>
      <c r="M66" s="1043"/>
      <c r="N66" s="1043"/>
      <c r="O66" s="919"/>
    </row>
    <row r="67" spans="2:15">
      <c r="B67" s="1813"/>
      <c r="C67" s="1827"/>
      <c r="D67" s="1815" t="s">
        <v>1231</v>
      </c>
      <c r="E67" s="1847" t="s">
        <v>872</v>
      </c>
      <c r="F67" s="1835">
        <v>1.4884979702300407E-2</v>
      </c>
      <c r="G67" s="1815"/>
      <c r="H67" s="1817">
        <v>330</v>
      </c>
      <c r="I67" s="1051">
        <v>1.4884979702300407E-2</v>
      </c>
      <c r="J67" s="1818"/>
      <c r="K67" s="1043"/>
      <c r="L67" s="919"/>
      <c r="M67" s="1043"/>
      <c r="N67" s="1043"/>
      <c r="O67" s="919"/>
    </row>
    <row r="68" spans="2:15" ht="4.5" customHeight="1">
      <c r="B68" s="1813"/>
      <c r="C68" s="1827"/>
      <c r="D68" s="1815"/>
      <c r="E68" s="1850"/>
      <c r="F68" s="1835"/>
      <c r="G68" s="1851"/>
      <c r="H68" s="1817"/>
      <c r="I68" s="1051"/>
      <c r="J68" s="1818"/>
      <c r="K68" s="1817"/>
      <c r="L68" s="919"/>
      <c r="M68" s="1817"/>
      <c r="N68" s="1817"/>
      <c r="O68" s="919"/>
    </row>
    <row r="69" spans="2:15">
      <c r="B69" s="2415"/>
      <c r="C69" s="2416"/>
      <c r="D69" s="2417"/>
      <c r="E69" s="2433"/>
      <c r="F69" s="2418"/>
      <c r="G69" s="2434"/>
      <c r="H69" s="2419">
        <v>22170</v>
      </c>
      <c r="I69" s="2421">
        <v>1</v>
      </c>
      <c r="J69" s="2420"/>
      <c r="K69" s="2419">
        <v>2889</v>
      </c>
      <c r="L69" s="2425">
        <v>1</v>
      </c>
      <c r="M69" s="2420"/>
      <c r="N69" s="2419">
        <v>18742</v>
      </c>
      <c r="O69" s="2425">
        <v>1</v>
      </c>
    </row>
    <row r="70" spans="2:15" ht="5.25" customHeight="1">
      <c r="B70" s="1813"/>
      <c r="C70" s="1827"/>
      <c r="D70" s="1815"/>
      <c r="E70" s="1850"/>
      <c r="F70" s="1835"/>
      <c r="G70" s="1851"/>
      <c r="H70" s="1817"/>
      <c r="I70" s="1051"/>
      <c r="J70" s="1843"/>
      <c r="K70" s="1817"/>
      <c r="L70" s="1049"/>
      <c r="M70" s="1843"/>
      <c r="N70" s="1817"/>
      <c r="O70" s="1049"/>
    </row>
    <row r="71" spans="2:15" s="935" customFormat="1">
      <c r="B71" s="2026">
        <v>37546</v>
      </c>
      <c r="C71" s="2027"/>
      <c r="D71" s="2033"/>
      <c r="E71" s="2034"/>
      <c r="F71" s="2035"/>
      <c r="G71" s="2036"/>
      <c r="H71" s="2037"/>
      <c r="I71" s="2038"/>
      <c r="J71" s="2039"/>
      <c r="K71" s="2037"/>
      <c r="L71" s="2040"/>
      <c r="M71" s="2037"/>
      <c r="N71" s="2037"/>
      <c r="O71" s="2040"/>
    </row>
    <row r="72" spans="2:15" ht="6.75" customHeight="1">
      <c r="B72" s="1813"/>
      <c r="C72" s="1827"/>
      <c r="D72" s="1815"/>
      <c r="E72" s="1850"/>
      <c r="F72" s="1835"/>
      <c r="G72" s="1851"/>
      <c r="H72" s="1817"/>
      <c r="I72" s="1051"/>
      <c r="J72" s="1818"/>
      <c r="K72" s="1817"/>
      <c r="L72" s="919"/>
      <c r="M72" s="1817"/>
      <c r="N72" s="1817"/>
      <c r="O72" s="919"/>
    </row>
    <row r="73" spans="2:15" s="935" customFormat="1">
      <c r="B73" s="1813" t="s">
        <v>813</v>
      </c>
      <c r="C73" s="1823"/>
      <c r="D73" s="1820" t="s">
        <v>879</v>
      </c>
      <c r="E73" s="1852" t="s">
        <v>880</v>
      </c>
      <c r="F73" s="1835">
        <v>0.34499999999999997</v>
      </c>
      <c r="G73" s="1853"/>
      <c r="H73" s="1854">
        <v>9557</v>
      </c>
      <c r="I73" s="1458">
        <v>0.34499999999999997</v>
      </c>
      <c r="J73" s="1855"/>
      <c r="K73" s="1854">
        <v>2522</v>
      </c>
      <c r="L73" s="1838">
        <v>0.52800000000000002</v>
      </c>
      <c r="M73" s="1856"/>
      <c r="N73" s="1854">
        <v>12079</v>
      </c>
      <c r="O73" s="1838">
        <v>0.63400000000000001</v>
      </c>
    </row>
    <row r="74" spans="2:15">
      <c r="B74" s="1847" t="s">
        <v>10</v>
      </c>
      <c r="C74" s="1827">
        <v>0.253</v>
      </c>
      <c r="D74" s="1815" t="s">
        <v>881</v>
      </c>
      <c r="E74" s="1847" t="s">
        <v>827</v>
      </c>
      <c r="F74" s="1835">
        <v>0.17</v>
      </c>
      <c r="G74" s="1815"/>
      <c r="H74" s="1817">
        <v>4711</v>
      </c>
      <c r="I74" s="1051">
        <v>0.17</v>
      </c>
      <c r="J74" s="1818"/>
      <c r="K74" s="1817">
        <v>2253</v>
      </c>
      <c r="L74" s="1049">
        <v>0.47200000000000003</v>
      </c>
      <c r="M74" s="1857"/>
      <c r="N74" s="1817">
        <v>6964</v>
      </c>
      <c r="O74" s="1049">
        <v>0.36599999999999999</v>
      </c>
    </row>
    <row r="75" spans="2:15">
      <c r="B75" s="1813"/>
      <c r="C75" s="1827"/>
      <c r="D75" s="1815" t="s">
        <v>882</v>
      </c>
      <c r="E75" s="1847" t="s">
        <v>698</v>
      </c>
      <c r="F75" s="1835">
        <v>0.16800000000000001</v>
      </c>
      <c r="G75" s="1815"/>
      <c r="H75" s="1817">
        <v>4661</v>
      </c>
      <c r="I75" s="1051">
        <v>0.16800000000000001</v>
      </c>
      <c r="J75" s="1818"/>
      <c r="K75" s="1043"/>
      <c r="L75" s="919"/>
      <c r="M75" s="1043"/>
      <c r="N75" s="1043"/>
      <c r="O75" s="919"/>
    </row>
    <row r="76" spans="2:15">
      <c r="B76" s="1813"/>
      <c r="C76" s="1827"/>
      <c r="D76" s="1815" t="s">
        <v>883</v>
      </c>
      <c r="E76" s="1847" t="s">
        <v>699</v>
      </c>
      <c r="F76" s="1835">
        <v>0.14800000000000002</v>
      </c>
      <c r="G76" s="1815"/>
      <c r="H76" s="1817">
        <v>4114</v>
      </c>
      <c r="I76" s="1051">
        <v>0.14800000000000002</v>
      </c>
      <c r="J76" s="1818"/>
      <c r="K76" s="1043"/>
      <c r="L76" s="919"/>
      <c r="M76" s="1043"/>
      <c r="N76" s="1043"/>
      <c r="O76" s="919"/>
    </row>
    <row r="77" spans="2:15">
      <c r="B77" s="1813"/>
      <c r="C77" s="1827"/>
      <c r="D77" s="1815" t="s">
        <v>884</v>
      </c>
      <c r="E77" s="1847" t="s">
        <v>931</v>
      </c>
      <c r="F77" s="1835">
        <v>6.8000000000000005E-2</v>
      </c>
      <c r="G77" s="1815"/>
      <c r="H77" s="1817">
        <v>1893</v>
      </c>
      <c r="I77" s="1051">
        <v>6.8000000000000005E-2</v>
      </c>
      <c r="J77" s="1818"/>
      <c r="K77" s="1043"/>
      <c r="L77" s="919"/>
      <c r="M77" s="1043"/>
      <c r="N77" s="1043"/>
      <c r="O77" s="919"/>
    </row>
    <row r="78" spans="2:15">
      <c r="B78" s="1813"/>
      <c r="C78" s="1827"/>
      <c r="D78" s="1815" t="s">
        <v>885</v>
      </c>
      <c r="E78" s="1847" t="s">
        <v>931</v>
      </c>
      <c r="F78" s="1835">
        <v>6.6000000000000003E-2</v>
      </c>
      <c r="G78" s="1815"/>
      <c r="H78" s="1817">
        <v>1826</v>
      </c>
      <c r="I78" s="1051">
        <v>6.6000000000000003E-2</v>
      </c>
      <c r="J78" s="1818"/>
      <c r="K78" s="1043"/>
      <c r="L78" s="919"/>
      <c r="M78" s="1043"/>
      <c r="N78" s="1043"/>
      <c r="O78" s="919"/>
    </row>
    <row r="79" spans="2:15">
      <c r="B79" s="1813"/>
      <c r="C79" s="1827"/>
      <c r="D79" s="1815" t="s">
        <v>7</v>
      </c>
      <c r="E79" s="1847" t="s">
        <v>1341</v>
      </c>
      <c r="F79" s="1835">
        <v>2.6000000000000002E-2</v>
      </c>
      <c r="G79" s="1815"/>
      <c r="H79" s="1817">
        <v>735</v>
      </c>
      <c r="I79" s="1051">
        <v>2.6000000000000002E-2</v>
      </c>
      <c r="J79" s="1818"/>
      <c r="K79" s="1043"/>
      <c r="L79" s="919"/>
      <c r="M79" s="1043"/>
      <c r="N79" s="1043"/>
      <c r="O79" s="919"/>
    </row>
    <row r="80" spans="2:15">
      <c r="B80" s="1813"/>
      <c r="C80" s="1823"/>
      <c r="D80" s="1815" t="s">
        <v>886</v>
      </c>
      <c r="E80" s="1847" t="s">
        <v>931</v>
      </c>
      <c r="F80" s="1835">
        <v>8.0000000000000002E-3</v>
      </c>
      <c r="G80" s="1815"/>
      <c r="H80" s="1817">
        <v>218</v>
      </c>
      <c r="I80" s="1051">
        <v>8.0000000000000002E-3</v>
      </c>
      <c r="J80" s="1818"/>
      <c r="K80" s="1043"/>
      <c r="L80" s="919"/>
      <c r="M80" s="1043"/>
      <c r="N80" s="1043"/>
      <c r="O80" s="919"/>
    </row>
    <row r="81" spans="2:15" ht="4.5" customHeight="1">
      <c r="B81" s="1813"/>
      <c r="C81" s="1827"/>
      <c r="D81" s="1815"/>
      <c r="E81" s="1847"/>
      <c r="F81" s="1835"/>
      <c r="G81" s="1815"/>
      <c r="H81" s="1817"/>
      <c r="I81" s="1051"/>
      <c r="J81" s="1818"/>
      <c r="K81" s="1817"/>
      <c r="L81" s="919"/>
      <c r="M81" s="1817"/>
      <c r="N81" s="1817"/>
      <c r="O81" s="919"/>
    </row>
    <row r="82" spans="2:15">
      <c r="B82" s="2415"/>
      <c r="C82" s="2416"/>
      <c r="D82" s="2417"/>
      <c r="E82" s="2415"/>
      <c r="F82" s="2418"/>
      <c r="G82" s="2417"/>
      <c r="H82" s="2419">
        <v>27715</v>
      </c>
      <c r="I82" s="2421">
        <v>1</v>
      </c>
      <c r="J82" s="2420"/>
      <c r="K82" s="2419">
        <v>4775</v>
      </c>
      <c r="L82" s="2425">
        <v>1</v>
      </c>
      <c r="M82" s="2420"/>
      <c r="N82" s="2419">
        <v>19043</v>
      </c>
      <c r="O82" s="2425">
        <v>1</v>
      </c>
    </row>
    <row r="83" spans="2:15" s="944" customFormat="1" ht="7.5" customHeight="1">
      <c r="B83" s="1813"/>
      <c r="C83" s="1827"/>
      <c r="D83" s="1815"/>
      <c r="E83" s="1850"/>
      <c r="F83" s="1906"/>
      <c r="G83" s="1851"/>
      <c r="H83" s="1817"/>
      <c r="I83" s="1818"/>
      <c r="J83" s="1818"/>
      <c r="K83" s="1817"/>
      <c r="L83" s="1817"/>
      <c r="M83" s="1817"/>
      <c r="N83" s="1817"/>
      <c r="O83" s="1819"/>
    </row>
    <row r="84" spans="2:15" ht="14.25" customHeight="1" thickBot="1">
      <c r="B84" s="1549"/>
      <c r="C84" s="2017"/>
      <c r="D84" s="2018"/>
      <c r="E84" s="2018"/>
      <c r="F84" s="2019"/>
      <c r="G84" s="2018"/>
      <c r="H84" s="3493" t="s">
        <v>1170</v>
      </c>
      <c r="I84" s="3409"/>
      <c r="J84" s="2367"/>
      <c r="K84" s="3493" t="s">
        <v>1219</v>
      </c>
      <c r="L84" s="3493"/>
      <c r="M84" s="2020"/>
      <c r="N84" s="3493" t="s">
        <v>267</v>
      </c>
      <c r="O84" s="3409"/>
    </row>
    <row r="85" spans="2:15" ht="16">
      <c r="B85" s="2021" t="s">
        <v>2387</v>
      </c>
      <c r="C85" s="2017"/>
      <c r="D85" s="2018" t="s">
        <v>11</v>
      </c>
      <c r="E85" s="2022" t="s">
        <v>110</v>
      </c>
      <c r="F85" s="2023"/>
      <c r="G85" s="2018"/>
      <c r="H85" s="2020" t="s">
        <v>111</v>
      </c>
      <c r="I85" s="2024" t="s">
        <v>153</v>
      </c>
      <c r="J85" s="2024"/>
      <c r="K85" s="2020" t="s">
        <v>111</v>
      </c>
      <c r="L85" s="2020" t="s">
        <v>153</v>
      </c>
      <c r="M85" s="2020"/>
      <c r="N85" s="2020" t="s">
        <v>111</v>
      </c>
      <c r="O85" s="2025" t="s">
        <v>153</v>
      </c>
    </row>
    <row r="86" spans="2:15" ht="6" customHeight="1">
      <c r="B86" s="1813"/>
      <c r="C86" s="1823"/>
      <c r="D86" s="1820"/>
      <c r="E86" s="1820"/>
      <c r="F86" s="1835"/>
      <c r="G86" s="1820"/>
      <c r="H86" s="1822"/>
      <c r="I86" s="1821"/>
      <c r="J86" s="1821"/>
      <c r="K86" s="1822"/>
      <c r="L86" s="1822"/>
      <c r="M86" s="1822"/>
      <c r="N86" s="1822"/>
      <c r="O86" s="1825"/>
    </row>
    <row r="87" spans="2:15" s="935" customFormat="1" ht="14">
      <c r="B87" s="1813" t="s">
        <v>688</v>
      </c>
      <c r="C87" s="1823"/>
      <c r="D87" s="1858" t="s">
        <v>887</v>
      </c>
      <c r="E87" s="1813" t="s">
        <v>699</v>
      </c>
      <c r="F87" s="1835">
        <v>0.42</v>
      </c>
      <c r="G87" s="1858"/>
      <c r="H87" s="1848">
        <v>13813</v>
      </c>
      <c r="I87" s="1859">
        <v>0.42</v>
      </c>
      <c r="J87" s="1849"/>
      <c r="K87" s="1848">
        <v>2421</v>
      </c>
      <c r="L87" s="1838">
        <v>0.68200000000000005</v>
      </c>
      <c r="M87" s="1860"/>
      <c r="N87" s="1848">
        <v>16234</v>
      </c>
      <c r="O87" s="1838">
        <v>0.74299999999999999</v>
      </c>
    </row>
    <row r="88" spans="2:15" ht="14">
      <c r="B88" s="1847" t="s">
        <v>9</v>
      </c>
      <c r="C88" s="1827">
        <v>0.252</v>
      </c>
      <c r="D88" s="1861" t="s">
        <v>888</v>
      </c>
      <c r="E88" s="1847" t="s">
        <v>698</v>
      </c>
      <c r="F88" s="1835">
        <v>0.13699999999999998</v>
      </c>
      <c r="G88" s="1861"/>
      <c r="H88" s="1822">
        <v>4502</v>
      </c>
      <c r="I88" s="1862">
        <v>0.13699999999999998</v>
      </c>
      <c r="J88" s="1821"/>
      <c r="K88" s="1822">
        <v>1127</v>
      </c>
      <c r="L88" s="1049">
        <v>0.318</v>
      </c>
      <c r="M88" s="1863"/>
      <c r="N88" s="1822">
        <v>5629</v>
      </c>
      <c r="O88" s="1049">
        <v>0.25700000000000001</v>
      </c>
    </row>
    <row r="89" spans="2:15" ht="14">
      <c r="B89" s="1813"/>
      <c r="C89" s="1827"/>
      <c r="D89" s="1861" t="s">
        <v>889</v>
      </c>
      <c r="E89" s="1847" t="s">
        <v>815</v>
      </c>
      <c r="F89" s="1835">
        <v>0.127</v>
      </c>
      <c r="G89" s="1861"/>
      <c r="H89" s="1822">
        <v>4187</v>
      </c>
      <c r="I89" s="1862">
        <v>0.127</v>
      </c>
      <c r="J89" s="1821"/>
      <c r="K89" s="1043"/>
      <c r="L89" s="919"/>
      <c r="M89" s="1043"/>
      <c r="N89" s="1043"/>
      <c r="O89" s="919"/>
    </row>
    <row r="90" spans="2:15" ht="14">
      <c r="B90" s="1813"/>
      <c r="C90" s="1827"/>
      <c r="D90" s="1861" t="s">
        <v>890</v>
      </c>
      <c r="E90" s="1847" t="s">
        <v>827</v>
      </c>
      <c r="F90" s="1835">
        <v>0.127</v>
      </c>
      <c r="G90" s="1861"/>
      <c r="H90" s="1822">
        <v>4185</v>
      </c>
      <c r="I90" s="1862">
        <v>0.127</v>
      </c>
      <c r="J90" s="1821"/>
      <c r="K90" s="1043"/>
      <c r="L90" s="919"/>
      <c r="M90" s="1043"/>
      <c r="N90" s="1043"/>
      <c r="O90" s="919"/>
    </row>
    <row r="91" spans="2:15" ht="14">
      <c r="B91" s="1813"/>
      <c r="C91" s="1827"/>
      <c r="D91" s="1861" t="s">
        <v>891</v>
      </c>
      <c r="E91" s="1847" t="s">
        <v>1341</v>
      </c>
      <c r="F91" s="1835">
        <v>9.0999999999999998E-2</v>
      </c>
      <c r="G91" s="1861"/>
      <c r="H91" s="1822">
        <v>3002</v>
      </c>
      <c r="I91" s="1862">
        <v>9.0999999999999998E-2</v>
      </c>
      <c r="J91" s="1821"/>
      <c r="K91" s="1043"/>
      <c r="L91" s="919"/>
      <c r="M91" s="1043"/>
      <c r="N91" s="1043"/>
      <c r="O91" s="919"/>
    </row>
    <row r="92" spans="2:15" ht="14">
      <c r="B92" s="1813"/>
      <c r="C92" s="1827"/>
      <c r="D92" s="1861" t="s">
        <v>892</v>
      </c>
      <c r="E92" s="1847" t="s">
        <v>931</v>
      </c>
      <c r="F92" s="1835">
        <v>4.7E-2</v>
      </c>
      <c r="G92" s="1861"/>
      <c r="H92" s="1822">
        <v>1543</v>
      </c>
      <c r="I92" s="1862">
        <v>4.7E-2</v>
      </c>
      <c r="J92" s="1821"/>
      <c r="K92" s="1043"/>
      <c r="L92" s="919"/>
      <c r="M92" s="1043"/>
      <c r="N92" s="1043"/>
      <c r="O92" s="919"/>
    </row>
    <row r="93" spans="2:15" ht="14">
      <c r="B93" s="1813"/>
      <c r="C93" s="1823"/>
      <c r="D93" s="1861" t="s">
        <v>893</v>
      </c>
      <c r="E93" s="1847" t="s">
        <v>931</v>
      </c>
      <c r="F93" s="1835">
        <v>3.7999999999999999E-2</v>
      </c>
      <c r="G93" s="1861"/>
      <c r="H93" s="1822">
        <v>1253</v>
      </c>
      <c r="I93" s="1862">
        <v>3.7999999999999999E-2</v>
      </c>
      <c r="J93" s="1821"/>
      <c r="K93" s="1043"/>
      <c r="L93" s="919"/>
      <c r="M93" s="1043"/>
      <c r="N93" s="1043"/>
      <c r="O93" s="919"/>
    </row>
    <row r="94" spans="2:15" ht="14">
      <c r="B94" s="1813"/>
      <c r="C94" s="1823"/>
      <c r="D94" s="1861" t="s">
        <v>8</v>
      </c>
      <c r="E94" s="1847" t="s">
        <v>931</v>
      </c>
      <c r="F94" s="1835">
        <v>1.3000000000000001E-2</v>
      </c>
      <c r="G94" s="1861"/>
      <c r="H94" s="1822">
        <v>441</v>
      </c>
      <c r="I94" s="1862">
        <v>1.3000000000000001E-2</v>
      </c>
      <c r="J94" s="1821"/>
      <c r="K94" s="1043"/>
      <c r="L94" s="919"/>
      <c r="M94" s="1043"/>
      <c r="N94" s="1043"/>
      <c r="O94" s="919"/>
    </row>
    <row r="95" spans="2:15" ht="4.5" customHeight="1">
      <c r="B95" s="1813"/>
      <c r="C95" s="1827"/>
      <c r="D95" s="1815"/>
      <c r="E95" s="1847"/>
      <c r="F95" s="1835"/>
      <c r="G95" s="1815"/>
      <c r="H95" s="1817"/>
      <c r="I95" s="1862"/>
      <c r="J95" s="1818"/>
      <c r="K95" s="1817"/>
      <c r="L95" s="919"/>
      <c r="M95" s="1817"/>
      <c r="N95" s="1817"/>
      <c r="O95" s="919"/>
    </row>
    <row r="96" spans="2:15" s="935" customFormat="1">
      <c r="B96" s="2415"/>
      <c r="C96" s="2416"/>
      <c r="D96" s="2417"/>
      <c r="E96" s="2415"/>
      <c r="F96" s="2418"/>
      <c r="G96" s="2417"/>
      <c r="H96" s="2419">
        <v>32926</v>
      </c>
      <c r="I96" s="2435">
        <v>1</v>
      </c>
      <c r="J96" s="2420"/>
      <c r="K96" s="2419">
        <v>3548</v>
      </c>
      <c r="L96" s="2425">
        <v>1</v>
      </c>
      <c r="M96" s="2420"/>
      <c r="N96" s="2419">
        <v>21863</v>
      </c>
      <c r="O96" s="2425">
        <v>1</v>
      </c>
    </row>
    <row r="97" spans="2:15" ht="6.75" customHeight="1">
      <c r="B97" s="1813"/>
      <c r="C97" s="1823"/>
      <c r="D97" s="1820"/>
      <c r="E97" s="1813"/>
      <c r="F97" s="1835"/>
      <c r="G97" s="1820"/>
      <c r="H97" s="1817"/>
      <c r="I97" s="1862"/>
      <c r="J97" s="1864"/>
      <c r="K97" s="1817"/>
      <c r="L97" s="919"/>
      <c r="M97" s="1817"/>
      <c r="N97" s="1817"/>
      <c r="O97" s="919"/>
    </row>
    <row r="98" spans="2:15" s="935" customFormat="1" ht="14">
      <c r="B98" s="1813" t="s">
        <v>817</v>
      </c>
      <c r="C98" s="1823"/>
      <c r="D98" s="1858" t="s">
        <v>894</v>
      </c>
      <c r="E98" s="1813" t="s">
        <v>931</v>
      </c>
      <c r="F98" s="1835">
        <v>0.29600000000000004</v>
      </c>
      <c r="G98" s="1858"/>
      <c r="H98" s="1848">
        <v>4150</v>
      </c>
      <c r="I98" s="1859">
        <v>0.29600000000000004</v>
      </c>
      <c r="J98" s="1849"/>
      <c r="K98" s="1848">
        <v>1801</v>
      </c>
      <c r="L98" s="1838">
        <v>0.753</v>
      </c>
      <c r="M98" s="1860"/>
      <c r="N98" s="1848">
        <v>5951</v>
      </c>
      <c r="O98" s="1838">
        <v>0.52600000000000002</v>
      </c>
    </row>
    <row r="99" spans="2:15" ht="14">
      <c r="B99" s="1847" t="s">
        <v>899</v>
      </c>
      <c r="C99" s="1823">
        <v>0.185</v>
      </c>
      <c r="D99" s="1861" t="s">
        <v>895</v>
      </c>
      <c r="E99" s="1847" t="s">
        <v>699</v>
      </c>
      <c r="F99" s="1835">
        <v>0.34</v>
      </c>
      <c r="G99" s="1861"/>
      <c r="H99" s="1822">
        <v>4773</v>
      </c>
      <c r="I99" s="1862">
        <v>0.34</v>
      </c>
      <c r="J99" s="1821"/>
      <c r="K99" s="1865">
        <v>590</v>
      </c>
      <c r="L99" s="1049">
        <v>0.247</v>
      </c>
      <c r="M99" s="1863"/>
      <c r="N99" s="1822">
        <v>5363</v>
      </c>
      <c r="O99" s="1049">
        <v>0.47399999999999998</v>
      </c>
    </row>
    <row r="100" spans="2:15" ht="14">
      <c r="B100" s="1813"/>
      <c r="C100" s="1823"/>
      <c r="D100" s="1861" t="s">
        <v>896</v>
      </c>
      <c r="E100" s="1847" t="s">
        <v>698</v>
      </c>
      <c r="F100" s="1835">
        <v>0.23899999999999999</v>
      </c>
      <c r="G100" s="1861"/>
      <c r="H100" s="1822">
        <v>3351</v>
      </c>
      <c r="I100" s="1862">
        <v>0.23899999999999999</v>
      </c>
      <c r="J100" s="1821"/>
      <c r="K100" s="1043"/>
      <c r="L100" s="919"/>
      <c r="M100" s="1043"/>
      <c r="N100" s="1043"/>
      <c r="O100" s="919"/>
    </row>
    <row r="101" spans="2:15" ht="14">
      <c r="B101" s="1813"/>
      <c r="C101" s="1823"/>
      <c r="D101" s="1861" t="s">
        <v>897</v>
      </c>
      <c r="E101" s="1847" t="s">
        <v>827</v>
      </c>
      <c r="F101" s="1835">
        <v>6.8000000000000005E-2</v>
      </c>
      <c r="G101" s="1861"/>
      <c r="H101" s="1865">
        <v>958</v>
      </c>
      <c r="I101" s="1862">
        <v>6.8000000000000005E-2</v>
      </c>
      <c r="J101" s="1821"/>
      <c r="K101" s="1043"/>
      <c r="L101" s="919"/>
      <c r="M101" s="1043"/>
      <c r="N101" s="1043"/>
      <c r="O101" s="919"/>
    </row>
    <row r="102" spans="2:15" ht="14">
      <c r="B102" s="1813"/>
      <c r="C102" s="1823"/>
      <c r="D102" s="1861" t="s">
        <v>898</v>
      </c>
      <c r="E102" s="1847" t="s">
        <v>1341</v>
      </c>
      <c r="F102" s="1835">
        <v>5.7999999999999996E-2</v>
      </c>
      <c r="G102" s="1861"/>
      <c r="H102" s="1865">
        <v>811</v>
      </c>
      <c r="I102" s="1862">
        <v>5.7999999999999996E-2</v>
      </c>
      <c r="J102" s="1821"/>
      <c r="K102" s="1043"/>
      <c r="L102" s="919"/>
      <c r="M102" s="1043"/>
      <c r="N102" s="1043"/>
      <c r="O102" s="919"/>
    </row>
    <row r="103" spans="2:15" ht="4.5" customHeight="1">
      <c r="B103" s="1813"/>
      <c r="C103" s="1823"/>
      <c r="D103" s="1820"/>
      <c r="E103" s="1813"/>
      <c r="F103" s="1835"/>
      <c r="G103" s="1820"/>
      <c r="H103" s="1817"/>
      <c r="I103" s="1862"/>
      <c r="J103" s="1864"/>
      <c r="K103" s="1817"/>
      <c r="L103" s="919"/>
      <c r="M103" s="1817"/>
      <c r="N103" s="1817"/>
      <c r="O103" s="919"/>
    </row>
    <row r="104" spans="2:15">
      <c r="B104" s="2415"/>
      <c r="C104" s="2416"/>
      <c r="D104" s="2417"/>
      <c r="E104" s="2415"/>
      <c r="F104" s="2418"/>
      <c r="G104" s="2417"/>
      <c r="H104" s="2419">
        <v>14043</v>
      </c>
      <c r="I104" s="2435">
        <v>1</v>
      </c>
      <c r="J104" s="2420"/>
      <c r="K104" s="2419">
        <v>2391</v>
      </c>
      <c r="L104" s="2425">
        <v>1</v>
      </c>
      <c r="M104" s="2420"/>
      <c r="N104" s="2419">
        <v>11314</v>
      </c>
      <c r="O104" s="2425">
        <v>1</v>
      </c>
    </row>
    <row r="105" spans="2:15" ht="6.75" customHeight="1">
      <c r="B105" s="1813"/>
      <c r="C105" s="1823"/>
      <c r="D105" s="1820"/>
      <c r="E105" s="1813"/>
      <c r="F105" s="1835"/>
      <c r="G105" s="1820"/>
      <c r="H105" s="1817"/>
      <c r="I105" s="1862"/>
      <c r="J105" s="1817"/>
      <c r="K105" s="1817"/>
      <c r="L105" s="1049"/>
      <c r="M105" s="1817"/>
      <c r="N105" s="1817"/>
      <c r="O105" s="1049"/>
    </row>
    <row r="106" spans="2:15" s="935" customFormat="1" ht="14">
      <c r="B106" s="1833" t="s">
        <v>767</v>
      </c>
      <c r="C106" s="1823"/>
      <c r="D106" s="1858" t="s">
        <v>900</v>
      </c>
      <c r="E106" s="1813" t="s">
        <v>3</v>
      </c>
      <c r="F106" s="1835">
        <v>0.21299999999999999</v>
      </c>
      <c r="G106" s="1858"/>
      <c r="H106" s="1848">
        <v>9356</v>
      </c>
      <c r="I106" s="1859">
        <v>0.21299999999999999</v>
      </c>
      <c r="J106" s="1849"/>
      <c r="K106" s="1848">
        <v>3337</v>
      </c>
      <c r="L106" s="1838">
        <v>0.56000000000000005</v>
      </c>
      <c r="M106" s="1866"/>
      <c r="N106" s="1848">
        <v>12693</v>
      </c>
      <c r="O106" s="1838">
        <v>0.50600000000000001</v>
      </c>
    </row>
    <row r="107" spans="2:15" ht="14">
      <c r="B107" s="1840" t="s">
        <v>5</v>
      </c>
      <c r="C107" s="1823">
        <v>0.24</v>
      </c>
      <c r="D107" s="1861" t="s">
        <v>171</v>
      </c>
      <c r="E107" s="1847" t="s">
        <v>699</v>
      </c>
      <c r="F107" s="1835">
        <v>0.222</v>
      </c>
      <c r="G107" s="1861"/>
      <c r="H107" s="1822">
        <v>9752</v>
      </c>
      <c r="I107" s="1862">
        <v>0.222</v>
      </c>
      <c r="J107" s="1821"/>
      <c r="K107" s="1822">
        <v>2627</v>
      </c>
      <c r="L107" s="1049">
        <v>0.44</v>
      </c>
      <c r="M107" s="1867"/>
      <c r="N107" s="1822">
        <v>12379</v>
      </c>
      <c r="O107" s="1049">
        <v>0.49399999999999999</v>
      </c>
    </row>
    <row r="108" spans="2:15" ht="14">
      <c r="B108" s="1833"/>
      <c r="C108" s="1823"/>
      <c r="D108" s="1861" t="s">
        <v>902</v>
      </c>
      <c r="E108" s="1847" t="s">
        <v>816</v>
      </c>
      <c r="F108" s="1835">
        <v>0.187</v>
      </c>
      <c r="G108" s="1861"/>
      <c r="H108" s="1822">
        <v>8213</v>
      </c>
      <c r="I108" s="1862">
        <v>0.187</v>
      </c>
      <c r="J108" s="1821"/>
      <c r="L108" s="919"/>
      <c r="O108" s="919"/>
    </row>
    <row r="109" spans="2:15" ht="14">
      <c r="B109" s="1833"/>
      <c r="C109" s="1823"/>
      <c r="D109" s="1861" t="s">
        <v>903</v>
      </c>
      <c r="E109" s="1847" t="s">
        <v>698</v>
      </c>
      <c r="F109" s="1835">
        <v>0.1</v>
      </c>
      <c r="G109" s="1861"/>
      <c r="H109" s="1822">
        <v>4417</v>
      </c>
      <c r="I109" s="1862">
        <v>0.1</v>
      </c>
      <c r="J109" s="1821"/>
      <c r="L109" s="919"/>
      <c r="O109" s="919"/>
    </row>
    <row r="110" spans="2:15" ht="14">
      <c r="B110" s="1833"/>
      <c r="C110" s="1823"/>
      <c r="D110" s="1861" t="s">
        <v>904</v>
      </c>
      <c r="E110" s="1847" t="s">
        <v>931</v>
      </c>
      <c r="F110" s="1835">
        <v>0.09</v>
      </c>
      <c r="G110" s="1828"/>
      <c r="H110" s="1822">
        <v>3975</v>
      </c>
      <c r="I110" s="1862">
        <v>0.09</v>
      </c>
      <c r="J110" s="1821"/>
      <c r="L110" s="919"/>
      <c r="O110" s="919"/>
    </row>
    <row r="111" spans="2:15" ht="14">
      <c r="B111" s="1833"/>
      <c r="C111" s="1823"/>
      <c r="D111" s="1861" t="s">
        <v>905</v>
      </c>
      <c r="E111" s="1847" t="s">
        <v>827</v>
      </c>
      <c r="F111" s="1835">
        <v>5.5E-2</v>
      </c>
      <c r="G111" s="1861"/>
      <c r="H111" s="1822">
        <v>2408</v>
      </c>
      <c r="I111" s="1862">
        <v>5.5E-2</v>
      </c>
      <c r="J111" s="1821"/>
      <c r="L111" s="919"/>
      <c r="O111" s="919"/>
    </row>
    <row r="112" spans="2:15" ht="14">
      <c r="B112" s="1833"/>
      <c r="C112" s="1823"/>
      <c r="D112" s="1861" t="s">
        <v>906</v>
      </c>
      <c r="E112" s="1847" t="s">
        <v>931</v>
      </c>
      <c r="F112" s="1835">
        <v>0.03</v>
      </c>
      <c r="G112" s="1828"/>
      <c r="H112" s="1822">
        <v>1349</v>
      </c>
      <c r="I112" s="1862">
        <v>0.03</v>
      </c>
      <c r="J112" s="1821"/>
      <c r="L112" s="919"/>
      <c r="O112" s="919"/>
    </row>
    <row r="113" spans="2:16" ht="14">
      <c r="B113" s="1833"/>
      <c r="C113" s="1823"/>
      <c r="D113" s="1861" t="s">
        <v>907</v>
      </c>
      <c r="E113" s="1847" t="s">
        <v>931</v>
      </c>
      <c r="F113" s="1835">
        <v>2.8999999999999998E-2</v>
      </c>
      <c r="G113" s="1861"/>
      <c r="H113" s="1822">
        <v>1280</v>
      </c>
      <c r="I113" s="1862">
        <v>2.8999999999999998E-2</v>
      </c>
      <c r="J113" s="1821"/>
      <c r="L113" s="919"/>
      <c r="O113" s="919"/>
    </row>
    <row r="114" spans="2:16" ht="14">
      <c r="B114" s="1833"/>
      <c r="C114" s="1823"/>
      <c r="D114" s="1861" t="s">
        <v>908</v>
      </c>
      <c r="E114" s="1847" t="s">
        <v>931</v>
      </c>
      <c r="F114" s="1835">
        <v>2.6000000000000002E-2</v>
      </c>
      <c r="G114" s="1861"/>
      <c r="H114" s="1822">
        <v>1157</v>
      </c>
      <c r="I114" s="1862">
        <v>2.6000000000000002E-2</v>
      </c>
      <c r="J114" s="1821"/>
      <c r="L114" s="919"/>
      <c r="O114" s="919"/>
    </row>
    <row r="115" spans="2:16" ht="14">
      <c r="B115" s="1833"/>
      <c r="C115" s="1823"/>
      <c r="D115" s="1861" t="s">
        <v>0</v>
      </c>
      <c r="E115" s="1847" t="s">
        <v>931</v>
      </c>
      <c r="F115" s="1835">
        <v>2.1000000000000001E-2</v>
      </c>
      <c r="G115" s="1861"/>
      <c r="H115" s="1865">
        <v>926</v>
      </c>
      <c r="I115" s="1862">
        <v>2.1000000000000001E-2</v>
      </c>
      <c r="J115" s="1821"/>
      <c r="L115" s="919"/>
      <c r="O115" s="919"/>
    </row>
    <row r="116" spans="2:16" ht="14">
      <c r="B116" s="1833"/>
      <c r="C116" s="1827"/>
      <c r="D116" s="1861" t="s">
        <v>1</v>
      </c>
      <c r="E116" s="1847" t="s">
        <v>4</v>
      </c>
      <c r="F116" s="1835">
        <v>1.6E-2</v>
      </c>
      <c r="G116" s="1861"/>
      <c r="H116" s="1865">
        <v>708</v>
      </c>
      <c r="I116" s="1862">
        <v>1.6E-2</v>
      </c>
      <c r="J116" s="1821"/>
      <c r="L116" s="919"/>
      <c r="O116" s="919"/>
    </row>
    <row r="117" spans="2:16" ht="14">
      <c r="B117" s="1833"/>
      <c r="C117" s="1827"/>
      <c r="D117" s="1861" t="s">
        <v>2</v>
      </c>
      <c r="E117" s="1847" t="s">
        <v>931</v>
      </c>
      <c r="F117" s="1835">
        <v>0.01</v>
      </c>
      <c r="G117" s="1828"/>
      <c r="H117" s="1865">
        <v>453</v>
      </c>
      <c r="I117" s="1862">
        <v>0.01</v>
      </c>
      <c r="J117" s="1821"/>
      <c r="L117" s="919"/>
      <c r="O117" s="919"/>
    </row>
    <row r="118" spans="2:16" ht="4.5" customHeight="1">
      <c r="B118" s="1833"/>
      <c r="C118" s="1827"/>
      <c r="D118" s="1828"/>
      <c r="E118" s="1850"/>
      <c r="F118" s="1835"/>
      <c r="G118" s="1841"/>
      <c r="H118" s="1830"/>
      <c r="I118" s="1862"/>
      <c r="J118" s="1831"/>
      <c r="K118" s="1830"/>
      <c r="L118" s="919"/>
      <c r="M118" s="1830"/>
      <c r="N118" s="1830"/>
      <c r="O118" s="919"/>
    </row>
    <row r="119" spans="2:16" s="944" customFormat="1">
      <c r="B119" s="1813"/>
      <c r="C119" s="1827"/>
      <c r="D119" s="1815"/>
      <c r="E119" s="1850"/>
      <c r="F119" s="1906"/>
      <c r="G119" s="1851"/>
      <c r="H119" s="1854">
        <v>43994</v>
      </c>
      <c r="I119" s="2413">
        <v>1</v>
      </c>
      <c r="J119" s="2412"/>
      <c r="K119" s="1854">
        <v>5964</v>
      </c>
      <c r="L119" s="1429">
        <v>1</v>
      </c>
      <c r="M119" s="2412"/>
      <c r="N119" s="1854">
        <v>25072</v>
      </c>
      <c r="O119" s="1429">
        <v>1</v>
      </c>
      <c r="P119" s="947"/>
    </row>
    <row r="120" spans="2:16" ht="3.75" customHeight="1">
      <c r="B120" s="1515"/>
      <c r="C120" s="1868"/>
      <c r="D120" s="944"/>
      <c r="E120" s="1256"/>
      <c r="F120" s="1835"/>
      <c r="G120" s="944"/>
      <c r="H120" s="1043"/>
      <c r="I120" s="1862"/>
      <c r="J120" s="1043"/>
      <c r="K120" s="1043"/>
      <c r="L120" s="1049"/>
      <c r="M120" s="1043"/>
      <c r="N120" s="1043"/>
      <c r="O120" s="1049"/>
    </row>
    <row r="121" spans="2:16" s="944" customFormat="1">
      <c r="B121" s="2041">
        <v>37784</v>
      </c>
      <c r="C121" s="2042"/>
      <c r="D121" s="2043"/>
      <c r="E121" s="2044"/>
      <c r="F121" s="2035"/>
      <c r="G121" s="2045"/>
      <c r="H121" s="2046"/>
      <c r="I121" s="2047"/>
      <c r="J121" s="2048"/>
      <c r="K121" s="2046"/>
      <c r="L121" s="2043"/>
      <c r="M121" s="2046"/>
      <c r="N121" s="2046"/>
      <c r="O121" s="2043"/>
    </row>
    <row r="122" spans="2:16" s="944" customFormat="1" ht="6" customHeight="1">
      <c r="B122" s="1515"/>
      <c r="C122" s="1868"/>
      <c r="E122" s="1532"/>
      <c r="F122" s="1835"/>
      <c r="G122" s="1131"/>
      <c r="H122" s="1431"/>
      <c r="I122" s="1862"/>
      <c r="J122" s="1081"/>
      <c r="K122" s="1431"/>
      <c r="M122" s="1431"/>
      <c r="N122" s="1431"/>
    </row>
    <row r="123" spans="2:16" s="947" customFormat="1">
      <c r="B123" s="1515" t="s">
        <v>1220</v>
      </c>
      <c r="C123" s="1869"/>
      <c r="D123" s="947" t="s">
        <v>703</v>
      </c>
      <c r="E123" s="1515" t="s">
        <v>698</v>
      </c>
      <c r="F123" s="1835">
        <v>0.43066237822216008</v>
      </c>
      <c r="H123" s="1870">
        <v>18478</v>
      </c>
      <c r="I123" s="1859">
        <v>0.43066237822216002</v>
      </c>
      <c r="J123" s="1871"/>
      <c r="K123" s="1872">
        <v>2810</v>
      </c>
      <c r="L123" s="1838">
        <v>0.45600000000000002</v>
      </c>
      <c r="M123" s="1856"/>
      <c r="N123" s="1872">
        <v>21288</v>
      </c>
      <c r="O123" s="1838">
        <v>0.56444385523001461</v>
      </c>
      <c r="P123" s="1873"/>
    </row>
    <row r="124" spans="2:16" ht="14">
      <c r="B124" s="1256" t="s">
        <v>704</v>
      </c>
      <c r="C124" s="1869">
        <v>0.314</v>
      </c>
      <c r="D124" s="1137" t="s">
        <v>705</v>
      </c>
      <c r="E124" s="1256" t="s">
        <v>699</v>
      </c>
      <c r="F124" s="1835">
        <v>0.30461940055003961</v>
      </c>
      <c r="G124" s="1137"/>
      <c r="H124" s="1874">
        <v>13070</v>
      </c>
      <c r="I124" s="1862">
        <v>0.30461940055003961</v>
      </c>
      <c r="J124" s="1875"/>
      <c r="K124" s="1874">
        <v>3357</v>
      </c>
      <c r="L124" s="1049">
        <v>0.54400000000000004</v>
      </c>
      <c r="M124" s="1863"/>
      <c r="N124" s="1874">
        <v>16427</v>
      </c>
      <c r="O124" s="1049">
        <v>0.43555614476998544</v>
      </c>
      <c r="P124" s="1873"/>
    </row>
    <row r="125" spans="2:16" ht="14">
      <c r="B125" s="1515"/>
      <c r="C125" s="1869"/>
      <c r="D125" s="1137" t="s">
        <v>869</v>
      </c>
      <c r="E125" s="1256" t="s">
        <v>827</v>
      </c>
      <c r="F125" s="1835">
        <v>0.19587004148603923</v>
      </c>
      <c r="G125" s="1137"/>
      <c r="H125" s="1876">
        <v>8404</v>
      </c>
      <c r="I125" s="1862">
        <v>0.19587004148603923</v>
      </c>
      <c r="J125" s="1875"/>
      <c r="K125" s="1043"/>
      <c r="L125" s="919"/>
      <c r="M125" s="1043"/>
      <c r="N125" s="1043"/>
      <c r="O125" s="919"/>
      <c r="P125" s="1873"/>
    </row>
    <row r="126" spans="2:16" ht="14">
      <c r="B126" s="1515"/>
      <c r="C126" s="1869"/>
      <c r="D126" s="1137" t="s">
        <v>706</v>
      </c>
      <c r="E126" s="1256" t="s">
        <v>707</v>
      </c>
      <c r="F126" s="1835">
        <v>5.9525474292639727E-2</v>
      </c>
      <c r="G126" s="1137"/>
      <c r="H126" s="1095">
        <v>2554</v>
      </c>
      <c r="I126" s="1862">
        <v>5.9525474292639727E-2</v>
      </c>
      <c r="J126" s="1875"/>
      <c r="K126" s="1043"/>
      <c r="L126" s="919"/>
      <c r="M126" s="1043"/>
      <c r="N126" s="1043"/>
      <c r="O126" s="919"/>
      <c r="P126" s="1873"/>
    </row>
    <row r="127" spans="2:16" ht="14">
      <c r="B127" s="1515"/>
      <c r="C127" s="1869"/>
      <c r="D127" s="1137" t="s">
        <v>710</v>
      </c>
      <c r="E127" s="1256" t="s">
        <v>815</v>
      </c>
      <c r="F127" s="1835">
        <v>9.322705449121331E-3</v>
      </c>
      <c r="G127" s="1137"/>
      <c r="H127" s="1095">
        <v>400</v>
      </c>
      <c r="I127" s="1862">
        <v>9.3227054491213344E-3</v>
      </c>
      <c r="J127" s="1875"/>
      <c r="K127" s="1043"/>
      <c r="L127" s="919"/>
      <c r="M127" s="1043"/>
      <c r="N127" s="1043"/>
      <c r="O127" s="919"/>
      <c r="P127" s="1873"/>
    </row>
    <row r="128" spans="2:16" ht="4.5" customHeight="1">
      <c r="B128" s="1515"/>
      <c r="C128" s="1869"/>
      <c r="D128" s="947"/>
      <c r="E128" s="1515"/>
      <c r="F128" s="1835"/>
      <c r="G128" s="947"/>
      <c r="H128" s="1431"/>
      <c r="I128" s="1862"/>
      <c r="J128" s="1081"/>
      <c r="K128" s="1431"/>
      <c r="L128" s="919"/>
      <c r="M128" s="1431"/>
      <c r="N128" s="1431"/>
      <c r="O128" s="919"/>
      <c r="P128" s="1873"/>
    </row>
    <row r="129" spans="2:16">
      <c r="B129" s="1515"/>
      <c r="C129" s="1869"/>
      <c r="D129" s="947"/>
      <c r="E129" s="1515"/>
      <c r="F129" s="1835"/>
      <c r="G129" s="947"/>
      <c r="H129" s="1461">
        <v>42906</v>
      </c>
      <c r="I129" s="2413">
        <v>1</v>
      </c>
      <c r="J129" s="2387"/>
      <c r="K129" s="1461">
        <v>6167</v>
      </c>
      <c r="L129" s="2414">
        <v>1</v>
      </c>
      <c r="M129" s="2387"/>
      <c r="N129" s="1461">
        <v>37715</v>
      </c>
      <c r="O129" s="2414">
        <v>1</v>
      </c>
      <c r="P129" s="1873"/>
    </row>
    <row r="130" spans="2:16" ht="5.25" customHeight="1">
      <c r="C130" s="1868"/>
      <c r="E130" s="1256"/>
      <c r="F130" s="1835"/>
      <c r="I130" s="1862"/>
    </row>
    <row r="131" spans="2:16">
      <c r="B131" s="2289">
        <v>38477</v>
      </c>
      <c r="C131" s="2290"/>
      <c r="D131" s="2291"/>
      <c r="E131" s="2398"/>
      <c r="F131" s="2062"/>
      <c r="G131" s="2291"/>
      <c r="H131" s="2292"/>
      <c r="I131" s="2293"/>
      <c r="J131" s="2292"/>
      <c r="K131" s="2292"/>
      <c r="L131" s="2292"/>
      <c r="M131" s="2292"/>
      <c r="N131" s="2292"/>
      <c r="O131" s="2294"/>
    </row>
    <row r="132" spans="2:16" ht="6" customHeight="1">
      <c r="B132" s="1883"/>
      <c r="C132" s="1879"/>
      <c r="D132" s="1880"/>
      <c r="E132" s="1905"/>
      <c r="F132" s="1835"/>
      <c r="G132" s="1880"/>
      <c r="H132" s="1881"/>
      <c r="I132" s="1862"/>
      <c r="J132" s="1881"/>
      <c r="K132" s="1881"/>
      <c r="L132" s="1881"/>
      <c r="M132" s="1881"/>
      <c r="N132" s="1881"/>
      <c r="O132" s="1882"/>
    </row>
    <row r="133" spans="2:16" s="935" customFormat="1" ht="14">
      <c r="B133" s="1884" t="s">
        <v>814</v>
      </c>
      <c r="C133" s="1885"/>
      <c r="D133" s="1886" t="s">
        <v>832</v>
      </c>
      <c r="E133" s="2399" t="s">
        <v>931</v>
      </c>
      <c r="F133" s="1835">
        <v>0.42100000000000004</v>
      </c>
      <c r="G133" s="1887"/>
      <c r="H133" s="1888">
        <v>14227</v>
      </c>
      <c r="I133" s="1859">
        <f>H133/$H$141</f>
        <v>0.42097943482763722</v>
      </c>
      <c r="J133" s="1889"/>
      <c r="K133" s="1890">
        <v>2685</v>
      </c>
      <c r="L133" s="1891">
        <v>0.69499999999999995</v>
      </c>
      <c r="M133" s="1891"/>
      <c r="N133" s="1888">
        <v>16912</v>
      </c>
      <c r="O133" s="1891">
        <v>0.71599999999999997</v>
      </c>
    </row>
    <row r="134" spans="2:16" ht="14">
      <c r="B134" s="1892" t="s">
        <v>759</v>
      </c>
      <c r="C134" s="1879">
        <v>0.51100000000000001</v>
      </c>
      <c r="D134" s="1893" t="s">
        <v>760</v>
      </c>
      <c r="E134" s="2400" t="s">
        <v>699</v>
      </c>
      <c r="F134" s="1835">
        <v>0.16400000000000003</v>
      </c>
      <c r="G134" s="1894"/>
      <c r="H134" s="1895">
        <v>5527</v>
      </c>
      <c r="I134" s="1862">
        <f t="shared" ref="I134:I139" si="0">H134/$H$141</f>
        <v>0.1635449030921734</v>
      </c>
      <c r="J134" s="1896"/>
      <c r="K134" s="1897">
        <v>1180</v>
      </c>
      <c r="L134" s="1898">
        <v>0.30499999999999999</v>
      </c>
      <c r="M134" s="1898"/>
      <c r="N134" s="1895">
        <v>6707</v>
      </c>
      <c r="O134" s="1898">
        <v>0.28399999999999997</v>
      </c>
    </row>
    <row r="135" spans="2:16" ht="12" customHeight="1">
      <c r="B135" s="1899"/>
      <c r="C135" s="1879"/>
      <c r="D135" s="1893" t="s">
        <v>761</v>
      </c>
      <c r="E135" s="2400" t="s">
        <v>931</v>
      </c>
      <c r="F135" s="1835">
        <v>0.126</v>
      </c>
      <c r="G135" s="1894"/>
      <c r="H135" s="1895">
        <v>4272</v>
      </c>
      <c r="I135" s="1862">
        <f t="shared" si="0"/>
        <v>0.12640923213493122</v>
      </c>
      <c r="J135" s="1896"/>
      <c r="K135" s="1882"/>
      <c r="L135" s="1900"/>
      <c r="M135" s="1900"/>
      <c r="N135" s="1900"/>
      <c r="O135" s="1900"/>
    </row>
    <row r="136" spans="2:16" ht="14">
      <c r="B136" s="1899"/>
      <c r="C136" s="1879"/>
      <c r="D136" s="1893" t="s">
        <v>762</v>
      </c>
      <c r="E136" s="2400" t="s">
        <v>763</v>
      </c>
      <c r="F136" s="1835">
        <v>0.111</v>
      </c>
      <c r="G136" s="1894"/>
      <c r="H136" s="1895">
        <v>3765</v>
      </c>
      <c r="I136" s="1862">
        <f t="shared" si="0"/>
        <v>0.11140701287172659</v>
      </c>
      <c r="J136" s="1896"/>
      <c r="K136" s="1882"/>
      <c r="L136" s="1900"/>
      <c r="M136" s="1900"/>
      <c r="N136" s="1900"/>
      <c r="O136" s="1900"/>
    </row>
    <row r="137" spans="2:16" ht="14">
      <c r="B137" s="1899"/>
      <c r="C137" s="1879"/>
      <c r="D137" s="1893" t="s">
        <v>764</v>
      </c>
      <c r="E137" s="2400" t="s">
        <v>931</v>
      </c>
      <c r="F137" s="1835">
        <v>0.08</v>
      </c>
      <c r="G137" s="1894"/>
      <c r="H137" s="1895">
        <v>2701</v>
      </c>
      <c r="I137" s="1862">
        <f t="shared" si="0"/>
        <v>7.9923065542239977E-2</v>
      </c>
      <c r="J137" s="1896"/>
      <c r="K137" s="1882"/>
      <c r="L137" s="1900"/>
      <c r="M137" s="1900"/>
      <c r="N137" s="1900"/>
      <c r="O137" s="1900"/>
    </row>
    <row r="138" spans="2:16" ht="14">
      <c r="B138" s="1899"/>
      <c r="C138" s="1879"/>
      <c r="D138" s="1893" t="s">
        <v>765</v>
      </c>
      <c r="E138" s="2400" t="s">
        <v>931</v>
      </c>
      <c r="F138" s="1835">
        <v>5.4000000000000006E-2</v>
      </c>
      <c r="G138" s="1894"/>
      <c r="H138" s="1895">
        <v>1821</v>
      </c>
      <c r="I138" s="1862">
        <f t="shared" si="0"/>
        <v>5.3883710608078117E-2</v>
      </c>
      <c r="J138" s="1896"/>
      <c r="K138" s="1882"/>
      <c r="L138" s="1900"/>
      <c r="M138" s="1900"/>
      <c r="N138" s="1900"/>
      <c r="O138" s="1900"/>
    </row>
    <row r="139" spans="2:16" ht="14">
      <c r="B139" s="1899"/>
      <c r="C139" s="1879"/>
      <c r="D139" s="1893" t="s">
        <v>766</v>
      </c>
      <c r="E139" s="2400" t="s">
        <v>698</v>
      </c>
      <c r="F139" s="1835">
        <v>4.3999999999999997E-2</v>
      </c>
      <c r="G139" s="1894"/>
      <c r="H139" s="1895">
        <v>1482</v>
      </c>
      <c r="I139" s="1862">
        <f t="shared" si="0"/>
        <v>4.385264092321349E-2</v>
      </c>
      <c r="J139" s="1896"/>
      <c r="K139" s="1882"/>
      <c r="L139" s="1900"/>
      <c r="M139" s="1900"/>
      <c r="N139" s="1900"/>
      <c r="O139" s="1900"/>
    </row>
    <row r="140" spans="2:16" ht="4.5" customHeight="1">
      <c r="B140" s="1899"/>
      <c r="C140" s="1879"/>
      <c r="D140" s="1893"/>
      <c r="E140" s="2400"/>
      <c r="F140" s="1835"/>
      <c r="G140" s="1894"/>
      <c r="H140" s="1895"/>
      <c r="I140" s="1862"/>
      <c r="J140" s="1896"/>
      <c r="K140" s="1882"/>
      <c r="L140" s="1900"/>
      <c r="M140" s="1900"/>
      <c r="N140" s="1900"/>
      <c r="O140" s="1900"/>
    </row>
    <row r="141" spans="2:16">
      <c r="B141" s="2436"/>
      <c r="C141" s="2437"/>
      <c r="D141" s="2438"/>
      <c r="E141" s="2438"/>
      <c r="F141" s="2418"/>
      <c r="G141" s="2438"/>
      <c r="H141" s="2439">
        <v>33795</v>
      </c>
      <c r="I141" s="2435">
        <v>1</v>
      </c>
      <c r="J141" s="2420"/>
      <c r="K141" s="2440">
        <v>3865</v>
      </c>
      <c r="L141" s="2425">
        <v>1</v>
      </c>
      <c r="M141" s="2420"/>
      <c r="N141" s="2439">
        <v>23619</v>
      </c>
      <c r="O141" s="2425">
        <v>1</v>
      </c>
    </row>
    <row r="142" spans="2:16" ht="6" customHeight="1">
      <c r="B142" s="1899"/>
      <c r="C142" s="1879"/>
      <c r="D142" s="1880"/>
      <c r="E142" s="1905"/>
      <c r="F142" s="1835"/>
      <c r="G142" s="1880"/>
      <c r="H142" s="1895"/>
      <c r="I142" s="1862"/>
      <c r="J142" s="1898"/>
      <c r="K142" s="1897"/>
      <c r="L142" s="1901"/>
      <c r="M142" s="1901"/>
      <c r="N142" s="1895"/>
      <c r="O142" s="1901"/>
    </row>
    <row r="143" spans="2:16" s="935" customFormat="1" ht="14">
      <c r="B143" s="1884" t="s">
        <v>767</v>
      </c>
      <c r="C143" s="1885"/>
      <c r="D143" s="1886" t="s">
        <v>768</v>
      </c>
      <c r="E143" s="2399" t="s">
        <v>699</v>
      </c>
      <c r="F143" s="1835">
        <v>0.32899999999999996</v>
      </c>
      <c r="G143" s="1887"/>
      <c r="H143" s="1888">
        <v>27253</v>
      </c>
      <c r="I143" s="1859">
        <f>H143/$H$151</f>
        <v>0.32854731766124173</v>
      </c>
      <c r="J143" s="1889"/>
      <c r="K143" s="1890">
        <v>9708</v>
      </c>
      <c r="L143" s="1891">
        <v>0.58399999999999996</v>
      </c>
      <c r="M143" s="1891"/>
      <c r="N143" s="1888">
        <v>36961</v>
      </c>
      <c r="O143" s="1891">
        <v>0.61499999999999999</v>
      </c>
    </row>
    <row r="144" spans="2:16" ht="14">
      <c r="B144" s="1892" t="s">
        <v>769</v>
      </c>
      <c r="C144" s="1879">
        <v>0.50800000000000001</v>
      </c>
      <c r="D144" s="1893" t="s">
        <v>770</v>
      </c>
      <c r="E144" s="2400" t="s">
        <v>698</v>
      </c>
      <c r="F144" s="1835">
        <v>0.19500000000000001</v>
      </c>
      <c r="G144" s="1894"/>
      <c r="H144" s="1895">
        <v>16211</v>
      </c>
      <c r="I144" s="1862">
        <f t="shared" ref="I144:I149" si="1">H144/$H$151</f>
        <v>0.19543098251959012</v>
      </c>
      <c r="J144" s="1896"/>
      <c r="K144" s="1897">
        <v>6919</v>
      </c>
      <c r="L144" s="1898">
        <v>0.41600000000000004</v>
      </c>
      <c r="M144" s="1898"/>
      <c r="N144" s="1895">
        <v>23130</v>
      </c>
      <c r="O144" s="1898">
        <v>0.38500000000000001</v>
      </c>
    </row>
    <row r="145" spans="2:15" ht="14">
      <c r="B145" s="1899"/>
      <c r="C145" s="1879"/>
      <c r="D145" s="1893" t="s">
        <v>900</v>
      </c>
      <c r="E145" s="2400" t="s">
        <v>771</v>
      </c>
      <c r="F145" s="1835">
        <v>0.191</v>
      </c>
      <c r="G145" s="1894"/>
      <c r="H145" s="1895">
        <v>15882</v>
      </c>
      <c r="I145" s="1862">
        <f t="shared" si="1"/>
        <v>0.19146473779385173</v>
      </c>
      <c r="J145" s="1896"/>
      <c r="K145" s="1882"/>
      <c r="L145" s="1900"/>
      <c r="M145" s="1900"/>
      <c r="N145" s="1900"/>
      <c r="O145" s="1900"/>
    </row>
    <row r="146" spans="2:15" ht="14">
      <c r="B146" s="1899"/>
      <c r="C146" s="1879"/>
      <c r="D146" s="1893" t="s">
        <v>772</v>
      </c>
      <c r="E146" s="2400" t="s">
        <v>816</v>
      </c>
      <c r="F146" s="1835">
        <v>0.19</v>
      </c>
      <c r="G146" s="1894"/>
      <c r="H146" s="1895">
        <v>15776</v>
      </c>
      <c r="I146" s="1862">
        <f t="shared" si="1"/>
        <v>0.19018685955394815</v>
      </c>
      <c r="J146" s="1896"/>
      <c r="K146" s="1882"/>
      <c r="L146" s="1900"/>
      <c r="M146" s="1900"/>
      <c r="N146" s="1900"/>
      <c r="O146" s="1900"/>
    </row>
    <row r="147" spans="2:15" ht="14">
      <c r="B147" s="1899"/>
      <c r="C147" s="1879"/>
      <c r="D147" s="1893" t="s">
        <v>773</v>
      </c>
      <c r="E147" s="2400" t="s">
        <v>931</v>
      </c>
      <c r="F147" s="1835">
        <v>5.4000000000000006E-2</v>
      </c>
      <c r="G147" s="1894"/>
      <c r="H147" s="1895">
        <v>4505</v>
      </c>
      <c r="I147" s="1862">
        <f t="shared" si="1"/>
        <v>5.4309825195901149E-2</v>
      </c>
      <c r="J147" s="1896"/>
      <c r="K147" s="1882"/>
      <c r="L147" s="1900"/>
      <c r="M147" s="1900"/>
      <c r="N147" s="1900"/>
      <c r="O147" s="1900"/>
    </row>
    <row r="148" spans="2:15" ht="14">
      <c r="B148" s="1899"/>
      <c r="C148" s="1879"/>
      <c r="D148" s="1893" t="s">
        <v>774</v>
      </c>
      <c r="E148" s="2400" t="s">
        <v>931</v>
      </c>
      <c r="F148" s="1835">
        <v>2.4E-2</v>
      </c>
      <c r="G148" s="1894"/>
      <c r="H148" s="1895">
        <v>1955</v>
      </c>
      <c r="I148" s="1862">
        <f t="shared" si="1"/>
        <v>2.3568414707655215E-2</v>
      </c>
      <c r="J148" s="1896"/>
      <c r="K148" s="1882"/>
      <c r="L148" s="1900"/>
      <c r="M148" s="1900"/>
      <c r="N148" s="1900"/>
      <c r="O148" s="1900"/>
    </row>
    <row r="149" spans="2:15" ht="14">
      <c r="B149" s="1899"/>
      <c r="C149" s="1879"/>
      <c r="D149" s="1893" t="s">
        <v>775</v>
      </c>
      <c r="E149" s="2400" t="s">
        <v>931</v>
      </c>
      <c r="F149" s="1835">
        <v>1.6E-2</v>
      </c>
      <c r="G149" s="1894"/>
      <c r="H149" s="1895">
        <v>1368</v>
      </c>
      <c r="I149" s="1862">
        <f t="shared" si="1"/>
        <v>1.6491862567811936E-2</v>
      </c>
      <c r="J149" s="1896"/>
      <c r="K149" s="1882"/>
      <c r="L149" s="1900"/>
      <c r="M149" s="1900"/>
      <c r="N149" s="1900"/>
      <c r="O149" s="1900"/>
    </row>
    <row r="150" spans="2:15" ht="4.5" customHeight="1">
      <c r="B150" s="1899"/>
      <c r="C150" s="1879"/>
      <c r="D150" s="1893"/>
      <c r="E150" s="2400"/>
      <c r="F150" s="1835"/>
      <c r="G150" s="1894"/>
      <c r="H150" s="1895"/>
      <c r="I150" s="1859"/>
      <c r="J150" s="1902"/>
      <c r="K150" s="1882"/>
      <c r="L150" s="1900"/>
      <c r="M150" s="1900"/>
      <c r="N150" s="1900"/>
      <c r="O150" s="1900"/>
    </row>
    <row r="151" spans="2:15">
      <c r="B151" s="2436"/>
      <c r="C151" s="2437"/>
      <c r="D151" s="2438"/>
      <c r="E151" s="2438"/>
      <c r="F151" s="2418"/>
      <c r="G151" s="2438"/>
      <c r="H151" s="2439">
        <v>82950</v>
      </c>
      <c r="I151" s="2435">
        <v>1</v>
      </c>
      <c r="J151" s="2420"/>
      <c r="K151" s="2440">
        <v>16627</v>
      </c>
      <c r="L151" s="2441">
        <v>1</v>
      </c>
      <c r="M151" s="2420"/>
      <c r="N151" s="2439">
        <v>60091</v>
      </c>
      <c r="O151" s="2441">
        <v>1</v>
      </c>
    </row>
    <row r="152" spans="2:15" ht="6" customHeight="1">
      <c r="B152" s="1899"/>
      <c r="C152" s="1879"/>
      <c r="D152" s="1880"/>
      <c r="E152" s="1905"/>
      <c r="F152" s="1835"/>
      <c r="G152" s="1880"/>
      <c r="H152" s="1895"/>
      <c r="I152" s="1862"/>
      <c r="J152" s="1903"/>
      <c r="K152" s="1897"/>
      <c r="L152" s="1901"/>
      <c r="M152" s="1901"/>
      <c r="N152" s="1895"/>
      <c r="O152" s="1901"/>
    </row>
    <row r="153" spans="2:15" ht="14">
      <c r="B153" s="1884" t="s">
        <v>819</v>
      </c>
      <c r="C153" s="1879"/>
      <c r="D153" s="1886" t="s">
        <v>828</v>
      </c>
      <c r="E153" s="2399" t="s">
        <v>699</v>
      </c>
      <c r="F153" s="1835">
        <v>0.36700000000000005</v>
      </c>
      <c r="G153" s="1887"/>
      <c r="H153" s="1888">
        <v>40015</v>
      </c>
      <c r="I153" s="1859">
        <f>H153/$H$161</f>
        <v>0.36729205294366019</v>
      </c>
      <c r="J153" s="1889"/>
      <c r="K153" s="1890">
        <v>5727</v>
      </c>
      <c r="L153" s="1891">
        <v>0.36399999999999999</v>
      </c>
      <c r="M153" s="1891"/>
      <c r="N153" s="1888">
        <v>45742</v>
      </c>
      <c r="O153" s="1891">
        <v>0.55100000000000005</v>
      </c>
    </row>
    <row r="154" spans="2:15" ht="14">
      <c r="B154" s="1892" t="s">
        <v>776</v>
      </c>
      <c r="C154" s="1879">
        <v>0.54500000000000004</v>
      </c>
      <c r="D154" s="1893" t="s">
        <v>825</v>
      </c>
      <c r="E154" s="2400" t="s">
        <v>931</v>
      </c>
      <c r="F154" s="1835">
        <v>0.251</v>
      </c>
      <c r="G154" s="1894"/>
      <c r="H154" s="1895">
        <v>27304</v>
      </c>
      <c r="I154" s="1862">
        <f t="shared" ref="I154:I159" si="2">H154/$H$161</f>
        <v>0.25061957299946763</v>
      </c>
      <c r="J154" s="1896"/>
      <c r="K154" s="1897">
        <v>10004</v>
      </c>
      <c r="L154" s="1898">
        <v>0.63600000000000001</v>
      </c>
      <c r="M154" s="1898"/>
      <c r="N154" s="1895">
        <v>37308</v>
      </c>
      <c r="O154" s="1898">
        <v>0.44900000000000001</v>
      </c>
    </row>
    <row r="155" spans="2:15" ht="14">
      <c r="B155" s="1899"/>
      <c r="C155" s="1879"/>
      <c r="D155" s="1893" t="s">
        <v>777</v>
      </c>
      <c r="E155" s="2400" t="s">
        <v>698</v>
      </c>
      <c r="F155" s="1835">
        <v>0.115</v>
      </c>
      <c r="G155" s="1894"/>
      <c r="H155" s="1895">
        <v>12533</v>
      </c>
      <c r="I155" s="1862">
        <f t="shared" si="2"/>
        <v>0.11503864299744827</v>
      </c>
      <c r="J155" s="1896"/>
      <c r="K155" s="1882"/>
      <c r="L155" s="1900"/>
      <c r="M155" s="1900"/>
      <c r="N155" s="1900"/>
      <c r="O155" s="1900"/>
    </row>
    <row r="156" spans="2:15" ht="14">
      <c r="B156" s="1899"/>
      <c r="C156" s="1879"/>
      <c r="D156" s="1893" t="s">
        <v>822</v>
      </c>
      <c r="E156" s="2400" t="s">
        <v>823</v>
      </c>
      <c r="F156" s="1835">
        <v>9.4E-2</v>
      </c>
      <c r="G156" s="1894"/>
      <c r="H156" s="1895">
        <v>10263</v>
      </c>
      <c r="I156" s="1862">
        <f t="shared" si="2"/>
        <v>9.4202632496833291E-2</v>
      </c>
      <c r="J156" s="1896"/>
      <c r="K156" s="1882"/>
      <c r="L156" s="1900"/>
      <c r="M156" s="1900"/>
      <c r="N156" s="1900"/>
      <c r="O156" s="1900"/>
    </row>
    <row r="157" spans="2:15" ht="14">
      <c r="B157" s="1899"/>
      <c r="C157" s="1879"/>
      <c r="D157" s="1893" t="s">
        <v>778</v>
      </c>
      <c r="E157" s="2400" t="s">
        <v>931</v>
      </c>
      <c r="F157" s="1835">
        <v>7.0999999999999994E-2</v>
      </c>
      <c r="G157" s="1894"/>
      <c r="H157" s="1895">
        <v>7773</v>
      </c>
      <c r="I157" s="1862">
        <f t="shared" si="2"/>
        <v>7.1347272960916419E-2</v>
      </c>
      <c r="J157" s="1896"/>
      <c r="K157" s="1882"/>
      <c r="L157" s="1900"/>
      <c r="M157" s="1900"/>
      <c r="N157" s="1900"/>
      <c r="O157" s="1900"/>
    </row>
    <row r="158" spans="2:15" ht="14">
      <c r="B158" s="1899"/>
      <c r="C158" s="1879"/>
      <c r="D158" s="1893" t="s">
        <v>779</v>
      </c>
      <c r="E158" s="2400" t="s">
        <v>816</v>
      </c>
      <c r="F158" s="1835">
        <v>5.6000000000000008E-2</v>
      </c>
      <c r="G158" s="1894"/>
      <c r="H158" s="1895">
        <v>6128</v>
      </c>
      <c r="I158" s="1862">
        <f t="shared" si="2"/>
        <v>5.624804949240908E-2</v>
      </c>
      <c r="J158" s="1896"/>
      <c r="K158" s="1882"/>
      <c r="L158" s="1900"/>
      <c r="M158" s="1900"/>
      <c r="N158" s="1900"/>
      <c r="O158" s="1900"/>
    </row>
    <row r="159" spans="2:15" ht="14">
      <c r="B159" s="1899"/>
      <c r="C159" s="1879"/>
      <c r="D159" s="1893" t="s">
        <v>780</v>
      </c>
      <c r="E159" s="2400" t="s">
        <v>1341</v>
      </c>
      <c r="F159" s="1835">
        <v>4.4999999999999998E-2</v>
      </c>
      <c r="G159" s="1894"/>
      <c r="H159" s="1895">
        <v>4930</v>
      </c>
      <c r="I159" s="1862">
        <f t="shared" si="2"/>
        <v>4.5251776109265139E-2</v>
      </c>
      <c r="J159" s="1896"/>
      <c r="K159" s="1882"/>
      <c r="L159" s="1900"/>
      <c r="M159" s="1900"/>
      <c r="N159" s="1900"/>
      <c r="O159" s="1900"/>
    </row>
    <row r="160" spans="2:15" ht="4.5" customHeight="1">
      <c r="B160" s="1899"/>
      <c r="C160" s="1879"/>
      <c r="D160" s="1893"/>
      <c r="E160" s="2400"/>
      <c r="F160" s="1835"/>
      <c r="G160" s="1894"/>
      <c r="H160" s="1895"/>
      <c r="I160" s="1862"/>
      <c r="J160" s="1902"/>
      <c r="K160" s="1882"/>
      <c r="L160" s="1900"/>
      <c r="M160" s="1900"/>
      <c r="N160" s="1900"/>
      <c r="O160" s="1900"/>
    </row>
    <row r="161" spans="2:29">
      <c r="B161" s="2436"/>
      <c r="C161" s="2437"/>
      <c r="D161" s="2438"/>
      <c r="E161" s="2438"/>
      <c r="F161" s="2418"/>
      <c r="G161" s="2438"/>
      <c r="H161" s="2439">
        <v>108946</v>
      </c>
      <c r="I161" s="2500">
        <v>1</v>
      </c>
      <c r="J161" s="2420"/>
      <c r="K161" s="2440">
        <v>15731</v>
      </c>
      <c r="L161" s="2435">
        <v>1</v>
      </c>
      <c r="M161" s="2420"/>
      <c r="N161" s="2439">
        <v>83050</v>
      </c>
      <c r="O161" s="2435">
        <v>1</v>
      </c>
    </row>
    <row r="162" spans="2:29" s="944" customFormat="1" ht="6" customHeight="1">
      <c r="B162" s="1904"/>
      <c r="C162" s="1879"/>
      <c r="D162" s="1905"/>
      <c r="E162" s="1905"/>
      <c r="F162" s="1906"/>
      <c r="G162" s="1905"/>
      <c r="H162" s="1907"/>
      <c r="I162" s="2388"/>
      <c r="J162" s="2388"/>
      <c r="K162" s="1908"/>
      <c r="L162" s="2389"/>
      <c r="M162" s="2389"/>
      <c r="N162" s="1907"/>
      <c r="O162" s="2390"/>
    </row>
    <row r="163" spans="2:29" ht="14.25" customHeight="1" thickBot="1">
      <c r="B163" s="1549"/>
      <c r="C163" s="2017"/>
      <c r="D163" s="2018"/>
      <c r="E163" s="2018"/>
      <c r="F163" s="2019"/>
      <c r="G163" s="2018"/>
      <c r="H163" s="3493" t="s">
        <v>1170</v>
      </c>
      <c r="I163" s="3409"/>
      <c r="J163" s="2367"/>
      <c r="K163" s="3493" t="s">
        <v>1219</v>
      </c>
      <c r="L163" s="3493"/>
      <c r="M163" s="2020"/>
      <c r="N163" s="3493" t="s">
        <v>267</v>
      </c>
      <c r="O163" s="3409"/>
      <c r="P163" s="1034"/>
      <c r="Q163" s="1034"/>
      <c r="R163" s="1034"/>
      <c r="S163" s="1034"/>
      <c r="T163" s="1034"/>
      <c r="U163" s="1034"/>
      <c r="V163" s="1034"/>
      <c r="W163" s="1034"/>
      <c r="X163" s="1034"/>
      <c r="Y163" s="1034"/>
      <c r="Z163" s="1034"/>
      <c r="AA163" s="1034"/>
      <c r="AB163" s="1034"/>
      <c r="AC163" s="1034"/>
    </row>
    <row r="164" spans="2:29" ht="16">
      <c r="B164" s="2021" t="s">
        <v>2387</v>
      </c>
      <c r="C164" s="2017"/>
      <c r="D164" s="2018" t="s">
        <v>11</v>
      </c>
      <c r="E164" s="2022" t="s">
        <v>110</v>
      </c>
      <c r="F164" s="2023"/>
      <c r="G164" s="2018"/>
      <c r="H164" s="2020" t="s">
        <v>111</v>
      </c>
      <c r="I164" s="2024" t="s">
        <v>153</v>
      </c>
      <c r="J164" s="2024"/>
      <c r="K164" s="2020" t="s">
        <v>111</v>
      </c>
      <c r="L164" s="2020" t="s">
        <v>153</v>
      </c>
      <c r="M164" s="2020"/>
      <c r="N164" s="2020" t="s">
        <v>111</v>
      </c>
      <c r="O164" s="2025" t="s">
        <v>153</v>
      </c>
      <c r="P164" s="1034"/>
      <c r="Q164" s="1034"/>
      <c r="R164" s="1034"/>
      <c r="S164" s="1034"/>
      <c r="T164" s="1034"/>
      <c r="U164" s="1034"/>
      <c r="V164" s="1034"/>
      <c r="W164" s="1034"/>
      <c r="X164" s="1034"/>
      <c r="Y164" s="1034"/>
      <c r="Z164" s="1034"/>
      <c r="AA164" s="1034"/>
      <c r="AB164" s="1034"/>
      <c r="AC164" s="1034"/>
    </row>
    <row r="165" spans="2:29" ht="6" customHeight="1">
      <c r="B165" s="1813"/>
      <c r="C165" s="1823"/>
      <c r="D165" s="1820"/>
      <c r="E165" s="1820"/>
      <c r="F165" s="1835"/>
      <c r="G165" s="1820"/>
      <c r="H165" s="1822"/>
      <c r="I165" s="1821"/>
      <c r="J165" s="1821"/>
      <c r="K165" s="1822"/>
      <c r="L165" s="1822"/>
      <c r="M165" s="1822"/>
      <c r="N165" s="1822"/>
      <c r="O165" s="1825"/>
      <c r="P165" s="1034"/>
      <c r="Q165" s="1034"/>
      <c r="R165" s="1034"/>
      <c r="S165" s="1034"/>
      <c r="T165" s="1034"/>
      <c r="U165" s="1034"/>
      <c r="V165" s="1034"/>
      <c r="W165" s="1034"/>
      <c r="X165" s="1034"/>
      <c r="Y165" s="1034"/>
      <c r="Z165" s="1034"/>
      <c r="AA165" s="1034"/>
      <c r="AB165" s="1034"/>
      <c r="AC165" s="1034"/>
    </row>
    <row r="166" spans="2:29" ht="14">
      <c r="B166" s="1884" t="s">
        <v>818</v>
      </c>
      <c r="C166" s="1879"/>
      <c r="D166" s="1886" t="s">
        <v>781</v>
      </c>
      <c r="E166" s="2399" t="s">
        <v>699</v>
      </c>
      <c r="F166" s="1835">
        <v>0.40200000000000002</v>
      </c>
      <c r="G166" s="1887"/>
      <c r="H166" s="1888">
        <v>34053</v>
      </c>
      <c r="I166" s="1889">
        <v>0.40200000000000002</v>
      </c>
      <c r="J166" s="1889"/>
      <c r="K166" s="1890">
        <v>6407</v>
      </c>
      <c r="L166" s="1891">
        <v>0.61599999999999999</v>
      </c>
      <c r="M166" s="1891"/>
      <c r="N166" s="1888">
        <v>40460</v>
      </c>
      <c r="O166" s="1891">
        <v>0.50600000000000001</v>
      </c>
      <c r="P166" s="1034"/>
      <c r="Q166" s="1034"/>
      <c r="R166" s="1034"/>
      <c r="S166" s="1034"/>
      <c r="T166" s="1034"/>
      <c r="U166" s="1034"/>
      <c r="V166" s="1034"/>
      <c r="W166" s="1034"/>
      <c r="X166" s="1034"/>
      <c r="Y166" s="1034"/>
      <c r="Z166" s="1034"/>
      <c r="AA166" s="1034"/>
      <c r="AB166" s="1034"/>
      <c r="AC166" s="1034"/>
    </row>
    <row r="167" spans="2:29" ht="14">
      <c r="B167" s="1892" t="s">
        <v>782</v>
      </c>
      <c r="C167" s="1879">
        <v>0.61399999999999999</v>
      </c>
      <c r="D167" s="1893" t="s">
        <v>783</v>
      </c>
      <c r="E167" s="2400" t="s">
        <v>698</v>
      </c>
      <c r="F167" s="1835">
        <v>0.41799999999999998</v>
      </c>
      <c r="G167" s="1894"/>
      <c r="H167" s="1895">
        <v>35467</v>
      </c>
      <c r="I167" s="1896">
        <v>0.41799999999999998</v>
      </c>
      <c r="J167" s="1896"/>
      <c r="K167" s="1897">
        <v>3991</v>
      </c>
      <c r="L167" s="1898">
        <v>0.38400000000000001</v>
      </c>
      <c r="M167" s="1898"/>
      <c r="N167" s="1895">
        <v>39458</v>
      </c>
      <c r="O167" s="1898">
        <v>0.49399999999999999</v>
      </c>
      <c r="P167" s="1034"/>
      <c r="Q167" s="1034"/>
      <c r="R167" s="1034"/>
      <c r="S167" s="1034"/>
      <c r="T167" s="1034"/>
      <c r="U167" s="1034"/>
      <c r="V167" s="1034"/>
      <c r="W167" s="1034"/>
      <c r="X167" s="1034"/>
      <c r="Y167" s="1034"/>
      <c r="Z167" s="1034"/>
      <c r="AA167" s="1034"/>
      <c r="AB167" s="1034"/>
      <c r="AC167" s="1034"/>
    </row>
    <row r="168" spans="2:29" ht="14">
      <c r="B168" s="1899"/>
      <c r="C168" s="1879"/>
      <c r="D168" s="1893" t="s">
        <v>784</v>
      </c>
      <c r="E168" s="2400" t="s">
        <v>827</v>
      </c>
      <c r="F168" s="1835">
        <v>0.151</v>
      </c>
      <c r="G168" s="1894"/>
      <c r="H168" s="1895">
        <v>12761</v>
      </c>
      <c r="I168" s="1896">
        <v>0.151</v>
      </c>
      <c r="J168" s="1896"/>
      <c r="K168" s="1882"/>
      <c r="L168" s="1900"/>
      <c r="M168" s="1900"/>
      <c r="N168" s="1900"/>
      <c r="O168" s="1900"/>
      <c r="P168" s="1034"/>
      <c r="Q168" s="1034"/>
      <c r="R168" s="1034"/>
      <c r="S168" s="1034"/>
      <c r="T168" s="1034"/>
      <c r="U168" s="1034"/>
      <c r="V168" s="1034"/>
      <c r="W168" s="1034"/>
      <c r="X168" s="1034"/>
      <c r="Y168" s="1034"/>
      <c r="Z168" s="1034"/>
      <c r="AA168" s="1034"/>
      <c r="AB168" s="1034"/>
      <c r="AC168" s="1034"/>
    </row>
    <row r="169" spans="2:29" ht="14">
      <c r="B169" s="1899"/>
      <c r="C169" s="1879"/>
      <c r="D169" s="1893" t="s">
        <v>706</v>
      </c>
      <c r="E169" s="2400" t="s">
        <v>707</v>
      </c>
      <c r="F169" s="1835">
        <v>2.9000000000000005E-2</v>
      </c>
      <c r="G169" s="1894"/>
      <c r="H169" s="1895">
        <v>2470</v>
      </c>
      <c r="I169" s="1896">
        <v>2.9000000000000001E-2</v>
      </c>
      <c r="J169" s="1896"/>
      <c r="K169" s="1882"/>
      <c r="L169" s="1900"/>
      <c r="M169" s="1900"/>
      <c r="N169" s="1900"/>
      <c r="O169" s="1900"/>
    </row>
    <row r="170" spans="2:29" ht="4.5" customHeight="1">
      <c r="B170" s="1899"/>
      <c r="C170" s="1879"/>
      <c r="D170" s="1893"/>
      <c r="E170" s="2400"/>
      <c r="F170" s="1835"/>
      <c r="G170" s="1894"/>
      <c r="H170" s="1895"/>
      <c r="I170" s="1902"/>
      <c r="J170" s="1902"/>
      <c r="K170" s="1882"/>
      <c r="L170" s="1900"/>
      <c r="M170" s="1900"/>
      <c r="N170" s="1900"/>
      <c r="O170" s="1900"/>
    </row>
    <row r="171" spans="2:29">
      <c r="B171" s="1904"/>
      <c r="C171" s="1879"/>
      <c r="D171" s="1905"/>
      <c r="E171" s="1905"/>
      <c r="F171" s="1835"/>
      <c r="G171" s="1905"/>
      <c r="H171" s="2410">
        <v>84751</v>
      </c>
      <c r="I171" s="2409">
        <v>1</v>
      </c>
      <c r="J171" s="2387"/>
      <c r="K171" s="2411">
        <v>10398</v>
      </c>
      <c r="L171" s="2409">
        <v>1</v>
      </c>
      <c r="M171" s="2387"/>
      <c r="N171" s="2410">
        <v>79918</v>
      </c>
      <c r="O171" s="2409">
        <v>1</v>
      </c>
    </row>
    <row r="172" spans="2:29">
      <c r="B172" s="1515"/>
      <c r="C172" s="1868"/>
      <c r="D172" s="944"/>
      <c r="E172" s="1256"/>
      <c r="F172" s="1835"/>
      <c r="G172" s="944"/>
      <c r="H172" s="1043"/>
      <c r="I172" s="1043"/>
      <c r="J172" s="1043"/>
      <c r="K172" s="1043"/>
      <c r="L172" s="1043"/>
      <c r="M172" s="1043"/>
      <c r="N172" s="1043"/>
      <c r="O172" s="1043"/>
    </row>
    <row r="173" spans="2:29">
      <c r="B173" s="2049">
        <v>38645</v>
      </c>
      <c r="C173" s="2042"/>
      <c r="D173" s="2043"/>
      <c r="E173" s="1557"/>
      <c r="F173" s="2035"/>
      <c r="G173" s="2043"/>
      <c r="H173" s="1568"/>
      <c r="I173" s="1568"/>
      <c r="J173" s="1568"/>
      <c r="K173" s="1568"/>
      <c r="L173" s="1568"/>
      <c r="M173" s="1568"/>
      <c r="N173" s="1568"/>
      <c r="O173" s="1568"/>
    </row>
    <row r="174" spans="2:29" ht="6" customHeight="1">
      <c r="B174" s="1909"/>
      <c r="C174" s="1868"/>
      <c r="D174" s="944"/>
      <c r="E174" s="1256"/>
      <c r="F174" s="1835"/>
      <c r="G174" s="944"/>
      <c r="H174" s="1043"/>
      <c r="I174" s="1043"/>
      <c r="J174" s="1043"/>
      <c r="K174" s="1043"/>
      <c r="L174" s="1043"/>
      <c r="M174" s="1043"/>
      <c r="N174" s="1043"/>
      <c r="O174" s="1043"/>
    </row>
    <row r="175" spans="2:29" s="935" customFormat="1">
      <c r="B175" s="1909" t="s">
        <v>689</v>
      </c>
      <c r="C175" s="1869"/>
      <c r="D175" s="947" t="s">
        <v>690</v>
      </c>
      <c r="E175" s="1515" t="s">
        <v>698</v>
      </c>
      <c r="F175" s="1835">
        <v>0.21898445595854923</v>
      </c>
      <c r="G175" s="947"/>
      <c r="H175" s="1093">
        <v>5283</v>
      </c>
      <c r="I175" s="1109">
        <v>0.21898445595854923</v>
      </c>
      <c r="J175" s="1093"/>
      <c r="K175" s="1093">
        <v>1813</v>
      </c>
      <c r="L175" s="1468">
        <f>K175/K$190</f>
        <v>0.56673960612691465</v>
      </c>
      <c r="M175" s="1093"/>
      <c r="N175" s="1093">
        <v>7096</v>
      </c>
      <c r="O175" s="1468">
        <f>N175/N$190</f>
        <v>0.57723907915073625</v>
      </c>
    </row>
    <row r="176" spans="2:29">
      <c r="B176" s="1910" t="s">
        <v>1329</v>
      </c>
      <c r="C176" s="1868">
        <v>0.23499999999999999</v>
      </c>
      <c r="D176" s="944" t="s">
        <v>1325</v>
      </c>
      <c r="E176" s="1256" t="s">
        <v>827</v>
      </c>
      <c r="F176" s="1835">
        <v>0.15796891191709844</v>
      </c>
      <c r="G176" s="944"/>
      <c r="H176" s="1043">
        <v>3811</v>
      </c>
      <c r="I176" s="1108">
        <v>0.15796891191709844</v>
      </c>
      <c r="J176" s="1043"/>
      <c r="K176" s="1043">
        <v>1386</v>
      </c>
      <c r="L176" s="1078">
        <f>K176/K$190</f>
        <v>0.43326039387308535</v>
      </c>
      <c r="M176" s="1043"/>
      <c r="N176" s="1043">
        <v>5197</v>
      </c>
      <c r="O176" s="1078">
        <f>N176/N$190</f>
        <v>0.42276092084926381</v>
      </c>
    </row>
    <row r="177" spans="2:15">
      <c r="B177" s="1909"/>
      <c r="C177" s="1868"/>
      <c r="D177" s="944" t="s">
        <v>1028</v>
      </c>
      <c r="E177" s="1256" t="s">
        <v>931</v>
      </c>
      <c r="F177" s="1835">
        <v>0.14574093264248705</v>
      </c>
      <c r="G177" s="944"/>
      <c r="H177" s="1043">
        <v>3516</v>
      </c>
      <c r="I177" s="1108">
        <v>0.14574093264248705</v>
      </c>
      <c r="J177" s="1043"/>
      <c r="K177" s="1043"/>
      <c r="L177" s="1043"/>
      <c r="M177" s="1043"/>
      <c r="N177" s="1043"/>
      <c r="O177" s="1043"/>
    </row>
    <row r="178" spans="2:15">
      <c r="B178" s="1909"/>
      <c r="C178" s="1868"/>
      <c r="D178" s="944" t="s">
        <v>1319</v>
      </c>
      <c r="E178" s="1256" t="s">
        <v>931</v>
      </c>
      <c r="F178" s="1835">
        <v>0.11900518134715025</v>
      </c>
      <c r="G178" s="944"/>
      <c r="H178" s="1043">
        <v>2871</v>
      </c>
      <c r="I178" s="1108">
        <v>0.11900518134715025</v>
      </c>
      <c r="J178" s="1043"/>
      <c r="K178" s="1043"/>
      <c r="L178" s="1043"/>
      <c r="M178" s="1043"/>
      <c r="N178" s="1043"/>
      <c r="O178" s="1043"/>
    </row>
    <row r="179" spans="2:15">
      <c r="B179" s="1909"/>
      <c r="C179" s="1868"/>
      <c r="D179" s="944" t="s">
        <v>1318</v>
      </c>
      <c r="E179" s="1256" t="s">
        <v>931</v>
      </c>
      <c r="F179" s="1835">
        <v>8.3523316062176167E-2</v>
      </c>
      <c r="G179" s="944"/>
      <c r="H179" s="1043">
        <v>2015</v>
      </c>
      <c r="I179" s="1108">
        <v>8.3523316062176167E-2</v>
      </c>
      <c r="J179" s="1043"/>
      <c r="K179" s="1043"/>
      <c r="L179" s="1043"/>
      <c r="M179" s="1043"/>
      <c r="N179" s="1043"/>
      <c r="O179" s="1043"/>
    </row>
    <row r="180" spans="2:15">
      <c r="B180" s="1909"/>
      <c r="C180" s="1868"/>
      <c r="D180" s="944" t="s">
        <v>1320</v>
      </c>
      <c r="E180" s="1256" t="s">
        <v>931</v>
      </c>
      <c r="F180" s="1835">
        <v>4.812435233160621E-2</v>
      </c>
      <c r="G180" s="944"/>
      <c r="H180" s="1043">
        <v>1161</v>
      </c>
      <c r="I180" s="1108">
        <v>4.8124352331606217E-2</v>
      </c>
      <c r="J180" s="1043"/>
      <c r="K180" s="1043"/>
      <c r="L180" s="1043"/>
      <c r="M180" s="1043"/>
      <c r="N180" s="1043"/>
      <c r="O180" s="1043"/>
    </row>
    <row r="181" spans="2:15">
      <c r="B181" s="1909"/>
      <c r="C181" s="1868"/>
      <c r="D181" s="944" t="s">
        <v>1328</v>
      </c>
      <c r="E181" s="1256" t="s">
        <v>931</v>
      </c>
      <c r="F181" s="1835">
        <v>4.7751295336787562E-2</v>
      </c>
      <c r="G181" s="944"/>
      <c r="H181" s="1043">
        <v>1152</v>
      </c>
      <c r="I181" s="1108">
        <v>4.7751295336787562E-2</v>
      </c>
      <c r="J181" s="1043"/>
      <c r="K181" s="1043"/>
      <c r="L181" s="1043"/>
      <c r="M181" s="1043"/>
      <c r="N181" s="1043"/>
      <c r="O181" s="1043"/>
    </row>
    <row r="182" spans="2:15">
      <c r="B182" s="1909"/>
      <c r="C182" s="1868"/>
      <c r="D182" s="944" t="s">
        <v>1322</v>
      </c>
      <c r="E182" s="1256" t="s">
        <v>931</v>
      </c>
      <c r="F182" s="1835">
        <v>4.2694300518134713E-2</v>
      </c>
      <c r="G182" s="944"/>
      <c r="H182" s="1043">
        <v>1030</v>
      </c>
      <c r="I182" s="1108">
        <v>4.2694300518134713E-2</v>
      </c>
      <c r="J182" s="1043"/>
      <c r="K182" s="1043"/>
      <c r="L182" s="1043"/>
      <c r="M182" s="1043"/>
      <c r="N182" s="1043"/>
      <c r="O182" s="1043"/>
    </row>
    <row r="183" spans="2:15">
      <c r="B183" s="1909"/>
      <c r="C183" s="1868"/>
      <c r="D183" s="944" t="s">
        <v>1317</v>
      </c>
      <c r="E183" s="1256" t="s">
        <v>931</v>
      </c>
      <c r="F183" s="1835">
        <v>3.6518134715025907E-2</v>
      </c>
      <c r="G183" s="944"/>
      <c r="H183" s="1043">
        <v>881</v>
      </c>
      <c r="I183" s="1108">
        <v>3.6518134715025907E-2</v>
      </c>
      <c r="J183" s="1043"/>
      <c r="K183" s="1043"/>
      <c r="L183" s="1043"/>
      <c r="M183" s="1043"/>
      <c r="N183" s="1043"/>
      <c r="O183" s="1043"/>
    </row>
    <row r="184" spans="2:15">
      <c r="B184" s="1909"/>
      <c r="C184" s="1868"/>
      <c r="D184" s="944" t="s">
        <v>1327</v>
      </c>
      <c r="E184" s="1256" t="s">
        <v>699</v>
      </c>
      <c r="F184" s="1835">
        <v>3.1792746113989634E-2</v>
      </c>
      <c r="G184" s="944"/>
      <c r="H184" s="1043">
        <v>767</v>
      </c>
      <c r="I184" s="1108">
        <v>3.1792746113989634E-2</v>
      </c>
      <c r="J184" s="1043"/>
      <c r="K184" s="1043"/>
      <c r="L184" s="1043"/>
      <c r="M184" s="1043"/>
      <c r="N184" s="1043"/>
      <c r="O184" s="1043"/>
    </row>
    <row r="185" spans="2:15">
      <c r="B185" s="1909"/>
      <c r="C185" s="1868"/>
      <c r="D185" s="944" t="s">
        <v>1323</v>
      </c>
      <c r="E185" s="1256" t="s">
        <v>931</v>
      </c>
      <c r="F185" s="1835">
        <v>2.6818652849740932E-2</v>
      </c>
      <c r="G185" s="944"/>
      <c r="H185" s="1043">
        <v>647</v>
      </c>
      <c r="I185" s="1108">
        <v>2.6818652849740932E-2</v>
      </c>
      <c r="J185" s="1043"/>
      <c r="K185" s="1043"/>
      <c r="L185" s="1043"/>
      <c r="M185" s="1043"/>
      <c r="N185" s="1043"/>
      <c r="O185" s="1043"/>
    </row>
    <row r="186" spans="2:15">
      <c r="B186" s="1909"/>
      <c r="C186" s="1868"/>
      <c r="D186" s="944" t="s">
        <v>1326</v>
      </c>
      <c r="E186" s="1256" t="s">
        <v>931</v>
      </c>
      <c r="F186" s="1835">
        <v>2.1803108808290155E-2</v>
      </c>
      <c r="G186" s="944"/>
      <c r="H186" s="1043">
        <v>526</v>
      </c>
      <c r="I186" s="1108">
        <v>2.1803108808290155E-2</v>
      </c>
      <c r="J186" s="1043"/>
      <c r="K186" s="1043"/>
      <c r="L186" s="1043"/>
      <c r="M186" s="1043"/>
      <c r="N186" s="1043"/>
      <c r="O186" s="1043"/>
    </row>
    <row r="187" spans="2:15">
      <c r="B187" s="1909"/>
      <c r="C187" s="1868"/>
      <c r="D187" s="944" t="s">
        <v>1324</v>
      </c>
      <c r="E187" s="1256" t="s">
        <v>931</v>
      </c>
      <c r="F187" s="1835">
        <v>1.3347150259067358E-2</v>
      </c>
      <c r="G187" s="944"/>
      <c r="H187" s="1043">
        <v>322</v>
      </c>
      <c r="I187" s="1108">
        <v>1.3347150259067358E-2</v>
      </c>
      <c r="J187" s="1043"/>
      <c r="K187" s="1043"/>
      <c r="L187" s="1043"/>
      <c r="M187" s="1043"/>
      <c r="N187" s="1043"/>
      <c r="O187" s="1043"/>
    </row>
    <row r="188" spans="2:15">
      <c r="B188" s="1909"/>
      <c r="C188" s="1868"/>
      <c r="D188" s="944" t="s">
        <v>1321</v>
      </c>
      <c r="E188" s="1256" t="s">
        <v>931</v>
      </c>
      <c r="F188" s="1835">
        <v>5.9274611398963725E-3</v>
      </c>
      <c r="G188" s="944"/>
      <c r="H188" s="1043">
        <v>143</v>
      </c>
      <c r="I188" s="1108">
        <v>5.9274611398963733E-3</v>
      </c>
      <c r="J188" s="1043"/>
      <c r="K188" s="1043"/>
      <c r="L188" s="1043"/>
      <c r="M188" s="1043"/>
      <c r="N188" s="1043"/>
      <c r="O188" s="1043"/>
    </row>
    <row r="189" spans="2:15" ht="4.5" customHeight="1">
      <c r="B189" s="1909"/>
      <c r="C189" s="1868"/>
      <c r="D189" s="944"/>
      <c r="E189" s="1256"/>
      <c r="F189" s="1835"/>
      <c r="G189" s="944"/>
      <c r="H189" s="1043"/>
      <c r="I189" s="1043"/>
      <c r="J189" s="1043"/>
      <c r="K189" s="1043"/>
      <c r="L189" s="1043"/>
      <c r="M189" s="1043"/>
      <c r="N189" s="1043"/>
      <c r="O189" s="1043"/>
    </row>
    <row r="190" spans="2:15">
      <c r="B190" s="1909"/>
      <c r="C190" s="1868"/>
      <c r="D190" s="944"/>
      <c r="E190" s="1256"/>
      <c r="F190" s="1835"/>
      <c r="G190" s="944"/>
      <c r="H190" s="1093">
        <v>24125</v>
      </c>
      <c r="I190" s="1110">
        <v>1</v>
      </c>
      <c r="J190" s="1093"/>
      <c r="K190" s="1093">
        <f>K175+K176</f>
        <v>3199</v>
      </c>
      <c r="L190" s="1467">
        <f>K190/K$190</f>
        <v>1</v>
      </c>
      <c r="M190" s="1093"/>
      <c r="N190" s="1093">
        <f>N175+N176</f>
        <v>12293</v>
      </c>
      <c r="O190" s="1467">
        <f>N190/N$190</f>
        <v>1</v>
      </c>
    </row>
    <row r="191" spans="2:15" ht="3.75" customHeight="1">
      <c r="B191" s="1515"/>
      <c r="C191" s="1868"/>
      <c r="D191" s="944"/>
      <c r="E191" s="1256"/>
      <c r="F191" s="1835"/>
      <c r="G191" s="944"/>
      <c r="H191" s="1043"/>
      <c r="I191" s="1043"/>
      <c r="J191" s="1043"/>
      <c r="K191" s="1043"/>
      <c r="L191" s="1043"/>
      <c r="M191" s="1043"/>
      <c r="N191" s="1043"/>
      <c r="O191" s="1043"/>
    </row>
    <row r="192" spans="2:15">
      <c r="B192" s="2049">
        <v>38841</v>
      </c>
      <c r="C192" s="2042"/>
      <c r="D192" s="2043"/>
      <c r="E192" s="1557"/>
      <c r="F192" s="2035"/>
      <c r="G192" s="2043"/>
      <c r="H192" s="1568"/>
      <c r="I192" s="1568"/>
      <c r="J192" s="1568"/>
      <c r="K192" s="1568"/>
      <c r="L192" s="1568"/>
      <c r="M192" s="1568"/>
      <c r="N192" s="1568"/>
      <c r="O192" s="1568"/>
    </row>
    <row r="193" spans="2:15" ht="6" customHeight="1">
      <c r="B193" s="1515"/>
      <c r="C193" s="1868"/>
      <c r="D193" s="944"/>
      <c r="E193" s="1256"/>
      <c r="F193" s="1835"/>
      <c r="G193" s="944"/>
      <c r="H193" s="1043"/>
      <c r="I193" s="1043"/>
      <c r="J193" s="1043"/>
      <c r="K193" s="1043"/>
      <c r="L193" s="1043"/>
      <c r="M193" s="1043"/>
      <c r="N193" s="1043"/>
      <c r="O193" s="1043"/>
    </row>
    <row r="194" spans="2:15">
      <c r="B194" s="1515" t="s">
        <v>688</v>
      </c>
      <c r="C194" s="1868"/>
      <c r="D194" s="947" t="s">
        <v>887</v>
      </c>
      <c r="E194" s="1515" t="s">
        <v>699</v>
      </c>
      <c r="F194" s="1835">
        <v>0.46859533879240528</v>
      </c>
      <c r="G194" s="935"/>
      <c r="H194" s="1093">
        <v>20830</v>
      </c>
      <c r="I194" s="1109">
        <v>0.46859533879240528</v>
      </c>
      <c r="J194" s="1094"/>
      <c r="K194" s="1093">
        <v>3403</v>
      </c>
      <c r="L194" s="1109">
        <v>0.71884241656104775</v>
      </c>
      <c r="M194" s="1094"/>
      <c r="N194" s="1093">
        <v>24233</v>
      </c>
      <c r="O194" s="1109">
        <v>0.73393300623902114</v>
      </c>
    </row>
    <row r="195" spans="2:15">
      <c r="B195" s="1256" t="s">
        <v>1334</v>
      </c>
      <c r="C195" s="1868">
        <v>0.32900000000000001</v>
      </c>
      <c r="D195" s="944" t="s">
        <v>888</v>
      </c>
      <c r="E195" s="1256" t="s">
        <v>698</v>
      </c>
      <c r="F195" s="1835">
        <v>0.16768649329613963</v>
      </c>
      <c r="H195" s="1043">
        <v>7454</v>
      </c>
      <c r="I195" s="1108">
        <v>0.16768649329613966</v>
      </c>
      <c r="K195" s="1043">
        <v>1331</v>
      </c>
      <c r="L195" s="1108">
        <v>0.28115758343895225</v>
      </c>
      <c r="N195" s="1043">
        <v>8785</v>
      </c>
      <c r="O195" s="1108">
        <v>0.26606699376097886</v>
      </c>
    </row>
    <row r="196" spans="2:15">
      <c r="B196" s="1515"/>
      <c r="C196" s="1868"/>
      <c r="D196" s="944" t="s">
        <v>1330</v>
      </c>
      <c r="E196" s="1256" t="s">
        <v>827</v>
      </c>
      <c r="F196" s="1835">
        <v>0.10982632952398093</v>
      </c>
      <c r="H196" s="1043">
        <v>4882</v>
      </c>
      <c r="I196" s="1108">
        <v>0.10982632952398093</v>
      </c>
      <c r="K196" s="1043"/>
      <c r="L196" s="1108"/>
      <c r="N196" s="1043"/>
      <c r="O196" s="1043"/>
    </row>
    <row r="197" spans="2:15">
      <c r="B197" s="1515"/>
      <c r="C197" s="1868"/>
      <c r="D197" s="944" t="s">
        <v>1331</v>
      </c>
      <c r="E197" s="1256" t="s">
        <v>1341</v>
      </c>
      <c r="F197" s="1835">
        <v>0.10534959056960316</v>
      </c>
      <c r="H197" s="1043">
        <v>4683</v>
      </c>
      <c r="I197" s="1108">
        <v>0.10534959056960316</v>
      </c>
      <c r="K197" s="1043"/>
      <c r="L197" s="1108"/>
      <c r="N197" s="1043"/>
      <c r="O197" s="1043"/>
    </row>
    <row r="198" spans="2:15">
      <c r="B198" s="1515"/>
      <c r="C198" s="1868"/>
      <c r="D198" s="944" t="s">
        <v>1332</v>
      </c>
      <c r="E198" s="1256" t="s">
        <v>931</v>
      </c>
      <c r="F198" s="1835">
        <v>6.5396382614955464E-2</v>
      </c>
      <c r="H198" s="1043">
        <v>2907</v>
      </c>
      <c r="I198" s="1108">
        <v>6.5396382614955464E-2</v>
      </c>
      <c r="K198" s="1043"/>
      <c r="L198" s="1108"/>
      <c r="N198" s="1043"/>
      <c r="O198" s="1043"/>
    </row>
    <row r="199" spans="2:15">
      <c r="B199" s="1515"/>
      <c r="C199" s="1868"/>
      <c r="D199" s="944" t="s">
        <v>1333</v>
      </c>
      <c r="E199" s="1256" t="s">
        <v>1342</v>
      </c>
      <c r="F199" s="1835">
        <v>6.2989291820390536E-2</v>
      </c>
      <c r="H199" s="1043">
        <v>2800</v>
      </c>
      <c r="I199" s="1108">
        <v>6.2989291820390536E-2</v>
      </c>
      <c r="K199" s="1043"/>
      <c r="L199" s="1108"/>
      <c r="N199" s="1043"/>
      <c r="O199" s="1043"/>
    </row>
    <row r="200" spans="2:15">
      <c r="B200" s="1515"/>
      <c r="C200" s="1868"/>
      <c r="D200" s="944" t="s">
        <v>916</v>
      </c>
      <c r="E200" s="1256" t="s">
        <v>919</v>
      </c>
      <c r="F200" s="1835">
        <v>2.0156573382524971E-2</v>
      </c>
      <c r="H200" s="1043">
        <v>896</v>
      </c>
      <c r="I200" s="1108">
        <v>2.0156573382524971E-2</v>
      </c>
      <c r="K200" s="1043"/>
      <c r="L200" s="1108"/>
      <c r="N200" s="1043"/>
      <c r="O200" s="1043"/>
    </row>
    <row r="201" spans="2:15" ht="4.5" customHeight="1">
      <c r="B201" s="1515"/>
      <c r="C201" s="1868"/>
      <c r="D201" s="944"/>
      <c r="E201" s="1256"/>
      <c r="F201" s="1835"/>
      <c r="H201" s="1043"/>
      <c r="I201" s="1108"/>
      <c r="K201" s="1043"/>
      <c r="L201" s="1108"/>
      <c r="N201" s="1043"/>
      <c r="O201" s="1043"/>
    </row>
    <row r="202" spans="2:15">
      <c r="B202" s="2442"/>
      <c r="C202" s="2443"/>
      <c r="D202" s="2428"/>
      <c r="E202" s="2428"/>
      <c r="F202" s="2418"/>
      <c r="G202" s="2428"/>
      <c r="H202" s="2444">
        <v>44452</v>
      </c>
      <c r="I202" s="2445">
        <v>1</v>
      </c>
      <c r="J202" s="2444"/>
      <c r="K202" s="2444">
        <v>4734</v>
      </c>
      <c r="L202" s="2445">
        <v>1</v>
      </c>
      <c r="M202" s="2444"/>
      <c r="N202" s="2444">
        <v>33018</v>
      </c>
      <c r="O202" s="2445">
        <v>1</v>
      </c>
    </row>
    <row r="203" spans="2:15" ht="6" customHeight="1">
      <c r="B203" s="1515"/>
      <c r="C203" s="1868"/>
      <c r="D203" s="944"/>
      <c r="E203" s="1256"/>
      <c r="F203" s="1835"/>
      <c r="G203" s="944"/>
      <c r="H203" s="1043"/>
      <c r="I203" s="1043"/>
      <c r="J203" s="1043"/>
      <c r="K203" s="1043"/>
      <c r="L203" s="1043"/>
      <c r="M203" s="1043"/>
      <c r="N203" s="1043"/>
      <c r="O203" s="1043"/>
    </row>
    <row r="204" spans="2:15" s="935" customFormat="1">
      <c r="B204" s="1515" t="s">
        <v>684</v>
      </c>
      <c r="C204" s="1869"/>
      <c r="D204" s="947" t="s">
        <v>835</v>
      </c>
      <c r="E204" s="1515" t="s">
        <v>699</v>
      </c>
      <c r="F204" s="1835">
        <v>0.37742759795570696</v>
      </c>
      <c r="H204" s="1093">
        <v>22155</v>
      </c>
      <c r="I204" s="1109">
        <v>0.37742759795570696</v>
      </c>
      <c r="J204" s="1094"/>
      <c r="K204" s="1093">
        <v>2974</v>
      </c>
      <c r="L204" s="1109">
        <v>0.31421024828314842</v>
      </c>
      <c r="M204" s="1094"/>
      <c r="N204" s="1093">
        <v>25129</v>
      </c>
      <c r="O204" s="1109">
        <v>0.57088009450679267</v>
      </c>
    </row>
    <row r="205" spans="2:15">
      <c r="B205" s="1256" t="s">
        <v>1335</v>
      </c>
      <c r="C205" s="1868">
        <v>0.33</v>
      </c>
      <c r="D205" s="944" t="s">
        <v>1336</v>
      </c>
      <c r="E205" s="1256" t="s">
        <v>827</v>
      </c>
      <c r="F205" s="1835">
        <v>0.21120954003407155</v>
      </c>
      <c r="H205" s="1043">
        <v>12398</v>
      </c>
      <c r="I205" s="1108">
        <v>0.21120954003407155</v>
      </c>
      <c r="K205" s="1043">
        <v>6491</v>
      </c>
      <c r="L205" s="1108">
        <v>0.68578975171685153</v>
      </c>
      <c r="N205" s="1043">
        <v>18889</v>
      </c>
      <c r="O205" s="1108">
        <v>0.42911990549320733</v>
      </c>
    </row>
    <row r="206" spans="2:15">
      <c r="B206" s="1515"/>
      <c r="C206" s="1868"/>
      <c r="D206" s="944" t="s">
        <v>1337</v>
      </c>
      <c r="E206" s="1256" t="s">
        <v>698</v>
      </c>
      <c r="F206" s="1835">
        <v>0.1838160136286201</v>
      </c>
      <c r="H206" s="1043">
        <v>10790</v>
      </c>
      <c r="I206" s="1108">
        <v>0.1838160136286201</v>
      </c>
      <c r="K206" s="1043"/>
      <c r="L206" s="1108"/>
      <c r="N206" s="1043"/>
      <c r="O206" s="1108"/>
    </row>
    <row r="207" spans="2:15">
      <c r="B207" s="1515"/>
      <c r="C207" s="1868"/>
      <c r="D207" s="944" t="s">
        <v>1338</v>
      </c>
      <c r="E207" s="1256" t="s">
        <v>1341</v>
      </c>
      <c r="F207" s="1835">
        <v>0.12211243611584327</v>
      </c>
      <c r="H207" s="1043">
        <v>7168</v>
      </c>
      <c r="I207" s="1108">
        <v>0.12211243611584327</v>
      </c>
      <c r="K207" s="1043"/>
      <c r="L207" s="1108"/>
      <c r="N207" s="1043"/>
      <c r="O207" s="1108"/>
    </row>
    <row r="208" spans="2:15">
      <c r="B208" s="1515"/>
      <c r="C208" s="1868"/>
      <c r="D208" s="944" t="s">
        <v>1339</v>
      </c>
      <c r="E208" s="1256" t="s">
        <v>931</v>
      </c>
      <c r="F208" s="1835">
        <v>8.2163543441226589E-2</v>
      </c>
      <c r="H208" s="1043">
        <v>4823</v>
      </c>
      <c r="I208" s="1108">
        <v>8.2163543441226575E-2</v>
      </c>
      <c r="K208" s="1043"/>
      <c r="L208" s="1108"/>
      <c r="N208" s="1043"/>
      <c r="O208" s="1108"/>
    </row>
    <row r="209" spans="2:15">
      <c r="B209" s="1515"/>
      <c r="C209" s="1868"/>
      <c r="D209" s="944" t="s">
        <v>839</v>
      </c>
      <c r="E209" s="1256" t="s">
        <v>1340</v>
      </c>
      <c r="F209" s="1835">
        <v>2.3270868824531513E-2</v>
      </c>
      <c r="H209" s="1043">
        <v>1366</v>
      </c>
      <c r="I209" s="1108">
        <v>2.3270868824531516E-2</v>
      </c>
      <c r="K209" s="1043"/>
      <c r="L209" s="1108"/>
      <c r="N209" s="1043"/>
      <c r="O209" s="1108"/>
    </row>
    <row r="210" spans="2:15" ht="4.5" customHeight="1">
      <c r="B210" s="1515"/>
      <c r="C210" s="1868"/>
      <c r="F210" s="1835"/>
    </row>
    <row r="211" spans="2:15">
      <c r="B211" s="2442"/>
      <c r="C211" s="2443"/>
      <c r="D211" s="2428"/>
      <c r="E211" s="2446"/>
      <c r="F211" s="2418"/>
      <c r="G211" s="2428"/>
      <c r="H211" s="2444">
        <v>58700</v>
      </c>
      <c r="I211" s="2445">
        <v>1</v>
      </c>
      <c r="J211" s="2444"/>
      <c r="K211" s="2444">
        <v>9465</v>
      </c>
      <c r="L211" s="2445">
        <v>1</v>
      </c>
      <c r="M211" s="2444"/>
      <c r="N211" s="2444">
        <v>44018</v>
      </c>
      <c r="O211" s="2445">
        <v>1</v>
      </c>
    </row>
    <row r="212" spans="2:15" ht="6" customHeight="1">
      <c r="B212" s="1515"/>
      <c r="C212" s="1868"/>
      <c r="D212" s="944"/>
      <c r="E212" s="1256"/>
      <c r="F212" s="1835"/>
      <c r="G212" s="944"/>
      <c r="H212" s="1043"/>
      <c r="I212" s="1043"/>
      <c r="J212" s="1043"/>
      <c r="K212" s="1043"/>
      <c r="L212" s="1043"/>
      <c r="M212" s="1043"/>
      <c r="N212" s="1043"/>
      <c r="O212" s="1043"/>
    </row>
    <row r="213" spans="2:15" s="935" customFormat="1">
      <c r="B213" s="1515" t="s">
        <v>686</v>
      </c>
      <c r="C213" s="1869"/>
      <c r="D213" s="947" t="s">
        <v>687</v>
      </c>
      <c r="E213" s="1515" t="s">
        <v>699</v>
      </c>
      <c r="F213" s="1835">
        <v>0.47902039451688405</v>
      </c>
      <c r="H213" s="1093">
        <v>28655</v>
      </c>
      <c r="I213" s="1109">
        <f>H213/H$219</f>
        <v>0.479020394516884</v>
      </c>
      <c r="J213" s="1094"/>
      <c r="K213" s="1093">
        <v>5406</v>
      </c>
      <c r="L213" s="1109">
        <f>K213/K$219</f>
        <v>0.64441530575753958</v>
      </c>
      <c r="M213" s="1094"/>
      <c r="N213" s="1093">
        <v>34061</v>
      </c>
      <c r="O213" s="1109">
        <f>N213/N$219</f>
        <v>0.68201113291418047</v>
      </c>
    </row>
    <row r="214" spans="2:15">
      <c r="B214" s="1256" t="s">
        <v>1344</v>
      </c>
      <c r="C214" s="1868">
        <v>0.34499999999999997</v>
      </c>
      <c r="D214" s="944" t="s">
        <v>1345</v>
      </c>
      <c r="E214" s="1256" t="s">
        <v>1342</v>
      </c>
      <c r="F214" s="1835">
        <v>0.21561350718823136</v>
      </c>
      <c r="H214" s="1043">
        <v>12898</v>
      </c>
      <c r="I214" s="1108">
        <f>H214/H$219</f>
        <v>0.21561350718823136</v>
      </c>
      <c r="K214" s="1043">
        <v>2983</v>
      </c>
      <c r="L214" s="1108">
        <f>K214/K$219</f>
        <v>0.35558469424246036</v>
      </c>
      <c r="N214" s="1043">
        <v>15881</v>
      </c>
      <c r="O214" s="1108">
        <f>N214/N$219</f>
        <v>0.31798886708581953</v>
      </c>
    </row>
    <row r="215" spans="2:15">
      <c r="B215" s="1515"/>
      <c r="C215" s="1868"/>
      <c r="D215" s="944" t="s">
        <v>1346</v>
      </c>
      <c r="E215" s="1256" t="s">
        <v>698</v>
      </c>
      <c r="F215" s="1835">
        <v>0.14747576061517886</v>
      </c>
      <c r="H215" s="1043">
        <v>8822</v>
      </c>
      <c r="I215" s="1108">
        <f>H215/H$219</f>
        <v>0.14747576061517886</v>
      </c>
      <c r="K215" s="1043"/>
      <c r="L215" s="1108"/>
      <c r="N215" s="1043"/>
      <c r="O215" s="1108"/>
    </row>
    <row r="216" spans="2:15">
      <c r="B216" s="1515"/>
      <c r="C216" s="1868"/>
      <c r="D216" s="944" t="s">
        <v>850</v>
      </c>
      <c r="E216" s="1256" t="s">
        <v>172</v>
      </c>
      <c r="F216" s="1835">
        <v>0.10964560347709798</v>
      </c>
      <c r="H216" s="1043">
        <v>6559</v>
      </c>
      <c r="I216" s="1108">
        <f>H216/H$219</f>
        <v>0.10964560347709797</v>
      </c>
      <c r="K216" s="1043"/>
      <c r="L216" s="1108"/>
      <c r="N216" s="1043"/>
      <c r="O216" s="1108"/>
    </row>
    <row r="217" spans="2:15">
      <c r="B217" s="1515"/>
      <c r="C217" s="1868"/>
      <c r="D217" s="944" t="s">
        <v>1347</v>
      </c>
      <c r="E217" s="1256" t="s">
        <v>827</v>
      </c>
      <c r="F217" s="1835">
        <v>4.8244734202607817E-2</v>
      </c>
      <c r="H217" s="1043">
        <v>2886</v>
      </c>
      <c r="I217" s="1108">
        <f>H217/H$219</f>
        <v>4.8244734202607824E-2</v>
      </c>
      <c r="K217" s="1043"/>
      <c r="L217" s="1108"/>
      <c r="N217" s="1043"/>
      <c r="O217" s="1108"/>
    </row>
    <row r="218" spans="2:15" ht="4.5" customHeight="1">
      <c r="B218" s="1515"/>
      <c r="C218" s="1868"/>
      <c r="D218" s="944"/>
      <c r="E218" s="1256"/>
      <c r="F218" s="1835"/>
      <c r="G218" s="944"/>
      <c r="H218" s="1043"/>
      <c r="I218" s="1108"/>
      <c r="J218" s="1043"/>
      <c r="K218" s="1043"/>
      <c r="L218" s="1108"/>
      <c r="M218" s="1043"/>
      <c r="N218" s="1043"/>
      <c r="O218" s="1108"/>
    </row>
    <row r="219" spans="2:15">
      <c r="B219" s="2442"/>
      <c r="C219" s="2443"/>
      <c r="D219" s="2428"/>
      <c r="E219" s="2446"/>
      <c r="F219" s="2418"/>
      <c r="G219" s="2428"/>
      <c r="H219" s="2444">
        <f>SUM(H213:H217)</f>
        <v>59820</v>
      </c>
      <c r="I219" s="2445">
        <f>H219/H$219</f>
        <v>1</v>
      </c>
      <c r="J219" s="2444"/>
      <c r="K219" s="2444">
        <f>SUM(K213:K217)</f>
        <v>8389</v>
      </c>
      <c r="L219" s="2445">
        <f>K219/K$219</f>
        <v>1</v>
      </c>
      <c r="M219" s="2444"/>
      <c r="N219" s="2444">
        <f>SUM(N213:N217)</f>
        <v>49942</v>
      </c>
      <c r="O219" s="2445">
        <f>N219/N$219</f>
        <v>1</v>
      </c>
    </row>
    <row r="220" spans="2:15" ht="6" customHeight="1">
      <c r="B220" s="1515"/>
      <c r="C220" s="1868"/>
      <c r="D220" s="944"/>
      <c r="E220" s="1256"/>
      <c r="F220" s="1835"/>
      <c r="G220" s="944"/>
      <c r="H220" s="1043"/>
      <c r="I220" s="1043"/>
      <c r="J220" s="1043"/>
      <c r="K220" s="1043"/>
      <c r="L220" s="1043"/>
      <c r="M220" s="1043"/>
      <c r="N220" s="1043"/>
      <c r="O220" s="1043"/>
    </row>
    <row r="221" spans="2:15">
      <c r="B221" s="1515" t="s">
        <v>812</v>
      </c>
      <c r="C221" s="1869"/>
      <c r="D221" s="947" t="s">
        <v>876</v>
      </c>
      <c r="E221" s="1515" t="s">
        <v>827</v>
      </c>
      <c r="F221" s="1835">
        <v>0.51156724395980324</v>
      </c>
      <c r="G221" s="935"/>
      <c r="H221" s="1093">
        <v>11963</v>
      </c>
      <c r="I221" s="1109">
        <f>H221/H$226</f>
        <v>0.51156724395980324</v>
      </c>
      <c r="J221" s="1043"/>
      <c r="K221" s="1971" t="s">
        <v>685</v>
      </c>
      <c r="L221" s="1964"/>
      <c r="M221" s="1964"/>
      <c r="N221" s="1969">
        <f>H221</f>
        <v>11963</v>
      </c>
      <c r="O221" s="1970">
        <f>I221</f>
        <v>0.51156724395980324</v>
      </c>
    </row>
    <row r="222" spans="2:15">
      <c r="B222" s="1256" t="s">
        <v>957</v>
      </c>
      <c r="C222" s="1868">
        <v>0.38100000000000001</v>
      </c>
      <c r="D222" s="944" t="s">
        <v>1348</v>
      </c>
      <c r="E222" s="1256" t="s">
        <v>698</v>
      </c>
      <c r="F222" s="1835">
        <v>0.20688475518494762</v>
      </c>
      <c r="H222" s="1043">
        <v>4838</v>
      </c>
      <c r="I222" s="1108">
        <f>H222/H$226</f>
        <v>0.20688475518494762</v>
      </c>
      <c r="J222" s="1043"/>
      <c r="K222" s="1964" t="s">
        <v>685</v>
      </c>
      <c r="L222" s="1964"/>
      <c r="M222" s="1964"/>
      <c r="N222" s="1977"/>
      <c r="O222" s="1978"/>
    </row>
    <row r="223" spans="2:15">
      <c r="B223" s="1515"/>
      <c r="C223" s="1868"/>
      <c r="D223" s="944" t="s">
        <v>1349</v>
      </c>
      <c r="E223" s="1256" t="s">
        <v>699</v>
      </c>
      <c r="F223" s="1835">
        <v>0.17370109044259141</v>
      </c>
      <c r="H223" s="1043">
        <v>4062</v>
      </c>
      <c r="I223" s="1108">
        <f>H223/H$226</f>
        <v>0.17370109044259141</v>
      </c>
      <c r="J223" s="1043"/>
      <c r="K223" s="1043"/>
      <c r="L223" s="1043"/>
      <c r="M223" s="1043"/>
      <c r="N223" s="1043"/>
      <c r="O223" s="1043"/>
    </row>
    <row r="224" spans="2:15">
      <c r="B224" s="1515"/>
      <c r="C224" s="1868"/>
      <c r="D224" s="944" t="s">
        <v>875</v>
      </c>
      <c r="E224" s="1256" t="s">
        <v>1341</v>
      </c>
      <c r="F224" s="1835">
        <v>0.10784691041265768</v>
      </c>
      <c r="H224" s="1043">
        <v>2522</v>
      </c>
      <c r="I224" s="1108">
        <f>H224/H$226</f>
        <v>0.10784691041265769</v>
      </c>
      <c r="J224" s="1043"/>
      <c r="K224" s="1043"/>
      <c r="L224" s="1043"/>
      <c r="M224" s="1043"/>
      <c r="N224" s="1043"/>
      <c r="O224" s="1043"/>
    </row>
    <row r="225" spans="2:15" ht="4.5" customHeight="1">
      <c r="B225" s="1515"/>
      <c r="C225" s="1868"/>
      <c r="D225" s="944"/>
      <c r="E225" s="1256"/>
      <c r="F225" s="1835"/>
      <c r="G225" s="944"/>
      <c r="H225" s="1043"/>
      <c r="I225" s="1108"/>
      <c r="J225" s="1043"/>
      <c r="K225" s="1043"/>
      <c r="L225" s="1043"/>
      <c r="M225" s="1043"/>
      <c r="N225" s="1043"/>
      <c r="O225" s="1043"/>
    </row>
    <row r="226" spans="2:15" s="944" customFormat="1">
      <c r="B226" s="1515"/>
      <c r="C226" s="1868"/>
      <c r="E226" s="1256"/>
      <c r="F226" s="1906"/>
      <c r="H226" s="1093">
        <f>SUM(H221:H224)</f>
        <v>23385</v>
      </c>
      <c r="I226" s="1110">
        <f>H226/H$226</f>
        <v>1</v>
      </c>
      <c r="J226" s="1043"/>
      <c r="K226" s="1043"/>
      <c r="L226" s="1043"/>
      <c r="M226" s="1043"/>
      <c r="N226" s="1043"/>
      <c r="O226" s="1043"/>
    </row>
    <row r="227" spans="2:15" ht="4.5" customHeight="1">
      <c r="B227" s="1515"/>
      <c r="C227" s="1868"/>
      <c r="D227" s="944"/>
      <c r="E227" s="1256"/>
      <c r="F227" s="1835"/>
      <c r="G227" s="944"/>
      <c r="H227" s="1043"/>
      <c r="I227" s="1043"/>
      <c r="J227" s="1043"/>
      <c r="K227" s="1043"/>
      <c r="L227" s="1043"/>
      <c r="M227" s="1043"/>
      <c r="N227" s="1043"/>
      <c r="O227" s="1043"/>
    </row>
    <row r="228" spans="2:15">
      <c r="B228" s="2289">
        <v>39205</v>
      </c>
      <c r="C228" s="2059"/>
      <c r="D228" s="2081"/>
      <c r="E228" s="1560"/>
      <c r="F228" s="2062"/>
      <c r="G228" s="2081"/>
      <c r="H228" s="2085"/>
      <c r="I228" s="2085"/>
      <c r="J228" s="2085"/>
      <c r="K228" s="2085"/>
      <c r="L228" s="2085"/>
      <c r="M228" s="2085"/>
      <c r="N228" s="2085"/>
      <c r="O228" s="2085"/>
    </row>
    <row r="229" spans="2:15" ht="6" customHeight="1">
      <c r="B229" s="1878"/>
      <c r="C229" s="1868"/>
      <c r="E229" s="1256"/>
      <c r="F229" s="1835"/>
    </row>
    <row r="230" spans="2:15">
      <c r="B230" s="1911" t="s">
        <v>813</v>
      </c>
      <c r="C230" s="1912"/>
      <c r="D230" s="1913" t="s">
        <v>879</v>
      </c>
      <c r="E230" s="1927" t="s">
        <v>931</v>
      </c>
      <c r="F230" s="1835">
        <v>0.36682366456059734</v>
      </c>
      <c r="G230" s="1913"/>
      <c r="H230" s="1914">
        <v>15966</v>
      </c>
      <c r="I230" s="1915">
        <v>0.36682366456059734</v>
      </c>
      <c r="J230" s="1915"/>
      <c r="K230" s="1914">
        <v>3732</v>
      </c>
      <c r="L230" s="1891">
        <v>0.58899999999999997</v>
      </c>
      <c r="M230" s="1891"/>
      <c r="N230" s="1914">
        <v>19698</v>
      </c>
      <c r="O230" s="1915">
        <v>0.59671018751325311</v>
      </c>
    </row>
    <row r="231" spans="2:15">
      <c r="B231" s="1916" t="s">
        <v>785</v>
      </c>
      <c r="C231" s="1912">
        <v>0.40100000000000002</v>
      </c>
      <c r="D231" s="1917" t="s">
        <v>715</v>
      </c>
      <c r="E231" s="1923" t="s">
        <v>698</v>
      </c>
      <c r="F231" s="1835">
        <v>0.24606547960941988</v>
      </c>
      <c r="G231" s="1917"/>
      <c r="H231" s="1918">
        <v>10710</v>
      </c>
      <c r="I231" s="1919">
        <v>0.24606547960941988</v>
      </c>
      <c r="J231" s="1919"/>
      <c r="K231" s="1918">
        <v>2603</v>
      </c>
      <c r="L231" s="1898">
        <v>0.41099999999999998</v>
      </c>
      <c r="M231" s="1898"/>
      <c r="N231" s="1918">
        <v>13313</v>
      </c>
      <c r="O231" s="1919">
        <v>0.40328981248674683</v>
      </c>
    </row>
    <row r="232" spans="2:15">
      <c r="B232" s="1813"/>
      <c r="C232" s="1920"/>
      <c r="D232" s="1917" t="s">
        <v>881</v>
      </c>
      <c r="E232" s="1923" t="s">
        <v>827</v>
      </c>
      <c r="F232" s="1835">
        <v>0.24245835726593909</v>
      </c>
      <c r="G232" s="1917"/>
      <c r="H232" s="1918">
        <v>10553</v>
      </c>
      <c r="I232" s="1919">
        <v>0.24245835726593912</v>
      </c>
      <c r="J232" s="1919"/>
      <c r="K232" s="1882"/>
      <c r="L232" s="1900"/>
      <c r="M232" s="1900"/>
      <c r="N232" s="1900"/>
      <c r="O232" s="1900"/>
    </row>
    <row r="233" spans="2:15">
      <c r="B233" s="1813"/>
      <c r="C233" s="1912"/>
      <c r="D233" s="1917" t="s">
        <v>716</v>
      </c>
      <c r="E233" s="1923" t="s">
        <v>699</v>
      </c>
      <c r="F233" s="1835">
        <v>0.10931648477886272</v>
      </c>
      <c r="G233" s="1917"/>
      <c r="H233" s="1918">
        <v>4758</v>
      </c>
      <c r="I233" s="1919">
        <v>0.10931648477886272</v>
      </c>
      <c r="J233" s="1919"/>
      <c r="K233" s="1882"/>
      <c r="L233" s="1900"/>
      <c r="M233" s="1900"/>
      <c r="N233" s="1900"/>
      <c r="O233" s="1900"/>
    </row>
    <row r="234" spans="2:15">
      <c r="B234" s="1813"/>
      <c r="C234" s="1912"/>
      <c r="D234" s="1917" t="s">
        <v>717</v>
      </c>
      <c r="E234" s="1923" t="s">
        <v>1341</v>
      </c>
      <c r="F234" s="1835">
        <v>3.5336013785180934E-2</v>
      </c>
      <c r="G234" s="1917"/>
      <c r="H234" s="1918">
        <v>1538</v>
      </c>
      <c r="I234" s="1919">
        <v>3.5336013785180934E-2</v>
      </c>
      <c r="J234" s="1919"/>
      <c r="K234" s="1882"/>
      <c r="L234" s="1900"/>
      <c r="M234" s="1900"/>
      <c r="N234" s="1900"/>
      <c r="O234" s="1900"/>
    </row>
    <row r="235" spans="2:15" ht="4.5" customHeight="1">
      <c r="B235" s="1813"/>
      <c r="C235" s="1912"/>
      <c r="D235" s="1917"/>
      <c r="E235" s="1923"/>
      <c r="F235" s="1835"/>
      <c r="G235" s="1917"/>
      <c r="H235" s="1918"/>
      <c r="I235" s="1921"/>
      <c r="J235" s="1921"/>
      <c r="K235" s="1921"/>
      <c r="L235" s="1921"/>
      <c r="M235" s="1921"/>
      <c r="N235" s="1921"/>
      <c r="O235" s="1832"/>
    </row>
    <row r="236" spans="2:15">
      <c r="B236" s="2415"/>
      <c r="C236" s="2447"/>
      <c r="D236" s="2499"/>
      <c r="E236" s="2449"/>
      <c r="F236" s="2418"/>
      <c r="G236" s="2448"/>
      <c r="H236" s="2450">
        <v>43525</v>
      </c>
      <c r="I236" s="2441">
        <v>1</v>
      </c>
      <c r="J236" s="2420"/>
      <c r="K236" s="2451">
        <f>K230+K231</f>
        <v>6335</v>
      </c>
      <c r="L236" s="2441">
        <v>1</v>
      </c>
      <c r="M236" s="2420"/>
      <c r="N236" s="2451">
        <f>N230+N231</f>
        <v>33011</v>
      </c>
      <c r="O236" s="2441">
        <v>1</v>
      </c>
    </row>
    <row r="237" spans="2:15" s="944" customFormat="1" ht="6" customHeight="1">
      <c r="B237" s="1515"/>
      <c r="C237" s="1868"/>
      <c r="D237" s="1922"/>
      <c r="E237" s="1923"/>
      <c r="F237" s="1906"/>
      <c r="G237" s="1922"/>
      <c r="H237" s="1924"/>
      <c r="I237" s="2391"/>
      <c r="J237" s="2391"/>
      <c r="K237" s="2391"/>
      <c r="L237" s="2391"/>
      <c r="M237" s="2391"/>
      <c r="N237" s="2391"/>
      <c r="O237" s="2391"/>
    </row>
    <row r="238" spans="2:15" ht="14.25" customHeight="1" thickBot="1">
      <c r="B238" s="1549"/>
      <c r="C238" s="2017"/>
      <c r="D238" s="2018"/>
      <c r="E238" s="2018"/>
      <c r="F238" s="2019"/>
      <c r="G238" s="2018"/>
      <c r="H238" s="3493" t="s">
        <v>1170</v>
      </c>
      <c r="I238" s="3409"/>
      <c r="J238" s="2368"/>
      <c r="K238" s="3493" t="s">
        <v>1219</v>
      </c>
      <c r="L238" s="3493"/>
      <c r="M238" s="2392"/>
      <c r="N238" s="3493" t="s">
        <v>267</v>
      </c>
      <c r="O238" s="3409"/>
    </row>
    <row r="239" spans="2:15" ht="16">
      <c r="B239" s="2021" t="s">
        <v>2387</v>
      </c>
      <c r="C239" s="2017"/>
      <c r="D239" s="2018" t="s">
        <v>11</v>
      </c>
      <c r="E239" s="2022" t="s">
        <v>110</v>
      </c>
      <c r="F239" s="2023"/>
      <c r="G239" s="2018"/>
      <c r="H239" s="2020" t="s">
        <v>111</v>
      </c>
      <c r="I239" s="2024" t="s">
        <v>153</v>
      </c>
      <c r="J239" s="2024"/>
      <c r="K239" s="2020" t="s">
        <v>111</v>
      </c>
      <c r="L239" s="2020" t="s">
        <v>153</v>
      </c>
      <c r="M239" s="2020"/>
      <c r="N239" s="2020" t="s">
        <v>111</v>
      </c>
      <c r="O239" s="2025" t="s">
        <v>153</v>
      </c>
    </row>
    <row r="240" spans="2:15">
      <c r="B240" s="1911" t="s">
        <v>680</v>
      </c>
      <c r="C240" s="1912"/>
      <c r="D240" s="1913" t="s">
        <v>894</v>
      </c>
      <c r="E240" s="1927" t="s">
        <v>931</v>
      </c>
      <c r="F240" s="1835">
        <v>0.45677140582951137</v>
      </c>
      <c r="G240" s="1913"/>
      <c r="H240" s="1914">
        <v>12051</v>
      </c>
      <c r="I240" s="1915">
        <v>0.45677140582951142</v>
      </c>
      <c r="J240" s="1915"/>
      <c r="K240" s="1914">
        <v>1705</v>
      </c>
      <c r="L240" s="1891">
        <v>0.72199999999999998</v>
      </c>
      <c r="M240" s="1891"/>
      <c r="N240" s="1914">
        <v>13756</v>
      </c>
      <c r="O240" s="1915">
        <v>0.61029281277728487</v>
      </c>
    </row>
    <row r="241" spans="2:15">
      <c r="B241" s="1916" t="s">
        <v>786</v>
      </c>
      <c r="C241" s="1912">
        <v>0.34200000000000003</v>
      </c>
      <c r="D241" s="1917" t="s">
        <v>718</v>
      </c>
      <c r="E241" s="1923" t="s">
        <v>699</v>
      </c>
      <c r="F241" s="1835">
        <v>0.30811507410074668</v>
      </c>
      <c r="G241" s="1917"/>
      <c r="H241" s="1918">
        <v>8129</v>
      </c>
      <c r="I241" s="1919">
        <v>0.30811507410074668</v>
      </c>
      <c r="J241" s="1919"/>
      <c r="K241" s="1921">
        <v>645</v>
      </c>
      <c r="L241" s="1898">
        <v>0.27400000000000002</v>
      </c>
      <c r="M241" s="1898"/>
      <c r="N241" s="1918">
        <v>8774</v>
      </c>
      <c r="O241" s="1919">
        <v>0.38970718722271519</v>
      </c>
    </row>
    <row r="242" spans="2:15">
      <c r="B242" s="1813"/>
      <c r="C242" s="1920"/>
      <c r="D242" s="1917" t="s">
        <v>719</v>
      </c>
      <c r="E242" s="1923" t="s">
        <v>698</v>
      </c>
      <c r="F242" s="1835">
        <v>0.10499185081302354</v>
      </c>
      <c r="G242" s="1917"/>
      <c r="H242" s="1918">
        <v>2770</v>
      </c>
      <c r="I242" s="1919">
        <v>0.10499185081302354</v>
      </c>
      <c r="J242" s="1919"/>
      <c r="K242" s="1882"/>
      <c r="L242" s="1900"/>
      <c r="M242" s="1900"/>
      <c r="N242" s="1900"/>
      <c r="O242" s="1900"/>
    </row>
    <row r="243" spans="2:15">
      <c r="B243" s="1813"/>
      <c r="C243" s="1912"/>
      <c r="D243" s="1917" t="s">
        <v>720</v>
      </c>
      <c r="E243" s="1923" t="s">
        <v>827</v>
      </c>
      <c r="F243" s="1835">
        <v>7.3683811545313269E-2</v>
      </c>
      <c r="G243" s="1917"/>
      <c r="H243" s="1918">
        <v>1944</v>
      </c>
      <c r="I243" s="1919">
        <v>7.3683811545313269E-2</v>
      </c>
      <c r="J243" s="1919"/>
      <c r="K243" s="1882"/>
      <c r="L243" s="1900"/>
      <c r="M243" s="1900"/>
      <c r="N243" s="1900"/>
      <c r="O243" s="1900"/>
    </row>
    <row r="244" spans="2:15">
      <c r="B244" s="1813"/>
      <c r="C244" s="1912"/>
      <c r="D244" s="1917" t="s">
        <v>721</v>
      </c>
      <c r="E244" s="1923" t="s">
        <v>1341</v>
      </c>
      <c r="F244" s="1835">
        <v>5.6437857711405075E-2</v>
      </c>
      <c r="G244" s="1917"/>
      <c r="H244" s="1918">
        <v>1489</v>
      </c>
      <c r="I244" s="1919">
        <v>5.6437857711405075E-2</v>
      </c>
      <c r="J244" s="1919"/>
      <c r="K244" s="1882"/>
      <c r="L244" s="1900"/>
      <c r="M244" s="1900"/>
      <c r="N244" s="1900"/>
      <c r="O244" s="1900"/>
    </row>
    <row r="245" spans="2:15" ht="4.5" customHeight="1">
      <c r="B245" s="1813"/>
      <c r="C245" s="1912"/>
      <c r="D245" s="1917"/>
      <c r="E245" s="1923"/>
      <c r="F245" s="1835"/>
      <c r="G245" s="1917"/>
      <c r="H245" s="1918"/>
      <c r="I245" s="1921"/>
      <c r="J245" s="1921"/>
      <c r="K245" s="1921"/>
      <c r="L245" s="1921"/>
      <c r="M245" s="1921"/>
      <c r="N245" s="1921"/>
      <c r="O245" s="1921"/>
    </row>
    <row r="246" spans="2:15">
      <c r="B246" s="2415"/>
      <c r="C246" s="2447"/>
      <c r="D246" s="2448"/>
      <c r="E246" s="2449"/>
      <c r="F246" s="2418"/>
      <c r="G246" s="2448"/>
      <c r="H246" s="2450">
        <v>26383</v>
      </c>
      <c r="I246" s="2441">
        <v>1</v>
      </c>
      <c r="J246" s="2420"/>
      <c r="K246" s="2451">
        <f>K240+K241</f>
        <v>2350</v>
      </c>
      <c r="L246" s="2441">
        <v>1</v>
      </c>
      <c r="M246" s="2420"/>
      <c r="N246" s="2451">
        <f>N240+N241</f>
        <v>22530</v>
      </c>
      <c r="O246" s="2441">
        <v>1</v>
      </c>
    </row>
    <row r="247" spans="2:15" ht="1.5" customHeight="1">
      <c r="B247" s="1813"/>
      <c r="C247" s="1912"/>
      <c r="D247" s="1917"/>
      <c r="E247" s="1923"/>
      <c r="F247" s="1835">
        <v>0</v>
      </c>
      <c r="G247" s="1917"/>
      <c r="H247" s="1918"/>
      <c r="I247" s="1921"/>
      <c r="J247" s="1921"/>
      <c r="K247" s="1921"/>
      <c r="L247" s="1921"/>
      <c r="M247" s="1921"/>
      <c r="N247" s="1921"/>
      <c r="O247" s="1921"/>
    </row>
    <row r="248" spans="2:15" ht="6" customHeight="1">
      <c r="B248" s="1813"/>
      <c r="C248" s="1823"/>
      <c r="D248" s="1820"/>
      <c r="E248" s="1820"/>
      <c r="F248" s="1835"/>
      <c r="G248" s="1820"/>
      <c r="H248" s="1822"/>
      <c r="I248" s="1821"/>
      <c r="J248" s="1821"/>
      <c r="K248" s="1822"/>
      <c r="L248" s="1822"/>
      <c r="M248" s="1822"/>
      <c r="N248" s="1822"/>
      <c r="O248" s="1825"/>
    </row>
    <row r="249" spans="2:15">
      <c r="B249" s="1911" t="s">
        <v>841</v>
      </c>
      <c r="C249" s="1912"/>
      <c r="D249" s="1913" t="s">
        <v>722</v>
      </c>
      <c r="E249" s="1927" t="s">
        <v>931</v>
      </c>
      <c r="F249" s="1835">
        <v>0.58686077396362168</v>
      </c>
      <c r="G249" s="1913"/>
      <c r="H249" s="1914">
        <v>17455</v>
      </c>
      <c r="I249" s="1915">
        <v>0.58686077396362168</v>
      </c>
      <c r="J249" s="1915"/>
      <c r="K249" s="1971" t="s">
        <v>685</v>
      </c>
      <c r="L249" s="1964"/>
      <c r="M249" s="1964"/>
      <c r="N249" s="1969">
        <f>H249</f>
        <v>17455</v>
      </c>
      <c r="O249" s="1970">
        <f>I249</f>
        <v>0.58686077396362168</v>
      </c>
    </row>
    <row r="250" spans="2:15">
      <c r="B250" s="1916" t="s">
        <v>787</v>
      </c>
      <c r="C250" s="1912">
        <v>0.308</v>
      </c>
      <c r="D250" s="1917" t="s">
        <v>723</v>
      </c>
      <c r="E250" s="1923" t="s">
        <v>1341</v>
      </c>
      <c r="F250" s="1835">
        <v>0.23622364926201123</v>
      </c>
      <c r="G250" s="1917"/>
      <c r="H250" s="1918">
        <v>7026</v>
      </c>
      <c r="I250" s="1919">
        <v>0.23622364926201123</v>
      </c>
      <c r="J250" s="1919"/>
      <c r="K250" s="1964" t="s">
        <v>685</v>
      </c>
      <c r="L250" s="1964"/>
      <c r="M250" s="1964"/>
      <c r="N250" s="1977"/>
      <c r="O250" s="1978"/>
    </row>
    <row r="251" spans="2:15">
      <c r="B251" s="1813"/>
      <c r="C251" s="1920"/>
      <c r="D251" s="1917" t="s">
        <v>724</v>
      </c>
      <c r="E251" s="1923" t="s">
        <v>699</v>
      </c>
      <c r="F251" s="1835">
        <v>0.11864976633157381</v>
      </c>
      <c r="G251" s="1917"/>
      <c r="H251" s="1918">
        <v>3529</v>
      </c>
      <c r="I251" s="1919">
        <v>0.11864976633157381</v>
      </c>
      <c r="J251" s="1919"/>
      <c r="K251" s="1882"/>
      <c r="L251" s="1900"/>
      <c r="M251" s="1900"/>
      <c r="N251" s="1900"/>
      <c r="O251" s="1900"/>
    </row>
    <row r="252" spans="2:15">
      <c r="B252" s="1813"/>
      <c r="C252" s="1912"/>
      <c r="D252" s="1917" t="s">
        <v>725</v>
      </c>
      <c r="E252" s="1923" t="s">
        <v>698</v>
      </c>
      <c r="F252" s="1835">
        <v>5.8265810442793262E-2</v>
      </c>
      <c r="G252" s="1917"/>
      <c r="H252" s="1918">
        <v>1733</v>
      </c>
      <c r="I252" s="1919">
        <v>5.8265810442793262E-2</v>
      </c>
      <c r="J252" s="1919"/>
      <c r="K252" s="1882"/>
      <c r="L252" s="1900"/>
      <c r="M252" s="1900"/>
      <c r="N252" s="1900"/>
      <c r="O252" s="1900"/>
    </row>
    <row r="253" spans="2:15" ht="4.5" customHeight="1">
      <c r="B253" s="1813"/>
      <c r="C253" s="1912"/>
      <c r="D253" s="1917"/>
      <c r="E253" s="1923"/>
      <c r="F253" s="1835"/>
      <c r="G253" s="1917"/>
      <c r="H253" s="1918"/>
      <c r="I253" s="1921"/>
      <c r="J253" s="1921"/>
      <c r="K253" s="1921"/>
      <c r="L253" s="1921"/>
      <c r="M253" s="1921"/>
      <c r="N253" s="1921"/>
      <c r="O253" s="1921"/>
    </row>
    <row r="254" spans="2:15">
      <c r="B254" s="1813"/>
      <c r="C254" s="1912"/>
      <c r="D254" s="1922"/>
      <c r="E254" s="1923"/>
      <c r="F254" s="1835"/>
      <c r="G254" s="1922"/>
      <c r="H254" s="1930">
        <v>29743</v>
      </c>
      <c r="I254" s="2409">
        <v>1</v>
      </c>
      <c r="J254" s="1843"/>
      <c r="K254" s="1921"/>
      <c r="L254" s="1919"/>
      <c r="M254" s="1919"/>
      <c r="N254" s="1921"/>
      <c r="O254" s="1919"/>
    </row>
    <row r="255" spans="2:15" ht="4.5" customHeight="1">
      <c r="B255" s="1925"/>
      <c r="C255" s="1912"/>
      <c r="D255" s="1922"/>
      <c r="E255" s="1923"/>
      <c r="F255" s="1835"/>
      <c r="G255" s="1922"/>
      <c r="H255" s="1924"/>
      <c r="I255" s="1843"/>
      <c r="J255" s="1843"/>
      <c r="K255" s="1921"/>
      <c r="L255" s="1919"/>
      <c r="M255" s="1919"/>
      <c r="N255" s="1921"/>
      <c r="O255" s="1919"/>
    </row>
    <row r="256" spans="2:15">
      <c r="B256" s="2050">
        <v>39968</v>
      </c>
      <c r="C256" s="2051"/>
      <c r="D256" s="2052"/>
      <c r="E256" s="2053"/>
      <c r="F256" s="2035"/>
      <c r="G256" s="2052"/>
      <c r="H256" s="2054"/>
      <c r="I256" s="2055"/>
      <c r="J256" s="2055"/>
      <c r="K256" s="2056"/>
      <c r="L256" s="2057"/>
      <c r="M256" s="2057"/>
      <c r="N256" s="2056"/>
      <c r="O256" s="2057"/>
    </row>
    <row r="257" spans="2:15" ht="6" customHeight="1">
      <c r="B257" s="1813"/>
      <c r="C257" s="1912"/>
      <c r="D257" s="1922"/>
      <c r="E257" s="1923"/>
      <c r="F257" s="1835"/>
      <c r="G257" s="1922"/>
      <c r="H257" s="1924"/>
      <c r="I257" s="1843"/>
      <c r="J257" s="1843"/>
      <c r="K257" s="1921"/>
      <c r="L257" s="1919"/>
      <c r="M257" s="1919"/>
      <c r="N257" s="1921"/>
      <c r="O257" s="1919"/>
    </row>
    <row r="258" spans="2:15" s="935" customFormat="1">
      <c r="B258" s="1927" t="s">
        <v>819</v>
      </c>
      <c r="C258" s="1869"/>
      <c r="D258" s="1928" t="s">
        <v>937</v>
      </c>
      <c r="E258" s="1927" t="s">
        <v>926</v>
      </c>
      <c r="F258" s="1835">
        <v>0.25291898420840725</v>
      </c>
      <c r="G258" s="1928"/>
      <c r="H258" s="1914">
        <v>16961</v>
      </c>
      <c r="I258" s="1915">
        <v>0.25291898420840725</v>
      </c>
      <c r="J258" s="1915"/>
      <c r="K258" s="1914">
        <v>8383</v>
      </c>
      <c r="L258" s="1915">
        <v>0.51673549898292548</v>
      </c>
      <c r="M258" s="1915"/>
      <c r="N258" s="1929">
        <v>25344</v>
      </c>
      <c r="O258" s="1098">
        <v>0.50351650971510309</v>
      </c>
    </row>
    <row r="259" spans="2:15">
      <c r="B259" s="1847" t="s">
        <v>957</v>
      </c>
      <c r="C259" s="1868">
        <v>0.38100000000000001</v>
      </c>
      <c r="D259" s="1922" t="s">
        <v>825</v>
      </c>
      <c r="E259" s="1923" t="s">
        <v>931</v>
      </c>
      <c r="F259" s="1835">
        <v>0.25573731378893844</v>
      </c>
      <c r="G259" s="1922"/>
      <c r="H259" s="1918">
        <v>17150</v>
      </c>
      <c r="I259" s="1919">
        <v>0.25573731378893844</v>
      </c>
      <c r="J259" s="1919"/>
      <c r="K259" s="1918">
        <v>7840</v>
      </c>
      <c r="L259" s="1919">
        <v>0.48326450101707452</v>
      </c>
      <c r="M259" s="1919"/>
      <c r="N259" s="1420">
        <v>24990</v>
      </c>
      <c r="O259" s="1097">
        <v>0.49648349028489691</v>
      </c>
    </row>
    <row r="260" spans="2:15">
      <c r="B260" s="1813"/>
      <c r="C260" s="1868"/>
      <c r="D260" s="1922" t="s">
        <v>938</v>
      </c>
      <c r="E260" s="1923" t="s">
        <v>699</v>
      </c>
      <c r="F260" s="1835">
        <v>0.24677532395878379</v>
      </c>
      <c r="G260" s="1922"/>
      <c r="H260" s="1918">
        <v>16549</v>
      </c>
      <c r="I260" s="1919">
        <v>0.24677532395878379</v>
      </c>
      <c r="J260" s="1919"/>
      <c r="K260" s="1918"/>
      <c r="L260" s="1919"/>
      <c r="M260" s="1919"/>
      <c r="N260" s="1420"/>
      <c r="O260" s="1097"/>
    </row>
    <row r="261" spans="2:15">
      <c r="B261" s="1813"/>
      <c r="C261" s="1868"/>
      <c r="D261" s="1922" t="s">
        <v>939</v>
      </c>
      <c r="E261" s="1923" t="s">
        <v>698</v>
      </c>
      <c r="F261" s="1835">
        <v>0.1818940964196776</v>
      </c>
      <c r="G261" s="1922"/>
      <c r="H261" s="1918">
        <v>12198</v>
      </c>
      <c r="I261" s="1919">
        <v>0.1818940964196776</v>
      </c>
      <c r="J261" s="1919"/>
      <c r="K261" s="1918"/>
      <c r="L261" s="1919"/>
      <c r="M261" s="1919"/>
      <c r="N261" s="1420"/>
      <c r="O261" s="1097"/>
    </row>
    <row r="262" spans="2:15">
      <c r="B262" s="1813"/>
      <c r="C262" s="1868"/>
      <c r="D262" s="1922" t="s">
        <v>940</v>
      </c>
      <c r="E262" s="1923" t="s">
        <v>823</v>
      </c>
      <c r="F262" s="1835">
        <v>3.2090186546576999E-2</v>
      </c>
      <c r="G262" s="1922"/>
      <c r="H262" s="1918">
        <v>2152</v>
      </c>
      <c r="I262" s="1919">
        <v>3.2090186546576999E-2</v>
      </c>
      <c r="J262" s="1919"/>
      <c r="K262" s="1918"/>
      <c r="L262" s="1919"/>
      <c r="M262" s="1919"/>
      <c r="N262" s="1420"/>
      <c r="O262" s="1097"/>
    </row>
    <row r="263" spans="2:15">
      <c r="B263" s="1813"/>
      <c r="C263" s="1868"/>
      <c r="D263" s="1922" t="s">
        <v>941</v>
      </c>
      <c r="E263" s="1923" t="s">
        <v>931</v>
      </c>
      <c r="F263" s="1835">
        <v>3.0584095077615902E-2</v>
      </c>
      <c r="G263" s="1922"/>
      <c r="H263" s="1918">
        <v>2051</v>
      </c>
      <c r="I263" s="1919">
        <v>3.0584095077615902E-2</v>
      </c>
      <c r="J263" s="1919"/>
      <c r="K263" s="1918"/>
      <c r="L263" s="1919"/>
      <c r="M263" s="1919"/>
      <c r="N263" s="1420"/>
      <c r="O263" s="1097"/>
    </row>
    <row r="264" spans="2:15" ht="4.5" customHeight="1">
      <c r="B264" s="1813"/>
      <c r="C264" s="1868"/>
      <c r="D264" s="1922"/>
      <c r="E264" s="1923"/>
      <c r="F264" s="1835"/>
      <c r="G264" s="1922"/>
      <c r="H264" s="1918"/>
      <c r="I264" s="1919"/>
      <c r="J264" s="1919"/>
      <c r="K264" s="1918"/>
      <c r="L264" s="1919"/>
      <c r="M264" s="1919"/>
      <c r="N264" s="1420"/>
      <c r="O264" s="1097"/>
    </row>
    <row r="265" spans="2:15">
      <c r="B265" s="2415"/>
      <c r="C265" s="2443"/>
      <c r="D265" s="2448"/>
      <c r="E265" s="2449"/>
      <c r="F265" s="2418"/>
      <c r="G265" s="2448"/>
      <c r="H265" s="2450">
        <v>67061</v>
      </c>
      <c r="I265" s="2441">
        <v>1</v>
      </c>
      <c r="J265" s="2452"/>
      <c r="K265" s="2450">
        <v>16223</v>
      </c>
      <c r="L265" s="2441">
        <v>1</v>
      </c>
      <c r="M265" s="2452"/>
      <c r="N265" s="2453">
        <v>50334</v>
      </c>
      <c r="O265" s="2445">
        <v>1</v>
      </c>
    </row>
    <row r="266" spans="2:15" ht="6" customHeight="1">
      <c r="B266" s="1813"/>
      <c r="C266" s="1868"/>
      <c r="D266" s="1922"/>
      <c r="E266" s="1923"/>
      <c r="F266" s="1835"/>
      <c r="G266" s="1922"/>
      <c r="H266" s="1924"/>
      <c r="I266" s="1097"/>
      <c r="J266" s="1097"/>
      <c r="K266" s="1420"/>
      <c r="L266" s="1919"/>
      <c r="M266" s="1919"/>
      <c r="N266" s="1420"/>
      <c r="O266" s="1097"/>
    </row>
    <row r="267" spans="2:15" s="935" customFormat="1">
      <c r="B267" s="1813" t="s">
        <v>814</v>
      </c>
      <c r="C267" s="1869"/>
      <c r="D267" s="1928" t="s">
        <v>832</v>
      </c>
      <c r="E267" s="1927" t="s">
        <v>931</v>
      </c>
      <c r="F267" s="1835">
        <v>0.24517149904593474</v>
      </c>
      <c r="G267" s="1928"/>
      <c r="H267" s="1914">
        <v>5268</v>
      </c>
      <c r="I267" s="1915">
        <v>0.24517149904593474</v>
      </c>
      <c r="J267" s="1915"/>
      <c r="K267" s="1914">
        <v>1599</v>
      </c>
      <c r="L267" s="1915">
        <v>0.47845601436265711</v>
      </c>
      <c r="M267" s="1915"/>
      <c r="N267" s="1929">
        <v>6867</v>
      </c>
      <c r="O267" s="1098">
        <v>0.53273855702094652</v>
      </c>
    </row>
    <row r="268" spans="2:15">
      <c r="B268" s="1847" t="s">
        <v>958</v>
      </c>
      <c r="C268" s="1868">
        <v>0.39100000000000001</v>
      </c>
      <c r="D268" s="1922" t="s">
        <v>829</v>
      </c>
      <c r="E268" s="1923" t="s">
        <v>931</v>
      </c>
      <c r="F268" s="1835">
        <v>0.19919020803276399</v>
      </c>
      <c r="G268" s="1922"/>
      <c r="H268" s="1918">
        <v>4280</v>
      </c>
      <c r="I268" s="1919">
        <v>0.19919020803276399</v>
      </c>
      <c r="J268" s="1919"/>
      <c r="K268" s="1918">
        <v>1743</v>
      </c>
      <c r="L268" s="1919">
        <v>0.52154398563734294</v>
      </c>
      <c r="M268" s="1919"/>
      <c r="N268" s="1420">
        <v>6023</v>
      </c>
      <c r="O268" s="1097">
        <v>0.46726144297905353</v>
      </c>
    </row>
    <row r="269" spans="2:15">
      <c r="B269" s="1813"/>
      <c r="C269" s="1868"/>
      <c r="D269" s="1922" t="s">
        <v>942</v>
      </c>
      <c r="E269" s="1923" t="s">
        <v>699</v>
      </c>
      <c r="F269" s="1835">
        <v>0.13594266300553823</v>
      </c>
      <c r="G269" s="1922"/>
      <c r="H269" s="1918">
        <v>2921</v>
      </c>
      <c r="I269" s="1919">
        <v>0.13594266300553823</v>
      </c>
      <c r="J269" s="1919"/>
      <c r="K269" s="1918"/>
      <c r="L269" s="1919"/>
      <c r="M269" s="1919"/>
      <c r="N269" s="1420"/>
      <c r="O269" s="1097"/>
    </row>
    <row r="270" spans="2:15">
      <c r="B270" s="1813"/>
      <c r="C270" s="1868"/>
      <c r="D270" s="1922" t="s">
        <v>943</v>
      </c>
      <c r="E270" s="1923" t="s">
        <v>251</v>
      </c>
      <c r="F270" s="1835">
        <v>8.5819332619723548E-2</v>
      </c>
      <c r="G270" s="1922"/>
      <c r="H270" s="1918">
        <v>1844</v>
      </c>
      <c r="I270" s="1919">
        <v>8.5819332619723548E-2</v>
      </c>
      <c r="J270" s="1919"/>
      <c r="K270" s="1918"/>
      <c r="L270" s="1919"/>
      <c r="M270" s="1919"/>
      <c r="N270" s="1420"/>
      <c r="O270" s="1097"/>
    </row>
    <row r="271" spans="2:15">
      <c r="B271" s="1813"/>
      <c r="C271" s="1868"/>
      <c r="D271" s="1922" t="s">
        <v>944</v>
      </c>
      <c r="E271" s="1923" t="s">
        <v>931</v>
      </c>
      <c r="F271" s="1835">
        <v>6.7808442313957273E-2</v>
      </c>
      <c r="G271" s="1922"/>
      <c r="H271" s="1918">
        <v>1457</v>
      </c>
      <c r="I271" s="1919">
        <v>6.7808442313957273E-2</v>
      </c>
      <c r="J271" s="1919"/>
      <c r="K271" s="1918"/>
      <c r="L271" s="1919"/>
      <c r="M271" s="1919"/>
      <c r="N271" s="1420"/>
      <c r="O271" s="1097"/>
    </row>
    <row r="272" spans="2:15">
      <c r="B272" s="1813"/>
      <c r="C272" s="1868"/>
      <c r="D272" s="1922" t="s">
        <v>945</v>
      </c>
      <c r="E272" s="1923" t="s">
        <v>816</v>
      </c>
      <c r="F272" s="1835">
        <v>6.2921766649602084E-2</v>
      </c>
      <c r="G272" s="1922"/>
      <c r="H272" s="1918">
        <v>1352</v>
      </c>
      <c r="I272" s="1919">
        <v>6.2921766649602084E-2</v>
      </c>
      <c r="J272" s="1919"/>
      <c r="K272" s="1918"/>
      <c r="L272" s="1919"/>
      <c r="M272" s="1919"/>
      <c r="N272" s="1420"/>
      <c r="O272" s="1097"/>
    </row>
    <row r="273" spans="2:16">
      <c r="B273" s="1813"/>
      <c r="C273" s="1868"/>
      <c r="D273" s="1922" t="s">
        <v>946</v>
      </c>
      <c r="E273" s="1923" t="s">
        <v>698</v>
      </c>
      <c r="F273" s="1835">
        <v>5.082142690929399E-2</v>
      </c>
      <c r="G273" s="1922"/>
      <c r="H273" s="1918">
        <v>1092</v>
      </c>
      <c r="I273" s="1919">
        <v>5.082142690929399E-2</v>
      </c>
      <c r="J273" s="1919"/>
      <c r="K273" s="1918"/>
      <c r="L273" s="1919"/>
      <c r="M273" s="1919"/>
      <c r="N273" s="1420"/>
      <c r="O273" s="1097"/>
    </row>
    <row r="274" spans="2:16">
      <c r="B274" s="1813"/>
      <c r="C274" s="1868"/>
      <c r="D274" s="1922" t="s">
        <v>947</v>
      </c>
      <c r="E274" s="1923" t="s">
        <v>931</v>
      </c>
      <c r="F274" s="1835">
        <v>4.5888211476706846E-2</v>
      </c>
      <c r="G274" s="1922"/>
      <c r="H274" s="1918">
        <v>986</v>
      </c>
      <c r="I274" s="1919">
        <v>4.5888211476706846E-2</v>
      </c>
      <c r="J274" s="1919"/>
      <c r="K274" s="1918"/>
      <c r="L274" s="1919"/>
      <c r="M274" s="1919"/>
      <c r="N274" s="1420"/>
      <c r="O274" s="1097"/>
    </row>
    <row r="275" spans="2:16">
      <c r="B275" s="1813"/>
      <c r="C275" s="1868"/>
      <c r="D275" s="1922" t="s">
        <v>948</v>
      </c>
      <c r="E275" s="1923" t="s">
        <v>931</v>
      </c>
      <c r="F275" s="1835">
        <v>2.7644622329780801E-2</v>
      </c>
      <c r="G275" s="1922"/>
      <c r="H275" s="1918">
        <v>594</v>
      </c>
      <c r="I275" s="1919">
        <v>2.7644622329780797E-2</v>
      </c>
      <c r="J275" s="1919"/>
      <c r="K275" s="1918"/>
      <c r="L275" s="1919"/>
      <c r="M275" s="1919"/>
      <c r="N275" s="1420"/>
      <c r="O275" s="1097"/>
    </row>
    <row r="276" spans="2:16">
      <c r="B276" s="1813"/>
      <c r="C276" s="1868"/>
      <c r="D276" s="1922" t="s">
        <v>949</v>
      </c>
      <c r="E276" s="1923" t="s">
        <v>931</v>
      </c>
      <c r="F276" s="1835">
        <v>2.6248429282822176E-2</v>
      </c>
      <c r="G276" s="1922"/>
      <c r="H276" s="1918">
        <v>564</v>
      </c>
      <c r="I276" s="1919">
        <v>2.6248429282822172E-2</v>
      </c>
      <c r="J276" s="1919"/>
      <c r="K276" s="1918"/>
      <c r="L276" s="1919"/>
      <c r="M276" s="1919"/>
      <c r="N276" s="1420"/>
      <c r="O276" s="1097"/>
    </row>
    <row r="277" spans="2:16">
      <c r="B277" s="1813"/>
      <c r="C277" s="1868"/>
      <c r="D277" s="1922" t="s">
        <v>950</v>
      </c>
      <c r="E277" s="1923" t="s">
        <v>827</v>
      </c>
      <c r="F277" s="1835">
        <v>2.159445245962675E-2</v>
      </c>
      <c r="G277" s="1922"/>
      <c r="H277" s="1918">
        <v>464</v>
      </c>
      <c r="I277" s="1919">
        <v>2.159445245962675E-2</v>
      </c>
      <c r="J277" s="1919"/>
      <c r="K277" s="1918"/>
      <c r="L277" s="1919"/>
      <c r="M277" s="1919"/>
      <c r="N277" s="1420"/>
      <c r="O277" s="1097"/>
    </row>
    <row r="278" spans="2:16">
      <c r="B278" s="1813"/>
      <c r="C278" s="1868"/>
      <c r="D278" s="1922" t="s">
        <v>951</v>
      </c>
      <c r="E278" s="1923" t="s">
        <v>931</v>
      </c>
      <c r="F278" s="1835">
        <v>2.1454833154930887E-2</v>
      </c>
      <c r="G278" s="1922"/>
      <c r="H278" s="1918">
        <v>461</v>
      </c>
      <c r="I278" s="1919">
        <v>2.1454833154930887E-2</v>
      </c>
      <c r="J278" s="1919"/>
      <c r="K278" s="1918"/>
      <c r="L278" s="1919"/>
      <c r="M278" s="1919"/>
      <c r="N278" s="1420"/>
      <c r="O278" s="1097"/>
    </row>
    <row r="279" spans="2:16">
      <c r="B279" s="1813"/>
      <c r="C279" s="1868"/>
      <c r="D279" s="1922" t="s">
        <v>952</v>
      </c>
      <c r="E279" s="1923" t="s">
        <v>931</v>
      </c>
      <c r="F279" s="1835">
        <v>9.4941127193186575E-3</v>
      </c>
      <c r="G279" s="1922"/>
      <c r="H279" s="1918">
        <v>204</v>
      </c>
      <c r="I279" s="1919">
        <v>9.4941127193186575E-3</v>
      </c>
      <c r="J279" s="1919"/>
      <c r="K279" s="1918"/>
      <c r="L279" s="1919"/>
      <c r="M279" s="1919"/>
      <c r="N279" s="1420"/>
      <c r="O279" s="1097"/>
    </row>
    <row r="280" spans="2:16" ht="4.5" customHeight="1">
      <c r="B280" s="1813"/>
      <c r="C280" s="1868"/>
      <c r="D280" s="1922"/>
      <c r="E280" s="1923"/>
      <c r="F280" s="1835"/>
      <c r="G280" s="1922"/>
      <c r="H280" s="1918"/>
      <c r="I280" s="1919"/>
      <c r="J280" s="1919"/>
      <c r="K280" s="1918"/>
      <c r="L280" s="1919"/>
      <c r="M280" s="1919"/>
      <c r="N280" s="1420"/>
      <c r="O280" s="1097"/>
    </row>
    <row r="281" spans="2:16">
      <c r="B281" s="2415"/>
      <c r="C281" s="2443"/>
      <c r="D281" s="2448"/>
      <c r="E281" s="2449"/>
      <c r="F281" s="2418"/>
      <c r="G281" s="2448"/>
      <c r="H281" s="2450">
        <v>21487</v>
      </c>
      <c r="I281" s="2441">
        <v>1</v>
      </c>
      <c r="J281" s="2452"/>
      <c r="K281" s="2450">
        <v>3342</v>
      </c>
      <c r="L281" s="2441">
        <v>1</v>
      </c>
      <c r="M281" s="2452"/>
      <c r="N281" s="2453">
        <v>12890</v>
      </c>
      <c r="O281" s="2445">
        <v>1</v>
      </c>
      <c r="P281" s="935"/>
    </row>
    <row r="282" spans="2:16" ht="6.75" customHeight="1">
      <c r="B282" s="1813"/>
      <c r="C282" s="1868"/>
      <c r="D282" s="1922"/>
      <c r="E282" s="1923"/>
      <c r="F282" s="1835"/>
      <c r="G282" s="1922"/>
      <c r="H282" s="1924"/>
      <c r="I282" s="1097"/>
      <c r="J282" s="1097"/>
      <c r="K282" s="1420"/>
      <c r="L282" s="1919"/>
      <c r="M282" s="1919"/>
      <c r="N282" s="1420"/>
      <c r="O282" s="1097"/>
    </row>
    <row r="283" spans="2:16" s="935" customFormat="1">
      <c r="B283" s="1927" t="s">
        <v>818</v>
      </c>
      <c r="C283" s="1869"/>
      <c r="D283" s="1928" t="s">
        <v>703</v>
      </c>
      <c r="E283" s="1927" t="s">
        <v>698</v>
      </c>
      <c r="F283" s="1835">
        <v>0.42417292782693528</v>
      </c>
      <c r="G283" s="1928"/>
      <c r="H283" s="1914">
        <v>24784</v>
      </c>
      <c r="I283" s="1915">
        <v>0.42417292782693528</v>
      </c>
      <c r="J283" s="1915"/>
      <c r="K283" s="1914">
        <v>2299</v>
      </c>
      <c r="L283" s="1915">
        <v>0.44990215264187866</v>
      </c>
      <c r="M283" s="1915"/>
      <c r="N283" s="1929">
        <v>27083</v>
      </c>
      <c r="O283" s="1098">
        <v>0.54474324677675645</v>
      </c>
    </row>
    <row r="284" spans="2:16">
      <c r="B284" s="1847" t="s">
        <v>936</v>
      </c>
      <c r="C284" s="1868">
        <v>0.38400000000000001</v>
      </c>
      <c r="D284" s="1922" t="s">
        <v>781</v>
      </c>
      <c r="E284" s="1923" t="s">
        <v>699</v>
      </c>
      <c r="F284" s="1835">
        <v>0.33926646014821399</v>
      </c>
      <c r="G284" s="1922"/>
      <c r="H284" s="1918">
        <v>19823</v>
      </c>
      <c r="I284" s="1919">
        <v>0.33926646014821404</v>
      </c>
      <c r="J284" s="1919"/>
      <c r="K284" s="1918">
        <v>2811</v>
      </c>
      <c r="L284" s="1919">
        <v>0.55009784735812128</v>
      </c>
      <c r="M284" s="1919"/>
      <c r="N284" s="1420">
        <v>22634</v>
      </c>
      <c r="O284" s="1097">
        <v>0.45525675322324355</v>
      </c>
    </row>
    <row r="285" spans="2:16">
      <c r="B285" s="1813"/>
      <c r="C285" s="1868"/>
      <c r="D285" s="1922" t="s">
        <v>953</v>
      </c>
      <c r="E285" s="1923" t="s">
        <v>827</v>
      </c>
      <c r="F285" s="1835">
        <v>0.12567389481250749</v>
      </c>
      <c r="G285" s="1922"/>
      <c r="H285" s="1918">
        <v>7343</v>
      </c>
      <c r="I285" s="1919">
        <v>0.12567389481250749</v>
      </c>
      <c r="J285" s="1919"/>
      <c r="K285" s="1918"/>
      <c r="L285" s="1919"/>
      <c r="M285" s="1919"/>
      <c r="N285" s="1420"/>
      <c r="O285" s="1097"/>
    </row>
    <row r="286" spans="2:16">
      <c r="B286" s="1813"/>
      <c r="C286" s="1868"/>
      <c r="D286" s="1922" t="s">
        <v>954</v>
      </c>
      <c r="E286" s="1923" t="s">
        <v>816</v>
      </c>
      <c r="F286" s="1835">
        <v>5.8156052645090626E-2</v>
      </c>
      <c r="G286" s="1922"/>
      <c r="H286" s="1918">
        <v>3398</v>
      </c>
      <c r="I286" s="1919">
        <v>5.815605264509062E-2</v>
      </c>
      <c r="J286" s="1919"/>
      <c r="K286" s="1918"/>
      <c r="L286" s="1919"/>
      <c r="M286" s="1919"/>
      <c r="N286" s="1420"/>
      <c r="O286" s="1097"/>
    </row>
    <row r="287" spans="2:16">
      <c r="B287" s="1813"/>
      <c r="C287" s="1868"/>
      <c r="D287" s="1922" t="s">
        <v>955</v>
      </c>
      <c r="E287" s="1923" t="s">
        <v>1341</v>
      </c>
      <c r="F287" s="1835">
        <v>3.4144003833712709E-2</v>
      </c>
      <c r="G287" s="1922"/>
      <c r="H287" s="1918">
        <v>1995</v>
      </c>
      <c r="I287" s="1919">
        <v>3.4144003833712709E-2</v>
      </c>
      <c r="J287" s="1919"/>
      <c r="K287" s="1918"/>
      <c r="L287" s="1919"/>
      <c r="M287" s="1919"/>
      <c r="N287" s="1420"/>
      <c r="O287" s="1097"/>
    </row>
    <row r="288" spans="2:16">
      <c r="B288" s="1813"/>
      <c r="C288" s="1868"/>
      <c r="D288" s="1922" t="s">
        <v>956</v>
      </c>
      <c r="E288" s="1923" t="s">
        <v>707</v>
      </c>
      <c r="F288" s="1835">
        <v>1.8586660733539852E-2</v>
      </c>
      <c r="G288" s="1922"/>
      <c r="H288" s="1918">
        <v>1086</v>
      </c>
      <c r="I288" s="1919">
        <v>1.8586660733539852E-2</v>
      </c>
      <c r="J288" s="1919"/>
      <c r="K288" s="1918"/>
      <c r="L288" s="1919"/>
      <c r="M288" s="1919"/>
      <c r="N288" s="1420"/>
      <c r="O288" s="1097"/>
    </row>
    <row r="289" spans="2:21" ht="4.5" customHeight="1">
      <c r="B289" s="1813"/>
      <c r="C289" s="1868"/>
      <c r="D289" s="1922"/>
      <c r="E289" s="1923"/>
      <c r="F289" s="1835"/>
      <c r="G289" s="1922"/>
      <c r="H289" s="1918"/>
      <c r="I289" s="1919"/>
      <c r="J289" s="1919"/>
      <c r="K289" s="1918"/>
      <c r="L289" s="1919"/>
      <c r="M289" s="1919"/>
      <c r="N289" s="1420"/>
      <c r="O289" s="1097"/>
    </row>
    <row r="290" spans="2:21">
      <c r="B290" s="2415"/>
      <c r="C290" s="2443"/>
      <c r="D290" s="2428"/>
      <c r="E290" s="2449"/>
      <c r="F290" s="2418"/>
      <c r="G290" s="2448"/>
      <c r="H290" s="2450">
        <v>58429</v>
      </c>
      <c r="I290" s="2441">
        <v>1</v>
      </c>
      <c r="J290" s="2452"/>
      <c r="K290" s="2450">
        <v>5110</v>
      </c>
      <c r="L290" s="2441">
        <v>1</v>
      </c>
      <c r="M290" s="2452"/>
      <c r="N290" s="2453">
        <v>49717</v>
      </c>
      <c r="O290" s="2445">
        <v>1</v>
      </c>
    </row>
    <row r="291" spans="2:21">
      <c r="B291" s="1813"/>
      <c r="C291" s="1868"/>
      <c r="E291" s="1923"/>
      <c r="F291" s="1835"/>
      <c r="G291" s="1922"/>
      <c r="H291" s="1918"/>
      <c r="I291" s="1919"/>
      <c r="J291" s="1919"/>
      <c r="K291" s="1918"/>
      <c r="L291" s="1919"/>
      <c r="M291" s="1919"/>
      <c r="N291" s="1420"/>
      <c r="O291" s="1097"/>
    </row>
    <row r="292" spans="2:21">
      <c r="B292" s="1813" t="s">
        <v>1350</v>
      </c>
      <c r="C292" s="1869"/>
      <c r="D292" s="935" t="s">
        <v>994</v>
      </c>
      <c r="E292" s="1927" t="s">
        <v>827</v>
      </c>
      <c r="F292" s="1835">
        <v>0.26826006544316405</v>
      </c>
      <c r="G292" s="935"/>
      <c r="H292" s="1930">
        <v>9428</v>
      </c>
      <c r="I292" s="1931">
        <f t="shared" ref="I292:I297" si="3">H292/H$299</f>
        <v>0.26826006544316405</v>
      </c>
      <c r="J292" s="1094"/>
      <c r="K292" s="1914">
        <v>4127</v>
      </c>
      <c r="L292" s="1931">
        <f>K292/K$299</f>
        <v>0.62863670982482867</v>
      </c>
      <c r="M292" s="1929"/>
      <c r="N292" s="1914">
        <v>13555</v>
      </c>
      <c r="O292" s="1931">
        <f>N292/N$299</f>
        <v>0.54008287512949238</v>
      </c>
    </row>
    <row r="293" spans="2:21">
      <c r="B293" s="1847" t="s">
        <v>1351</v>
      </c>
      <c r="C293" s="1868">
        <v>0.30199999999999999</v>
      </c>
      <c r="D293" s="919" t="s">
        <v>1354</v>
      </c>
      <c r="E293" s="1923" t="s">
        <v>698</v>
      </c>
      <c r="F293" s="1835">
        <v>0.25906956892872385</v>
      </c>
      <c r="H293" s="1924">
        <v>9105</v>
      </c>
      <c r="I293" s="1932">
        <f t="shared" si="3"/>
        <v>0.25906956892872385</v>
      </c>
      <c r="K293" s="1918">
        <v>2438</v>
      </c>
      <c r="L293" s="1932">
        <f>K293/K$299</f>
        <v>0.37136329017517139</v>
      </c>
      <c r="M293" s="1420"/>
      <c r="N293" s="1918">
        <v>11543</v>
      </c>
      <c r="O293" s="1932">
        <f>N293/N$299</f>
        <v>0.45991712487050762</v>
      </c>
    </row>
    <row r="294" spans="2:21">
      <c r="B294" s="1813"/>
      <c r="C294" s="1868"/>
      <c r="D294" s="919" t="s">
        <v>883</v>
      </c>
      <c r="E294" s="1923" t="s">
        <v>931</v>
      </c>
      <c r="F294" s="1835">
        <v>0.21712903684734675</v>
      </c>
      <c r="H294" s="1924">
        <v>7631</v>
      </c>
      <c r="I294" s="1932">
        <f t="shared" si="3"/>
        <v>0.21712903684734672</v>
      </c>
      <c r="J294" s="1918"/>
      <c r="K294" s="1918"/>
      <c r="L294" s="1932"/>
      <c r="M294" s="1420"/>
      <c r="N294" s="1918"/>
      <c r="O294" s="1932"/>
    </row>
    <row r="295" spans="2:21">
      <c r="B295" s="1813"/>
      <c r="C295" s="1868"/>
      <c r="D295" s="919" t="s">
        <v>997</v>
      </c>
      <c r="E295" s="1923" t="s">
        <v>931</v>
      </c>
      <c r="F295" s="1835">
        <v>0.12280551998861858</v>
      </c>
      <c r="H295" s="1924">
        <v>4316</v>
      </c>
      <c r="I295" s="1932">
        <f t="shared" si="3"/>
        <v>0.12280551998861858</v>
      </c>
      <c r="J295" s="1918"/>
      <c r="K295" s="1918"/>
      <c r="L295" s="1932"/>
      <c r="M295" s="1420"/>
      <c r="N295" s="1918"/>
      <c r="O295" s="1932"/>
    </row>
    <row r="296" spans="2:21">
      <c r="B296" s="1813"/>
      <c r="C296" s="1868"/>
      <c r="D296" s="919" t="s">
        <v>1352</v>
      </c>
      <c r="E296" s="1923" t="s">
        <v>699</v>
      </c>
      <c r="F296" s="1835">
        <v>9.9075259638639904E-2</v>
      </c>
      <c r="H296" s="1924">
        <v>3482</v>
      </c>
      <c r="I296" s="1932">
        <f t="shared" si="3"/>
        <v>9.9075259638639918E-2</v>
      </c>
      <c r="J296" s="1918"/>
      <c r="K296" s="1918"/>
      <c r="L296" s="1932"/>
      <c r="M296" s="1420"/>
      <c r="N296" s="1918"/>
      <c r="O296" s="1932"/>
    </row>
    <row r="297" spans="2:21">
      <c r="B297" s="1813"/>
      <c r="C297" s="1868"/>
      <c r="D297" s="919" t="s">
        <v>1353</v>
      </c>
      <c r="E297" s="1923" t="s">
        <v>1341</v>
      </c>
      <c r="F297" s="1835">
        <v>3.36605491535069E-2</v>
      </c>
      <c r="H297" s="1924">
        <v>1183</v>
      </c>
      <c r="I297" s="1932">
        <f t="shared" si="3"/>
        <v>3.36605491535069E-2</v>
      </c>
      <c r="J297" s="1918"/>
      <c r="K297" s="1918"/>
      <c r="L297" s="1932"/>
      <c r="M297" s="1420"/>
      <c r="N297" s="1918"/>
      <c r="O297" s="1932"/>
    </row>
    <row r="298" spans="2:21" ht="4.5" customHeight="1">
      <c r="B298" s="1813"/>
      <c r="C298" s="1868"/>
      <c r="E298" s="1923"/>
      <c r="F298" s="1835"/>
      <c r="G298" s="1922"/>
      <c r="H298" s="1918"/>
      <c r="I298" s="1932"/>
      <c r="J298" s="1918"/>
      <c r="K298" s="1918"/>
      <c r="L298" s="1932"/>
      <c r="M298" s="1918"/>
      <c r="N298" s="1420"/>
      <c r="O298" s="1932"/>
    </row>
    <row r="299" spans="2:21">
      <c r="B299" s="1813"/>
      <c r="C299" s="1868"/>
      <c r="E299" s="1923"/>
      <c r="F299" s="1835"/>
      <c r="G299" s="1922"/>
      <c r="H299" s="1914">
        <f>SUM(H292:H297)</f>
        <v>35145</v>
      </c>
      <c r="I299" s="2408">
        <f>H299/H$299</f>
        <v>1</v>
      </c>
      <c r="J299" s="1914"/>
      <c r="K299" s="1914">
        <f>K293+K292</f>
        <v>6565</v>
      </c>
      <c r="L299" s="2408">
        <f>K299/K$299</f>
        <v>1</v>
      </c>
      <c r="M299" s="1914"/>
      <c r="N299" s="1914">
        <f>N293+N292</f>
        <v>25098</v>
      </c>
      <c r="O299" s="2408">
        <f>N299/N$299</f>
        <v>1</v>
      </c>
    </row>
    <row r="300" spans="2:21" s="986" customFormat="1" ht="8.25" customHeight="1">
      <c r="B300" s="1813"/>
      <c r="C300" s="1912"/>
      <c r="D300" s="1922"/>
      <c r="E300" s="1923"/>
      <c r="F300" s="1835"/>
      <c r="G300" s="1922"/>
      <c r="H300" s="1924"/>
      <c r="I300" s="1097"/>
      <c r="J300" s="1097"/>
      <c r="K300" s="1132"/>
      <c r="L300" s="1919"/>
      <c r="M300" s="1919"/>
      <c r="N300" s="1132"/>
      <c r="O300" s="1097"/>
    </row>
    <row r="301" spans="2:21" s="986" customFormat="1">
      <c r="B301" s="2058">
        <v>40304</v>
      </c>
      <c r="C301" s="2059"/>
      <c r="D301" s="2060"/>
      <c r="E301" s="2401"/>
      <c r="F301" s="2062"/>
      <c r="G301" s="2061"/>
      <c r="H301" s="2061"/>
      <c r="I301" s="2063"/>
      <c r="J301" s="2063"/>
      <c r="K301" s="2064"/>
      <c r="L301" s="2061"/>
      <c r="M301" s="2061"/>
      <c r="N301" s="2061"/>
      <c r="O301" s="2061"/>
      <c r="P301" s="1056"/>
      <c r="Q301" s="1088"/>
      <c r="R301" s="1162"/>
      <c r="S301" s="1162"/>
      <c r="T301" s="1162"/>
      <c r="U301" s="1162"/>
    </row>
    <row r="302" spans="2:21" s="986" customFormat="1" ht="6" customHeight="1">
      <c r="B302" s="1926"/>
      <c r="C302" s="1868"/>
      <c r="D302" s="1933"/>
      <c r="E302" s="1144"/>
      <c r="F302" s="1835"/>
      <c r="G302" s="1132"/>
      <c r="H302" s="1132"/>
      <c r="I302" s="1420"/>
      <c r="J302" s="1420"/>
      <c r="K302" s="1399"/>
      <c r="L302" s="1132"/>
      <c r="M302" s="1132"/>
      <c r="N302" s="1132"/>
      <c r="O302" s="1132"/>
      <c r="P302" s="1056"/>
      <c r="Q302" s="1088"/>
      <c r="R302" s="1162"/>
      <c r="S302" s="1162"/>
      <c r="T302" s="1162"/>
      <c r="U302" s="1162"/>
    </row>
    <row r="303" spans="2:21" s="986" customFormat="1">
      <c r="B303" s="1934" t="s">
        <v>688</v>
      </c>
      <c r="C303" s="1868"/>
      <c r="D303" s="1935" t="s">
        <v>887</v>
      </c>
      <c r="E303" s="1934" t="s">
        <v>699</v>
      </c>
      <c r="F303" s="1835">
        <v>0.53854548289032655</v>
      </c>
      <c r="G303" s="1935"/>
      <c r="H303" s="1936">
        <v>48363</v>
      </c>
      <c r="I303" s="1438">
        <v>0.53854548289032655</v>
      </c>
      <c r="J303" s="1438"/>
      <c r="K303" s="1971" t="s">
        <v>685</v>
      </c>
      <c r="L303" s="1964"/>
      <c r="M303" s="1964"/>
      <c r="N303" s="1969">
        <f>H303</f>
        <v>48363</v>
      </c>
      <c r="O303" s="1970">
        <f>I303</f>
        <v>0.53854548289032655</v>
      </c>
      <c r="P303" s="1056"/>
      <c r="Q303" s="1088"/>
      <c r="R303" s="1162"/>
      <c r="S303" s="1162"/>
      <c r="T303" s="1162"/>
      <c r="U303" s="1162"/>
    </row>
    <row r="304" spans="2:21" s="986" customFormat="1">
      <c r="B304" s="1937" t="s">
        <v>935</v>
      </c>
      <c r="C304" s="1868">
        <v>0.57999999999999996</v>
      </c>
      <c r="D304" s="1162" t="s">
        <v>1225</v>
      </c>
      <c r="E304" s="1937" t="s">
        <v>827</v>
      </c>
      <c r="F304" s="1835">
        <v>0.17614110887164125</v>
      </c>
      <c r="G304" s="1162"/>
      <c r="H304" s="1378">
        <v>15818</v>
      </c>
      <c r="I304" s="1437">
        <v>0.17614110887164125</v>
      </c>
      <c r="J304" s="1437"/>
      <c r="K304" s="1964" t="s">
        <v>685</v>
      </c>
      <c r="L304" s="1964"/>
      <c r="M304" s="1964"/>
      <c r="N304" s="1977"/>
      <c r="O304" s="1978"/>
      <c r="P304" s="1056"/>
      <c r="Q304" s="1088"/>
      <c r="R304" s="1162"/>
      <c r="S304" s="1162"/>
      <c r="T304" s="1162"/>
      <c r="U304" s="1162"/>
    </row>
    <row r="305" spans="2:21" s="986" customFormat="1">
      <c r="B305" s="1934"/>
      <c r="C305" s="1868"/>
      <c r="D305" s="1162" t="s">
        <v>888</v>
      </c>
      <c r="E305" s="1937" t="s">
        <v>698</v>
      </c>
      <c r="F305" s="1835">
        <v>0.13813569702571182</v>
      </c>
      <c r="G305" s="1162"/>
      <c r="H305" s="1378">
        <v>12405</v>
      </c>
      <c r="I305" s="1437">
        <v>0.13813569702571182</v>
      </c>
      <c r="J305" s="1437"/>
      <c r="K305" s="1378"/>
      <c r="L305" s="1437"/>
      <c r="M305" s="1437"/>
      <c r="N305" s="1378"/>
      <c r="O305" s="1437"/>
      <c r="P305" s="1056"/>
      <c r="Q305" s="1088"/>
      <c r="R305" s="1162"/>
      <c r="S305" s="1162"/>
      <c r="T305" s="1162"/>
      <c r="U305" s="1162"/>
    </row>
    <row r="306" spans="2:21" s="986" customFormat="1">
      <c r="B306" s="1934"/>
      <c r="C306" s="1868"/>
      <c r="D306" s="1162" t="s">
        <v>915</v>
      </c>
      <c r="E306" s="1937" t="s">
        <v>1341</v>
      </c>
      <c r="F306" s="1835">
        <v>0.1124684030600314</v>
      </c>
      <c r="G306" s="1162"/>
      <c r="H306" s="1378">
        <v>10100</v>
      </c>
      <c r="I306" s="1437">
        <v>0.1124684030600314</v>
      </c>
      <c r="J306" s="1437"/>
      <c r="K306" s="1378"/>
      <c r="L306" s="1437"/>
      <c r="M306" s="1437"/>
      <c r="N306" s="1378"/>
      <c r="O306" s="1437"/>
      <c r="P306" s="1056"/>
      <c r="Q306" s="1088"/>
      <c r="R306" s="1162"/>
      <c r="S306" s="1162"/>
      <c r="T306" s="1162"/>
      <c r="U306" s="1162"/>
    </row>
    <row r="307" spans="2:21" s="986" customFormat="1">
      <c r="B307" s="1934"/>
      <c r="C307" s="1868"/>
      <c r="D307" s="1162" t="s">
        <v>916</v>
      </c>
      <c r="E307" s="1937" t="s">
        <v>917</v>
      </c>
      <c r="F307" s="1835">
        <v>2.2638441922875629E-2</v>
      </c>
      <c r="G307" s="1162"/>
      <c r="H307" s="1378">
        <v>2033</v>
      </c>
      <c r="I307" s="1437">
        <v>2.2638441922875629E-2</v>
      </c>
      <c r="J307" s="1437"/>
      <c r="K307" s="1378"/>
      <c r="L307" s="1437"/>
      <c r="M307" s="1437"/>
      <c r="N307" s="1378"/>
      <c r="O307" s="1437"/>
      <c r="P307" s="1056"/>
      <c r="Q307" s="1088"/>
      <c r="R307" s="1162"/>
      <c r="S307" s="1162"/>
      <c r="T307" s="1162"/>
      <c r="U307" s="1162"/>
    </row>
    <row r="308" spans="2:21" s="986" customFormat="1">
      <c r="B308" s="1934"/>
      <c r="C308" s="1868"/>
      <c r="D308" s="1162" t="s">
        <v>918</v>
      </c>
      <c r="E308" s="1937" t="s">
        <v>919</v>
      </c>
      <c r="F308" s="1835">
        <v>1.2070866229413271E-2</v>
      </c>
      <c r="G308" s="1162"/>
      <c r="H308" s="1378">
        <v>1084</v>
      </c>
      <c r="I308" s="1437">
        <v>1.2070866229413271E-2</v>
      </c>
      <c r="J308" s="1437"/>
      <c r="K308" s="1378"/>
      <c r="L308" s="1437"/>
      <c r="M308" s="1437"/>
      <c r="N308" s="1378"/>
      <c r="O308" s="1437"/>
      <c r="P308" s="1056"/>
      <c r="Q308" s="1088"/>
      <c r="R308" s="1162"/>
      <c r="S308" s="1162"/>
      <c r="T308" s="1162"/>
      <c r="U308" s="1162"/>
    </row>
    <row r="309" spans="2:21" s="986" customFormat="1" ht="4.5" customHeight="1">
      <c r="B309" s="1934"/>
      <c r="C309" s="1868"/>
      <c r="D309" s="1162"/>
      <c r="E309" s="1937"/>
      <c r="F309" s="1835"/>
      <c r="G309" s="1162"/>
      <c r="H309" s="1378"/>
      <c r="I309" s="1437"/>
      <c r="J309" s="1437"/>
      <c r="K309" s="1378"/>
      <c r="L309" s="1437"/>
      <c r="M309" s="1437"/>
      <c r="N309" s="1378"/>
      <c r="O309" s="1437"/>
      <c r="P309" s="1056"/>
      <c r="Q309" s="1088"/>
      <c r="R309" s="1162"/>
      <c r="S309" s="1162"/>
      <c r="T309" s="1162"/>
      <c r="U309" s="1162"/>
    </row>
    <row r="310" spans="2:21" s="986" customFormat="1">
      <c r="B310" s="2454"/>
      <c r="C310" s="2443"/>
      <c r="D310" s="2455"/>
      <c r="E310" s="2456"/>
      <c r="F310" s="2418"/>
      <c r="G310" s="2457"/>
      <c r="H310" s="2458">
        <v>89803</v>
      </c>
      <c r="I310" s="2459">
        <v>1</v>
      </c>
      <c r="J310" s="2460"/>
      <c r="K310" s="2462"/>
      <c r="L310" s="2461"/>
      <c r="M310" s="2461"/>
      <c r="N310" s="2462"/>
      <c r="O310" s="2461"/>
      <c r="P310" s="1056"/>
      <c r="Q310" s="1088"/>
      <c r="R310" s="1162"/>
      <c r="S310" s="1162"/>
      <c r="T310" s="1162"/>
      <c r="U310" s="1162"/>
    </row>
    <row r="311" spans="2:21" s="997" customFormat="1" ht="6" customHeight="1">
      <c r="B311" s="1909"/>
      <c r="C311" s="1869"/>
      <c r="D311" s="1935"/>
      <c r="E311" s="1939"/>
      <c r="F311" s="1906"/>
      <c r="G311" s="1939"/>
      <c r="H311" s="1378"/>
      <c r="I311" s="1437"/>
      <c r="J311" s="1437"/>
      <c r="K311" s="1378"/>
      <c r="L311" s="1437"/>
      <c r="M311" s="1437"/>
      <c r="N311" s="1378"/>
      <c r="O311" s="1437"/>
      <c r="P311" s="1056"/>
      <c r="Q311" s="1088"/>
      <c r="R311" s="1162"/>
      <c r="S311" s="1162"/>
      <c r="T311" s="1162"/>
      <c r="U311" s="1162"/>
    </row>
    <row r="312" spans="2:21" ht="14.25" customHeight="1" thickBot="1">
      <c r="B312" s="1549"/>
      <c r="C312" s="2017"/>
      <c r="D312" s="2018"/>
      <c r="E312" s="2018"/>
      <c r="F312" s="2019"/>
      <c r="G312" s="2018"/>
      <c r="H312" s="3493" t="s">
        <v>1170</v>
      </c>
      <c r="I312" s="3409"/>
      <c r="J312" s="2368"/>
      <c r="K312" s="3493" t="s">
        <v>1219</v>
      </c>
      <c r="L312" s="3493"/>
      <c r="M312" s="2392"/>
      <c r="N312" s="3493" t="s">
        <v>267</v>
      </c>
      <c r="O312" s="3409"/>
    </row>
    <row r="313" spans="2:21" ht="16">
      <c r="B313" s="2021" t="s">
        <v>2387</v>
      </c>
      <c r="C313" s="2017"/>
      <c r="D313" s="2018" t="s">
        <v>11</v>
      </c>
      <c r="E313" s="2022" t="s">
        <v>110</v>
      </c>
      <c r="F313" s="2023"/>
      <c r="G313" s="2018"/>
      <c r="H313" s="2020" t="s">
        <v>111</v>
      </c>
      <c r="I313" s="2024" t="s">
        <v>153</v>
      </c>
      <c r="J313" s="2024"/>
      <c r="K313" s="2020" t="s">
        <v>111</v>
      </c>
      <c r="L313" s="2020" t="s">
        <v>153</v>
      </c>
      <c r="M313" s="2020"/>
      <c r="N313" s="2020" t="s">
        <v>111</v>
      </c>
      <c r="O313" s="2025" t="s">
        <v>153</v>
      </c>
    </row>
    <row r="314" spans="2:21" s="986" customFormat="1">
      <c r="B314" s="1934" t="s">
        <v>684</v>
      </c>
      <c r="C314" s="1868"/>
      <c r="D314" s="1935" t="s">
        <v>835</v>
      </c>
      <c r="E314" s="1934" t="s">
        <v>699</v>
      </c>
      <c r="F314" s="1835">
        <v>0.44493301973616928</v>
      </c>
      <c r="G314" s="1935"/>
      <c r="H314" s="1936">
        <v>47861</v>
      </c>
      <c r="I314" s="1438">
        <v>0.44493301973616933</v>
      </c>
      <c r="J314" s="1438"/>
      <c r="K314" s="1936">
        <v>4670</v>
      </c>
      <c r="L314" s="1438">
        <v>0.31831504328266647</v>
      </c>
      <c r="M314" s="1438"/>
      <c r="N314" s="1936">
        <v>52531</v>
      </c>
      <c r="O314" s="1438">
        <v>0.59038852737224223</v>
      </c>
      <c r="P314" s="1056"/>
      <c r="Q314" s="1088"/>
      <c r="R314" s="1162"/>
      <c r="S314" s="1162"/>
      <c r="T314" s="1162"/>
      <c r="U314" s="1162"/>
    </row>
    <row r="315" spans="2:21" s="986" customFormat="1">
      <c r="B315" s="987" t="s">
        <v>1359</v>
      </c>
      <c r="C315" s="1868">
        <v>0.58399999999999996</v>
      </c>
      <c r="D315" s="1162" t="s">
        <v>920</v>
      </c>
      <c r="E315" s="1937" t="s">
        <v>827</v>
      </c>
      <c r="F315" s="1835">
        <v>0.24584220360884643</v>
      </c>
      <c r="G315" s="1162"/>
      <c r="H315" s="1378">
        <v>26445</v>
      </c>
      <c r="I315" s="1437">
        <v>0.24584220360884643</v>
      </c>
      <c r="J315" s="1437"/>
      <c r="K315" s="1378">
        <v>10001</v>
      </c>
      <c r="L315" s="1437">
        <v>0.68168495671733353</v>
      </c>
      <c r="M315" s="1437"/>
      <c r="N315" s="1378">
        <v>36446</v>
      </c>
      <c r="O315" s="1437">
        <v>0.40961147262775771</v>
      </c>
      <c r="P315" s="1056"/>
      <c r="Q315" s="1088"/>
      <c r="R315" s="1162"/>
      <c r="S315" s="1162"/>
      <c r="T315" s="1162"/>
      <c r="U315" s="1162"/>
    </row>
    <row r="316" spans="2:21" s="986" customFormat="1">
      <c r="B316" s="1938"/>
      <c r="C316" s="1868"/>
      <c r="D316" s="1162" t="s">
        <v>921</v>
      </c>
      <c r="E316" s="1937" t="s">
        <v>698</v>
      </c>
      <c r="F316" s="1835">
        <v>0.1513075328393868</v>
      </c>
      <c r="G316" s="1162"/>
      <c r="H316" s="1378">
        <v>16276</v>
      </c>
      <c r="I316" s="1437">
        <v>0.1513075328393868</v>
      </c>
      <c r="J316" s="1437"/>
      <c r="K316" s="1378"/>
      <c r="L316" s="1437"/>
      <c r="M316" s="1437"/>
      <c r="N316" s="1378"/>
      <c r="O316" s="1437"/>
      <c r="P316" s="1056"/>
      <c r="Q316" s="1088"/>
      <c r="R316" s="1162"/>
      <c r="S316" s="1162"/>
      <c r="T316" s="1162"/>
      <c r="U316" s="1162"/>
    </row>
    <row r="317" spans="2:21" s="986" customFormat="1">
      <c r="B317" s="1938"/>
      <c r="C317" s="1868"/>
      <c r="D317" s="1162" t="s">
        <v>922</v>
      </c>
      <c r="E317" s="1937" t="s">
        <v>1341</v>
      </c>
      <c r="F317" s="1835">
        <v>6.0984112523124689E-2</v>
      </c>
      <c r="G317" s="1162"/>
      <c r="H317" s="1378">
        <v>6560</v>
      </c>
      <c r="I317" s="1437">
        <v>6.0984112523124689E-2</v>
      </c>
      <c r="J317" s="1437"/>
      <c r="K317" s="1378"/>
      <c r="L317" s="1437"/>
      <c r="M317" s="1437"/>
      <c r="N317" s="1378"/>
      <c r="O317" s="1437"/>
      <c r="P317" s="1056"/>
      <c r="Q317" s="1088"/>
      <c r="R317" s="1162"/>
      <c r="S317" s="1162"/>
      <c r="T317" s="1162"/>
      <c r="U317" s="1162"/>
    </row>
    <row r="318" spans="2:21" s="986" customFormat="1">
      <c r="B318" s="1938"/>
      <c r="C318" s="1868"/>
      <c r="D318" s="1162" t="s">
        <v>923</v>
      </c>
      <c r="E318" s="1937" t="s">
        <v>251</v>
      </c>
      <c r="F318" s="1835">
        <v>5.5443482787792014E-2</v>
      </c>
      <c r="G318" s="1162"/>
      <c r="H318" s="1378">
        <v>5964</v>
      </c>
      <c r="I318" s="1437">
        <v>5.5443482787792021E-2</v>
      </c>
      <c r="J318" s="1437"/>
      <c r="K318" s="1378"/>
      <c r="L318" s="1437"/>
      <c r="M318" s="1437"/>
      <c r="N318" s="1378"/>
      <c r="O318" s="1437"/>
      <c r="P318" s="1056"/>
      <c r="Q318" s="1088"/>
      <c r="R318" s="1162"/>
      <c r="S318" s="1162"/>
      <c r="T318" s="1162"/>
      <c r="U318" s="1162"/>
    </row>
    <row r="319" spans="2:21" s="986" customFormat="1">
      <c r="B319" s="1938"/>
      <c r="C319" s="1868"/>
      <c r="D319" s="1162" t="s">
        <v>924</v>
      </c>
      <c r="E319" s="1937" t="s">
        <v>816</v>
      </c>
      <c r="F319" s="1835">
        <v>2.6996625421822271E-2</v>
      </c>
      <c r="G319" s="1162"/>
      <c r="H319" s="1378">
        <v>2904</v>
      </c>
      <c r="I319" s="1437">
        <v>2.6996625421822271E-2</v>
      </c>
      <c r="J319" s="1437"/>
      <c r="K319" s="1378"/>
      <c r="L319" s="1437"/>
      <c r="M319" s="1437"/>
      <c r="N319" s="1378"/>
      <c r="O319" s="1437"/>
      <c r="P319" s="1056"/>
      <c r="Q319" s="1088"/>
      <c r="R319" s="1162"/>
      <c r="S319" s="1162"/>
      <c r="T319" s="1162"/>
      <c r="U319" s="1162"/>
    </row>
    <row r="320" spans="2:21" s="986" customFormat="1">
      <c r="B320" s="1938"/>
      <c r="C320" s="1868"/>
      <c r="D320" s="1162" t="s">
        <v>925</v>
      </c>
      <c r="E320" s="1937" t="s">
        <v>926</v>
      </c>
      <c r="F320" s="1835">
        <v>1.4493023082858445E-2</v>
      </c>
      <c r="G320" s="1162"/>
      <c r="H320" s="1378">
        <v>1559</v>
      </c>
      <c r="I320" s="1437">
        <v>1.4493023082858445E-2</v>
      </c>
      <c r="J320" s="1437"/>
      <c r="K320" s="1378"/>
      <c r="L320" s="1437"/>
      <c r="M320" s="1437"/>
      <c r="N320" s="1378"/>
      <c r="O320" s="1437"/>
      <c r="P320" s="1056"/>
      <c r="Q320" s="1088"/>
      <c r="R320" s="1162"/>
      <c r="S320" s="1162"/>
      <c r="T320" s="1162"/>
      <c r="U320" s="1162"/>
    </row>
    <row r="321" spans="2:21" s="986" customFormat="1" ht="4.5" customHeight="1">
      <c r="B321" s="1938"/>
      <c r="C321" s="1868"/>
      <c r="D321" s="1162"/>
      <c r="E321" s="1937"/>
      <c r="F321" s="1835"/>
      <c r="G321" s="1162"/>
      <c r="H321" s="1378"/>
      <c r="I321" s="1437"/>
      <c r="J321" s="1437"/>
      <c r="K321" s="1378"/>
      <c r="L321" s="1437"/>
      <c r="M321" s="1437"/>
      <c r="N321" s="1378"/>
      <c r="O321" s="1437"/>
      <c r="P321" s="1056"/>
      <c r="Q321" s="1088"/>
      <c r="R321" s="1162"/>
      <c r="S321" s="1162"/>
      <c r="T321" s="1162"/>
      <c r="U321" s="1162"/>
    </row>
    <row r="322" spans="2:21" s="986" customFormat="1">
      <c r="B322" s="2454"/>
      <c r="C322" s="2443"/>
      <c r="D322" s="2455"/>
      <c r="E322" s="2456"/>
      <c r="F322" s="2418"/>
      <c r="G322" s="2457"/>
      <c r="H322" s="2458">
        <v>107569</v>
      </c>
      <c r="I322" s="2459">
        <v>1</v>
      </c>
      <c r="J322" s="2460"/>
      <c r="K322" s="2458">
        <v>14671</v>
      </c>
      <c r="L322" s="2459">
        <v>1</v>
      </c>
      <c r="M322" s="2460"/>
      <c r="N322" s="2458">
        <v>88977</v>
      </c>
      <c r="O322" s="2459">
        <v>1</v>
      </c>
      <c r="P322" s="1056"/>
      <c r="Q322" s="1088"/>
      <c r="R322" s="1162"/>
      <c r="S322" s="1162"/>
      <c r="T322" s="1162"/>
      <c r="U322" s="1162"/>
    </row>
    <row r="323" spans="2:21" s="986" customFormat="1" ht="1.5" customHeight="1">
      <c r="B323" s="1934"/>
      <c r="C323" s="1868"/>
      <c r="D323" s="1935"/>
      <c r="E323" s="1937"/>
      <c r="F323" s="1835"/>
      <c r="G323" s="1162"/>
      <c r="H323" s="1378"/>
      <c r="I323" s="1437"/>
      <c r="J323" s="1437"/>
      <c r="K323" s="1378"/>
      <c r="L323" s="1437"/>
      <c r="M323" s="1437"/>
      <c r="N323" s="1378"/>
      <c r="O323" s="1437"/>
      <c r="P323" s="1056"/>
      <c r="Q323" s="1088"/>
      <c r="R323" s="1162"/>
      <c r="S323" s="1162"/>
      <c r="T323" s="1162"/>
      <c r="U323" s="1162"/>
    </row>
    <row r="324" spans="2:21" ht="6" customHeight="1">
      <c r="B324" s="1813"/>
      <c r="C324" s="1823"/>
      <c r="D324" s="1820"/>
      <c r="E324" s="1820"/>
      <c r="F324" s="1835"/>
      <c r="G324" s="1820"/>
      <c r="H324" s="1822"/>
      <c r="I324" s="1821"/>
      <c r="J324" s="1821"/>
      <c r="K324" s="1822"/>
      <c r="L324" s="1822"/>
      <c r="M324" s="1822"/>
      <c r="N324" s="1822"/>
      <c r="O324" s="1825"/>
    </row>
    <row r="325" spans="2:21" s="986" customFormat="1">
      <c r="B325" s="1934" t="s">
        <v>686</v>
      </c>
      <c r="C325" s="1868"/>
      <c r="D325" s="1935" t="s">
        <v>927</v>
      </c>
      <c r="E325" s="1934" t="s">
        <v>699</v>
      </c>
      <c r="F325" s="1835">
        <v>0.68016891820913083</v>
      </c>
      <c r="G325" s="1935"/>
      <c r="H325" s="1936">
        <v>64748</v>
      </c>
      <c r="I325" s="1438">
        <v>0.68016891820913083</v>
      </c>
      <c r="J325" s="1438"/>
      <c r="K325" s="1971" t="s">
        <v>685</v>
      </c>
      <c r="L325" s="1964"/>
      <c r="M325" s="1964"/>
      <c r="N325" s="1969">
        <f>H325</f>
        <v>64748</v>
      </c>
      <c r="O325" s="1970">
        <f>I325</f>
        <v>0.68016891820913083</v>
      </c>
      <c r="P325" s="1056"/>
      <c r="Q325" s="1088"/>
      <c r="R325" s="1162"/>
      <c r="S325" s="1162"/>
      <c r="T325" s="1162"/>
      <c r="U325" s="1162"/>
    </row>
    <row r="326" spans="2:21" s="986" customFormat="1">
      <c r="B326" s="987" t="s">
        <v>1358</v>
      </c>
      <c r="C326" s="1868">
        <v>0.504</v>
      </c>
      <c r="D326" s="1162" t="s">
        <v>928</v>
      </c>
      <c r="E326" s="1937" t="s">
        <v>698</v>
      </c>
      <c r="F326" s="1835">
        <v>0.16103956131688971</v>
      </c>
      <c r="G326" s="1162"/>
      <c r="H326" s="1378">
        <v>15330</v>
      </c>
      <c r="I326" s="1437">
        <v>0.16103956131688971</v>
      </c>
      <c r="J326" s="1437"/>
      <c r="K326" s="1964" t="s">
        <v>685</v>
      </c>
      <c r="L326" s="1964"/>
      <c r="M326" s="1964"/>
      <c r="N326" s="1977"/>
      <c r="O326" s="1978"/>
      <c r="P326" s="1056"/>
      <c r="Q326" s="1088"/>
      <c r="R326" s="1162"/>
      <c r="S326" s="1162"/>
      <c r="T326" s="1162"/>
      <c r="U326" s="1162"/>
    </row>
    <row r="327" spans="2:21" s="986" customFormat="1">
      <c r="B327" s="987"/>
      <c r="C327" s="1868"/>
      <c r="D327" s="1162" t="s">
        <v>929</v>
      </c>
      <c r="E327" s="1937" t="s">
        <v>2285</v>
      </c>
      <c r="F327" s="1835">
        <v>6.9405634808916525E-2</v>
      </c>
      <c r="G327" s="1162"/>
      <c r="H327" s="1378">
        <v>6607</v>
      </c>
      <c r="I327" s="1437">
        <v>6.9405634808916525E-2</v>
      </c>
      <c r="J327" s="1437"/>
      <c r="K327" s="1378"/>
      <c r="L327" s="1437"/>
      <c r="M327" s="1437"/>
      <c r="N327" s="1378"/>
      <c r="O327" s="1437"/>
      <c r="P327" s="1056"/>
      <c r="Q327" s="1088"/>
      <c r="R327" s="1162"/>
      <c r="S327" s="1162"/>
      <c r="T327" s="1162"/>
      <c r="U327" s="1162"/>
    </row>
    <row r="328" spans="2:21" s="986" customFormat="1">
      <c r="B328" s="1938"/>
      <c r="C328" s="1868"/>
      <c r="D328" s="1162" t="s">
        <v>850</v>
      </c>
      <c r="E328" s="1937" t="s">
        <v>919</v>
      </c>
      <c r="F328" s="1835">
        <v>6.831312897871715E-2</v>
      </c>
      <c r="G328" s="1162"/>
      <c r="H328" s="1378">
        <v>6503</v>
      </c>
      <c r="I328" s="1437">
        <v>6.831312897871715E-2</v>
      </c>
      <c r="J328" s="1437"/>
      <c r="K328" s="1378"/>
      <c r="L328" s="1437"/>
      <c r="M328" s="1437"/>
      <c r="N328" s="1378"/>
      <c r="O328" s="1437"/>
      <c r="P328" s="1056"/>
      <c r="Q328" s="1088"/>
      <c r="R328" s="1162"/>
      <c r="S328" s="1162"/>
      <c r="T328" s="1162"/>
      <c r="U328" s="1162"/>
    </row>
    <row r="329" spans="2:21" s="986" customFormat="1">
      <c r="B329" s="1938"/>
      <c r="C329" s="1868"/>
      <c r="D329" s="1162" t="s">
        <v>930</v>
      </c>
      <c r="E329" s="1937" t="s">
        <v>931</v>
      </c>
      <c r="F329" s="1835">
        <v>2.1072756686345773E-2</v>
      </c>
      <c r="G329" s="1162"/>
      <c r="H329" s="1378">
        <v>2006</v>
      </c>
      <c r="I329" s="1437">
        <v>2.1072756686345777E-2</v>
      </c>
      <c r="J329" s="1437"/>
      <c r="K329" s="1378"/>
      <c r="L329" s="1437"/>
      <c r="M329" s="1437"/>
      <c r="N329" s="1378"/>
      <c r="O329" s="1437"/>
      <c r="P329" s="1056"/>
      <c r="Q329" s="1088"/>
      <c r="R329" s="1162"/>
      <c r="S329" s="1162"/>
      <c r="T329" s="1162"/>
      <c r="U329" s="1162"/>
    </row>
    <row r="330" spans="2:21" s="986" customFormat="1" ht="4.5" customHeight="1">
      <c r="B330" s="1938"/>
      <c r="C330" s="1868"/>
      <c r="D330" s="1162"/>
      <c r="E330" s="1937"/>
      <c r="F330" s="1835"/>
      <c r="G330" s="1162"/>
      <c r="H330" s="1378"/>
      <c r="I330" s="1437"/>
      <c r="J330" s="1437"/>
      <c r="K330" s="1378"/>
      <c r="L330" s="1437"/>
      <c r="M330" s="1437"/>
      <c r="N330" s="1378"/>
      <c r="O330" s="1437"/>
      <c r="P330" s="1056"/>
      <c r="Q330" s="1088"/>
      <c r="R330" s="1162"/>
      <c r="S330" s="1162"/>
      <c r="T330" s="1162"/>
      <c r="U330" s="1162"/>
    </row>
    <row r="331" spans="2:21" s="986" customFormat="1">
      <c r="B331" s="2454"/>
      <c r="C331" s="2443"/>
      <c r="D331" s="2455"/>
      <c r="E331" s="2456"/>
      <c r="F331" s="2418"/>
      <c r="G331" s="2457"/>
      <c r="H331" s="2458">
        <v>95194</v>
      </c>
      <c r="I331" s="2460">
        <v>1</v>
      </c>
      <c r="J331" s="2461"/>
      <c r="K331" s="2462"/>
      <c r="L331" s="2461"/>
      <c r="M331" s="2461"/>
      <c r="N331" s="2462"/>
      <c r="O331" s="2461"/>
      <c r="P331" s="1056"/>
      <c r="Q331" s="1088"/>
      <c r="R331" s="1162"/>
      <c r="S331" s="1162"/>
      <c r="T331" s="1162"/>
      <c r="U331" s="1162"/>
    </row>
    <row r="332" spans="2:21" s="986" customFormat="1" ht="6" customHeight="1">
      <c r="B332" s="1938"/>
      <c r="C332" s="1869"/>
      <c r="D332" s="1935"/>
      <c r="E332" s="1939"/>
      <c r="F332" s="1835"/>
      <c r="G332" s="1939"/>
      <c r="H332" s="1378"/>
      <c r="I332" s="1437"/>
      <c r="J332" s="1437"/>
      <c r="K332" s="1378"/>
      <c r="L332" s="1437"/>
      <c r="M332" s="1437"/>
      <c r="N332" s="1378"/>
      <c r="O332" s="1437"/>
      <c r="P332" s="1056"/>
      <c r="Q332" s="1088"/>
      <c r="R332" s="1162"/>
      <c r="S332" s="1162"/>
      <c r="T332" s="1162"/>
      <c r="U332" s="1162"/>
    </row>
    <row r="333" spans="2:21" s="986" customFormat="1">
      <c r="B333" s="1934" t="s">
        <v>812</v>
      </c>
      <c r="C333" s="1868"/>
      <c r="D333" s="1935" t="s">
        <v>876</v>
      </c>
      <c r="E333" s="1934" t="s">
        <v>827</v>
      </c>
      <c r="F333" s="1835">
        <v>0.45866660280664784</v>
      </c>
      <c r="G333" s="1935"/>
      <c r="H333" s="1936">
        <v>19153</v>
      </c>
      <c r="I333" s="1438">
        <v>0.45866660280664784</v>
      </c>
      <c r="J333" s="1438"/>
      <c r="K333" s="1936">
        <v>4276</v>
      </c>
      <c r="L333" s="1438">
        <v>0.79464783497491176</v>
      </c>
      <c r="M333" s="1438"/>
      <c r="N333" s="1936">
        <v>23429</v>
      </c>
      <c r="O333" s="1438">
        <v>0.67060709276698061</v>
      </c>
      <c r="P333" s="1056"/>
      <c r="Q333" s="1088"/>
      <c r="R333" s="1162"/>
      <c r="S333" s="1162"/>
      <c r="T333" s="1162"/>
      <c r="U333" s="1162"/>
    </row>
    <row r="334" spans="2:21" s="986" customFormat="1">
      <c r="B334" s="987" t="s">
        <v>1357</v>
      </c>
      <c r="C334" s="1868">
        <v>0.65200000000000002</v>
      </c>
      <c r="D334" s="1162" t="s">
        <v>932</v>
      </c>
      <c r="E334" s="1937" t="s">
        <v>698</v>
      </c>
      <c r="F334" s="1835">
        <v>0.24912591599214523</v>
      </c>
      <c r="G334" s="1162"/>
      <c r="H334" s="1378">
        <v>10403</v>
      </c>
      <c r="I334" s="1437">
        <v>0.24912591599214523</v>
      </c>
      <c r="J334" s="1437"/>
      <c r="K334" s="1378">
        <v>1105</v>
      </c>
      <c r="L334" s="1437">
        <v>0.20535216502508827</v>
      </c>
      <c r="M334" s="1437"/>
      <c r="N334" s="1378">
        <v>11508</v>
      </c>
      <c r="O334" s="1437">
        <v>0.32939290723301945</v>
      </c>
      <c r="P334" s="1056"/>
      <c r="Q334" s="1088"/>
      <c r="R334" s="1162"/>
      <c r="S334" s="1162"/>
      <c r="T334" s="1162"/>
      <c r="U334" s="1162"/>
    </row>
    <row r="335" spans="2:21" s="986" customFormat="1">
      <c r="B335" s="1938"/>
      <c r="C335" s="1868"/>
      <c r="D335" s="1162" t="s">
        <v>933</v>
      </c>
      <c r="E335" s="1937" t="s">
        <v>699</v>
      </c>
      <c r="F335" s="1835">
        <v>0.24016954835001678</v>
      </c>
      <c r="G335" s="1162"/>
      <c r="H335" s="1378">
        <v>10029</v>
      </c>
      <c r="I335" s="1437">
        <v>0.24016954835001678</v>
      </c>
      <c r="J335" s="1437"/>
      <c r="K335" s="1378"/>
      <c r="L335" s="1437"/>
      <c r="M335" s="1437"/>
      <c r="N335" s="1378"/>
      <c r="O335" s="1437"/>
      <c r="P335" s="1056"/>
      <c r="Q335" s="1162"/>
      <c r="R335" s="1162"/>
      <c r="S335" s="1162"/>
      <c r="T335" s="1162"/>
      <c r="U335" s="1162"/>
    </row>
    <row r="336" spans="2:21">
      <c r="B336" s="1938"/>
      <c r="C336" s="1868"/>
      <c r="D336" s="1162" t="s">
        <v>934</v>
      </c>
      <c r="E336" s="1937" t="s">
        <v>1341</v>
      </c>
      <c r="F336" s="1835">
        <v>5.203793285119019E-2</v>
      </c>
      <c r="G336" s="1162"/>
      <c r="H336" s="1378">
        <v>2173</v>
      </c>
      <c r="I336" s="1437">
        <v>5.203793285119019E-2</v>
      </c>
      <c r="J336" s="1437"/>
      <c r="K336" s="1378"/>
      <c r="L336" s="1437"/>
      <c r="M336" s="1437"/>
      <c r="N336" s="1378"/>
      <c r="O336" s="1437"/>
      <c r="P336" s="948"/>
      <c r="Q336" s="948"/>
      <c r="R336" s="948"/>
      <c r="S336" s="948"/>
      <c r="T336" s="948"/>
      <c r="U336" s="948"/>
    </row>
    <row r="337" spans="2:15" ht="4.5" customHeight="1">
      <c r="B337" s="1938"/>
      <c r="C337" s="1868"/>
      <c r="D337" s="1162"/>
      <c r="E337" s="1937"/>
      <c r="F337" s="1835"/>
      <c r="G337" s="1162"/>
      <c r="H337" s="1378"/>
      <c r="I337" s="1437"/>
      <c r="J337" s="1437"/>
      <c r="K337" s="1378"/>
      <c r="L337" s="1437"/>
      <c r="M337" s="1437"/>
      <c r="N337" s="1378"/>
      <c r="O337" s="1437"/>
    </row>
    <row r="338" spans="2:15">
      <c r="B338" s="1934"/>
      <c r="C338" s="1868"/>
      <c r="D338" s="1940"/>
      <c r="E338" s="1937"/>
      <c r="F338" s="1835"/>
      <c r="G338" s="1162"/>
      <c r="H338" s="1936">
        <v>41758</v>
      </c>
      <c r="I338" s="2404">
        <v>1</v>
      </c>
      <c r="J338" s="1438"/>
      <c r="K338" s="1936">
        <v>5381</v>
      </c>
      <c r="L338" s="2404">
        <v>1</v>
      </c>
      <c r="M338" s="1438"/>
      <c r="N338" s="1936">
        <v>34937</v>
      </c>
      <c r="O338" s="2404">
        <v>1</v>
      </c>
    </row>
    <row r="339" spans="2:15" ht="3" customHeight="1">
      <c r="B339" s="1941"/>
      <c r="C339" s="1912"/>
      <c r="D339" s="1942"/>
      <c r="E339" s="1943"/>
      <c r="F339" s="1835"/>
      <c r="G339" s="1942"/>
      <c r="H339" s="1944"/>
      <c r="I339" s="1945"/>
      <c r="J339" s="1945"/>
      <c r="K339" s="1946"/>
      <c r="L339" s="1947"/>
      <c r="M339" s="1947"/>
      <c r="N339" s="1946"/>
      <c r="O339" s="1947"/>
    </row>
    <row r="340" spans="2:15">
      <c r="B340" s="2065">
        <v>40472</v>
      </c>
      <c r="C340" s="2059"/>
      <c r="D340" s="2060"/>
      <c r="E340" s="2401"/>
      <c r="F340" s="2062"/>
      <c r="G340" s="2061"/>
      <c r="H340" s="2061"/>
      <c r="I340" s="2063"/>
      <c r="J340" s="2063"/>
      <c r="K340" s="2064"/>
      <c r="L340" s="2061"/>
      <c r="M340" s="2061"/>
      <c r="N340" s="2061"/>
      <c r="O340" s="2061"/>
    </row>
    <row r="341" spans="2:15" ht="6" customHeight="1">
      <c r="B341" s="1926"/>
      <c r="C341" s="1868"/>
      <c r="D341" s="1933"/>
      <c r="E341" s="1144"/>
      <c r="F341" s="1835"/>
      <c r="G341" s="1132"/>
      <c r="H341" s="1132"/>
      <c r="I341" s="1420"/>
      <c r="J341" s="1420"/>
      <c r="K341" s="1399"/>
      <c r="L341" s="1132"/>
      <c r="M341" s="1132"/>
      <c r="N341" s="1132"/>
      <c r="O341" s="1132"/>
    </row>
    <row r="342" spans="2:15">
      <c r="B342" s="1934" t="s">
        <v>960</v>
      </c>
      <c r="C342" s="1868"/>
      <c r="D342" s="1948" t="s">
        <v>961</v>
      </c>
      <c r="E342" s="1949" t="s">
        <v>931</v>
      </c>
      <c r="F342" s="1835">
        <v>0.53853948599171531</v>
      </c>
      <c r="G342" s="1948"/>
      <c r="H342" s="1222">
        <v>23283</v>
      </c>
      <c r="I342" s="1438">
        <v>0.53853948599171531</v>
      </c>
      <c r="J342" s="1438"/>
      <c r="K342" s="1971" t="s">
        <v>685</v>
      </c>
      <c r="L342" s="1964"/>
      <c r="M342" s="1964"/>
      <c r="N342" s="1969">
        <f>H342</f>
        <v>23283</v>
      </c>
      <c r="O342" s="1970">
        <f>I342</f>
        <v>0.53853948599171531</v>
      </c>
    </row>
    <row r="343" spans="2:15">
      <c r="B343" s="1937" t="s">
        <v>1233</v>
      </c>
      <c r="C343" s="1868">
        <v>0.25600000000000001</v>
      </c>
      <c r="D343" s="1055" t="s">
        <v>962</v>
      </c>
      <c r="E343" s="1950" t="s">
        <v>699</v>
      </c>
      <c r="F343" s="1835">
        <v>0.1761391474767271</v>
      </c>
      <c r="G343" s="1055"/>
      <c r="H343" s="1053">
        <v>11254</v>
      </c>
      <c r="I343" s="1437">
        <v>0.1761391474767271</v>
      </c>
      <c r="J343" s="1437"/>
      <c r="K343" s="1964" t="s">
        <v>685</v>
      </c>
      <c r="L343" s="1964"/>
      <c r="M343" s="1964"/>
      <c r="N343" s="1977"/>
      <c r="O343" s="1978"/>
    </row>
    <row r="344" spans="2:15">
      <c r="B344" s="1934"/>
      <c r="C344" s="1868"/>
      <c r="D344" s="1055" t="s">
        <v>963</v>
      </c>
      <c r="E344" s="1950" t="s">
        <v>698</v>
      </c>
      <c r="F344" s="1835">
        <v>0.1381452941962496</v>
      </c>
      <c r="G344" s="1055"/>
      <c r="H344" s="1053">
        <v>5348</v>
      </c>
      <c r="I344" s="1437">
        <v>0.1381452941962496</v>
      </c>
      <c r="J344" s="1437"/>
      <c r="K344" s="1378"/>
      <c r="L344" s="1437"/>
      <c r="M344" s="1437"/>
      <c r="N344" s="1378"/>
      <c r="O344" s="1437"/>
    </row>
    <row r="345" spans="2:15">
      <c r="B345" s="1934"/>
      <c r="C345" s="1868"/>
      <c r="D345" s="1055" t="s">
        <v>964</v>
      </c>
      <c r="E345" s="1950" t="s">
        <v>827</v>
      </c>
      <c r="F345" s="1835">
        <v>0.11246715068371119</v>
      </c>
      <c r="G345" s="1055"/>
      <c r="H345" s="1053">
        <v>2800</v>
      </c>
      <c r="I345" s="1437">
        <v>0.11246715068371119</v>
      </c>
      <c r="J345" s="1437"/>
      <c r="K345" s="1378"/>
      <c r="L345" s="1437"/>
      <c r="M345" s="1437"/>
      <c r="N345" s="1378"/>
      <c r="O345" s="1437"/>
    </row>
    <row r="346" spans="2:15">
      <c r="B346" s="1934"/>
      <c r="C346" s="1868"/>
      <c r="D346" s="1055" t="s">
        <v>965</v>
      </c>
      <c r="E346" s="1950" t="s">
        <v>1341</v>
      </c>
      <c r="F346" s="1835">
        <v>2.2638189835642065E-2</v>
      </c>
      <c r="G346" s="1055"/>
      <c r="H346" s="1053">
        <v>2300</v>
      </c>
      <c r="I346" s="1437">
        <v>2.2638189835642065E-2</v>
      </c>
      <c r="J346" s="1437"/>
      <c r="K346" s="1378"/>
      <c r="L346" s="1437"/>
      <c r="M346" s="1437"/>
      <c r="N346" s="1378"/>
      <c r="O346" s="1437"/>
    </row>
    <row r="347" spans="2:15" ht="4.5" customHeight="1">
      <c r="B347" s="1934"/>
      <c r="C347" s="1868"/>
      <c r="D347" s="1162"/>
      <c r="E347" s="1937"/>
      <c r="F347" s="1835"/>
      <c r="G347" s="1162"/>
      <c r="H347" s="1378"/>
      <c r="I347" s="1437"/>
      <c r="J347" s="1437"/>
      <c r="K347" s="1378"/>
      <c r="L347" s="1437"/>
      <c r="M347" s="1437"/>
      <c r="N347" s="1378"/>
      <c r="O347" s="1437"/>
    </row>
    <row r="348" spans="2:15">
      <c r="B348" s="1934"/>
      <c r="C348" s="1868"/>
      <c r="D348" s="1935"/>
      <c r="E348" s="1937"/>
      <c r="F348" s="1835"/>
      <c r="G348" s="1162"/>
      <c r="H348" s="1936">
        <f>SUM(H342:H346)</f>
        <v>44985</v>
      </c>
      <c r="I348" s="2404">
        <v>1</v>
      </c>
      <c r="J348" s="1438"/>
      <c r="K348" s="1936"/>
      <c r="L348" s="1437"/>
      <c r="M348" s="1437"/>
      <c r="N348" s="1378"/>
      <c r="O348" s="1437"/>
    </row>
    <row r="349" spans="2:15" ht="3.75" customHeight="1">
      <c r="B349" s="1934"/>
      <c r="C349" s="1868"/>
      <c r="D349" s="1935"/>
      <c r="E349" s="1937"/>
      <c r="F349" s="1835"/>
      <c r="G349" s="1162"/>
      <c r="H349" s="1378"/>
      <c r="I349" s="1437"/>
      <c r="J349" s="1437"/>
      <c r="K349" s="1378"/>
      <c r="L349" s="1437"/>
      <c r="M349" s="1437"/>
      <c r="N349" s="1378"/>
      <c r="O349" s="1437"/>
    </row>
    <row r="350" spans="2:15">
      <c r="B350" s="2058">
        <v>40668</v>
      </c>
      <c r="C350" s="2059"/>
      <c r="D350" s="2067"/>
      <c r="E350" s="2406"/>
      <c r="F350" s="2062"/>
      <c r="G350" s="2407"/>
      <c r="H350" s="2070"/>
      <c r="I350" s="2071"/>
      <c r="J350" s="2071"/>
      <c r="K350" s="2070"/>
      <c r="L350" s="2071"/>
      <c r="M350" s="2071"/>
      <c r="N350" s="2070"/>
      <c r="O350" s="2071"/>
    </row>
    <row r="351" spans="2:15" ht="6" customHeight="1">
      <c r="B351" s="1934"/>
      <c r="C351" s="1868"/>
      <c r="D351" s="1935"/>
      <c r="E351" s="1937"/>
      <c r="F351" s="1835"/>
      <c r="G351" s="1162"/>
      <c r="H351" s="1378"/>
      <c r="I351" s="1437"/>
      <c r="J351" s="1437"/>
      <c r="K351" s="1378"/>
      <c r="L351" s="1437"/>
      <c r="M351" s="1437"/>
      <c r="N351" s="1378"/>
      <c r="O351" s="1437"/>
    </row>
    <row r="352" spans="2:15">
      <c r="B352" s="1934" t="s">
        <v>689</v>
      </c>
      <c r="C352" s="1868"/>
      <c r="D352" s="1935" t="s">
        <v>984</v>
      </c>
      <c r="E352" s="1934" t="s">
        <v>698</v>
      </c>
      <c r="F352" s="1835">
        <v>0.25691221964423822</v>
      </c>
      <c r="G352" s="1935"/>
      <c r="H352" s="1936">
        <v>10630</v>
      </c>
      <c r="I352" s="1438">
        <f t="shared" ref="I352:I360" si="4">H352/$H$362</f>
        <v>0.25691221964423822</v>
      </c>
      <c r="J352" s="1438"/>
      <c r="K352" s="1936">
        <v>2086</v>
      </c>
      <c r="L352" s="1438">
        <f>K352/$K$362</f>
        <v>0.55865024102838778</v>
      </c>
      <c r="M352" s="1438"/>
      <c r="N352" s="1936">
        <f>H352+K352</f>
        <v>12716</v>
      </c>
      <c r="O352" s="1438">
        <f>N352/$N$362</f>
        <v>0.56902492504586744</v>
      </c>
    </row>
    <row r="353" spans="2:15">
      <c r="B353" s="1937" t="s">
        <v>1223</v>
      </c>
      <c r="C353" s="1868">
        <v>0.41199999999999998</v>
      </c>
      <c r="D353" s="1162" t="s">
        <v>985</v>
      </c>
      <c r="E353" s="1937" t="s">
        <v>931</v>
      </c>
      <c r="F353" s="1835">
        <v>0.19293793503480278</v>
      </c>
      <c r="G353" s="1162"/>
      <c r="H353" s="1378">
        <v>7983</v>
      </c>
      <c r="I353" s="1437">
        <f t="shared" si="4"/>
        <v>0.19293793503480278</v>
      </c>
      <c r="J353" s="1437"/>
      <c r="K353" s="1378">
        <v>1648</v>
      </c>
      <c r="L353" s="1437">
        <f>K353/$K$362</f>
        <v>0.44134975897161222</v>
      </c>
      <c r="M353" s="1437"/>
      <c r="N353" s="1378">
        <f>H353+K353</f>
        <v>9631</v>
      </c>
      <c r="O353" s="1437">
        <f>N353/$N$362</f>
        <v>0.43097507495413256</v>
      </c>
    </row>
    <row r="354" spans="2:15">
      <c r="B354" s="1520"/>
      <c r="C354" s="1868"/>
      <c r="D354" s="1162" t="s">
        <v>986</v>
      </c>
      <c r="E354" s="1937" t="s">
        <v>827</v>
      </c>
      <c r="F354" s="1835">
        <v>0.16688418406805877</v>
      </c>
      <c r="G354" s="1162"/>
      <c r="H354" s="1378">
        <v>6905</v>
      </c>
      <c r="I354" s="1437">
        <f t="shared" si="4"/>
        <v>0.16688418406805877</v>
      </c>
      <c r="J354" s="1437"/>
      <c r="K354" s="1378"/>
      <c r="L354" s="1437"/>
      <c r="M354" s="1437"/>
      <c r="N354" s="1378"/>
      <c r="O354" s="1437"/>
    </row>
    <row r="355" spans="2:15">
      <c r="B355" s="1934"/>
      <c r="C355" s="1868"/>
      <c r="D355" s="1162" t="s">
        <v>987</v>
      </c>
      <c r="E355" s="1937" t="s">
        <v>1265</v>
      </c>
      <c r="F355" s="1835">
        <v>9.1671500386697607E-2</v>
      </c>
      <c r="G355" s="1162"/>
      <c r="H355" s="1378">
        <v>3793</v>
      </c>
      <c r="I355" s="1437">
        <f t="shared" si="4"/>
        <v>9.1671500386697607E-2</v>
      </c>
      <c r="J355" s="1437"/>
      <c r="K355" s="1378"/>
      <c r="L355" s="1437"/>
      <c r="M355" s="1437"/>
      <c r="N355" s="1378"/>
      <c r="O355" s="1437"/>
    </row>
    <row r="356" spans="2:15">
      <c r="B356" s="1934"/>
      <c r="C356" s="1868"/>
      <c r="D356" s="1162" t="s">
        <v>1224</v>
      </c>
      <c r="E356" s="1937" t="s">
        <v>931</v>
      </c>
      <c r="F356" s="1835">
        <v>8.6016047950502716E-2</v>
      </c>
      <c r="G356" s="1162"/>
      <c r="H356" s="1378">
        <v>3559</v>
      </c>
      <c r="I356" s="1437">
        <f t="shared" si="4"/>
        <v>8.6016047950502703E-2</v>
      </c>
      <c r="J356" s="1437"/>
      <c r="K356" s="1378"/>
      <c r="L356" s="1437"/>
      <c r="M356" s="1437"/>
      <c r="N356" s="1378"/>
      <c r="O356" s="1437"/>
    </row>
    <row r="357" spans="2:15">
      <c r="B357" s="1934"/>
      <c r="C357" s="1868"/>
      <c r="D357" s="1162" t="s">
        <v>988</v>
      </c>
      <c r="E357" s="1937" t="s">
        <v>931</v>
      </c>
      <c r="F357" s="1835">
        <v>5.8343000773395201E-2</v>
      </c>
      <c r="G357" s="1162"/>
      <c r="H357" s="1378">
        <v>2414</v>
      </c>
      <c r="I357" s="1437">
        <f t="shared" si="4"/>
        <v>5.8343000773395208E-2</v>
      </c>
      <c r="J357" s="1437"/>
      <c r="K357" s="1378"/>
      <c r="L357" s="1437"/>
      <c r="M357" s="1437"/>
      <c r="N357" s="1378"/>
      <c r="O357" s="1437"/>
    </row>
    <row r="358" spans="2:15">
      <c r="B358" s="1934"/>
      <c r="C358" s="1868"/>
      <c r="D358" s="1162" t="s">
        <v>989</v>
      </c>
      <c r="E358" s="1937" t="s">
        <v>931</v>
      </c>
      <c r="F358" s="1835">
        <v>5.0512374323279194E-2</v>
      </c>
      <c r="G358" s="1162"/>
      <c r="H358" s="1378">
        <v>2090</v>
      </c>
      <c r="I358" s="1437">
        <f t="shared" si="4"/>
        <v>5.0512374323279194E-2</v>
      </c>
      <c r="J358" s="1437"/>
      <c r="K358" s="1378"/>
      <c r="L358" s="1437"/>
      <c r="M358" s="1437"/>
      <c r="N358" s="1378"/>
      <c r="O358" s="1437"/>
    </row>
    <row r="359" spans="2:15">
      <c r="B359" s="1934"/>
      <c r="C359" s="1868"/>
      <c r="D359" s="1162" t="s">
        <v>990</v>
      </c>
      <c r="E359" s="1937" t="s">
        <v>1000</v>
      </c>
      <c r="F359" s="1835">
        <v>5.0367362722351122E-2</v>
      </c>
      <c r="G359" s="1162"/>
      <c r="H359" s="1378">
        <v>2084</v>
      </c>
      <c r="I359" s="1437">
        <f t="shared" si="4"/>
        <v>5.0367362722351122E-2</v>
      </c>
      <c r="J359" s="1437"/>
      <c r="K359" s="1378"/>
      <c r="L359" s="1437"/>
      <c r="M359" s="1437"/>
      <c r="N359" s="1378"/>
      <c r="O359" s="1437"/>
    </row>
    <row r="360" spans="2:15">
      <c r="B360" s="1934"/>
      <c r="C360" s="1868"/>
      <c r="D360" s="1162" t="s">
        <v>992</v>
      </c>
      <c r="E360" s="1937" t="s">
        <v>1341</v>
      </c>
      <c r="F360" s="1835">
        <v>4.6355375096674402E-2</v>
      </c>
      <c r="G360" s="1162"/>
      <c r="H360" s="1378">
        <v>1918</v>
      </c>
      <c r="I360" s="1437">
        <f t="shared" si="4"/>
        <v>4.6355375096674402E-2</v>
      </c>
      <c r="J360" s="1437"/>
      <c r="K360" s="1378"/>
      <c r="L360" s="1437"/>
      <c r="M360" s="1437"/>
      <c r="N360" s="1378"/>
      <c r="O360" s="1437"/>
    </row>
    <row r="361" spans="2:15" ht="4.5" customHeight="1">
      <c r="B361" s="1934"/>
      <c r="C361" s="1868"/>
      <c r="D361" s="1935"/>
      <c r="E361" s="1937"/>
      <c r="F361" s="1835"/>
      <c r="G361" s="1162"/>
      <c r="H361" s="1378"/>
      <c r="K361" s="1378"/>
      <c r="N361" s="1378"/>
      <c r="O361" s="1437"/>
    </row>
    <row r="362" spans="2:15">
      <c r="B362" s="2454"/>
      <c r="C362" s="2443"/>
      <c r="D362" s="2455"/>
      <c r="E362" s="2463"/>
      <c r="F362" s="2418"/>
      <c r="G362" s="2464"/>
      <c r="H362" s="2458">
        <f>SUM(H352:H360)</f>
        <v>41376</v>
      </c>
      <c r="I362" s="2459">
        <f>SUM(I352:I360)</f>
        <v>0.99999999999999989</v>
      </c>
      <c r="J362" s="2460"/>
      <c r="K362" s="2458">
        <f>SUM(K352:K353)</f>
        <v>3734</v>
      </c>
      <c r="L362" s="2459">
        <f>SUM(L352:L353)</f>
        <v>1</v>
      </c>
      <c r="M362" s="2460"/>
      <c r="N362" s="2458">
        <f>SUM(N352:N353)</f>
        <v>22347</v>
      </c>
      <c r="O362" s="2459">
        <f>SUM(O352:O353)</f>
        <v>1</v>
      </c>
    </row>
    <row r="363" spans="2:15" ht="6" customHeight="1">
      <c r="B363" s="1934"/>
      <c r="C363" s="1868"/>
      <c r="D363" s="1935"/>
      <c r="E363" s="1516"/>
      <c r="F363" s="1835"/>
      <c r="G363" s="1156"/>
      <c r="H363" s="1378"/>
      <c r="I363" s="1437"/>
      <c r="J363" s="1437"/>
      <c r="K363" s="1378"/>
      <c r="L363" s="1437"/>
      <c r="M363" s="1437"/>
      <c r="N363" s="1378"/>
      <c r="O363" s="1437"/>
    </row>
    <row r="364" spans="2:15">
      <c r="B364" s="1934" t="s">
        <v>813</v>
      </c>
      <c r="C364" s="1868"/>
      <c r="D364" s="1935" t="s">
        <v>994</v>
      </c>
      <c r="E364" s="1520" t="s">
        <v>827</v>
      </c>
      <c r="F364" s="1835">
        <v>0.37666012677331723</v>
      </c>
      <c r="G364" s="1951"/>
      <c r="H364" s="1936">
        <v>19966</v>
      </c>
      <c r="I364" s="1438">
        <f>H364/$H$370</f>
        <v>0.37666012677331723</v>
      </c>
      <c r="J364" s="1438"/>
      <c r="K364" s="1936">
        <v>4325</v>
      </c>
      <c r="L364" s="1438">
        <f>K364/$K$370</f>
        <v>0.7033664010408196</v>
      </c>
      <c r="M364" s="1438"/>
      <c r="N364" s="1936">
        <f>H364+K364</f>
        <v>24291</v>
      </c>
      <c r="O364" s="1438">
        <f>N364/$N$370</f>
        <v>0.55692865003668379</v>
      </c>
    </row>
    <row r="365" spans="2:15">
      <c r="B365" s="1937" t="s">
        <v>1221</v>
      </c>
      <c r="C365" s="1868">
        <v>0.47</v>
      </c>
      <c r="D365" s="1162" t="s">
        <v>995</v>
      </c>
      <c r="E365" s="1516" t="s">
        <v>698</v>
      </c>
      <c r="F365" s="1835">
        <v>0.33015771204346511</v>
      </c>
      <c r="G365" s="1156"/>
      <c r="H365" s="1378">
        <v>17501</v>
      </c>
      <c r="I365" s="1437">
        <f>H365/$H$370</f>
        <v>0.33015771204346511</v>
      </c>
      <c r="J365" s="1437"/>
      <c r="K365" s="1378">
        <v>1824</v>
      </c>
      <c r="L365" s="1437">
        <f>K365/$K$370</f>
        <v>0.29663359895918034</v>
      </c>
      <c r="M365" s="1437"/>
      <c r="N365" s="1378">
        <f>H365+K365</f>
        <v>19325</v>
      </c>
      <c r="O365" s="1437">
        <f>N365/$N$370</f>
        <v>0.44307134996331621</v>
      </c>
    </row>
    <row r="366" spans="2:15">
      <c r="B366" s="1934"/>
      <c r="C366" s="1868"/>
      <c r="D366" s="1162" t="s">
        <v>996</v>
      </c>
      <c r="E366" s="1516" t="s">
        <v>699</v>
      </c>
      <c r="F366" s="1835">
        <v>0.21123226682764865</v>
      </c>
      <c r="G366" s="1156"/>
      <c r="H366" s="1378">
        <v>11197</v>
      </c>
      <c r="I366" s="1437">
        <f>H366/$H$370</f>
        <v>0.21123226682764865</v>
      </c>
      <c r="J366" s="1437"/>
      <c r="K366" s="1378"/>
      <c r="L366" s="1437"/>
      <c r="M366" s="1437"/>
      <c r="N366" s="1378"/>
      <c r="O366" s="1437"/>
    </row>
    <row r="367" spans="2:15">
      <c r="B367" s="1934"/>
      <c r="C367" s="1868"/>
      <c r="D367" s="1162" t="s">
        <v>997</v>
      </c>
      <c r="E367" s="1516" t="s">
        <v>931</v>
      </c>
      <c r="F367" s="1835">
        <v>5.9104286145487475E-2</v>
      </c>
      <c r="G367" s="1156"/>
      <c r="H367" s="1378">
        <v>3133</v>
      </c>
      <c r="I367" s="1437">
        <f>H367/$H$370</f>
        <v>5.9104286145487475E-2</v>
      </c>
      <c r="J367" s="1437"/>
      <c r="K367" s="1378"/>
      <c r="L367" s="1437"/>
      <c r="M367" s="1437"/>
      <c r="N367" s="1378"/>
      <c r="O367" s="1437"/>
    </row>
    <row r="368" spans="2:15">
      <c r="B368" s="1934"/>
      <c r="C368" s="1868"/>
      <c r="D368" s="1162" t="s">
        <v>998</v>
      </c>
      <c r="E368" s="1516" t="s">
        <v>1341</v>
      </c>
      <c r="F368" s="1835">
        <v>2.2845608210081497E-2</v>
      </c>
      <c r="G368" s="1156"/>
      <c r="H368" s="1378">
        <v>1211</v>
      </c>
      <c r="I368" s="1437">
        <f>H368/$H$370</f>
        <v>2.2845608210081497E-2</v>
      </c>
      <c r="J368" s="1437"/>
      <c r="K368" s="1378"/>
      <c r="L368" s="1437"/>
      <c r="M368" s="1437"/>
      <c r="N368" s="1378"/>
      <c r="O368" s="1437"/>
    </row>
    <row r="369" spans="2:15" ht="4.5" customHeight="1">
      <c r="B369" s="1934"/>
      <c r="C369" s="1868"/>
      <c r="D369" s="1935"/>
      <c r="E369" s="1516"/>
      <c r="F369" s="1835"/>
      <c r="G369" s="1156"/>
      <c r="H369" s="1936"/>
      <c r="I369" s="1438"/>
      <c r="J369" s="1438"/>
      <c r="K369" s="1936"/>
      <c r="L369" s="1438"/>
      <c r="M369" s="1438"/>
      <c r="N369" s="1936"/>
      <c r="O369" s="1438"/>
    </row>
    <row r="370" spans="2:15">
      <c r="B370" s="2454"/>
      <c r="C370" s="2443"/>
      <c r="D370" s="2455"/>
      <c r="E370" s="2463"/>
      <c r="F370" s="2418"/>
      <c r="G370" s="2464"/>
      <c r="H370" s="2458">
        <f>SUM(H364:H368)</f>
        <v>53008</v>
      </c>
      <c r="I370" s="2459">
        <f>SUM(I364:I368)</f>
        <v>0.99999999999999989</v>
      </c>
      <c r="J370" s="2460"/>
      <c r="K370" s="2458">
        <f>SUM(K364:K365)</f>
        <v>6149</v>
      </c>
      <c r="L370" s="2459">
        <f>SUM(L364:L365)</f>
        <v>1</v>
      </c>
      <c r="M370" s="2460"/>
      <c r="N370" s="2458">
        <f>SUM(N364:N365)</f>
        <v>43616</v>
      </c>
      <c r="O370" s="2459">
        <f>SUM(O364:O365)</f>
        <v>1</v>
      </c>
    </row>
    <row r="371" spans="2:15" ht="6" customHeight="1">
      <c r="B371" s="1934"/>
      <c r="C371" s="1868"/>
      <c r="D371" s="1935"/>
      <c r="E371" s="1516"/>
      <c r="F371" s="1835"/>
      <c r="G371" s="1156"/>
      <c r="H371" s="1378"/>
      <c r="I371" s="1437"/>
      <c r="J371" s="1437"/>
      <c r="K371" s="1378"/>
      <c r="L371" s="1437"/>
      <c r="M371" s="1437"/>
      <c r="N371" s="1378"/>
      <c r="O371" s="1437"/>
    </row>
    <row r="372" spans="2:15" s="935" customFormat="1">
      <c r="B372" s="1934" t="s">
        <v>1001</v>
      </c>
      <c r="C372" s="1869"/>
      <c r="D372" s="1935" t="s">
        <v>1002</v>
      </c>
      <c r="E372" s="1520" t="s">
        <v>699</v>
      </c>
      <c r="F372" s="1835">
        <v>0.55149244088383509</v>
      </c>
      <c r="G372" s="1951"/>
      <c r="H372" s="1936">
        <v>46948</v>
      </c>
      <c r="I372" s="1438">
        <f t="shared" ref="I372:I382" si="5">H372/$H$384</f>
        <v>0.55149244088383509</v>
      </c>
      <c r="J372" s="1438"/>
      <c r="K372" s="1971" t="s">
        <v>685</v>
      </c>
      <c r="L372" s="1964"/>
      <c r="M372" s="1964"/>
      <c r="N372" s="1969">
        <f>H372</f>
        <v>46948</v>
      </c>
      <c r="O372" s="1970">
        <f>I372</f>
        <v>0.55149244088383509</v>
      </c>
    </row>
    <row r="373" spans="2:15">
      <c r="B373" s="1937" t="s">
        <v>1015</v>
      </c>
      <c r="C373" s="1868">
        <v>0.40699999999999997</v>
      </c>
      <c r="D373" s="1162" t="s">
        <v>1003</v>
      </c>
      <c r="E373" s="1516" t="s">
        <v>698</v>
      </c>
      <c r="F373" s="1835">
        <v>0.11380375665166982</v>
      </c>
      <c r="G373" s="1156"/>
      <c r="H373" s="1378">
        <v>9688</v>
      </c>
      <c r="I373" s="1437">
        <f t="shared" si="5"/>
        <v>0.11380375665166982</v>
      </c>
      <c r="J373" s="1437"/>
      <c r="K373" s="1964" t="s">
        <v>685</v>
      </c>
      <c r="L373" s="1964"/>
      <c r="M373" s="1964"/>
      <c r="N373" s="1977"/>
      <c r="O373" s="1978"/>
    </row>
    <row r="374" spans="2:15">
      <c r="B374" s="1934"/>
      <c r="C374" s="1868"/>
      <c r="D374" s="1162" t="s">
        <v>1004</v>
      </c>
      <c r="E374" s="1516" t="s">
        <v>931</v>
      </c>
      <c r="F374" s="1835">
        <v>8.9687415569312451E-2</v>
      </c>
      <c r="G374" s="1156"/>
      <c r="H374" s="1378">
        <v>7635</v>
      </c>
      <c r="I374" s="1437">
        <f t="shared" si="5"/>
        <v>8.9687415569312451E-2</v>
      </c>
      <c r="J374" s="1437"/>
      <c r="K374" s="1378"/>
      <c r="L374" s="1437"/>
      <c r="M374" s="1437"/>
      <c r="N374" s="1378"/>
      <c r="O374" s="1437"/>
    </row>
    <row r="375" spans="2:15">
      <c r="B375" s="1934"/>
      <c r="C375" s="1868"/>
      <c r="D375" s="1162" t="s">
        <v>1005</v>
      </c>
      <c r="E375" s="1516" t="s">
        <v>827</v>
      </c>
      <c r="F375" s="1835">
        <v>7.0821929072349021E-2</v>
      </c>
      <c r="G375" s="1156"/>
      <c r="H375" s="1378">
        <v>6029</v>
      </c>
      <c r="I375" s="1437">
        <f t="shared" si="5"/>
        <v>7.0821929072349021E-2</v>
      </c>
      <c r="J375" s="1437"/>
      <c r="K375" s="1378"/>
      <c r="L375" s="1437"/>
      <c r="M375" s="1437"/>
      <c r="N375" s="1378"/>
      <c r="O375" s="1437"/>
    </row>
    <row r="376" spans="2:15">
      <c r="B376" s="1934"/>
      <c r="C376" s="1868"/>
      <c r="D376" s="1162" t="s">
        <v>1006</v>
      </c>
      <c r="E376" s="1516" t="s">
        <v>1341</v>
      </c>
      <c r="F376" s="1835">
        <v>4.055022377803099E-2</v>
      </c>
      <c r="G376" s="1156"/>
      <c r="H376" s="1378">
        <v>3452</v>
      </c>
      <c r="I376" s="1437">
        <f t="shared" si="5"/>
        <v>4.055022377803099E-2</v>
      </c>
      <c r="J376" s="1437"/>
      <c r="K376" s="1378"/>
      <c r="L376" s="1437"/>
      <c r="M376" s="1437"/>
      <c r="N376" s="1378"/>
      <c r="O376" s="1437"/>
    </row>
    <row r="377" spans="2:15">
      <c r="B377" s="1934"/>
      <c r="C377" s="1868"/>
      <c r="D377" s="1162" t="s">
        <v>1007</v>
      </c>
      <c r="E377" s="1516" t="s">
        <v>931</v>
      </c>
      <c r="F377" s="1835">
        <v>3.9446017220923536E-2</v>
      </c>
      <c r="G377" s="1156"/>
      <c r="H377" s="1378">
        <v>3358</v>
      </c>
      <c r="I377" s="1437">
        <f t="shared" si="5"/>
        <v>3.9446017220923536E-2</v>
      </c>
      <c r="J377" s="1437"/>
      <c r="K377" s="1378"/>
      <c r="L377" s="1437"/>
      <c r="M377" s="1437"/>
      <c r="N377" s="1378"/>
      <c r="O377" s="1437"/>
    </row>
    <row r="378" spans="2:15">
      <c r="B378" s="1934"/>
      <c r="C378" s="1868"/>
      <c r="D378" s="1162" t="s">
        <v>1008</v>
      </c>
      <c r="E378" s="1516" t="s">
        <v>251</v>
      </c>
      <c r="F378" s="1835">
        <v>2.5784397796285639E-2</v>
      </c>
      <c r="G378" s="1156"/>
      <c r="H378" s="1378">
        <v>2195</v>
      </c>
      <c r="I378" s="1437">
        <f t="shared" si="5"/>
        <v>2.5784397796285639E-2</v>
      </c>
      <c r="J378" s="1437"/>
      <c r="K378" s="1378"/>
      <c r="L378" s="1437"/>
      <c r="M378" s="1437"/>
      <c r="N378" s="1378"/>
      <c r="O378" s="1437"/>
    </row>
    <row r="379" spans="2:15">
      <c r="B379" s="1934"/>
      <c r="C379" s="1868"/>
      <c r="D379" s="1162" t="s">
        <v>1009</v>
      </c>
      <c r="E379" s="1516" t="s">
        <v>1013</v>
      </c>
      <c r="F379" s="1835">
        <v>2.283593135124341E-2</v>
      </c>
      <c r="G379" s="1156"/>
      <c r="H379" s="1378">
        <v>1944</v>
      </c>
      <c r="I379" s="1437">
        <f t="shared" si="5"/>
        <v>2.2835931351243406E-2</v>
      </c>
      <c r="J379" s="1437"/>
      <c r="K379" s="1378"/>
      <c r="L379" s="1437"/>
      <c r="M379" s="1437"/>
      <c r="N379" s="1378"/>
      <c r="O379" s="1437"/>
    </row>
    <row r="380" spans="2:15">
      <c r="B380" s="1934"/>
      <c r="C380" s="1868"/>
      <c r="D380" s="1162" t="s">
        <v>1010</v>
      </c>
      <c r="E380" s="1516" t="s">
        <v>931</v>
      </c>
      <c r="F380" s="1835">
        <v>2.0956430828507323E-2</v>
      </c>
      <c r="G380" s="1156"/>
      <c r="H380" s="1378">
        <v>1784</v>
      </c>
      <c r="I380" s="1437">
        <f t="shared" si="5"/>
        <v>2.0956430828507323E-2</v>
      </c>
      <c r="J380" s="1437"/>
      <c r="K380" s="1378"/>
      <c r="L380" s="1437"/>
      <c r="M380" s="1437"/>
      <c r="N380" s="1378"/>
      <c r="O380" s="1437"/>
    </row>
    <row r="381" spans="2:15">
      <c r="B381" s="1934"/>
      <c r="C381" s="1868"/>
      <c r="D381" s="1162" t="s">
        <v>1011</v>
      </c>
      <c r="E381" s="1516" t="s">
        <v>931</v>
      </c>
      <c r="F381" s="1835">
        <v>1.7209176661302259E-2</v>
      </c>
      <c r="G381" s="1156"/>
      <c r="H381" s="1378">
        <v>1465</v>
      </c>
      <c r="I381" s="1437">
        <f t="shared" si="5"/>
        <v>1.7209176661302259E-2</v>
      </c>
      <c r="J381" s="1437"/>
      <c r="K381" s="1378"/>
      <c r="L381" s="1437"/>
      <c r="M381" s="1437"/>
      <c r="N381" s="1378"/>
      <c r="O381" s="1437"/>
    </row>
    <row r="382" spans="2:15">
      <c r="B382" s="1934"/>
      <c r="C382" s="1868"/>
      <c r="D382" s="1162" t="s">
        <v>1012</v>
      </c>
      <c r="E382" s="1516" t="s">
        <v>931</v>
      </c>
      <c r="F382" s="1835">
        <v>7.4122801865404266E-3</v>
      </c>
      <c r="G382" s="1156"/>
      <c r="H382" s="1378">
        <v>631</v>
      </c>
      <c r="I382" s="1437">
        <f t="shared" si="5"/>
        <v>7.4122801865404266E-3</v>
      </c>
      <c r="J382" s="1437"/>
      <c r="K382" s="1378"/>
      <c r="L382" s="1437"/>
      <c r="M382" s="1437"/>
      <c r="N382" s="1378"/>
      <c r="O382" s="1437"/>
    </row>
    <row r="383" spans="2:15" ht="4.5" customHeight="1">
      <c r="B383" s="1934"/>
      <c r="C383" s="1868"/>
      <c r="D383" s="1935"/>
      <c r="E383" s="1516"/>
      <c r="F383" s="1835"/>
      <c r="G383" s="1156"/>
      <c r="H383" s="1378"/>
      <c r="I383" s="1437"/>
      <c r="J383" s="1437"/>
      <c r="K383" s="1378"/>
      <c r="L383" s="1437"/>
      <c r="M383" s="1437"/>
      <c r="N383" s="1378"/>
      <c r="O383" s="1437"/>
    </row>
    <row r="384" spans="2:15">
      <c r="B384" s="2454"/>
      <c r="C384" s="2443"/>
      <c r="D384" s="2455"/>
      <c r="E384" s="2463"/>
      <c r="F384" s="2418"/>
      <c r="G384" s="2464"/>
      <c r="H384" s="2458">
        <f>SUM(H372:H382)</f>
        <v>85129</v>
      </c>
      <c r="I384" s="2459">
        <f>SUM(I372:I382)</f>
        <v>0.99999999999999989</v>
      </c>
      <c r="J384" s="2461"/>
      <c r="K384" s="2462"/>
      <c r="L384" s="2461"/>
      <c r="M384" s="2461"/>
      <c r="N384" s="2462"/>
      <c r="O384" s="2461"/>
    </row>
    <row r="385" spans="2:15" s="944" customFormat="1" ht="6" customHeight="1">
      <c r="B385" s="1934"/>
      <c r="C385" s="1868"/>
      <c r="D385" s="1935"/>
      <c r="E385" s="1516"/>
      <c r="F385" s="1906"/>
      <c r="G385" s="1156"/>
      <c r="H385" s="1378"/>
      <c r="I385" s="1437"/>
      <c r="J385" s="1437"/>
      <c r="K385" s="1378"/>
      <c r="L385" s="1437"/>
      <c r="M385" s="1437"/>
      <c r="N385" s="1378"/>
      <c r="O385" s="1437"/>
    </row>
    <row r="386" spans="2:15" ht="14.25" customHeight="1" thickBot="1">
      <c r="B386" s="1549"/>
      <c r="C386" s="2017"/>
      <c r="D386" s="2018"/>
      <c r="E386" s="2018"/>
      <c r="F386" s="2019"/>
      <c r="G386" s="2018"/>
      <c r="H386" s="3493" t="s">
        <v>1170</v>
      </c>
      <c r="I386" s="3409"/>
      <c r="J386" s="2368"/>
      <c r="K386" s="3493" t="s">
        <v>1219</v>
      </c>
      <c r="L386" s="3493"/>
      <c r="M386" s="2392"/>
      <c r="N386" s="3493" t="s">
        <v>267</v>
      </c>
      <c r="O386" s="3409"/>
    </row>
    <row r="387" spans="2:15" ht="16">
      <c r="B387" s="2021" t="s">
        <v>2387</v>
      </c>
      <c r="C387" s="2017"/>
      <c r="D387" s="2018" t="s">
        <v>11</v>
      </c>
      <c r="E387" s="2022" t="s">
        <v>110</v>
      </c>
      <c r="F387" s="2023"/>
      <c r="G387" s="2018"/>
      <c r="H387" s="2020" t="s">
        <v>111</v>
      </c>
      <c r="I387" s="2024" t="s">
        <v>153</v>
      </c>
      <c r="J387" s="2024"/>
      <c r="K387" s="2020" t="s">
        <v>111</v>
      </c>
      <c r="L387" s="2020" t="s">
        <v>153</v>
      </c>
      <c r="M387" s="2020"/>
      <c r="N387" s="2020" t="s">
        <v>111</v>
      </c>
      <c r="O387" s="2025" t="s">
        <v>153</v>
      </c>
    </row>
    <row r="388" spans="2:15">
      <c r="B388" s="1934" t="s">
        <v>817</v>
      </c>
      <c r="C388" s="1868"/>
      <c r="D388" s="1935" t="s">
        <v>1017</v>
      </c>
      <c r="E388" s="1520" t="s">
        <v>931</v>
      </c>
      <c r="F388" s="1835">
        <v>0.37553396720407883</v>
      </c>
      <c r="G388" s="1951"/>
      <c r="H388" s="1936">
        <v>10901</v>
      </c>
      <c r="I388" s="1438">
        <f>H388/$H$394</f>
        <v>0.37553396720407883</v>
      </c>
      <c r="J388" s="1438"/>
      <c r="K388" s="1936">
        <v>1779</v>
      </c>
      <c r="L388" s="1438">
        <f>K388/$K$394</f>
        <v>0.66879699248120306</v>
      </c>
      <c r="M388" s="1438"/>
      <c r="N388" s="1936">
        <f>H388+K388</f>
        <v>12680</v>
      </c>
      <c r="O388" s="1438">
        <f>N388/$N$394</f>
        <v>0.50132447712805916</v>
      </c>
    </row>
    <row r="389" spans="2:15">
      <c r="B389" s="1937" t="s">
        <v>873</v>
      </c>
      <c r="C389" s="1868">
        <v>0.374</v>
      </c>
      <c r="D389" s="1162" t="s">
        <v>1018</v>
      </c>
      <c r="E389" s="1516" t="s">
        <v>699</v>
      </c>
      <c r="F389" s="1835">
        <v>0.40416149924211114</v>
      </c>
      <c r="G389" s="1156"/>
      <c r="H389" s="1378">
        <v>11732</v>
      </c>
      <c r="I389" s="1437">
        <f>H389/$H$394</f>
        <v>0.40416149924211109</v>
      </c>
      <c r="J389" s="1437"/>
      <c r="K389" s="1378">
        <v>881</v>
      </c>
      <c r="L389" s="1437">
        <f>K389/$K$394</f>
        <v>0.331203007518797</v>
      </c>
      <c r="M389" s="1437"/>
      <c r="N389" s="1378">
        <f>H389+K389</f>
        <v>12613</v>
      </c>
      <c r="O389" s="1437">
        <f>N389/$N$394</f>
        <v>0.49867552287194084</v>
      </c>
    </row>
    <row r="390" spans="2:15">
      <c r="B390" s="1934"/>
      <c r="C390" s="1868"/>
      <c r="D390" s="1162" t="s">
        <v>1019</v>
      </c>
      <c r="E390" s="1516" t="s">
        <v>251</v>
      </c>
      <c r="F390" s="1835">
        <v>8.2334297919250385E-2</v>
      </c>
      <c r="G390" s="1156"/>
      <c r="H390" s="1378">
        <v>2390</v>
      </c>
      <c r="I390" s="1437">
        <f>H390/$H$394</f>
        <v>8.2334297919250385E-2</v>
      </c>
      <c r="J390" s="1437"/>
      <c r="K390" s="1378"/>
      <c r="L390" s="1437"/>
      <c r="M390" s="1437"/>
      <c r="N390" s="1378"/>
      <c r="O390" s="1437"/>
    </row>
    <row r="391" spans="2:15">
      <c r="B391" s="1934"/>
      <c r="C391" s="1868"/>
      <c r="D391" s="1162" t="s">
        <v>1020</v>
      </c>
      <c r="E391" s="1516" t="s">
        <v>698</v>
      </c>
      <c r="F391" s="1835">
        <v>7.5513297505856419E-2</v>
      </c>
      <c r="G391" s="1156"/>
      <c r="H391" s="1378">
        <v>2192</v>
      </c>
      <c r="I391" s="1437">
        <f>H391/$H$394</f>
        <v>7.5513297505856419E-2</v>
      </c>
      <c r="J391" s="1437"/>
      <c r="K391" s="1378"/>
      <c r="L391" s="1437"/>
      <c r="M391" s="1437"/>
      <c r="N391" s="1378"/>
      <c r="O391" s="1437"/>
    </row>
    <row r="392" spans="2:15">
      <c r="B392" s="1934"/>
      <c r="C392" s="1868"/>
      <c r="D392" s="1162" t="s">
        <v>1021</v>
      </c>
      <c r="E392" s="1516" t="s">
        <v>827</v>
      </c>
      <c r="F392" s="1835">
        <v>6.2456938128703322E-2</v>
      </c>
      <c r="G392" s="1156"/>
      <c r="H392" s="1378">
        <v>1813</v>
      </c>
      <c r="I392" s="1437">
        <f>H392/$H$394</f>
        <v>6.2456938128703322E-2</v>
      </c>
      <c r="J392" s="1437"/>
      <c r="K392" s="1378"/>
      <c r="L392" s="1437"/>
      <c r="M392" s="1437"/>
      <c r="N392" s="1378"/>
      <c r="O392" s="1437"/>
    </row>
    <row r="393" spans="2:15" ht="4.5" customHeight="1">
      <c r="B393" s="1934"/>
      <c r="C393" s="1868"/>
      <c r="D393" s="1935"/>
      <c r="E393" s="1516"/>
      <c r="F393" s="1835"/>
      <c r="G393" s="1156"/>
      <c r="H393" s="1378"/>
      <c r="I393" s="1437"/>
      <c r="J393" s="1437"/>
      <c r="K393" s="1378"/>
      <c r="L393" s="1437"/>
      <c r="M393" s="1437"/>
      <c r="N393" s="1378"/>
      <c r="O393" s="1437"/>
    </row>
    <row r="394" spans="2:15">
      <c r="B394" s="2454"/>
      <c r="C394" s="2443"/>
      <c r="D394" s="2455"/>
      <c r="E394" s="2463"/>
      <c r="F394" s="2418"/>
      <c r="G394" s="2464"/>
      <c r="H394" s="2458">
        <f>SUM(H388:H392)</f>
        <v>29028</v>
      </c>
      <c r="I394" s="2459">
        <v>1</v>
      </c>
      <c r="J394" s="2460"/>
      <c r="K394" s="2458">
        <f>SUM(K388:K389)</f>
        <v>2660</v>
      </c>
      <c r="L394" s="2459">
        <v>1</v>
      </c>
      <c r="M394" s="2460"/>
      <c r="N394" s="2458">
        <f>SUM(N388:N389)</f>
        <v>25293</v>
      </c>
      <c r="O394" s="2459">
        <v>1</v>
      </c>
    </row>
    <row r="395" spans="2:15" ht="6" customHeight="1">
      <c r="B395" s="1934"/>
      <c r="C395" s="1868"/>
      <c r="D395" s="1935"/>
      <c r="E395" s="1516"/>
      <c r="F395" s="1835"/>
      <c r="G395" s="1156"/>
      <c r="H395" s="1378"/>
      <c r="I395" s="1437"/>
      <c r="J395" s="1437"/>
      <c r="K395" s="1378"/>
      <c r="L395" s="1437"/>
      <c r="M395" s="1437"/>
      <c r="N395" s="1378"/>
      <c r="O395" s="1437"/>
    </row>
    <row r="396" spans="2:15">
      <c r="B396" s="1934" t="s">
        <v>463</v>
      </c>
      <c r="C396" s="1868"/>
      <c r="D396" s="1935" t="s">
        <v>1023</v>
      </c>
      <c r="E396" s="1520" t="s">
        <v>931</v>
      </c>
      <c r="F396" s="1835">
        <v>0.50358357458051095</v>
      </c>
      <c r="G396" s="1951"/>
      <c r="H396" s="1936">
        <v>17917</v>
      </c>
      <c r="I396" s="1438">
        <f>H396/$H$401</f>
        <v>0.50358357458051095</v>
      </c>
      <c r="J396" s="1438"/>
      <c r="K396" s="1971" t="s">
        <v>685</v>
      </c>
      <c r="L396" s="1964"/>
      <c r="M396" s="1964"/>
      <c r="N396" s="1969">
        <f>H396</f>
        <v>17917</v>
      </c>
      <c r="O396" s="1970">
        <f>I396</f>
        <v>0.50358357458051095</v>
      </c>
    </row>
    <row r="397" spans="2:15">
      <c r="B397" s="1937" t="s">
        <v>1222</v>
      </c>
      <c r="C397" s="1868">
        <v>0.36599999999999999</v>
      </c>
      <c r="D397" s="1162" t="s">
        <v>1024</v>
      </c>
      <c r="E397" s="1516" t="s">
        <v>699</v>
      </c>
      <c r="F397" s="1835">
        <v>0.32055425953511901</v>
      </c>
      <c r="G397" s="1156"/>
      <c r="H397" s="1378">
        <v>11405</v>
      </c>
      <c r="I397" s="1437">
        <f>H397/$H$401</f>
        <v>0.32055425953511901</v>
      </c>
      <c r="J397" s="1437"/>
      <c r="K397" s="1964" t="s">
        <v>685</v>
      </c>
      <c r="L397" s="1964"/>
      <c r="M397" s="1964"/>
      <c r="N397" s="1977"/>
      <c r="O397" s="1978"/>
    </row>
    <row r="398" spans="2:15">
      <c r="C398" s="1868"/>
      <c r="D398" s="1162" t="s">
        <v>1025</v>
      </c>
      <c r="E398" s="1516" t="s">
        <v>827</v>
      </c>
      <c r="F398" s="1835">
        <v>9.1514657522695983E-2</v>
      </c>
      <c r="G398" s="1156"/>
      <c r="H398" s="1378">
        <v>3256</v>
      </c>
      <c r="I398" s="1437">
        <f>H398/$H$401</f>
        <v>9.1514657522695969E-2</v>
      </c>
      <c r="J398" s="1437"/>
      <c r="K398" s="1378"/>
      <c r="L398" s="1437"/>
      <c r="M398" s="1437"/>
      <c r="N398" s="1378"/>
      <c r="O398" s="1437"/>
    </row>
    <row r="399" spans="2:15">
      <c r="B399" s="1934"/>
      <c r="C399" s="1868"/>
      <c r="D399" s="1162" t="s">
        <v>1026</v>
      </c>
      <c r="E399" s="1516" t="s">
        <v>698</v>
      </c>
      <c r="F399" s="1835">
        <v>8.4347508361674026E-2</v>
      </c>
      <c r="G399" s="1156"/>
      <c r="H399" s="1378">
        <v>3001</v>
      </c>
      <c r="I399" s="1437">
        <f>H399/$H$401</f>
        <v>8.4347508361674026E-2</v>
      </c>
      <c r="J399" s="1437"/>
      <c r="K399" s="1378"/>
      <c r="L399" s="1437"/>
      <c r="M399" s="1437"/>
      <c r="N399" s="1378"/>
      <c r="O399" s="1437"/>
    </row>
    <row r="400" spans="2:15" ht="4.5" customHeight="1">
      <c r="B400" s="1934"/>
      <c r="C400" s="1868"/>
      <c r="D400" s="1935"/>
      <c r="E400" s="1516"/>
      <c r="F400" s="1835"/>
      <c r="G400" s="1156"/>
      <c r="H400" s="1378"/>
      <c r="I400" s="1437"/>
      <c r="J400" s="1437"/>
      <c r="K400" s="1378"/>
      <c r="L400" s="1437"/>
      <c r="M400" s="1437"/>
      <c r="N400" s="1378"/>
      <c r="O400" s="1437"/>
    </row>
    <row r="401" spans="2:15">
      <c r="B401" s="1934"/>
      <c r="C401" s="1868"/>
      <c r="D401" s="1935"/>
      <c r="E401" s="1516"/>
      <c r="F401" s="1835"/>
      <c r="G401" s="1156"/>
      <c r="H401" s="1936">
        <f>SUM(H396:H399)</f>
        <v>35579</v>
      </c>
      <c r="I401" s="2404">
        <v>1</v>
      </c>
      <c r="J401" s="1437"/>
      <c r="K401" s="1378"/>
      <c r="L401" s="1437"/>
      <c r="M401" s="1437"/>
      <c r="N401" s="1378"/>
      <c r="O401" s="1437"/>
    </row>
    <row r="402" spans="2:15" ht="1.5" customHeight="1">
      <c r="B402" s="1934"/>
      <c r="C402" s="1868"/>
      <c r="D402" s="1935"/>
      <c r="E402" s="1516"/>
      <c r="F402" s="1835"/>
      <c r="G402" s="1156"/>
      <c r="H402" s="1378"/>
      <c r="I402" s="1437"/>
      <c r="J402" s="1437"/>
      <c r="K402" s="1378"/>
      <c r="L402" s="1437"/>
      <c r="M402" s="1437"/>
      <c r="N402" s="1378"/>
      <c r="O402" s="1437"/>
    </row>
    <row r="403" spans="2:15" ht="6" customHeight="1">
      <c r="B403" s="1813"/>
      <c r="C403" s="1823"/>
      <c r="D403" s="1820"/>
      <c r="E403" s="1820"/>
      <c r="F403" s="1835"/>
      <c r="G403" s="1820"/>
      <c r="H403" s="1822"/>
      <c r="I403" s="1821"/>
      <c r="J403" s="1821"/>
      <c r="K403" s="1822"/>
      <c r="L403" s="1822"/>
      <c r="M403" s="1822"/>
      <c r="N403" s="1822"/>
      <c r="O403" s="1825"/>
    </row>
    <row r="404" spans="2:15">
      <c r="B404" s="2066">
        <v>41032</v>
      </c>
      <c r="C404" s="2059"/>
      <c r="D404" s="2067"/>
      <c r="E404" s="2068"/>
      <c r="F404" s="2062"/>
      <c r="G404" s="2069"/>
      <c r="H404" s="2070"/>
      <c r="I404" s="2071"/>
      <c r="J404" s="2071"/>
      <c r="K404" s="2070"/>
      <c r="L404" s="2071"/>
      <c r="M404" s="2071"/>
      <c r="N404" s="2070"/>
      <c r="O404" s="2071"/>
    </row>
    <row r="405" spans="2:15" ht="6" customHeight="1">
      <c r="B405" s="1934"/>
      <c r="C405" s="1868"/>
      <c r="D405" s="1935"/>
      <c r="E405" s="1516"/>
      <c r="F405" s="1835"/>
      <c r="G405" s="1156"/>
      <c r="H405" s="1378"/>
      <c r="I405" s="1437"/>
      <c r="J405" s="1437"/>
      <c r="K405" s="1378"/>
      <c r="L405" s="1437"/>
      <c r="M405" s="1437"/>
      <c r="N405" s="1378"/>
      <c r="O405" s="1437"/>
    </row>
    <row r="406" spans="2:15" s="935" customFormat="1">
      <c r="B406" s="1934" t="s">
        <v>1235</v>
      </c>
      <c r="C406" s="1869"/>
      <c r="D406" s="1935" t="s">
        <v>1236</v>
      </c>
      <c r="E406" s="1520" t="s">
        <v>699</v>
      </c>
      <c r="F406" s="1835">
        <v>0.59333854446892098</v>
      </c>
      <c r="H406" s="1936">
        <v>58448</v>
      </c>
      <c r="I406" s="1438">
        <v>0.59333854446892098</v>
      </c>
      <c r="J406" s="1438"/>
      <c r="K406" s="1971" t="s">
        <v>685</v>
      </c>
      <c r="L406" s="1964"/>
      <c r="M406" s="1964"/>
      <c r="N406" s="1969">
        <f>H406</f>
        <v>58448</v>
      </c>
      <c r="O406" s="1970">
        <f>I406</f>
        <v>0.59333854446892098</v>
      </c>
    </row>
    <row r="407" spans="2:15">
      <c r="B407" s="1937" t="s">
        <v>1250</v>
      </c>
      <c r="C407" s="1868">
        <v>0.317</v>
      </c>
      <c r="D407" s="1162" t="s">
        <v>1237</v>
      </c>
      <c r="E407" s="1516" t="s">
        <v>931</v>
      </c>
      <c r="F407" s="1835">
        <v>8.4176759012049907E-2</v>
      </c>
      <c r="H407" s="1378">
        <v>8292</v>
      </c>
      <c r="I407" s="1437">
        <v>8.4176759012049907E-2</v>
      </c>
      <c r="J407" s="1437"/>
      <c r="K407" s="1964" t="s">
        <v>685</v>
      </c>
      <c r="L407" s="1964"/>
      <c r="M407" s="1964"/>
      <c r="N407" s="1977"/>
      <c r="O407" s="1978"/>
    </row>
    <row r="408" spans="2:15">
      <c r="B408" s="1934"/>
      <c r="C408" s="1868"/>
      <c r="D408" s="1162" t="s">
        <v>1238</v>
      </c>
      <c r="E408" s="1516" t="s">
        <v>827</v>
      </c>
      <c r="F408" s="1835">
        <v>6.3325448952866292E-2</v>
      </c>
      <c r="H408" s="1378">
        <v>6238</v>
      </c>
      <c r="I408" s="1437">
        <v>6.3325448952866292E-2</v>
      </c>
      <c r="J408" s="1437"/>
      <c r="K408" s="1378"/>
      <c r="L408" s="1437"/>
      <c r="M408" s="1437"/>
      <c r="N408" s="1378"/>
      <c r="O408" s="1437"/>
    </row>
    <row r="409" spans="2:15">
      <c r="B409" s="1934"/>
      <c r="C409" s="1868"/>
      <c r="D409" s="1162" t="s">
        <v>1239</v>
      </c>
      <c r="E409" s="1516" t="s">
        <v>1341</v>
      </c>
      <c r="F409" s="1835">
        <v>5.2534337661282952E-2</v>
      </c>
      <c r="H409" s="1378">
        <v>5175</v>
      </c>
      <c r="I409" s="1437">
        <v>5.2534337661282952E-2</v>
      </c>
      <c r="J409" s="1437"/>
      <c r="K409" s="1378"/>
      <c r="L409" s="1437"/>
      <c r="M409" s="1437"/>
      <c r="N409" s="1378"/>
      <c r="O409" s="1437"/>
    </row>
    <row r="410" spans="2:15">
      <c r="B410" s="1934"/>
      <c r="C410" s="1868"/>
      <c r="D410" s="1162" t="s">
        <v>1240</v>
      </c>
      <c r="E410" s="1516" t="s">
        <v>1241</v>
      </c>
      <c r="F410" s="1835">
        <v>4.8646289096206358E-2</v>
      </c>
      <c r="H410" s="1378">
        <v>4792</v>
      </c>
      <c r="I410" s="1437">
        <v>4.8646289096206358E-2</v>
      </c>
      <c r="J410" s="1437"/>
      <c r="K410" s="1378"/>
      <c r="L410" s="1437"/>
      <c r="M410" s="1437"/>
      <c r="N410" s="1378"/>
      <c r="O410" s="1437"/>
    </row>
    <row r="411" spans="2:15">
      <c r="B411" s="1934"/>
      <c r="C411" s="1868"/>
      <c r="D411" s="1162" t="s">
        <v>1242</v>
      </c>
      <c r="E411" s="1516" t="s">
        <v>1172</v>
      </c>
      <c r="F411" s="1835">
        <v>4.5093242104621997E-2</v>
      </c>
      <c r="H411" s="1378">
        <v>4442</v>
      </c>
      <c r="I411" s="1437">
        <v>4.5093242104622004E-2</v>
      </c>
      <c r="J411" s="1437"/>
      <c r="K411" s="1378"/>
      <c r="L411" s="1437"/>
      <c r="M411" s="1437"/>
      <c r="N411" s="1378"/>
      <c r="O411" s="1437"/>
    </row>
    <row r="412" spans="2:15">
      <c r="B412" s="1934"/>
      <c r="C412" s="1868"/>
      <c r="D412" s="1162" t="s">
        <v>1243</v>
      </c>
      <c r="E412" s="1516" t="s">
        <v>698</v>
      </c>
      <c r="F412" s="1835">
        <v>4.4920665536459341E-2</v>
      </c>
      <c r="H412" s="1378">
        <v>4425</v>
      </c>
      <c r="I412" s="1437">
        <v>4.4920665536459341E-2</v>
      </c>
      <c r="J412" s="1437"/>
      <c r="K412" s="1378"/>
      <c r="L412" s="1437"/>
      <c r="M412" s="1437"/>
      <c r="N412" s="1378"/>
      <c r="O412" s="1437"/>
    </row>
    <row r="413" spans="2:15">
      <c r="B413" s="1934"/>
      <c r="C413" s="1868"/>
      <c r="D413" s="1162" t="s">
        <v>1244</v>
      </c>
      <c r="E413" s="1516" t="s">
        <v>251</v>
      </c>
      <c r="F413" s="1835">
        <v>2.3876475783446861E-2</v>
      </c>
      <c r="H413" s="1378">
        <v>2352</v>
      </c>
      <c r="I413" s="1437">
        <v>2.3876475783446861E-2</v>
      </c>
      <c r="J413" s="1437"/>
      <c r="K413" s="1378"/>
      <c r="L413" s="1437"/>
      <c r="M413" s="1437"/>
      <c r="N413" s="1378"/>
      <c r="O413" s="1437"/>
    </row>
    <row r="414" spans="2:15">
      <c r="B414" s="1934"/>
      <c r="C414" s="1868"/>
      <c r="D414" s="1162" t="s">
        <v>1245</v>
      </c>
      <c r="E414" s="1516" t="s">
        <v>926</v>
      </c>
      <c r="F414" s="1835">
        <v>1.4212187966337417E-2</v>
      </c>
      <c r="H414" s="1378">
        <v>1400</v>
      </c>
      <c r="I414" s="1437">
        <v>1.4212187966337417E-2</v>
      </c>
      <c r="J414" s="1437"/>
      <c r="K414" s="1378"/>
      <c r="L414" s="1437"/>
      <c r="M414" s="1437"/>
      <c r="N414" s="1378"/>
      <c r="O414" s="1437"/>
    </row>
    <row r="415" spans="2:15">
      <c r="B415" s="1934"/>
      <c r="C415" s="1868"/>
      <c r="D415" s="1162" t="s">
        <v>1246</v>
      </c>
      <c r="E415" s="1516" t="s">
        <v>1247</v>
      </c>
      <c r="F415" s="1835">
        <v>1.3826428578679687E-2</v>
      </c>
      <c r="H415" s="1378">
        <v>1362</v>
      </c>
      <c r="I415" s="1437">
        <v>1.3826428578679687E-2</v>
      </c>
      <c r="J415" s="1437"/>
      <c r="K415" s="1378"/>
      <c r="L415" s="1437"/>
      <c r="M415" s="1437"/>
      <c r="N415" s="1378"/>
      <c r="O415" s="1437"/>
    </row>
    <row r="416" spans="2:15">
      <c r="B416" s="1934"/>
      <c r="C416" s="1868"/>
      <c r="D416" s="1162" t="s">
        <v>1248</v>
      </c>
      <c r="E416" s="1516" t="s">
        <v>816</v>
      </c>
      <c r="F416" s="1835">
        <v>1.0303836275594627E-2</v>
      </c>
      <c r="H416" s="1378">
        <v>1015</v>
      </c>
      <c r="I416" s="1437">
        <v>1.0303836275594627E-2</v>
      </c>
      <c r="J416" s="1437"/>
      <c r="K416" s="1378"/>
      <c r="L416" s="1437"/>
      <c r="M416" s="1437"/>
      <c r="N416" s="1378"/>
      <c r="O416" s="1437"/>
    </row>
    <row r="417" spans="2:15">
      <c r="B417" s="1934"/>
      <c r="C417" s="1868"/>
      <c r="D417" s="1162" t="s">
        <v>1249</v>
      </c>
      <c r="E417" s="1516" t="s">
        <v>707</v>
      </c>
      <c r="F417" s="1835">
        <v>5.7457845635335561E-3</v>
      </c>
      <c r="H417" s="1378">
        <v>566</v>
      </c>
      <c r="I417" s="1437">
        <v>5.7457845635335561E-3</v>
      </c>
      <c r="J417" s="1437"/>
      <c r="K417" s="1378"/>
      <c r="L417" s="1437"/>
      <c r="M417" s="1437"/>
      <c r="N417" s="1378"/>
      <c r="O417" s="1437"/>
    </row>
    <row r="418" spans="2:15" ht="4.5" customHeight="1">
      <c r="B418" s="1934"/>
      <c r="C418" s="1868"/>
      <c r="D418" s="1935"/>
      <c r="E418" s="1516"/>
      <c r="F418" s="1835"/>
      <c r="G418" s="1156"/>
      <c r="J418" s="1437"/>
      <c r="K418" s="1378"/>
      <c r="L418" s="1437"/>
      <c r="M418" s="1437"/>
      <c r="N418" s="1378"/>
      <c r="O418" s="1437"/>
    </row>
    <row r="419" spans="2:15">
      <c r="B419" s="2454"/>
      <c r="C419" s="2443"/>
      <c r="D419" s="2455"/>
      <c r="E419" s="2463"/>
      <c r="F419" s="2418"/>
      <c r="G419" s="2464"/>
      <c r="H419" s="2458">
        <f>SUM(H406:H417)</f>
        <v>98507</v>
      </c>
      <c r="I419" s="2459">
        <v>1</v>
      </c>
      <c r="J419" s="2461"/>
      <c r="K419" s="2462"/>
      <c r="L419" s="2461"/>
      <c r="M419" s="2461"/>
      <c r="N419" s="2462"/>
      <c r="O419" s="2461"/>
    </row>
    <row r="420" spans="2:15" ht="6" customHeight="1">
      <c r="B420" s="1934"/>
      <c r="C420" s="1868"/>
      <c r="D420" s="1935"/>
      <c r="E420" s="1516"/>
      <c r="F420" s="1835"/>
      <c r="G420" s="1156"/>
      <c r="H420" s="1378"/>
      <c r="I420" s="1437"/>
      <c r="J420" s="1437"/>
      <c r="K420" s="1378"/>
      <c r="L420" s="1437"/>
      <c r="M420" s="1437"/>
      <c r="N420" s="1378"/>
      <c r="O420" s="1437"/>
    </row>
    <row r="421" spans="2:15">
      <c r="B421" s="1934" t="s">
        <v>1152</v>
      </c>
      <c r="C421" s="1868"/>
      <c r="D421" s="1935" t="s">
        <v>1252</v>
      </c>
      <c r="E421" s="1520" t="s">
        <v>699</v>
      </c>
      <c r="F421" s="1835">
        <v>0.46046708561750682</v>
      </c>
      <c r="G421" s="935"/>
      <c r="H421" s="1936">
        <v>20663</v>
      </c>
      <c r="I421" s="1438">
        <v>0.46046708561750682</v>
      </c>
      <c r="J421" s="1438"/>
      <c r="K421" s="1936">
        <v>2796</v>
      </c>
      <c r="L421" s="1438">
        <f>K421/K432</f>
        <v>0.58104738154613467</v>
      </c>
      <c r="M421" s="1438"/>
      <c r="N421" s="1936">
        <f>K421+H421</f>
        <v>23459</v>
      </c>
      <c r="O421" s="1438">
        <f>N421/N432</f>
        <v>0.69964211154190281</v>
      </c>
    </row>
    <row r="422" spans="2:15">
      <c r="B422" s="1937" t="s">
        <v>1264</v>
      </c>
      <c r="C422" s="1868">
        <v>0.26100000000000001</v>
      </c>
      <c r="D422" s="1162" t="s">
        <v>1253</v>
      </c>
      <c r="E422" s="1516" t="s">
        <v>698</v>
      </c>
      <c r="F422" s="1835">
        <v>0.17950260730044124</v>
      </c>
      <c r="H422" s="1378">
        <v>8055</v>
      </c>
      <c r="I422" s="1437">
        <v>0.17950260730044124</v>
      </c>
      <c r="J422" s="1437"/>
      <c r="K422" s="1378">
        <v>2016</v>
      </c>
      <c r="L422" s="1437">
        <f>K422/K432</f>
        <v>0.41895261845386533</v>
      </c>
      <c r="M422" s="1437"/>
      <c r="N422" s="1378">
        <f>K422+H422</f>
        <v>10071</v>
      </c>
      <c r="O422" s="1437">
        <f>N422/N432</f>
        <v>0.30035788845809724</v>
      </c>
    </row>
    <row r="423" spans="2:15">
      <c r="B423" s="1934"/>
      <c r="C423" s="1868"/>
      <c r="D423" s="1162" t="s">
        <v>1254</v>
      </c>
      <c r="E423" s="1516" t="s">
        <v>251</v>
      </c>
      <c r="F423" s="1835">
        <v>7.5054597316931856E-2</v>
      </c>
      <c r="H423" s="1378">
        <v>3368</v>
      </c>
      <c r="I423" s="1437">
        <v>7.5054597316931856E-2</v>
      </c>
      <c r="J423" s="1437"/>
      <c r="K423" s="1378"/>
      <c r="L423" s="1437"/>
      <c r="M423" s="1437"/>
      <c r="N423" s="1378"/>
      <c r="O423" s="1437"/>
    </row>
    <row r="424" spans="2:15">
      <c r="B424" s="1934"/>
      <c r="C424" s="1868"/>
      <c r="D424" s="1162" t="s">
        <v>1255</v>
      </c>
      <c r="E424" s="1516" t="s">
        <v>931</v>
      </c>
      <c r="F424" s="1835">
        <v>5.938851005036324E-2</v>
      </c>
      <c r="H424" s="1378">
        <v>2665</v>
      </c>
      <c r="I424" s="1437">
        <v>5.938851005036324E-2</v>
      </c>
      <c r="J424" s="1437"/>
      <c r="K424" s="1378"/>
      <c r="L424" s="1437"/>
      <c r="M424" s="1437"/>
      <c r="N424" s="1378"/>
      <c r="O424" s="1437"/>
    </row>
    <row r="425" spans="2:15">
      <c r="B425" s="1934"/>
      <c r="C425" s="1868"/>
      <c r="D425" s="1162" t="s">
        <v>1256</v>
      </c>
      <c r="E425" s="1516" t="s">
        <v>827</v>
      </c>
      <c r="F425" s="1835">
        <v>4.7867361946784329E-2</v>
      </c>
      <c r="H425" s="1378">
        <v>2148</v>
      </c>
      <c r="I425" s="1437">
        <v>4.7867361946784329E-2</v>
      </c>
      <c r="J425" s="1437"/>
      <c r="K425" s="1378"/>
      <c r="L425" s="1437"/>
      <c r="M425" s="1437"/>
      <c r="N425" s="1378"/>
      <c r="O425" s="1437"/>
    </row>
    <row r="426" spans="2:15">
      <c r="B426" s="1934"/>
      <c r="C426" s="1868"/>
      <c r="D426" s="1162" t="s">
        <v>1257</v>
      </c>
      <c r="E426" s="1516" t="s">
        <v>816</v>
      </c>
      <c r="F426" s="1835">
        <v>4.5148638409769577E-2</v>
      </c>
      <c r="H426" s="1378">
        <v>2026</v>
      </c>
      <c r="I426" s="1437">
        <v>4.5148638409769577E-2</v>
      </c>
      <c r="J426" s="1437"/>
      <c r="K426" s="1378"/>
      <c r="L426" s="1437"/>
      <c r="M426" s="1437"/>
      <c r="N426" s="1378"/>
      <c r="O426" s="1437"/>
    </row>
    <row r="427" spans="2:15">
      <c r="B427" s="1934"/>
      <c r="C427" s="1868"/>
      <c r="D427" s="1162" t="s">
        <v>1258</v>
      </c>
      <c r="E427" s="1516" t="s">
        <v>931</v>
      </c>
      <c r="F427" s="1835">
        <v>4.445781521593796E-2</v>
      </c>
      <c r="H427" s="1378">
        <v>1995</v>
      </c>
      <c r="I427" s="1437">
        <v>4.445781521593796E-2</v>
      </c>
      <c r="J427" s="1437"/>
      <c r="K427" s="1378"/>
      <c r="L427" s="1437"/>
      <c r="M427" s="1437"/>
      <c r="N427" s="1378"/>
      <c r="O427" s="1437"/>
    </row>
    <row r="428" spans="2:15">
      <c r="B428" s="1934"/>
      <c r="C428" s="1868"/>
      <c r="D428" s="1162" t="s">
        <v>1259</v>
      </c>
      <c r="E428" s="1516" t="s">
        <v>926</v>
      </c>
      <c r="F428" s="1835">
        <v>3.6011944555867544E-2</v>
      </c>
      <c r="H428" s="1378">
        <v>1616</v>
      </c>
      <c r="I428" s="1437">
        <v>3.6011944555867544E-2</v>
      </c>
      <c r="J428" s="1437"/>
      <c r="K428" s="1378"/>
      <c r="L428" s="1437"/>
      <c r="M428" s="1437"/>
      <c r="N428" s="1378"/>
      <c r="O428" s="1437"/>
    </row>
    <row r="429" spans="2:15">
      <c r="B429" s="1934"/>
      <c r="C429" s="1868"/>
      <c r="D429" s="1162" t="s">
        <v>1260</v>
      </c>
      <c r="E429" s="1516" t="s">
        <v>1341</v>
      </c>
      <c r="F429" s="1835">
        <v>2.8368320185408035E-2</v>
      </c>
      <c r="H429" s="1378">
        <v>1273</v>
      </c>
      <c r="I429" s="1437">
        <v>2.8368320185408032E-2</v>
      </c>
      <c r="J429" s="1437"/>
      <c r="K429" s="1378"/>
      <c r="L429" s="1437"/>
      <c r="M429" s="1437"/>
      <c r="N429" s="1378"/>
      <c r="O429" s="1437"/>
    </row>
    <row r="430" spans="2:15">
      <c r="B430" s="1934"/>
      <c r="C430" s="1868"/>
      <c r="D430" s="1162" t="s">
        <v>1261</v>
      </c>
      <c r="E430" s="1516" t="s">
        <v>1262</v>
      </c>
      <c r="F430" s="1835">
        <v>2.3733119400989437E-2</v>
      </c>
      <c r="H430" s="1378">
        <v>1065</v>
      </c>
      <c r="I430" s="1437">
        <v>2.3733119400989437E-2</v>
      </c>
      <c r="J430" s="1437"/>
      <c r="K430" s="1378"/>
      <c r="L430" s="1437"/>
      <c r="M430" s="1437"/>
      <c r="N430" s="1378"/>
      <c r="O430" s="1437"/>
    </row>
    <row r="431" spans="2:15" ht="4.5" customHeight="1">
      <c r="B431" s="1934"/>
      <c r="C431" s="1868"/>
      <c r="D431" s="1935"/>
      <c r="E431" s="1156"/>
      <c r="F431" s="1952"/>
      <c r="G431" s="1156"/>
    </row>
    <row r="432" spans="2:15">
      <c r="B432" s="2454"/>
      <c r="C432" s="2443"/>
      <c r="D432" s="2455"/>
      <c r="E432" s="2464"/>
      <c r="F432" s="2465"/>
      <c r="G432" s="2464"/>
      <c r="H432" s="2458">
        <f>SUM(H421:H430)</f>
        <v>44874</v>
      </c>
      <c r="I432" s="2460">
        <v>1</v>
      </c>
      <c r="J432" s="2460"/>
      <c r="K432" s="2458">
        <f>SUM(K421:K430)</f>
        <v>4812</v>
      </c>
      <c r="L432" s="2459">
        <v>1</v>
      </c>
      <c r="M432" s="2460"/>
      <c r="N432" s="2458">
        <f>SUM(N421:N430)</f>
        <v>33530</v>
      </c>
      <c r="O432" s="2459">
        <v>1</v>
      </c>
    </row>
    <row r="433" spans="2:17" ht="5.25" customHeight="1">
      <c r="B433" s="1953"/>
      <c r="C433" s="1954"/>
      <c r="D433" s="1955"/>
      <c r="E433" s="1392"/>
      <c r="F433" s="1956"/>
      <c r="G433" s="1392"/>
      <c r="H433" s="1403"/>
      <c r="I433" s="1957"/>
      <c r="J433" s="1957"/>
      <c r="K433" s="1403"/>
      <c r="L433" s="1957"/>
      <c r="M433" s="1957"/>
      <c r="N433" s="1403"/>
      <c r="O433" s="1957"/>
      <c r="P433" s="1074"/>
      <c r="Q433" s="1074"/>
    </row>
    <row r="434" spans="2:17">
      <c r="B434" s="2072" t="s">
        <v>1801</v>
      </c>
      <c r="C434" s="2059"/>
      <c r="D434" s="2067"/>
      <c r="E434" s="2069"/>
      <c r="F434" s="2073"/>
      <c r="G434" s="2069"/>
      <c r="H434" s="2070"/>
      <c r="I434" s="2071"/>
      <c r="J434" s="2071"/>
      <c r="K434" s="2070"/>
      <c r="L434" s="2071"/>
      <c r="M434" s="2071"/>
      <c r="N434" s="2070"/>
      <c r="O434" s="2071"/>
      <c r="P434" s="1074"/>
      <c r="Q434" s="1074"/>
    </row>
    <row r="435" spans="2:17">
      <c r="B435" s="1953" t="s">
        <v>1212</v>
      </c>
      <c r="C435" s="1954"/>
      <c r="D435" s="1955" t="s">
        <v>1802</v>
      </c>
      <c r="E435" s="1958" t="s">
        <v>1822</v>
      </c>
      <c r="F435" s="1959">
        <v>0.35132133883704236</v>
      </c>
      <c r="G435" s="1391"/>
      <c r="H435" s="1393">
        <v>31321</v>
      </c>
      <c r="I435" s="1960">
        <f t="shared" ref="I435:I449" si="6">H435/$H$451</f>
        <v>0.35132133883704236</v>
      </c>
      <c r="J435" s="1960"/>
      <c r="K435" s="1393">
        <v>6032</v>
      </c>
      <c r="L435" s="1960">
        <f>K435/K451</f>
        <v>0.52935498025449756</v>
      </c>
      <c r="M435" s="1960"/>
      <c r="N435" s="1393">
        <f>K435+H435</f>
        <v>37353</v>
      </c>
      <c r="O435" s="1960">
        <f>N435/N451</f>
        <v>0.54440914125808892</v>
      </c>
      <c r="P435" s="1074"/>
      <c r="Q435" s="1074"/>
    </row>
    <row r="436" spans="2:17">
      <c r="B436" s="1961" t="s">
        <v>1821</v>
      </c>
      <c r="C436" s="1954">
        <v>0.27900000000000003</v>
      </c>
      <c r="D436" s="1167" t="s">
        <v>1819</v>
      </c>
      <c r="E436" s="1962" t="s">
        <v>699</v>
      </c>
      <c r="F436" s="1959">
        <v>0.290470208183776</v>
      </c>
      <c r="G436" s="1074"/>
      <c r="H436" s="1403">
        <v>25896</v>
      </c>
      <c r="I436" s="1957">
        <f t="shared" si="6"/>
        <v>0.290470208183776</v>
      </c>
      <c r="J436" s="1960"/>
      <c r="K436" s="1403">
        <v>5363</v>
      </c>
      <c r="L436" s="1957">
        <f>K436/K451</f>
        <v>0.47064501974550244</v>
      </c>
      <c r="M436" s="1957"/>
      <c r="N436" s="1403">
        <f>K436+H436</f>
        <v>31259</v>
      </c>
      <c r="O436" s="1957">
        <f>N436/N451</f>
        <v>0.45559085874191102</v>
      </c>
      <c r="P436" s="1074"/>
      <c r="Q436" s="1074"/>
    </row>
    <row r="437" spans="2:17">
      <c r="B437" s="1953"/>
      <c r="C437" s="1954"/>
      <c r="D437" s="1167" t="s">
        <v>1814</v>
      </c>
      <c r="E437" s="1962" t="s">
        <v>698</v>
      </c>
      <c r="F437" s="1959">
        <v>9.1259870782483848E-2</v>
      </c>
      <c r="G437" s="1074"/>
      <c r="H437" s="1403">
        <v>8136</v>
      </c>
      <c r="I437" s="1957">
        <f t="shared" si="6"/>
        <v>9.1259870782483848E-2</v>
      </c>
      <c r="J437" s="1960"/>
      <c r="K437" s="1403"/>
      <c r="L437" s="1957"/>
      <c r="M437" s="1957"/>
      <c r="N437" s="1403"/>
      <c r="O437" s="1957"/>
      <c r="P437" s="1074"/>
      <c r="Q437" s="1074"/>
    </row>
    <row r="438" spans="2:17">
      <c r="B438" s="1953"/>
      <c r="C438" s="1954"/>
      <c r="D438" s="1167" t="s">
        <v>1820</v>
      </c>
      <c r="E438" s="1962" t="s">
        <v>827</v>
      </c>
      <c r="F438" s="1959">
        <v>6.9566582914572864E-2</v>
      </c>
      <c r="G438" s="1074"/>
      <c r="H438" s="1403">
        <v>6202</v>
      </c>
      <c r="I438" s="1957">
        <f t="shared" si="6"/>
        <v>6.9566582914572864E-2</v>
      </c>
      <c r="J438" s="1960"/>
      <c r="K438" s="1403"/>
      <c r="L438" s="1957"/>
      <c r="M438" s="1957"/>
      <c r="N438" s="1403"/>
      <c r="O438" s="1957"/>
      <c r="P438" s="1074"/>
      <c r="Q438" s="1074"/>
    </row>
    <row r="439" spans="2:17">
      <c r="B439" s="1953"/>
      <c r="C439" s="1954"/>
      <c r="D439" s="1167" t="s">
        <v>1818</v>
      </c>
      <c r="E439" s="1962" t="s">
        <v>1341</v>
      </c>
      <c r="F439" s="1959">
        <v>5.8865757358219667E-2</v>
      </c>
      <c r="G439" s="1074"/>
      <c r="H439" s="1403">
        <v>5248</v>
      </c>
      <c r="I439" s="1957">
        <f t="shared" si="6"/>
        <v>5.8865757358219667E-2</v>
      </c>
      <c r="J439" s="1960"/>
      <c r="K439" s="1403"/>
      <c r="L439" s="1957"/>
      <c r="M439" s="1957"/>
      <c r="N439" s="1403"/>
      <c r="O439" s="1957"/>
      <c r="P439" s="1074"/>
      <c r="Q439" s="1074"/>
    </row>
    <row r="440" spans="2:17">
      <c r="B440" s="1953"/>
      <c r="C440" s="1954"/>
      <c r="D440" s="1167" t="s">
        <v>1812</v>
      </c>
      <c r="E440" s="1962" t="s">
        <v>1813</v>
      </c>
      <c r="F440" s="1959">
        <v>2.6965183058147883E-2</v>
      </c>
      <c r="G440" s="1074"/>
      <c r="H440" s="1403">
        <v>2404</v>
      </c>
      <c r="I440" s="1957">
        <f t="shared" si="6"/>
        <v>2.6965183058147883E-2</v>
      </c>
      <c r="J440" s="1960"/>
      <c r="K440" s="1403"/>
      <c r="L440" s="1957"/>
      <c r="M440" s="1957"/>
      <c r="N440" s="1403"/>
      <c r="O440" s="1957"/>
      <c r="P440" s="1074"/>
      <c r="Q440" s="1074"/>
    </row>
    <row r="441" spans="2:17">
      <c r="B441" s="1953"/>
      <c r="C441" s="1954"/>
      <c r="D441" s="1167" t="s">
        <v>1816</v>
      </c>
      <c r="E441" s="1962" t="s">
        <v>1806</v>
      </c>
      <c r="F441" s="1959">
        <v>2.0807160804020102E-2</v>
      </c>
      <c r="G441" s="1074"/>
      <c r="H441" s="1403">
        <v>1855</v>
      </c>
      <c r="I441" s="1957">
        <f t="shared" si="6"/>
        <v>2.0807160804020102E-2</v>
      </c>
      <c r="J441" s="1960"/>
      <c r="K441" s="1403"/>
      <c r="L441" s="1957"/>
      <c r="M441" s="1957"/>
      <c r="N441" s="1403"/>
      <c r="O441" s="1957"/>
      <c r="P441" s="1074"/>
      <c r="Q441" s="1074"/>
    </row>
    <row r="442" spans="2:17">
      <c r="B442" s="1953"/>
      <c r="C442" s="1954"/>
      <c r="D442" s="1167" t="s">
        <v>1815</v>
      </c>
      <c r="E442" s="1962" t="s">
        <v>1823</v>
      </c>
      <c r="F442" s="1959">
        <v>1.7587939698492462E-2</v>
      </c>
      <c r="G442" s="1074"/>
      <c r="H442" s="1403">
        <v>1568</v>
      </c>
      <c r="I442" s="1957">
        <f t="shared" si="6"/>
        <v>1.7587939698492462E-2</v>
      </c>
      <c r="J442" s="1960"/>
      <c r="K442" s="1403"/>
      <c r="L442" s="1957"/>
      <c r="M442" s="1957"/>
      <c r="N442" s="1403"/>
      <c r="O442" s="1957"/>
      <c r="P442" s="1074"/>
      <c r="Q442" s="1074"/>
    </row>
    <row r="443" spans="2:17">
      <c r="B443" s="1953"/>
      <c r="C443" s="1954"/>
      <c r="D443" s="1167" t="s">
        <v>1811</v>
      </c>
      <c r="E443" s="1962" t="s">
        <v>1806</v>
      </c>
      <c r="F443" s="1959">
        <v>1.5849335965541996E-2</v>
      </c>
      <c r="G443" s="1074"/>
      <c r="H443" s="1403">
        <v>1413</v>
      </c>
      <c r="I443" s="1957">
        <f t="shared" si="6"/>
        <v>1.5849335965541996E-2</v>
      </c>
      <c r="J443" s="1960"/>
      <c r="K443" s="1403"/>
      <c r="L443" s="1957"/>
      <c r="M443" s="1957"/>
      <c r="N443" s="1403"/>
      <c r="O443" s="1957"/>
      <c r="P443" s="1074"/>
      <c r="Q443" s="1074"/>
    </row>
    <row r="444" spans="2:17">
      <c r="B444" s="1953"/>
      <c r="C444" s="1954"/>
      <c r="D444" s="1074" t="s">
        <v>1804</v>
      </c>
      <c r="E444" s="1962" t="s">
        <v>1241</v>
      </c>
      <c r="F444" s="1959">
        <v>1.5838119167264898E-2</v>
      </c>
      <c r="G444" s="1074"/>
      <c r="H444" s="1403">
        <v>1412</v>
      </c>
      <c r="I444" s="1957">
        <f t="shared" si="6"/>
        <v>1.5838119167264898E-2</v>
      </c>
      <c r="J444" s="1957"/>
      <c r="K444" s="1403"/>
      <c r="L444" s="1957"/>
      <c r="M444" s="1957"/>
      <c r="N444" s="1403"/>
      <c r="O444" s="1957"/>
      <c r="P444" s="1074"/>
      <c r="Q444" s="1074"/>
    </row>
    <row r="445" spans="2:17">
      <c r="B445" s="1953"/>
      <c r="C445" s="1954"/>
      <c r="D445" s="1167" t="s">
        <v>1807</v>
      </c>
      <c r="E445" s="1962" t="s">
        <v>1806</v>
      </c>
      <c r="F445" s="1959">
        <v>1.1631819813352477E-2</v>
      </c>
      <c r="G445" s="1074"/>
      <c r="H445" s="1403">
        <v>1037</v>
      </c>
      <c r="I445" s="1957">
        <f t="shared" si="6"/>
        <v>1.1631819813352477E-2</v>
      </c>
      <c r="J445" s="1957"/>
      <c r="K445" s="1403"/>
      <c r="L445" s="1957"/>
      <c r="M445" s="1957"/>
      <c r="N445" s="1403"/>
      <c r="O445" s="1957"/>
      <c r="P445" s="1074"/>
      <c r="Q445" s="1074"/>
    </row>
    <row r="446" spans="2:17">
      <c r="B446" s="1953"/>
      <c r="C446" s="1954"/>
      <c r="D446" s="1167" t="s">
        <v>1817</v>
      </c>
      <c r="E446" s="1962" t="s">
        <v>1806</v>
      </c>
      <c r="F446" s="1959">
        <v>1.1149497487437186E-2</v>
      </c>
      <c r="G446" s="1074"/>
      <c r="H446" s="1403">
        <v>994</v>
      </c>
      <c r="I446" s="1957">
        <f t="shared" si="6"/>
        <v>1.1149497487437186E-2</v>
      </c>
      <c r="J446" s="1957"/>
      <c r="K446" s="1403"/>
      <c r="L446" s="1957"/>
      <c r="M446" s="1957"/>
      <c r="N446" s="1403"/>
      <c r="O446" s="1957"/>
      <c r="P446" s="1074"/>
      <c r="Q446" s="1074"/>
    </row>
    <row r="447" spans="2:17">
      <c r="B447" s="1953"/>
      <c r="C447" s="1954"/>
      <c r="D447" s="1167" t="s">
        <v>1805</v>
      </c>
      <c r="E447" s="1962" t="s">
        <v>1806</v>
      </c>
      <c r="F447" s="1959">
        <v>8.5359834888729356E-3</v>
      </c>
      <c r="G447" s="1074"/>
      <c r="H447" s="1403">
        <v>761</v>
      </c>
      <c r="I447" s="1957">
        <f t="shared" si="6"/>
        <v>8.5359834888729356E-3</v>
      </c>
      <c r="J447" s="1957"/>
      <c r="K447" s="1403"/>
      <c r="L447" s="1957"/>
      <c r="M447" s="1957"/>
      <c r="N447" s="1403"/>
      <c r="O447" s="1957"/>
      <c r="P447" s="1074"/>
      <c r="Q447" s="1074"/>
    </row>
    <row r="448" spans="2:17">
      <c r="B448" s="1953"/>
      <c r="C448" s="1954"/>
      <c r="D448" s="1167" t="s">
        <v>1810</v>
      </c>
      <c r="E448" s="1962" t="s">
        <v>1806</v>
      </c>
      <c r="F448" s="1959">
        <v>5.5410983488872936E-3</v>
      </c>
      <c r="G448" s="1074"/>
      <c r="H448" s="1403">
        <v>494</v>
      </c>
      <c r="I448" s="1957">
        <f t="shared" si="6"/>
        <v>5.5410983488872936E-3</v>
      </c>
      <c r="J448" s="1957"/>
      <c r="K448" s="1403"/>
      <c r="L448" s="1957"/>
      <c r="M448" s="1957"/>
      <c r="N448" s="1403"/>
      <c r="O448" s="1957"/>
      <c r="P448" s="1074"/>
      <c r="Q448" s="1074"/>
    </row>
    <row r="449" spans="2:19">
      <c r="B449" s="1953"/>
      <c r="C449" s="1954"/>
      <c r="D449" s="1167" t="s">
        <v>1808</v>
      </c>
      <c r="E449" s="1962" t="s">
        <v>1835</v>
      </c>
      <c r="F449" s="1959">
        <v>4.6101040918880114E-3</v>
      </c>
      <c r="G449" s="1074"/>
      <c r="H449" s="1403">
        <v>411</v>
      </c>
      <c r="I449" s="1957">
        <f t="shared" si="6"/>
        <v>4.6101040918880114E-3</v>
      </c>
      <c r="J449" s="1957"/>
      <c r="K449" s="1403"/>
      <c r="L449" s="1957"/>
      <c r="M449" s="1957"/>
      <c r="N449" s="1403"/>
      <c r="O449" s="1957"/>
      <c r="P449" s="1074"/>
      <c r="Q449" s="1074"/>
    </row>
    <row r="450" spans="2:19" ht="4.5" customHeight="1">
      <c r="B450" s="1953"/>
      <c r="C450" s="1954"/>
      <c r="D450" s="1955"/>
      <c r="E450" s="1392"/>
      <c r="F450" s="1956"/>
      <c r="G450" s="1392"/>
      <c r="H450" s="1073"/>
      <c r="I450" s="1073"/>
      <c r="J450" s="1073"/>
      <c r="K450" s="1073"/>
      <c r="L450" s="1073"/>
      <c r="M450" s="1073"/>
      <c r="N450" s="1073"/>
      <c r="O450" s="1073"/>
      <c r="P450" s="1074"/>
      <c r="Q450" s="1074"/>
    </row>
    <row r="451" spans="2:19">
      <c r="B451" s="2502"/>
      <c r="C451" s="2503"/>
      <c r="D451" s="2504"/>
      <c r="E451" s="2505"/>
      <c r="F451" s="2506"/>
      <c r="G451" s="2505"/>
      <c r="H451" s="2507">
        <f>SUM(H435:H449)</f>
        <v>89152</v>
      </c>
      <c r="I451" s="2508">
        <v>1</v>
      </c>
      <c r="J451" s="2508"/>
      <c r="K451" s="2507">
        <f>SUM(K435:K444)</f>
        <v>11395</v>
      </c>
      <c r="L451" s="2509">
        <f>SUM(L435:L444)</f>
        <v>1</v>
      </c>
      <c r="M451" s="2508"/>
      <c r="N451" s="2507">
        <f>SUM(N435:N444)</f>
        <v>68612</v>
      </c>
      <c r="O451" s="2509">
        <f>SUM(O435:O444)</f>
        <v>1</v>
      </c>
      <c r="P451" s="1074"/>
      <c r="Q451" s="1074"/>
    </row>
    <row r="452" spans="2:19">
      <c r="B452" s="1953"/>
      <c r="C452" s="1954"/>
      <c r="D452" s="1955"/>
      <c r="E452" s="1392"/>
      <c r="F452" s="1956"/>
      <c r="G452" s="1392"/>
      <c r="H452" s="1393"/>
      <c r="I452" s="1960"/>
      <c r="J452" s="1960"/>
      <c r="K452" s="1393"/>
      <c r="L452" s="2405"/>
      <c r="M452" s="1960"/>
      <c r="N452" s="1393"/>
      <c r="O452" s="2405"/>
      <c r="P452" s="1074"/>
      <c r="Q452" s="1074"/>
    </row>
    <row r="453" spans="2:19" ht="14.25" customHeight="1" thickBot="1">
      <c r="B453" s="1549"/>
      <c r="C453" s="2017"/>
      <c r="D453" s="2018"/>
      <c r="E453" s="2018"/>
      <c r="F453" s="2019"/>
      <c r="G453" s="2018"/>
      <c r="H453" s="3493" t="s">
        <v>1170</v>
      </c>
      <c r="I453" s="3409"/>
      <c r="J453" s="2368"/>
      <c r="K453" s="3493" t="s">
        <v>1219</v>
      </c>
      <c r="L453" s="3493"/>
      <c r="M453" s="2392"/>
      <c r="N453" s="3493" t="s">
        <v>267</v>
      </c>
      <c r="O453" s="3409"/>
    </row>
    <row r="454" spans="2:19" ht="16">
      <c r="B454" s="2021" t="s">
        <v>2387</v>
      </c>
      <c r="C454" s="2017"/>
      <c r="D454" s="2018" t="s">
        <v>11</v>
      </c>
      <c r="E454" s="2022" t="s">
        <v>110</v>
      </c>
      <c r="F454" s="2023"/>
      <c r="G454" s="2018"/>
      <c r="H454" s="2020" t="s">
        <v>111</v>
      </c>
      <c r="I454" s="2024" t="s">
        <v>153</v>
      </c>
      <c r="J454" s="2024"/>
      <c r="K454" s="2020" t="s">
        <v>111</v>
      </c>
      <c r="L454" s="2020" t="s">
        <v>153</v>
      </c>
      <c r="M454" s="2020"/>
      <c r="N454" s="2020" t="s">
        <v>111</v>
      </c>
      <c r="O454" s="2025" t="s">
        <v>153</v>
      </c>
    </row>
    <row r="455" spans="2:19" s="1758" customFormat="1">
      <c r="B455" s="2086" t="s">
        <v>1702</v>
      </c>
      <c r="C455" s="2080"/>
      <c r="D455" s="2076"/>
      <c r="E455" s="1389"/>
      <c r="F455" s="2076"/>
      <c r="G455" s="2076"/>
      <c r="H455" s="2078"/>
      <c r="I455" s="2078"/>
      <c r="J455" s="2078"/>
      <c r="K455" s="2078"/>
      <c r="L455" s="2082"/>
      <c r="M455" s="2078"/>
      <c r="N455" s="2078"/>
      <c r="O455" s="2078"/>
    </row>
    <row r="456" spans="2:19" s="1758" customFormat="1" ht="5.25" customHeight="1">
      <c r="B456" s="1966"/>
      <c r="C456" s="1963"/>
      <c r="E456" s="948"/>
      <c r="H456" s="1964"/>
      <c r="I456" s="1964"/>
      <c r="J456" s="1964"/>
      <c r="K456" s="1964"/>
      <c r="L456" s="1965"/>
      <c r="M456" s="1964"/>
      <c r="N456" s="1964"/>
      <c r="O456" s="1964"/>
    </row>
    <row r="457" spans="2:19" s="1757" customFormat="1">
      <c r="B457" s="1757" t="s">
        <v>819</v>
      </c>
      <c r="C457" s="1967"/>
      <c r="D457" s="1757" t="s">
        <v>1708</v>
      </c>
      <c r="E457" s="1040" t="s">
        <v>699</v>
      </c>
      <c r="F457" s="1968">
        <v>0.35799999999999998</v>
      </c>
      <c r="H457" s="1969">
        <v>21996</v>
      </c>
      <c r="I457" s="1970">
        <v>0.35799999999999998</v>
      </c>
      <c r="J457" s="1971"/>
      <c r="K457" s="1969">
        <v>25364</v>
      </c>
      <c r="L457" s="1972">
        <f>K457/K468</f>
        <v>0.50637864601010207</v>
      </c>
      <c r="M457" s="1973"/>
      <c r="N457" s="1969">
        <f>K457+H457</f>
        <v>47360</v>
      </c>
      <c r="O457" s="1974">
        <f>N457/N468</f>
        <v>0.50657282519172964</v>
      </c>
    </row>
    <row r="458" spans="2:19" s="1758" customFormat="1">
      <c r="B458" s="1975" t="s">
        <v>1703</v>
      </c>
      <c r="C458" s="1967">
        <v>0.27200000000000002</v>
      </c>
      <c r="D458" s="1758" t="s">
        <v>937</v>
      </c>
      <c r="E458" s="948" t="s">
        <v>931</v>
      </c>
      <c r="F458" s="1976">
        <v>0.34899999999999998</v>
      </c>
      <c r="H458" s="1977">
        <v>21406</v>
      </c>
      <c r="I458" s="1978">
        <v>0.34899999999999998</v>
      </c>
      <c r="J458" s="1964"/>
      <c r="K458" s="1977">
        <v>24725</v>
      </c>
      <c r="L458" s="1965">
        <f>K458/K468</f>
        <v>0.49362135398989798</v>
      </c>
      <c r="M458" s="1979"/>
      <c r="N458" s="1977">
        <f>K458+H458</f>
        <v>46131</v>
      </c>
      <c r="O458" s="1980">
        <f>N458/N468</f>
        <v>0.49342717480827031</v>
      </c>
    </row>
    <row r="459" spans="2:19" s="1758" customFormat="1">
      <c r="B459" s="1757"/>
      <c r="C459" s="1963"/>
      <c r="D459" s="1758" t="s">
        <v>1704</v>
      </c>
      <c r="E459" s="948" t="s">
        <v>926</v>
      </c>
      <c r="F459" s="1976">
        <v>7.4999999999999997E-2</v>
      </c>
      <c r="H459" s="1977">
        <v>4615</v>
      </c>
      <c r="I459" s="1978">
        <v>7.4999999999999997E-2</v>
      </c>
      <c r="J459" s="1964"/>
      <c r="K459" s="1964"/>
      <c r="L459" s="1972"/>
      <c r="M459" s="1971"/>
      <c r="N459" s="1964"/>
      <c r="O459" s="1964"/>
    </row>
    <row r="460" spans="2:19" s="1758" customFormat="1">
      <c r="B460" s="1757"/>
      <c r="C460" s="1963"/>
      <c r="D460" s="1758" t="s">
        <v>1709</v>
      </c>
      <c r="E460" s="948" t="s">
        <v>931</v>
      </c>
      <c r="F460" s="1976">
        <v>7.3999999999999996E-2</v>
      </c>
      <c r="H460" s="1977">
        <v>4557</v>
      </c>
      <c r="I460" s="1978">
        <v>7.3999999999999996E-2</v>
      </c>
      <c r="J460" s="1964"/>
      <c r="K460" s="1964"/>
      <c r="L460" s="1972"/>
      <c r="M460" s="1971"/>
      <c r="N460" s="1964"/>
      <c r="O460" s="1964"/>
    </row>
    <row r="461" spans="2:19" s="1758" customFormat="1">
      <c r="B461" s="1757"/>
      <c r="C461" s="1963"/>
      <c r="D461" s="1758" t="s">
        <v>1706</v>
      </c>
      <c r="E461" s="948" t="s">
        <v>698</v>
      </c>
      <c r="F461" s="1976">
        <v>4.5999999999999999E-2</v>
      </c>
      <c r="H461" s="1977">
        <v>2811</v>
      </c>
      <c r="I461" s="1978">
        <v>4.5999999999999999E-2</v>
      </c>
      <c r="J461" s="1964"/>
      <c r="K461" s="1964"/>
      <c r="L461" s="1972"/>
      <c r="M461" s="1971"/>
      <c r="N461" s="1964"/>
      <c r="O461" s="1964"/>
    </row>
    <row r="462" spans="2:19" s="1758" customFormat="1">
      <c r="B462" s="1757"/>
      <c r="C462" s="1963"/>
      <c r="D462" s="1758" t="s">
        <v>1707</v>
      </c>
      <c r="E462" s="948" t="s">
        <v>1241</v>
      </c>
      <c r="F462" s="1976">
        <v>3.1E-2</v>
      </c>
      <c r="H462" s="1977">
        <v>1916</v>
      </c>
      <c r="I462" s="1978">
        <v>3.1E-2</v>
      </c>
      <c r="J462" s="1964"/>
      <c r="K462" s="1964"/>
      <c r="L462" s="1972"/>
      <c r="M462" s="1971"/>
      <c r="N462" s="1964"/>
      <c r="O462" s="1964"/>
      <c r="S462" s="1757"/>
    </row>
    <row r="463" spans="2:19" s="1758" customFormat="1">
      <c r="B463" s="1757"/>
      <c r="C463" s="1963"/>
      <c r="D463" s="1758" t="s">
        <v>1705</v>
      </c>
      <c r="E463" s="948" t="s">
        <v>827</v>
      </c>
      <c r="F463" s="1976">
        <v>1.7999999999999999E-2</v>
      </c>
      <c r="H463" s="1977">
        <v>1123</v>
      </c>
      <c r="I463" s="1978">
        <v>1.7999999999999999E-2</v>
      </c>
      <c r="J463" s="1964"/>
      <c r="K463" s="1964"/>
      <c r="L463" s="1972"/>
      <c r="M463" s="1971"/>
      <c r="N463" s="1964"/>
      <c r="O463" s="1964"/>
    </row>
    <row r="464" spans="2:19" s="1758" customFormat="1">
      <c r="B464" s="1757"/>
      <c r="C464" s="1963"/>
      <c r="D464" s="1758" t="s">
        <v>1711</v>
      </c>
      <c r="E464" s="948" t="s">
        <v>931</v>
      </c>
      <c r="F464" s="1976">
        <v>1.7999999999999999E-2</v>
      </c>
      <c r="H464" s="1977">
        <v>1110</v>
      </c>
      <c r="I464" s="1978">
        <v>1.7999999999999999E-2</v>
      </c>
      <c r="J464" s="1964"/>
      <c r="K464" s="1964"/>
      <c r="L464" s="1972"/>
      <c r="M464" s="1971"/>
      <c r="N464" s="1964"/>
      <c r="O464" s="1964"/>
    </row>
    <row r="465" spans="2:15" s="1758" customFormat="1">
      <c r="B465" s="1757"/>
      <c r="C465" s="1963"/>
      <c r="D465" s="1758" t="s">
        <v>1710</v>
      </c>
      <c r="E465" s="948" t="s">
        <v>707</v>
      </c>
      <c r="F465" s="1976">
        <v>1.7000000000000001E-2</v>
      </c>
      <c r="H465" s="1977">
        <v>1066</v>
      </c>
      <c r="I465" s="1978">
        <v>1.7000000000000001E-2</v>
      </c>
      <c r="J465" s="1964"/>
      <c r="K465" s="1964"/>
      <c r="L465" s="1972"/>
      <c r="M465" s="1971"/>
      <c r="N465" s="1964"/>
      <c r="O465" s="1964"/>
    </row>
    <row r="466" spans="2:15" s="1758" customFormat="1">
      <c r="B466" s="1757"/>
      <c r="C466" s="1963"/>
      <c r="D466" s="1758" t="s">
        <v>1712</v>
      </c>
      <c r="E466" s="948" t="s">
        <v>1713</v>
      </c>
      <c r="F466" s="1976">
        <v>1.2999999999999999E-2</v>
      </c>
      <c r="H466" s="1977">
        <v>786</v>
      </c>
      <c r="I466" s="1978">
        <v>1.2999999999999999E-2</v>
      </c>
      <c r="J466" s="1964"/>
      <c r="K466" s="1964"/>
      <c r="L466" s="1972"/>
      <c r="M466" s="1971"/>
      <c r="N466" s="1964"/>
      <c r="O466" s="1964"/>
    </row>
    <row r="467" spans="2:15" s="1758" customFormat="1" ht="3" customHeight="1">
      <c r="B467" s="1757"/>
      <c r="C467" s="1963"/>
      <c r="E467" s="948"/>
      <c r="F467" s="1976"/>
      <c r="H467" s="1977"/>
      <c r="I467" s="1978"/>
      <c r="J467" s="1964"/>
      <c r="K467" s="1964"/>
      <c r="L467" s="1972"/>
      <c r="M467" s="1971"/>
      <c r="N467" s="1964"/>
      <c r="O467" s="1964"/>
    </row>
    <row r="468" spans="2:15" s="1758" customFormat="1">
      <c r="B468" s="2468"/>
      <c r="C468" s="2467"/>
      <c r="D468" s="2468"/>
      <c r="E468" s="2469"/>
      <c r="F468" s="2470"/>
      <c r="G468" s="2468"/>
      <c r="H468" s="2471">
        <f>SUM(H457:H466)</f>
        <v>61386</v>
      </c>
      <c r="I468" s="2472">
        <v>1</v>
      </c>
      <c r="J468" s="2477"/>
      <c r="K468" s="2471">
        <f>SUM(K457+K458)</f>
        <v>50089</v>
      </c>
      <c r="L468" s="2472">
        <v>1</v>
      </c>
      <c r="M468" s="2501"/>
      <c r="N468" s="2471">
        <f>N457+N458</f>
        <v>93491</v>
      </c>
      <c r="O468" s="2472">
        <v>1</v>
      </c>
    </row>
    <row r="469" spans="2:15" s="1576" customFormat="1" ht="3.75" customHeight="1">
      <c r="B469" s="1785"/>
      <c r="C469" s="1868"/>
      <c r="F469" s="1976"/>
      <c r="H469" s="2393"/>
      <c r="I469" s="2393"/>
      <c r="J469" s="2393"/>
      <c r="K469" s="2393"/>
      <c r="L469" s="2393"/>
      <c r="M469" s="2393"/>
      <c r="N469" s="2393"/>
      <c r="O469" s="2393"/>
    </row>
    <row r="470" spans="2:15" s="1758" customFormat="1">
      <c r="B470" s="1757"/>
      <c r="C470" s="1963"/>
      <c r="E470" s="1576"/>
      <c r="F470" s="1976"/>
      <c r="H470" s="1964"/>
      <c r="I470" s="1964"/>
      <c r="J470" s="1964"/>
      <c r="K470" s="1964"/>
      <c r="L470" s="1965"/>
      <c r="M470" s="1964"/>
      <c r="N470" s="1964"/>
      <c r="O470" s="1964"/>
    </row>
    <row r="471" spans="2:15" s="1757" customFormat="1">
      <c r="B471" s="1757" t="s">
        <v>818</v>
      </c>
      <c r="C471" s="1967"/>
      <c r="D471" s="1757" t="s">
        <v>1716</v>
      </c>
      <c r="E471" s="1040" t="s">
        <v>699</v>
      </c>
      <c r="F471" s="1968">
        <v>0.55759999999999998</v>
      </c>
      <c r="H471" s="1969">
        <v>27905</v>
      </c>
      <c r="I471" s="1970">
        <v>0.55759999999999998</v>
      </c>
      <c r="J471" s="1971"/>
      <c r="K471" s="1971" t="s">
        <v>685</v>
      </c>
      <c r="L471" s="1972"/>
      <c r="M471" s="1970"/>
      <c r="N471" s="1969">
        <v>27905</v>
      </c>
      <c r="O471" s="1970">
        <v>0.55759999999999998</v>
      </c>
    </row>
    <row r="472" spans="2:15" s="1758" customFormat="1">
      <c r="B472" s="1975" t="s">
        <v>1714</v>
      </c>
      <c r="C472" s="1967">
        <v>0.318</v>
      </c>
      <c r="D472" s="1758" t="s">
        <v>703</v>
      </c>
      <c r="E472" s="948" t="s">
        <v>698</v>
      </c>
      <c r="F472" s="1976">
        <v>0.3614</v>
      </c>
      <c r="H472" s="1977">
        <v>18083</v>
      </c>
      <c r="I472" s="1978">
        <v>0.3614</v>
      </c>
      <c r="J472" s="1964"/>
      <c r="K472" s="1964" t="s">
        <v>685</v>
      </c>
      <c r="L472" s="1965"/>
      <c r="M472" s="1978"/>
      <c r="N472" s="1977"/>
      <c r="O472" s="1978"/>
    </row>
    <row r="473" spans="2:15" s="1758" customFormat="1">
      <c r="B473" s="1981"/>
      <c r="C473" s="1963"/>
      <c r="D473" s="1758" t="s">
        <v>1715</v>
      </c>
      <c r="E473" s="948" t="s">
        <v>827</v>
      </c>
      <c r="F473" s="1976">
        <v>8.1000000000000003E-2</v>
      </c>
      <c r="H473" s="1977">
        <v>4054</v>
      </c>
      <c r="I473" s="1978">
        <v>8.1000000000000003E-2</v>
      </c>
      <c r="J473" s="1964"/>
      <c r="K473" s="1964"/>
      <c r="L473" s="1965"/>
      <c r="M473" s="1964"/>
      <c r="N473" s="1977"/>
      <c r="O473" s="1978"/>
    </row>
    <row r="474" spans="2:15" s="1758" customFormat="1" ht="3.75" customHeight="1">
      <c r="B474" s="1981"/>
      <c r="C474" s="1963"/>
      <c r="E474" s="948"/>
      <c r="F474" s="1976"/>
      <c r="H474" s="1977"/>
      <c r="I474" s="1978"/>
      <c r="J474" s="1964"/>
      <c r="K474" s="1964"/>
      <c r="L474" s="1965"/>
      <c r="M474" s="1964"/>
      <c r="N474" s="1977"/>
      <c r="O474" s="1978"/>
    </row>
    <row r="475" spans="2:15" s="1576" customFormat="1">
      <c r="B475" s="2000"/>
      <c r="C475" s="2474"/>
      <c r="D475" s="1785"/>
      <c r="E475" s="948"/>
      <c r="F475" s="1976"/>
      <c r="G475" s="1785"/>
      <c r="H475" s="2003">
        <f>SUM(H471:H473)</f>
        <v>50042</v>
      </c>
      <c r="I475" s="2475">
        <v>1</v>
      </c>
      <c r="J475" s="2003"/>
      <c r="K475" s="2003"/>
      <c r="L475" s="2004"/>
      <c r="M475" s="2002"/>
      <c r="N475" s="2003"/>
      <c r="O475" s="2475"/>
    </row>
    <row r="476" spans="2:15" s="1758" customFormat="1" ht="6.75" customHeight="1">
      <c r="B476" s="1981"/>
      <c r="C476" s="1963"/>
      <c r="D476" s="1757"/>
      <c r="E476" s="948"/>
      <c r="F476" s="1976"/>
      <c r="G476" s="1757"/>
      <c r="H476" s="1969"/>
      <c r="I476" s="1970"/>
      <c r="J476" s="1969"/>
      <c r="K476" s="1969"/>
      <c r="L476" s="1972"/>
      <c r="M476" s="1970"/>
      <c r="N476" s="1969"/>
      <c r="O476" s="1970"/>
    </row>
    <row r="477" spans="2:15">
      <c r="B477" s="2074" t="s">
        <v>1752</v>
      </c>
      <c r="C477" s="2075"/>
      <c r="D477" s="2076"/>
      <c r="E477" s="2402"/>
      <c r="F477" s="2077"/>
      <c r="G477" s="2076"/>
      <c r="H477" s="2078"/>
      <c r="I477" s="2078"/>
      <c r="J477" s="2078"/>
      <c r="K477" s="2078"/>
      <c r="L477" s="2078"/>
      <c r="M477" s="2078"/>
      <c r="N477" s="2078"/>
      <c r="O477" s="2078"/>
    </row>
    <row r="478" spans="2:15" s="1758" customFormat="1">
      <c r="B478" s="1757" t="s">
        <v>688</v>
      </c>
      <c r="C478" s="1982"/>
      <c r="D478" s="1757" t="s">
        <v>887</v>
      </c>
      <c r="E478" s="1576" t="s">
        <v>699</v>
      </c>
      <c r="F478" s="1976">
        <v>0.603827680484741</v>
      </c>
      <c r="H478" s="1969">
        <v>40858</v>
      </c>
      <c r="I478" s="1970">
        <v>0.603827680484741</v>
      </c>
      <c r="J478" s="1964"/>
      <c r="K478" s="1971" t="s">
        <v>685</v>
      </c>
      <c r="L478" s="1964"/>
      <c r="M478" s="1964"/>
      <c r="N478" s="1969">
        <f>H478</f>
        <v>40858</v>
      </c>
      <c r="O478" s="1970">
        <f>I478</f>
        <v>0.603827680484741</v>
      </c>
    </row>
    <row r="479" spans="2:15" s="1758" customFormat="1">
      <c r="B479" s="1983" t="s">
        <v>1753</v>
      </c>
      <c r="C479" s="1984">
        <v>38.799999999999997</v>
      </c>
      <c r="D479" s="1758" t="s">
        <v>915</v>
      </c>
      <c r="E479" s="1762" t="s">
        <v>1341</v>
      </c>
      <c r="F479" s="1976">
        <v>0.17511268750461834</v>
      </c>
      <c r="H479" s="1977">
        <v>11849</v>
      </c>
      <c r="I479" s="1978">
        <v>0.17511268750461834</v>
      </c>
      <c r="J479" s="1964"/>
      <c r="K479" s="1964" t="s">
        <v>685</v>
      </c>
      <c r="L479" s="1964"/>
      <c r="M479" s="1964"/>
      <c r="N479" s="1977"/>
      <c r="O479" s="1978"/>
    </row>
    <row r="480" spans="2:15" s="1758" customFormat="1" ht="13.5" customHeight="1">
      <c r="B480" s="1975" t="s">
        <v>1753</v>
      </c>
      <c r="C480" s="1982">
        <v>0.38800000000000001</v>
      </c>
      <c r="D480" s="1758" t="s">
        <v>1754</v>
      </c>
      <c r="E480" s="1576" t="s">
        <v>698</v>
      </c>
      <c r="F480" s="1976">
        <v>0.11605704574004286</v>
      </c>
      <c r="H480" s="1977">
        <v>7853</v>
      </c>
      <c r="I480" s="1978">
        <v>0.11605704574004286</v>
      </c>
      <c r="J480" s="1964"/>
      <c r="K480" s="1971"/>
      <c r="L480" s="1977"/>
      <c r="M480" s="1964"/>
    </row>
    <row r="481" spans="2:15" s="1758" customFormat="1">
      <c r="B481" s="1757"/>
      <c r="C481" s="1982"/>
      <c r="D481" s="1758" t="s">
        <v>1755</v>
      </c>
      <c r="E481" s="1576" t="s">
        <v>827</v>
      </c>
      <c r="F481" s="1976">
        <v>5.6750166260252713E-2</v>
      </c>
      <c r="H481" s="1977">
        <v>3840</v>
      </c>
      <c r="I481" s="1978">
        <v>5.6750166260252713E-2</v>
      </c>
      <c r="J481" s="1964"/>
      <c r="K481" s="1964"/>
      <c r="L481" s="1964"/>
      <c r="M481" s="1964"/>
      <c r="N481" s="1977"/>
      <c r="O481" s="1978"/>
    </row>
    <row r="482" spans="2:15" s="1758" customFormat="1">
      <c r="B482" s="1757"/>
      <c r="C482" s="1982"/>
      <c r="D482" s="1758" t="s">
        <v>1756</v>
      </c>
      <c r="E482" s="1576" t="s">
        <v>1757</v>
      </c>
      <c r="F482" s="1976">
        <v>4.8252420010345083E-2</v>
      </c>
      <c r="H482" s="1977">
        <v>3265</v>
      </c>
      <c r="I482" s="1978">
        <v>4.8252420010345083E-2</v>
      </c>
      <c r="J482" s="1964"/>
      <c r="K482" s="1964"/>
      <c r="L482" s="1964"/>
      <c r="M482" s="1964"/>
      <c r="N482" s="1977"/>
      <c r="O482" s="1978"/>
    </row>
    <row r="483" spans="2:15" s="1758" customFormat="1" ht="3" customHeight="1">
      <c r="B483" s="1757"/>
      <c r="C483" s="1982"/>
      <c r="E483" s="1576"/>
      <c r="F483" s="1976"/>
      <c r="H483" s="1977"/>
      <c r="I483" s="1978"/>
      <c r="J483" s="1964"/>
      <c r="K483" s="1964"/>
      <c r="L483" s="1964"/>
      <c r="M483" s="1964"/>
      <c r="N483" s="1977"/>
      <c r="O483" s="1978"/>
    </row>
    <row r="484" spans="2:15" s="1758" customFormat="1">
      <c r="B484" s="2468"/>
      <c r="C484" s="2443"/>
      <c r="D484" s="2468"/>
      <c r="E484" s="2476"/>
      <c r="F484" s="2470"/>
      <c r="G484" s="2468"/>
      <c r="H484" s="2471">
        <f>SUM(H478:H482)</f>
        <v>67665</v>
      </c>
      <c r="I484" s="2472">
        <v>1</v>
      </c>
      <c r="J484" s="2477"/>
      <c r="K484" s="2471"/>
      <c r="L484" s="2471"/>
      <c r="M484" s="2477"/>
      <c r="N484" s="2471"/>
      <c r="O484" s="2477"/>
    </row>
    <row r="485" spans="2:15" s="1758" customFormat="1">
      <c r="B485" s="1757" t="s">
        <v>684</v>
      </c>
      <c r="C485" s="1982"/>
      <c r="D485" s="1757" t="s">
        <v>835</v>
      </c>
      <c r="E485" s="1576" t="s">
        <v>699</v>
      </c>
      <c r="F485" s="1976">
        <v>0.50767206758066752</v>
      </c>
      <c r="H485" s="1969">
        <v>36659</v>
      </c>
      <c r="I485" s="1970">
        <v>0.50767206758066752</v>
      </c>
      <c r="J485" s="1971"/>
      <c r="K485" s="1971" t="s">
        <v>685</v>
      </c>
      <c r="L485" s="1964"/>
      <c r="M485" s="1964"/>
      <c r="N485" s="1969">
        <f>H485</f>
        <v>36659</v>
      </c>
      <c r="O485" s="1970">
        <f>I485</f>
        <v>0.50767206758066752</v>
      </c>
    </row>
    <row r="486" spans="2:15" s="1758" customFormat="1">
      <c r="B486" s="1975" t="s">
        <v>1758</v>
      </c>
      <c r="C486" s="1984">
        <v>0.36699999999999999</v>
      </c>
      <c r="D486" s="1758" t="s">
        <v>1759</v>
      </c>
      <c r="E486" s="1576" t="s">
        <v>698</v>
      </c>
      <c r="F486" s="1976">
        <v>0.11135576789918294</v>
      </c>
      <c r="H486" s="1977">
        <v>8041</v>
      </c>
      <c r="I486" s="1978">
        <v>0.11135576789918294</v>
      </c>
      <c r="J486" s="1964"/>
      <c r="K486" s="1964" t="s">
        <v>685</v>
      </c>
      <c r="L486" s="1964"/>
      <c r="M486" s="1964"/>
      <c r="N486" s="1977"/>
      <c r="O486" s="1978"/>
    </row>
    <row r="487" spans="2:15" s="1758" customFormat="1">
      <c r="B487" s="1757"/>
      <c r="C487" s="1982"/>
      <c r="D487" s="1758" t="s">
        <v>1760</v>
      </c>
      <c r="E487" s="1576" t="s">
        <v>827</v>
      </c>
      <c r="F487" s="1976">
        <v>0.10018003046669437</v>
      </c>
      <c r="H487" s="1977">
        <v>7234</v>
      </c>
      <c r="I487" s="1978">
        <v>0.10018003046669437</v>
      </c>
      <c r="J487" s="1971"/>
      <c r="K487" s="1969"/>
      <c r="L487" s="1969"/>
      <c r="M487" s="1971"/>
      <c r="N487" s="1977"/>
      <c r="O487" s="1978"/>
    </row>
    <row r="488" spans="2:15" s="1758" customFormat="1">
      <c r="B488" s="1757"/>
      <c r="C488" s="1982"/>
      <c r="D488" s="1758" t="s">
        <v>1761</v>
      </c>
      <c r="E488" s="1762" t="s">
        <v>1341</v>
      </c>
      <c r="F488" s="1976">
        <v>0.10004154549231409</v>
      </c>
      <c r="H488" s="1977">
        <v>7224</v>
      </c>
      <c r="I488" s="1978">
        <v>0.10004154549231409</v>
      </c>
      <c r="J488" s="1971"/>
      <c r="K488" s="1969"/>
      <c r="L488" s="1969"/>
      <c r="M488" s="1971"/>
      <c r="N488" s="1977"/>
      <c r="O488" s="1978"/>
    </row>
    <row r="489" spans="2:15" s="1758" customFormat="1">
      <c r="B489" s="1757"/>
      <c r="C489" s="1982"/>
      <c r="D489" s="1758" t="s">
        <v>1339</v>
      </c>
      <c r="E489" s="1576" t="s">
        <v>1757</v>
      </c>
      <c r="F489" s="1976">
        <v>8.3284863592300237E-2</v>
      </c>
      <c r="H489" s="1977">
        <v>6014</v>
      </c>
      <c r="I489" s="1978">
        <v>8.3284863592300237E-2</v>
      </c>
      <c r="J489" s="1971"/>
      <c r="K489" s="1969"/>
      <c r="L489" s="1969"/>
      <c r="M489" s="1971"/>
      <c r="N489" s="1977"/>
      <c r="O489" s="1978"/>
    </row>
    <row r="490" spans="2:15" s="1758" customFormat="1">
      <c r="B490" s="1757"/>
      <c r="C490" s="1982"/>
      <c r="D490" s="1758" t="s">
        <v>1762</v>
      </c>
      <c r="E490" s="1762" t="s">
        <v>251</v>
      </c>
      <c r="F490" s="1976">
        <v>7.8714859437751E-2</v>
      </c>
      <c r="H490" s="1977">
        <v>5684</v>
      </c>
      <c r="I490" s="1978">
        <v>7.8714859437751E-2</v>
      </c>
      <c r="J490" s="1971"/>
      <c r="K490" s="1969"/>
      <c r="L490" s="1969"/>
      <c r="M490" s="1971"/>
      <c r="N490" s="1977"/>
      <c r="O490" s="1978"/>
    </row>
    <row r="491" spans="2:15" s="1758" customFormat="1">
      <c r="B491" s="1757"/>
      <c r="C491" s="1982"/>
      <c r="D491" s="1758" t="s">
        <v>1763</v>
      </c>
      <c r="E491" s="1576" t="s">
        <v>1241</v>
      </c>
      <c r="F491" s="1976">
        <v>1.8750865531089875E-2</v>
      </c>
      <c r="H491" s="1977">
        <v>1354</v>
      </c>
      <c r="I491" s="1978">
        <v>1.8750865531089875E-2</v>
      </c>
      <c r="J491" s="1971"/>
      <c r="K491" s="1969"/>
      <c r="L491" s="1969"/>
      <c r="M491" s="1971"/>
      <c r="N491" s="1977"/>
      <c r="O491" s="1978"/>
    </row>
    <row r="492" spans="2:15" s="1758" customFormat="1" ht="3.75" customHeight="1">
      <c r="B492" s="1757"/>
      <c r="C492" s="1982"/>
      <c r="E492" s="1576"/>
      <c r="F492" s="1976"/>
      <c r="H492" s="1977"/>
      <c r="I492" s="1978"/>
      <c r="J492" s="1964"/>
      <c r="K492" s="1964"/>
      <c r="L492" s="1964"/>
      <c r="M492" s="1964"/>
      <c r="N492" s="1977"/>
      <c r="O492" s="1978"/>
    </row>
    <row r="493" spans="2:15" s="1758" customFormat="1">
      <c r="B493" s="2468"/>
      <c r="C493" s="2443"/>
      <c r="D493" s="2468"/>
      <c r="E493" s="2476"/>
      <c r="F493" s="2470"/>
      <c r="G493" s="2468"/>
      <c r="H493" s="2471">
        <f>SUM(H485:H491)</f>
        <v>72210</v>
      </c>
      <c r="I493" s="2472">
        <v>1</v>
      </c>
      <c r="J493" s="2471"/>
      <c r="K493" s="2471"/>
      <c r="L493" s="2471"/>
      <c r="M493" s="2471"/>
      <c r="N493" s="2471"/>
      <c r="O493" s="2473"/>
    </row>
    <row r="494" spans="2:15" s="1758" customFormat="1">
      <c r="B494" s="1757"/>
      <c r="C494" s="1984"/>
      <c r="E494" s="1576"/>
      <c r="F494" s="1976"/>
      <c r="G494" s="1757"/>
      <c r="H494" s="1969"/>
      <c r="I494" s="1970"/>
      <c r="J494" s="1969"/>
      <c r="K494" s="1969"/>
      <c r="L494" s="1969"/>
      <c r="M494" s="1969"/>
      <c r="N494" s="1969"/>
      <c r="O494" s="1970"/>
    </row>
    <row r="495" spans="2:15" s="1758" customFormat="1">
      <c r="B495" s="1757" t="s">
        <v>686</v>
      </c>
      <c r="C495" s="1984"/>
      <c r="D495" s="1757" t="s">
        <v>687</v>
      </c>
      <c r="E495" s="1576" t="s">
        <v>699</v>
      </c>
      <c r="F495" s="1976">
        <v>0.61184586602920543</v>
      </c>
      <c r="G495" s="1757"/>
      <c r="H495" s="1969">
        <v>47095</v>
      </c>
      <c r="I495" s="1970">
        <v>0.61184586602920543</v>
      </c>
      <c r="J495" s="1969"/>
      <c r="K495" s="1971" t="s">
        <v>685</v>
      </c>
      <c r="L495" s="1964"/>
      <c r="M495" s="1964"/>
      <c r="N495" s="1969">
        <f>H495</f>
        <v>47095</v>
      </c>
      <c r="O495" s="1970">
        <f>I495</f>
        <v>0.61184586602920543</v>
      </c>
    </row>
    <row r="496" spans="2:15" s="1758" customFormat="1">
      <c r="B496" s="1758" t="s">
        <v>1764</v>
      </c>
      <c r="C496" s="1984">
        <v>0.39400000000000002</v>
      </c>
      <c r="D496" s="1758" t="s">
        <v>1765</v>
      </c>
      <c r="E496" s="1576" t="s">
        <v>698</v>
      </c>
      <c r="F496" s="1976">
        <v>0.18157251987735801</v>
      </c>
      <c r="G496" s="1757"/>
      <c r="H496" s="1977">
        <v>13976</v>
      </c>
      <c r="I496" s="1978">
        <v>0.18157251987735801</v>
      </c>
      <c r="J496" s="1969"/>
      <c r="K496" s="1964" t="s">
        <v>685</v>
      </c>
      <c r="L496" s="1964"/>
      <c r="M496" s="1964"/>
      <c r="N496" s="1977"/>
      <c r="O496" s="1978"/>
    </row>
    <row r="497" spans="2:15" s="1758" customFormat="1">
      <c r="B497" s="1757"/>
      <c r="C497" s="1984"/>
      <c r="D497" s="1758" t="s">
        <v>1766</v>
      </c>
      <c r="E497" s="1762" t="s">
        <v>251</v>
      </c>
      <c r="F497" s="1976">
        <v>6.4439016785324529E-2</v>
      </c>
      <c r="G497" s="1757"/>
      <c r="H497" s="1977">
        <v>4960</v>
      </c>
      <c r="I497" s="1978">
        <v>6.4439016785324529E-2</v>
      </c>
      <c r="J497" s="1969"/>
      <c r="K497" s="1969"/>
      <c r="L497" s="1969"/>
      <c r="M497" s="1969"/>
      <c r="N497" s="1977"/>
      <c r="O497" s="1978"/>
    </row>
    <row r="498" spans="2:15" s="1758" customFormat="1">
      <c r="B498" s="1757"/>
      <c r="C498" s="1984"/>
      <c r="D498" s="1758" t="s">
        <v>1767</v>
      </c>
      <c r="E498" s="1762" t="s">
        <v>1341</v>
      </c>
      <c r="F498" s="1976">
        <v>3.9689757314348074E-2</v>
      </c>
      <c r="G498" s="1757"/>
      <c r="H498" s="1977">
        <v>3055</v>
      </c>
      <c r="I498" s="1978">
        <v>3.9689757314348074E-2</v>
      </c>
      <c r="J498" s="1969"/>
      <c r="K498" s="1969"/>
      <c r="L498" s="1969"/>
      <c r="M498" s="1969"/>
      <c r="N498" s="1977"/>
      <c r="O498" s="1978"/>
    </row>
    <row r="499" spans="2:15" s="1758" customFormat="1">
      <c r="B499" s="1757"/>
      <c r="C499" s="1984"/>
      <c r="D499" s="1758" t="s">
        <v>929</v>
      </c>
      <c r="E499" s="1576" t="s">
        <v>1768</v>
      </c>
      <c r="F499" s="1976">
        <v>3.6324897365275687E-2</v>
      </c>
      <c r="G499" s="1757"/>
      <c r="H499" s="1977">
        <v>2796</v>
      </c>
      <c r="I499" s="1978">
        <v>3.6324897365275687E-2</v>
      </c>
      <c r="J499" s="1969"/>
      <c r="K499" s="1969"/>
      <c r="L499" s="1969"/>
      <c r="M499" s="1969"/>
      <c r="N499" s="1977"/>
      <c r="O499" s="1978"/>
    </row>
    <row r="500" spans="2:15" s="1758" customFormat="1">
      <c r="B500" s="1757"/>
      <c r="C500" s="1984"/>
      <c r="D500" s="1758" t="s">
        <v>1769</v>
      </c>
      <c r="E500" s="1576" t="s">
        <v>827</v>
      </c>
      <c r="F500" s="1976">
        <v>2.2826482357220807E-2</v>
      </c>
      <c r="G500" s="1757"/>
      <c r="H500" s="1977">
        <v>1757</v>
      </c>
      <c r="I500" s="1978">
        <v>2.2826482357220807E-2</v>
      </c>
      <c r="J500" s="1969"/>
      <c r="K500" s="1969"/>
      <c r="L500" s="1969"/>
      <c r="M500" s="1969"/>
      <c r="N500" s="1977"/>
      <c r="O500" s="1978"/>
    </row>
    <row r="501" spans="2:15" s="1758" customFormat="1">
      <c r="B501" s="1757"/>
      <c r="C501" s="1984"/>
      <c r="D501" s="1758" t="s">
        <v>1770</v>
      </c>
      <c r="E501" s="1576" t="s">
        <v>1241</v>
      </c>
      <c r="F501" s="1976">
        <v>2.2189887231720627E-2</v>
      </c>
      <c r="G501" s="1757"/>
      <c r="H501" s="1977">
        <v>1708</v>
      </c>
      <c r="I501" s="1978">
        <v>2.2189887231720627E-2</v>
      </c>
      <c r="J501" s="1969"/>
      <c r="K501" s="1969"/>
      <c r="L501" s="1969"/>
      <c r="M501" s="1969"/>
      <c r="N501" s="1977"/>
      <c r="O501" s="1978"/>
    </row>
    <row r="502" spans="2:15" s="1758" customFormat="1">
      <c r="B502" s="1757"/>
      <c r="C502" s="1984"/>
      <c r="D502" s="1758" t="s">
        <v>1771</v>
      </c>
      <c r="E502" s="1576" t="s">
        <v>172</v>
      </c>
      <c r="F502" s="1976">
        <v>2.1111573039546846E-2</v>
      </c>
      <c r="G502" s="1757"/>
      <c r="H502" s="1977">
        <v>1625</v>
      </c>
      <c r="I502" s="1978">
        <v>2.1111573039546846E-2</v>
      </c>
      <c r="J502" s="1969"/>
      <c r="K502" s="1969"/>
      <c r="L502" s="1969"/>
      <c r="M502" s="1969"/>
      <c r="N502" s="1977"/>
      <c r="O502" s="1978"/>
    </row>
    <row r="503" spans="2:15" s="1758" customFormat="1" ht="4.5" customHeight="1">
      <c r="B503" s="1757"/>
      <c r="C503" s="1984"/>
      <c r="E503" s="1576"/>
      <c r="F503" s="1976"/>
      <c r="G503" s="1757"/>
      <c r="H503" s="1977"/>
      <c r="I503" s="1978"/>
      <c r="J503" s="1969"/>
      <c r="K503" s="1969"/>
      <c r="L503" s="1969"/>
      <c r="M503" s="1969"/>
      <c r="N503" s="1977"/>
      <c r="O503" s="1978"/>
    </row>
    <row r="504" spans="2:15" s="1758" customFormat="1">
      <c r="B504" s="2468"/>
      <c r="C504" s="2478"/>
      <c r="D504" s="2468"/>
      <c r="E504" s="2476"/>
      <c r="F504" s="2470"/>
      <c r="G504" s="2468"/>
      <c r="H504" s="2458">
        <f>SUM(H495:H502)</f>
        <v>76972</v>
      </c>
      <c r="I504" s="2472">
        <v>1</v>
      </c>
      <c r="J504" s="2471"/>
      <c r="K504" s="2471"/>
      <c r="L504" s="2471"/>
      <c r="M504" s="2471"/>
      <c r="N504" s="2458"/>
      <c r="O504" s="2473"/>
    </row>
    <row r="505" spans="2:15">
      <c r="B505" s="1757"/>
      <c r="C505" s="1984"/>
      <c r="D505" s="1757"/>
      <c r="E505" s="1576"/>
      <c r="F505" s="1976"/>
      <c r="G505" s="1757"/>
      <c r="H505" s="1985"/>
      <c r="I505" s="1970"/>
      <c r="J505" s="1969"/>
      <c r="K505" s="1969"/>
      <c r="L505" s="1969"/>
      <c r="M505" s="1969"/>
      <c r="N505" s="1985"/>
      <c r="O505" s="1970"/>
    </row>
    <row r="506" spans="2:15" ht="13.5" customHeight="1">
      <c r="B506" s="1757" t="s">
        <v>960</v>
      </c>
      <c r="C506" s="1984"/>
      <c r="D506" s="1757" t="s">
        <v>961</v>
      </c>
      <c r="E506" s="1576" t="s">
        <v>1772</v>
      </c>
      <c r="F506" s="1976">
        <v>0.43372821803333172</v>
      </c>
      <c r="G506" s="1757"/>
      <c r="H506" s="1985">
        <v>36539</v>
      </c>
      <c r="I506" s="1970">
        <v>0.43372821803333172</v>
      </c>
      <c r="J506" s="1969"/>
      <c r="K506" s="1969">
        <v>856</v>
      </c>
      <c r="L506" s="1970">
        <f>K506/K$517</f>
        <v>0.11636759108210984</v>
      </c>
      <c r="M506" s="1969"/>
      <c r="N506" s="1985">
        <v>37395</v>
      </c>
      <c r="O506" s="1970">
        <f>N506/N$517</f>
        <v>0.52272917889792836</v>
      </c>
    </row>
    <row r="507" spans="2:15" s="1758" customFormat="1">
      <c r="B507" s="1758" t="s">
        <v>1773</v>
      </c>
      <c r="C507" s="1984">
        <v>0.45900000000000002</v>
      </c>
      <c r="D507" s="1758" t="s">
        <v>1774</v>
      </c>
      <c r="E507" s="1576" t="s">
        <v>699</v>
      </c>
      <c r="F507" s="1976">
        <v>0.32813019324818382</v>
      </c>
      <c r="G507" s="1757"/>
      <c r="H507" s="1377">
        <v>27643</v>
      </c>
      <c r="I507" s="1978">
        <v>0.32813019324818382</v>
      </c>
      <c r="J507" s="1969"/>
      <c r="K507" s="1977">
        <v>6500</v>
      </c>
      <c r="L507" s="1978">
        <f>K507/K$517</f>
        <v>0.88363240891789019</v>
      </c>
      <c r="M507" s="1969"/>
      <c r="N507" s="1377">
        <v>34143</v>
      </c>
      <c r="O507" s="1978">
        <f>N507/N$517</f>
        <v>0.47727082110207164</v>
      </c>
    </row>
    <row r="508" spans="2:15" s="1758" customFormat="1">
      <c r="B508" s="1757"/>
      <c r="C508" s="1984"/>
      <c r="D508" s="1758" t="s">
        <v>1775</v>
      </c>
      <c r="E508" s="1576" t="s">
        <v>698</v>
      </c>
      <c r="F508" s="1976">
        <v>8.5145529651963342E-2</v>
      </c>
      <c r="G508" s="1757"/>
      <c r="H508" s="1377">
        <v>7173</v>
      </c>
      <c r="I508" s="1978">
        <v>8.5145529651963342E-2</v>
      </c>
      <c r="J508" s="1969"/>
      <c r="K508" s="1969"/>
      <c r="L508" s="1969"/>
      <c r="M508" s="1969"/>
      <c r="N508" s="1985"/>
      <c r="O508" s="1970"/>
    </row>
    <row r="509" spans="2:15" s="1758" customFormat="1">
      <c r="B509" s="1757"/>
      <c r="C509" s="1984"/>
      <c r="D509" s="1758" t="s">
        <v>1776</v>
      </c>
      <c r="E509" s="1762" t="s">
        <v>251</v>
      </c>
      <c r="F509" s="1976">
        <v>5.720288685247614E-2</v>
      </c>
      <c r="G509" s="1757"/>
      <c r="H509" s="1377">
        <v>4819</v>
      </c>
      <c r="I509" s="1978">
        <v>5.720288685247614E-2</v>
      </c>
      <c r="J509" s="1969"/>
      <c r="K509" s="1969"/>
      <c r="L509" s="1969"/>
      <c r="M509" s="1969"/>
      <c r="N509" s="1985"/>
      <c r="O509" s="1970"/>
    </row>
    <row r="510" spans="2:15" s="1758" customFormat="1">
      <c r="B510" s="1757"/>
      <c r="C510" s="1984"/>
      <c r="D510" s="1758" t="s">
        <v>1777</v>
      </c>
      <c r="E510" s="1762" t="s">
        <v>1341</v>
      </c>
      <c r="F510" s="1976">
        <v>5.5778453064906697E-2</v>
      </c>
      <c r="G510" s="1757"/>
      <c r="H510" s="1377">
        <v>4699</v>
      </c>
      <c r="I510" s="1978">
        <v>5.5778453064906697E-2</v>
      </c>
      <c r="J510" s="1969"/>
      <c r="K510" s="1969"/>
      <c r="L510" s="1969"/>
      <c r="M510" s="1969"/>
      <c r="N510" s="1985"/>
      <c r="O510" s="1970"/>
    </row>
    <row r="511" spans="2:15" s="1758" customFormat="1">
      <c r="B511" s="1757"/>
      <c r="C511" s="1984"/>
      <c r="D511" s="1758" t="s">
        <v>1778</v>
      </c>
      <c r="E511" s="1576" t="s">
        <v>827</v>
      </c>
      <c r="F511" s="1976">
        <v>2.3372584397701915E-2</v>
      </c>
      <c r="G511" s="1757"/>
      <c r="H511" s="1377">
        <v>1969</v>
      </c>
      <c r="I511" s="1978">
        <v>2.3372584397701915E-2</v>
      </c>
      <c r="J511" s="1969"/>
      <c r="K511" s="1969"/>
      <c r="L511" s="1969"/>
      <c r="M511" s="1969"/>
      <c r="N511" s="1985"/>
      <c r="O511" s="1970"/>
    </row>
    <row r="512" spans="2:15" s="1758" customFormat="1">
      <c r="B512" s="1757"/>
      <c r="C512" s="1984"/>
      <c r="D512" s="1758" t="s">
        <v>1779</v>
      </c>
      <c r="E512" s="1576" t="s">
        <v>1241</v>
      </c>
      <c r="F512" s="1976">
        <v>1.0339015241441527E-2</v>
      </c>
      <c r="G512" s="1757"/>
      <c r="H512" s="1377">
        <v>871</v>
      </c>
      <c r="I512" s="1978">
        <v>1.0339015241441527E-2</v>
      </c>
      <c r="J512" s="1969"/>
      <c r="K512" s="1969"/>
      <c r="L512" s="1969"/>
      <c r="M512" s="1969"/>
      <c r="N512" s="1985"/>
      <c r="O512" s="1970"/>
    </row>
    <row r="513" spans="2:15" s="1758" customFormat="1">
      <c r="B513" s="1757"/>
      <c r="C513" s="1984"/>
      <c r="D513" s="1758" t="s">
        <v>1346</v>
      </c>
      <c r="E513" s="1576" t="s">
        <v>931</v>
      </c>
      <c r="F513" s="1976">
        <v>2.4334077204311287E-3</v>
      </c>
      <c r="G513" s="1757"/>
      <c r="H513" s="1377">
        <v>205</v>
      </c>
      <c r="I513" s="1978">
        <v>2.4334077204311287E-3</v>
      </c>
      <c r="J513" s="1969"/>
      <c r="K513" s="1969"/>
      <c r="L513" s="1969"/>
      <c r="M513" s="1969"/>
      <c r="N513" s="1985"/>
      <c r="O513" s="1970"/>
    </row>
    <row r="514" spans="2:15" s="1758" customFormat="1">
      <c r="B514" s="1757"/>
      <c r="C514" s="1984"/>
      <c r="D514" s="1758" t="s">
        <v>1780</v>
      </c>
      <c r="E514" s="1576" t="s">
        <v>931</v>
      </c>
      <c r="F514" s="1976">
        <v>1.9467261763449028E-3</v>
      </c>
      <c r="G514" s="1757"/>
      <c r="H514" s="1377">
        <v>164</v>
      </c>
      <c r="I514" s="1978">
        <v>1.9467261763449028E-3</v>
      </c>
      <c r="J514" s="1969"/>
      <c r="K514" s="1969"/>
      <c r="L514" s="1969"/>
      <c r="M514" s="1969"/>
      <c r="N514" s="1985"/>
      <c r="O514" s="1970"/>
    </row>
    <row r="515" spans="2:15" s="1758" customFormat="1">
      <c r="B515" s="1757"/>
      <c r="C515" s="1984"/>
      <c r="D515" s="1758" t="s">
        <v>1781</v>
      </c>
      <c r="E515" s="1576" t="s">
        <v>931</v>
      </c>
      <c r="F515" s="1976">
        <v>1.9229856132187456E-3</v>
      </c>
      <c r="G515" s="1757"/>
      <c r="H515" s="1377">
        <v>162</v>
      </c>
      <c r="I515" s="1978">
        <v>1.9229856132187456E-3</v>
      </c>
      <c r="J515" s="1969"/>
      <c r="K515" s="1969"/>
      <c r="L515" s="1969"/>
      <c r="M515" s="1969"/>
      <c r="N515" s="1985"/>
      <c r="O515" s="1970"/>
    </row>
    <row r="516" spans="2:15" s="1758" customFormat="1" ht="3.75" customHeight="1">
      <c r="B516" s="1757"/>
      <c r="C516" s="1984"/>
      <c r="E516" s="1576"/>
      <c r="F516" s="1976"/>
      <c r="G516" s="1757"/>
      <c r="H516" s="1377"/>
      <c r="I516" s="1978"/>
      <c r="J516" s="1969"/>
      <c r="K516" s="1969"/>
      <c r="L516" s="1969"/>
      <c r="M516" s="1969"/>
      <c r="N516" s="1985"/>
      <c r="O516" s="1970"/>
    </row>
    <row r="517" spans="2:15" s="1758" customFormat="1">
      <c r="B517" s="2468"/>
      <c r="C517" s="2478"/>
      <c r="D517" s="2468"/>
      <c r="E517" s="2476"/>
      <c r="F517" s="2470"/>
      <c r="G517" s="2468"/>
      <c r="H517" s="2458">
        <f>SUM(H506:H515)</f>
        <v>84244</v>
      </c>
      <c r="I517" s="2479">
        <f>SUM(I506:I515)</f>
        <v>1</v>
      </c>
      <c r="J517" s="2458"/>
      <c r="K517" s="2458">
        <f>SUM(K506:K515)</f>
        <v>7356</v>
      </c>
      <c r="L517" s="2479">
        <f>SUM(L506:L515)</f>
        <v>1</v>
      </c>
      <c r="M517" s="2458"/>
      <c r="N517" s="2458">
        <f>SUM(N506:N515)</f>
        <v>71538</v>
      </c>
      <c r="O517" s="2479">
        <f>SUM(O506:O515)</f>
        <v>1</v>
      </c>
    </row>
    <row r="518" spans="2:15" s="1758" customFormat="1">
      <c r="B518" s="1757"/>
      <c r="C518" s="1984"/>
      <c r="E518" s="1576"/>
      <c r="F518" s="1976"/>
      <c r="G518" s="1757"/>
      <c r="H518" s="1985"/>
      <c r="I518" s="1970"/>
      <c r="J518" s="1969"/>
      <c r="K518" s="1969"/>
      <c r="L518" s="1969"/>
      <c r="M518" s="1969"/>
      <c r="N518" s="1985"/>
      <c r="O518" s="1970"/>
    </row>
    <row r="519" spans="2:15" s="1758" customFormat="1">
      <c r="B519" s="1757" t="s">
        <v>812</v>
      </c>
      <c r="C519" s="1984"/>
      <c r="D519" s="1757" t="s">
        <v>876</v>
      </c>
      <c r="E519" s="1576" t="s">
        <v>827</v>
      </c>
      <c r="F519" s="1976">
        <v>0.45904523595417757</v>
      </c>
      <c r="G519" s="1757"/>
      <c r="H519" s="1985">
        <v>11741</v>
      </c>
      <c r="I519" s="1970">
        <v>0.45904523595417757</v>
      </c>
      <c r="J519" s="1969"/>
      <c r="K519" s="1969">
        <v>2452</v>
      </c>
      <c r="L519" s="1970">
        <f>K519/K$524</f>
        <v>0.72565847883989343</v>
      </c>
      <c r="M519" s="1969"/>
      <c r="N519" s="1985">
        <v>14193</v>
      </c>
      <c r="O519" s="1970">
        <f>N519/SUM(N519:N520)</f>
        <v>0.65414573443333179</v>
      </c>
    </row>
    <row r="520" spans="2:15" s="1758" customFormat="1">
      <c r="B520" s="1758" t="s">
        <v>1782</v>
      </c>
      <c r="C520" s="1984">
        <v>0.36099999999999999</v>
      </c>
      <c r="D520" s="1758" t="s">
        <v>1783</v>
      </c>
      <c r="E520" s="1576" t="s">
        <v>699</v>
      </c>
      <c r="F520" s="1976">
        <v>0.25714509129295854</v>
      </c>
      <c r="G520" s="1757"/>
      <c r="H520" s="1377">
        <v>6577</v>
      </c>
      <c r="I520" s="1978">
        <v>0.25714509129295854</v>
      </c>
      <c r="J520" s="1969"/>
      <c r="K520" s="1977">
        <v>927</v>
      </c>
      <c r="L520" s="1978">
        <f>K520/K$524</f>
        <v>0.27434152116010652</v>
      </c>
      <c r="M520" s="1969"/>
      <c r="N520" s="1377">
        <v>7504</v>
      </c>
      <c r="O520" s="1978">
        <v>0.34599999999999997</v>
      </c>
    </row>
    <row r="521" spans="2:15" s="1758" customFormat="1">
      <c r="B521" s="1757"/>
      <c r="C521" s="1984"/>
      <c r="D521" s="1758" t="s">
        <v>1784</v>
      </c>
      <c r="E521" s="1762" t="s">
        <v>251</v>
      </c>
      <c r="F521" s="1976">
        <v>0.14814090784689368</v>
      </c>
      <c r="G521" s="1757"/>
      <c r="H521" s="1377">
        <v>3789</v>
      </c>
      <c r="I521" s="1978">
        <v>0.14814090784689368</v>
      </c>
      <c r="J521" s="1969"/>
      <c r="K521" s="1969"/>
      <c r="L521" s="1969"/>
      <c r="M521" s="1969"/>
      <c r="N521" s="1985"/>
      <c r="O521" s="1970"/>
    </row>
    <row r="522" spans="2:15" s="1758" customFormat="1">
      <c r="B522" s="1757"/>
      <c r="C522" s="1984"/>
      <c r="D522" s="1758" t="s">
        <v>1785</v>
      </c>
      <c r="E522" s="1576" t="s">
        <v>698</v>
      </c>
      <c r="F522" s="1976">
        <v>0.13566876490597021</v>
      </c>
      <c r="G522" s="1757"/>
      <c r="H522" s="1377">
        <v>3470</v>
      </c>
      <c r="I522" s="1978">
        <v>0.13566876490597021</v>
      </c>
      <c r="J522" s="1969"/>
      <c r="K522" s="1969"/>
      <c r="L522" s="1969"/>
      <c r="M522" s="1969"/>
      <c r="N522" s="1985"/>
      <c r="O522" s="1970"/>
    </row>
    <row r="523" spans="2:15" s="1758" customFormat="1" ht="3.75" customHeight="1">
      <c r="B523" s="1757"/>
      <c r="C523" s="1984"/>
      <c r="E523" s="1576"/>
      <c r="F523" s="1976"/>
      <c r="G523" s="1757"/>
      <c r="H523" s="1377"/>
      <c r="I523" s="1978"/>
      <c r="J523" s="1969"/>
      <c r="K523" s="1969"/>
      <c r="L523" s="1969"/>
      <c r="M523" s="1969"/>
      <c r="N523" s="1985"/>
      <c r="O523" s="1970"/>
    </row>
    <row r="524" spans="2:15" s="1576" customFormat="1">
      <c r="B524" s="2468"/>
      <c r="C524" s="2478"/>
      <c r="D524" s="2468"/>
      <c r="E524" s="2476"/>
      <c r="F524" s="2470"/>
      <c r="G524" s="2468"/>
      <c r="H524" s="2458">
        <f>SUM(H519:H522)</f>
        <v>25577</v>
      </c>
      <c r="I524" s="2472">
        <v>1</v>
      </c>
      <c r="J524" s="2458"/>
      <c r="K524" s="2458">
        <f>SUM(K519:K522)</f>
        <v>3379</v>
      </c>
      <c r="L524" s="2479">
        <f>SUM(L519:L522)</f>
        <v>1</v>
      </c>
      <c r="M524" s="2458"/>
      <c r="N524" s="2458">
        <f>SUM(N519:N522)</f>
        <v>21697</v>
      </c>
      <c r="O524" s="2479">
        <f>SUM(O519:O522)</f>
        <v>1.0001457344333318</v>
      </c>
    </row>
    <row r="525" spans="2:15" s="1758" customFormat="1" ht="6" customHeight="1">
      <c r="B525" s="1934"/>
      <c r="C525" s="1868"/>
      <c r="D525" s="1935"/>
      <c r="E525" s="1156"/>
      <c r="F525" s="1976"/>
      <c r="G525" s="1156"/>
      <c r="H525" s="1378"/>
      <c r="I525" s="1437"/>
      <c r="J525" s="1437"/>
      <c r="K525" s="1378"/>
      <c r="L525" s="1437"/>
      <c r="M525" s="1437"/>
      <c r="N525" s="1378"/>
      <c r="O525" s="1437"/>
    </row>
    <row r="526" spans="2:15" ht="14.25" customHeight="1" thickBot="1">
      <c r="B526" s="1549"/>
      <c r="C526" s="2017"/>
      <c r="D526" s="2018"/>
      <c r="E526" s="2018"/>
      <c r="F526" s="2019"/>
      <c r="G526" s="2018"/>
      <c r="H526" s="3493" t="s">
        <v>1170</v>
      </c>
      <c r="I526" s="3409"/>
      <c r="J526" s="2368"/>
      <c r="K526" s="3493" t="s">
        <v>1219</v>
      </c>
      <c r="L526" s="3493"/>
      <c r="M526" s="2392"/>
      <c r="N526" s="3493" t="s">
        <v>267</v>
      </c>
      <c r="O526" s="3409"/>
    </row>
    <row r="527" spans="2:15" ht="16">
      <c r="B527" s="2021" t="s">
        <v>2387</v>
      </c>
      <c r="C527" s="2017"/>
      <c r="D527" s="2018" t="s">
        <v>11</v>
      </c>
      <c r="E527" s="2022" t="s">
        <v>110</v>
      </c>
      <c r="F527" s="2023"/>
      <c r="G527" s="2018"/>
      <c r="H527" s="2020" t="s">
        <v>111</v>
      </c>
      <c r="I527" s="2024" t="s">
        <v>153</v>
      </c>
      <c r="J527" s="2024"/>
      <c r="K527" s="2020" t="s">
        <v>111</v>
      </c>
      <c r="L527" s="2020" t="s">
        <v>153</v>
      </c>
      <c r="M527" s="2020"/>
      <c r="N527" s="2020" t="s">
        <v>111</v>
      </c>
      <c r="O527" s="2025" t="s">
        <v>153</v>
      </c>
    </row>
    <row r="528" spans="2:15" s="1758" customFormat="1">
      <c r="B528" s="2079" t="s">
        <v>1717</v>
      </c>
      <c r="C528" s="2080"/>
      <c r="D528" s="2076"/>
      <c r="E528" s="1389"/>
      <c r="F528" s="2077"/>
      <c r="G528" s="2076"/>
      <c r="H528" s="2078"/>
      <c r="I528" s="2078"/>
      <c r="J528" s="2078"/>
      <c r="K528" s="2078"/>
      <c r="L528" s="2082"/>
      <c r="M528" s="2078"/>
      <c r="N528" s="2078"/>
      <c r="O528" s="2078"/>
    </row>
    <row r="529" spans="2:15" s="1758" customFormat="1">
      <c r="B529" s="1981" t="s">
        <v>813</v>
      </c>
      <c r="C529" s="1967"/>
      <c r="D529" s="1757" t="s">
        <v>994</v>
      </c>
      <c r="E529" s="948" t="s">
        <v>827</v>
      </c>
      <c r="F529" s="1976">
        <v>0.31377756816799673</v>
      </c>
      <c r="H529" s="1969">
        <v>25282</v>
      </c>
      <c r="I529" s="1970">
        <v>0.31377756816799673</v>
      </c>
      <c r="J529" s="1964"/>
      <c r="K529" s="1969">
        <v>10020</v>
      </c>
      <c r="L529" s="1972">
        <f>K529/K535</f>
        <v>0.58541715354054691</v>
      </c>
      <c r="M529" s="1977"/>
      <c r="N529" s="1969">
        <f>K529+H529</f>
        <v>35302</v>
      </c>
      <c r="O529" s="1970">
        <f>N529/SUM(N529:N530)</f>
        <v>0.57109115910377739</v>
      </c>
    </row>
    <row r="530" spans="2:15" s="1758" customFormat="1">
      <c r="B530" s="1986" t="s">
        <v>1718</v>
      </c>
      <c r="C530" s="1967">
        <v>0.66</v>
      </c>
      <c r="D530" s="1758" t="s">
        <v>1719</v>
      </c>
      <c r="E530" s="948" t="s">
        <v>698</v>
      </c>
      <c r="F530" s="1976">
        <v>0.24098643466173533</v>
      </c>
      <c r="H530" s="1977">
        <v>19417</v>
      </c>
      <c r="I530" s="1978">
        <v>0.24098643466173533</v>
      </c>
      <c r="J530" s="1964"/>
      <c r="K530" s="1977">
        <v>7096</v>
      </c>
      <c r="L530" s="1965">
        <f>K530/K535</f>
        <v>0.41458284645945315</v>
      </c>
      <c r="M530" s="1977"/>
      <c r="N530" s="1977">
        <f>K530+H530</f>
        <v>26513</v>
      </c>
      <c r="O530" s="1978">
        <f>N530/SUM(N529:N530)</f>
        <v>0.42890884089622261</v>
      </c>
    </row>
    <row r="531" spans="2:15" s="1758" customFormat="1">
      <c r="B531" s="1981"/>
      <c r="C531" s="1963"/>
      <c r="D531" s="1758" t="s">
        <v>1720</v>
      </c>
      <c r="E531" s="948" t="s">
        <v>699</v>
      </c>
      <c r="F531" s="1976">
        <v>0.19772132103806486</v>
      </c>
      <c r="H531" s="1977">
        <v>15931</v>
      </c>
      <c r="I531" s="1978">
        <v>0.19772132103806486</v>
      </c>
      <c r="J531" s="1964"/>
      <c r="K531" s="1977"/>
      <c r="L531" s="1965"/>
      <c r="M531" s="1964"/>
      <c r="N531" s="1977"/>
      <c r="O531" s="1978"/>
    </row>
    <row r="532" spans="2:15" s="1758" customFormat="1">
      <c r="B532" s="1981"/>
      <c r="C532" s="1963"/>
      <c r="D532" s="1758" t="s">
        <v>1721</v>
      </c>
      <c r="E532" s="948" t="s">
        <v>931</v>
      </c>
      <c r="F532" s="1976">
        <v>0.15989227160463182</v>
      </c>
      <c r="H532" s="1977">
        <v>12883</v>
      </c>
      <c r="I532" s="1978">
        <v>0.15989227160463182</v>
      </c>
      <c r="J532" s="1964"/>
      <c r="K532" s="1964"/>
      <c r="L532" s="1965"/>
      <c r="M532" s="1964"/>
      <c r="N532" s="1977"/>
      <c r="O532" s="1978"/>
    </row>
    <row r="533" spans="2:15">
      <c r="B533" s="1981"/>
      <c r="C533" s="1963"/>
      <c r="D533" s="1758" t="s">
        <v>1722</v>
      </c>
      <c r="E533" s="1778" t="s">
        <v>251</v>
      </c>
      <c r="F533" s="1976">
        <v>8.7622404527571265E-2</v>
      </c>
      <c r="G533" s="1758"/>
      <c r="H533" s="1977">
        <v>7060</v>
      </c>
      <c r="I533" s="1978">
        <v>8.7622404527571265E-2</v>
      </c>
      <c r="J533" s="1964"/>
      <c r="K533" s="1964"/>
      <c r="L533" s="1965"/>
      <c r="M533" s="1964"/>
      <c r="N533" s="1977"/>
      <c r="O533" s="1978"/>
    </row>
    <row r="534" spans="2:15" ht="3" customHeight="1">
      <c r="B534" s="1981"/>
      <c r="C534" s="1963"/>
      <c r="D534" s="1758"/>
      <c r="E534" s="1778"/>
      <c r="F534" s="1976"/>
      <c r="G534" s="1758"/>
      <c r="H534" s="1977"/>
      <c r="I534" s="1978"/>
      <c r="J534" s="1964"/>
      <c r="K534" s="1964"/>
      <c r="L534" s="1965"/>
      <c r="M534" s="1964"/>
      <c r="N534" s="1977"/>
      <c r="O534" s="1978"/>
    </row>
    <row r="535" spans="2:15">
      <c r="B535" s="2466"/>
      <c r="C535" s="2467"/>
      <c r="D535" s="2468"/>
      <c r="E535" s="2469"/>
      <c r="F535" s="2470"/>
      <c r="G535" s="2468"/>
      <c r="H535" s="2471">
        <f>SUM(H529:H533)</f>
        <v>80573</v>
      </c>
      <c r="I535" s="2472">
        <f>SUM(I529:I533)</f>
        <v>1</v>
      </c>
      <c r="J535" s="2477"/>
      <c r="K535" s="2471">
        <f>SUM(K529:K530)</f>
        <v>17116</v>
      </c>
      <c r="L535" s="2472">
        <f>SUM(L529:L533)</f>
        <v>1</v>
      </c>
      <c r="M535" s="2471"/>
      <c r="N535" s="2471">
        <f>SUM(N529:N530)</f>
        <v>61815</v>
      </c>
      <c r="O535" s="2472">
        <f>SUM(O529:O533)</f>
        <v>1</v>
      </c>
    </row>
    <row r="536" spans="2:15">
      <c r="B536" s="1981"/>
      <c r="C536" s="1967"/>
      <c r="D536" s="1758"/>
      <c r="E536" s="948"/>
      <c r="F536" s="1976"/>
      <c r="G536" s="1757"/>
      <c r="H536" s="1964"/>
      <c r="I536" s="1964"/>
      <c r="J536" s="1964"/>
      <c r="K536" s="1964"/>
      <c r="L536" s="1965"/>
      <c r="M536" s="1964"/>
      <c r="N536" s="1964"/>
      <c r="O536" s="1964"/>
    </row>
    <row r="537" spans="2:15">
      <c r="B537" s="1981" t="s">
        <v>1723</v>
      </c>
      <c r="C537" s="1967"/>
      <c r="D537" s="1757" t="s">
        <v>1724</v>
      </c>
      <c r="E537" s="948" t="s">
        <v>931</v>
      </c>
      <c r="F537" s="1976">
        <v>0.30535204271699989</v>
      </c>
      <c r="G537" s="1758"/>
      <c r="H537" s="1969">
        <v>9836</v>
      </c>
      <c r="I537" s="1970">
        <v>0.30535204271699989</v>
      </c>
      <c r="J537" s="1971"/>
      <c r="K537" s="1969">
        <v>5397</v>
      </c>
      <c r="L537" s="1965">
        <f>K537/K541</f>
        <v>0.79496243923994703</v>
      </c>
      <c r="M537" s="1977"/>
      <c r="N537" s="1969">
        <f>K537+H537</f>
        <v>15233</v>
      </c>
      <c r="O537" s="1970">
        <f>N537/SUM(N537:N538)</f>
        <v>0.51651295266512953</v>
      </c>
    </row>
    <row r="538" spans="2:15">
      <c r="B538" s="1986" t="s">
        <v>1725</v>
      </c>
      <c r="C538" s="1967">
        <v>0.6</v>
      </c>
      <c r="D538" s="1758" t="s">
        <v>1726</v>
      </c>
      <c r="E538" s="948" t="s">
        <v>699</v>
      </c>
      <c r="F538" s="1976">
        <v>0.39944741090276914</v>
      </c>
      <c r="G538" s="1758"/>
      <c r="H538" s="1977">
        <v>12867</v>
      </c>
      <c r="I538" s="1978">
        <v>0.39944741090276914</v>
      </c>
      <c r="J538" s="1964"/>
      <c r="K538" s="1977">
        <v>1392</v>
      </c>
      <c r="L538" s="1965">
        <f>K538/K541</f>
        <v>0.20503756076005303</v>
      </c>
      <c r="M538" s="1977"/>
      <c r="N538" s="1977">
        <f>K538+H538</f>
        <v>14259</v>
      </c>
      <c r="O538" s="1978">
        <f>N538/SUM(N537:N538)</f>
        <v>0.48348704733487047</v>
      </c>
    </row>
    <row r="539" spans="2:15">
      <c r="B539" s="1981"/>
      <c r="C539" s="1963"/>
      <c r="D539" s="1758" t="s">
        <v>1727</v>
      </c>
      <c r="E539" s="948" t="s">
        <v>698</v>
      </c>
      <c r="F539" s="1976">
        <v>0.29520054638023097</v>
      </c>
      <c r="G539" s="1758"/>
      <c r="H539" s="1977">
        <v>9509</v>
      </c>
      <c r="I539" s="1978">
        <v>0.29520054638023097</v>
      </c>
      <c r="J539" s="1971"/>
      <c r="K539" s="1969"/>
      <c r="L539" s="1972"/>
      <c r="M539" s="1971"/>
      <c r="N539" s="1977"/>
      <c r="O539" s="1978"/>
    </row>
    <row r="540" spans="2:15" ht="3" customHeight="1">
      <c r="B540" s="1981"/>
      <c r="C540" s="1963"/>
      <c r="D540" s="1758"/>
      <c r="E540" s="948"/>
      <c r="F540" s="1976"/>
      <c r="G540" s="1758"/>
      <c r="H540" s="1977"/>
      <c r="I540" s="1978"/>
      <c r="J540" s="1971"/>
      <c r="K540" s="1969"/>
      <c r="L540" s="1972"/>
      <c r="M540" s="1971"/>
      <c r="N540" s="1977"/>
      <c r="O540" s="1978"/>
    </row>
    <row r="541" spans="2:15">
      <c r="B541" s="2466"/>
      <c r="C541" s="2467"/>
      <c r="D541" s="2468" t="s">
        <v>16</v>
      </c>
      <c r="E541" s="2469"/>
      <c r="F541" s="2470"/>
      <c r="G541" s="2468"/>
      <c r="H541" s="2471">
        <f>SUM(H537:H539)</f>
        <v>32212</v>
      </c>
      <c r="I541" s="2472">
        <f>SUM(I537:I539)</f>
        <v>1</v>
      </c>
      <c r="J541" s="2471"/>
      <c r="K541" s="2471">
        <f>SUM(K537:K538)</f>
        <v>6789</v>
      </c>
      <c r="L541" s="2472">
        <f>SUM(L537:L539)</f>
        <v>1</v>
      </c>
      <c r="M541" s="2471"/>
      <c r="N541" s="2471">
        <f>SUM(N537:N538)</f>
        <v>29492</v>
      </c>
      <c r="O541" s="2472">
        <f>SUM(O537:O539)</f>
        <v>1</v>
      </c>
    </row>
    <row r="542" spans="2:15">
      <c r="B542" s="1981"/>
      <c r="C542" s="1963"/>
      <c r="D542" s="1757"/>
      <c r="E542" s="948"/>
      <c r="F542" s="1976"/>
      <c r="G542" s="1757"/>
      <c r="H542" s="1969"/>
      <c r="I542" s="1970"/>
      <c r="J542" s="1969"/>
      <c r="K542" s="1969"/>
      <c r="L542" s="1972"/>
      <c r="M542" s="1969"/>
      <c r="N542" s="1969"/>
      <c r="O542" s="1970"/>
    </row>
    <row r="543" spans="2:15">
      <c r="B543" s="1981" t="s">
        <v>1001</v>
      </c>
      <c r="C543" s="1967"/>
      <c r="D543" s="1757" t="s">
        <v>1728</v>
      </c>
      <c r="E543" s="948" t="s">
        <v>699</v>
      </c>
      <c r="F543" s="1976">
        <v>0.54591174809591403</v>
      </c>
      <c r="G543" s="1757"/>
      <c r="H543" s="1969">
        <v>71533</v>
      </c>
      <c r="I543" s="1970">
        <v>0.54591174809591403</v>
      </c>
      <c r="J543" s="1969"/>
      <c r="K543" s="1971" t="s">
        <v>685</v>
      </c>
      <c r="L543" s="1972"/>
      <c r="M543" s="1969"/>
      <c r="N543" s="1969">
        <v>71533</v>
      </c>
      <c r="O543" s="1970">
        <v>0.54591174809591403</v>
      </c>
    </row>
    <row r="544" spans="2:15">
      <c r="B544" s="1986" t="s">
        <v>1729</v>
      </c>
      <c r="C544" s="1967">
        <v>0.59</v>
      </c>
      <c r="D544" s="1758" t="s">
        <v>1730</v>
      </c>
      <c r="E544" s="948" t="s">
        <v>698</v>
      </c>
      <c r="F544" s="1976">
        <v>0.18565410504143962</v>
      </c>
      <c r="G544" s="1757"/>
      <c r="H544" s="1977">
        <v>24327</v>
      </c>
      <c r="I544" s="1978">
        <v>0.18565410504143962</v>
      </c>
      <c r="J544" s="1969"/>
      <c r="K544" s="1964" t="s">
        <v>685</v>
      </c>
      <c r="L544" s="1972"/>
      <c r="M544" s="1969"/>
      <c r="N544" s="1977"/>
      <c r="O544" s="1978"/>
    </row>
    <row r="545" spans="2:15">
      <c r="B545" s="1981"/>
      <c r="C545" s="1967"/>
      <c r="D545" s="1758" t="s">
        <v>1731</v>
      </c>
      <c r="E545" s="1778" t="s">
        <v>251</v>
      </c>
      <c r="F545" s="1976">
        <v>9.5639299723735818E-2</v>
      </c>
      <c r="G545" s="1757"/>
      <c r="H545" s="1977">
        <v>12532</v>
      </c>
      <c r="I545" s="1978">
        <v>9.5639299723735818E-2</v>
      </c>
      <c r="J545" s="1969"/>
      <c r="K545" s="1969"/>
      <c r="L545" s="1972"/>
      <c r="M545" s="1969"/>
      <c r="N545" s="1977"/>
      <c r="O545" s="1978"/>
    </row>
    <row r="546" spans="2:15">
      <c r="B546" s="1981"/>
      <c r="C546" s="1967"/>
      <c r="D546" s="1758" t="s">
        <v>1732</v>
      </c>
      <c r="E546" s="1778" t="s">
        <v>1341</v>
      </c>
      <c r="F546" s="1976">
        <v>6.5914190210174459E-2</v>
      </c>
      <c r="G546" s="1757"/>
      <c r="H546" s="1977">
        <v>8637</v>
      </c>
      <c r="I546" s="1978">
        <v>6.5914190210174459E-2</v>
      </c>
      <c r="J546" s="1969"/>
      <c r="K546" s="1969"/>
      <c r="L546" s="1972"/>
      <c r="M546" s="1969"/>
      <c r="N546" s="1977"/>
      <c r="O546" s="1978"/>
    </row>
    <row r="547" spans="2:15">
      <c r="B547" s="1981"/>
      <c r="C547" s="1967"/>
      <c r="D547" s="1758" t="s">
        <v>1733</v>
      </c>
      <c r="E547" s="948" t="s">
        <v>827</v>
      </c>
      <c r="F547" s="1976">
        <v>6.3456812735625867E-2</v>
      </c>
      <c r="G547" s="1757"/>
      <c r="H547" s="1977">
        <v>8315</v>
      </c>
      <c r="I547" s="1978">
        <v>6.3456812735625867E-2</v>
      </c>
      <c r="J547" s="1969"/>
      <c r="K547" s="1969"/>
      <c r="L547" s="1972"/>
      <c r="M547" s="1969"/>
      <c r="N547" s="1977"/>
      <c r="O547" s="1978"/>
    </row>
    <row r="548" spans="2:15">
      <c r="B548" s="1981"/>
      <c r="C548" s="1967"/>
      <c r="D548" s="1758" t="s">
        <v>1734</v>
      </c>
      <c r="E548" s="948" t="s">
        <v>1735</v>
      </c>
      <c r="F548" s="1976">
        <v>2.3108506189233328E-2</v>
      </c>
      <c r="G548" s="1757"/>
      <c r="H548" s="1977">
        <v>3028</v>
      </c>
      <c r="I548" s="1978">
        <v>2.3108506189233328E-2</v>
      </c>
      <c r="J548" s="1969"/>
      <c r="K548" s="1969"/>
      <c r="L548" s="1972"/>
      <c r="M548" s="1969"/>
      <c r="N548" s="1977"/>
      <c r="O548" s="1978"/>
    </row>
    <row r="549" spans="2:15">
      <c r="B549" s="1981"/>
      <c r="C549" s="1967"/>
      <c r="D549" s="1758" t="s">
        <v>1736</v>
      </c>
      <c r="E549" s="948" t="s">
        <v>931</v>
      </c>
      <c r="F549" s="1976">
        <v>2.0315338003876856E-2</v>
      </c>
      <c r="G549" s="1757"/>
      <c r="H549" s="1977">
        <v>2662</v>
      </c>
      <c r="I549" s="1978">
        <v>2.0315338003876856E-2</v>
      </c>
      <c r="J549" s="1969"/>
      <c r="K549" s="1969"/>
      <c r="L549" s="1972"/>
      <c r="M549" s="1969"/>
      <c r="N549" s="1977"/>
      <c r="O549" s="1978"/>
    </row>
    <row r="550" spans="2:15" ht="3.75" customHeight="1">
      <c r="B550" s="1981"/>
      <c r="C550" s="1967"/>
      <c r="D550" s="1758"/>
      <c r="E550" s="948"/>
      <c r="F550" s="1976"/>
      <c r="G550" s="1757"/>
      <c r="H550" s="1977"/>
      <c r="I550" s="1978"/>
      <c r="J550" s="1969"/>
      <c r="K550" s="1969"/>
      <c r="L550" s="1972"/>
      <c r="M550" s="1969"/>
      <c r="N550" s="1977"/>
      <c r="O550" s="1978"/>
    </row>
    <row r="551" spans="2:15">
      <c r="B551" s="2466"/>
      <c r="C551" s="2480"/>
      <c r="D551" s="2468"/>
      <c r="E551" s="2469"/>
      <c r="F551" s="2470"/>
      <c r="G551" s="2468"/>
      <c r="H551" s="2458">
        <f>SUM(H543:H549)</f>
        <v>131034</v>
      </c>
      <c r="I551" s="2472">
        <f>SUM(I543:I549)</f>
        <v>1</v>
      </c>
      <c r="J551" s="2458"/>
      <c r="K551" s="2458"/>
      <c r="L551" s="2481"/>
      <c r="M551" s="2458"/>
      <c r="N551" s="2458"/>
      <c r="O551" s="2473"/>
    </row>
    <row r="552" spans="2:15">
      <c r="B552" s="1981"/>
      <c r="C552" s="1967"/>
      <c r="D552" s="1757"/>
      <c r="E552" s="948"/>
      <c r="F552" s="1976"/>
      <c r="G552" s="1757"/>
      <c r="H552" s="1985"/>
      <c r="I552" s="1985"/>
      <c r="J552" s="1985"/>
      <c r="K552" s="1985"/>
      <c r="L552" s="1422"/>
      <c r="M552" s="1985"/>
      <c r="N552" s="1985"/>
      <c r="O552" s="1970"/>
    </row>
    <row r="553" spans="2:15">
      <c r="B553" s="1981" t="s">
        <v>817</v>
      </c>
      <c r="C553" s="1967"/>
      <c r="D553" s="1757" t="s">
        <v>1737</v>
      </c>
      <c r="E553" s="948" t="s">
        <v>1738</v>
      </c>
      <c r="F553" s="1976">
        <v>0.3926134082697712</v>
      </c>
      <c r="G553" s="1757"/>
      <c r="H553" s="1985">
        <v>17604</v>
      </c>
      <c r="I553" s="1970">
        <v>0.3926134082697712</v>
      </c>
      <c r="J553" s="1969"/>
      <c r="K553" s="1969">
        <v>4996</v>
      </c>
      <c r="L553" s="1972">
        <f>K553/K557</f>
        <v>0.69835057310595472</v>
      </c>
      <c r="M553" s="1969"/>
      <c r="N553" s="1985">
        <f>K553+H553</f>
        <v>22600</v>
      </c>
      <c r="O553" s="1970">
        <f>N553/SUM(N553:N554)</f>
        <v>0.53402646502835538</v>
      </c>
    </row>
    <row r="554" spans="2:15">
      <c r="B554" s="1986" t="s">
        <v>1739</v>
      </c>
      <c r="C554" s="1967">
        <v>0.57899999999999996</v>
      </c>
      <c r="D554" s="1758" t="s">
        <v>1740</v>
      </c>
      <c r="E554" s="948" t="s">
        <v>699</v>
      </c>
      <c r="F554" s="1976">
        <v>0.39167670279673489</v>
      </c>
      <c r="G554" s="1757"/>
      <c r="H554" s="1377">
        <v>17562</v>
      </c>
      <c r="I554" s="1978">
        <v>0.39167670279673489</v>
      </c>
      <c r="J554" s="1969"/>
      <c r="K554" s="1977">
        <v>2158</v>
      </c>
      <c r="L554" s="1965">
        <f>K554/K557</f>
        <v>0.30164942689404528</v>
      </c>
      <c r="M554" s="1969"/>
      <c r="N554" s="1377">
        <f>K554+H554</f>
        <v>19720</v>
      </c>
      <c r="O554" s="1978">
        <f>N554/SUM(N553:N554)</f>
        <v>0.46597353497164462</v>
      </c>
    </row>
    <row r="555" spans="2:15">
      <c r="B555" s="1981"/>
      <c r="C555" s="1967"/>
      <c r="D555" s="1758" t="s">
        <v>1741</v>
      </c>
      <c r="E555" s="948" t="s">
        <v>931</v>
      </c>
      <c r="F555" s="1976">
        <v>0.21570988893349391</v>
      </c>
      <c r="G555" s="1757"/>
      <c r="H555" s="1377">
        <v>9672</v>
      </c>
      <c r="I555" s="1978">
        <v>0.21570988893349391</v>
      </c>
      <c r="J555" s="1969"/>
      <c r="K555" s="1969"/>
      <c r="L555" s="1972"/>
      <c r="M555" s="1969"/>
      <c r="N555" s="1985"/>
      <c r="O555" s="1970"/>
    </row>
    <row r="556" spans="2:15" ht="4.5" customHeight="1">
      <c r="B556" s="1981"/>
      <c r="C556" s="1967"/>
      <c r="D556" s="1758"/>
      <c r="E556" s="948"/>
      <c r="F556" s="1976"/>
      <c r="G556" s="1757"/>
      <c r="H556" s="1377"/>
      <c r="I556" s="1978"/>
      <c r="J556" s="1969"/>
      <c r="K556" s="1969"/>
      <c r="L556" s="1972"/>
      <c r="M556" s="1969"/>
      <c r="N556" s="1985"/>
      <c r="O556" s="1970"/>
    </row>
    <row r="557" spans="2:15">
      <c r="B557" s="2466"/>
      <c r="C557" s="2480"/>
      <c r="D557" s="2468"/>
      <c r="E557" s="2469"/>
      <c r="F557" s="2470"/>
      <c r="G557" s="2468"/>
      <c r="H557" s="2458">
        <f>SUM(H553:H555)</f>
        <v>44838</v>
      </c>
      <c r="I557" s="2472">
        <f>SUM(I553:I555)</f>
        <v>1</v>
      </c>
      <c r="J557" s="2458"/>
      <c r="K557" s="2458">
        <f>SUM(K553:K555)</f>
        <v>7154</v>
      </c>
      <c r="L557" s="2472">
        <f>SUM(L553:L555)</f>
        <v>1</v>
      </c>
      <c r="M557" s="2458"/>
      <c r="N557" s="2458">
        <f>SUM(N553:N555)</f>
        <v>42320</v>
      </c>
      <c r="O557" s="2472">
        <f>SUM(O553:O555)</f>
        <v>1</v>
      </c>
    </row>
    <row r="558" spans="2:15">
      <c r="B558" s="1981"/>
      <c r="C558" s="1967"/>
      <c r="D558" s="1757"/>
      <c r="E558" s="948"/>
      <c r="F558" s="1976"/>
      <c r="G558" s="1757"/>
      <c r="H558" s="1985"/>
      <c r="I558" s="1970"/>
      <c r="J558" s="1969"/>
      <c r="K558" s="1969"/>
      <c r="L558" s="1972"/>
      <c r="M558" s="1969"/>
      <c r="N558" s="1985"/>
      <c r="O558" s="1970"/>
    </row>
    <row r="559" spans="2:15">
      <c r="B559" s="1981" t="s">
        <v>463</v>
      </c>
      <c r="C559" s="1967"/>
      <c r="D559" s="1757" t="s">
        <v>1742</v>
      </c>
      <c r="E559" s="948" t="s">
        <v>699</v>
      </c>
      <c r="F559" s="1976">
        <v>0.33621575860192299</v>
      </c>
      <c r="G559" s="1757"/>
      <c r="H559" s="1985">
        <v>16680</v>
      </c>
      <c r="I559" s="1970">
        <v>0.33621575860192299</v>
      </c>
      <c r="J559" s="1969"/>
      <c r="K559" s="1969">
        <v>2858</v>
      </c>
      <c r="L559" s="1972">
        <f>K559/K566</f>
        <v>0.36292063492063492</v>
      </c>
      <c r="M559" s="1969"/>
      <c r="N559" s="1985">
        <f>K559+H559</f>
        <v>19538</v>
      </c>
      <c r="O559" s="1970">
        <f>N559/SUM(N559:N560)</f>
        <v>0.50329726944873776</v>
      </c>
    </row>
    <row r="560" spans="2:15">
      <c r="B560" s="1986" t="s">
        <v>1743</v>
      </c>
      <c r="C560" s="1967">
        <v>0.52</v>
      </c>
      <c r="D560" s="1758" t="s">
        <v>1744</v>
      </c>
      <c r="E560" s="948" t="s">
        <v>931</v>
      </c>
      <c r="F560" s="1976">
        <v>0.28753703815686038</v>
      </c>
      <c r="G560" s="1757"/>
      <c r="H560" s="1377">
        <v>14265</v>
      </c>
      <c r="I560" s="1978">
        <v>0.28753703815686038</v>
      </c>
      <c r="J560" s="1969"/>
      <c r="K560" s="1977">
        <v>5017</v>
      </c>
      <c r="L560" s="1965">
        <f>K560/K566</f>
        <v>0.63707936507936513</v>
      </c>
      <c r="M560" s="1969"/>
      <c r="N560" s="1377">
        <f>K560+H560</f>
        <v>19282</v>
      </c>
      <c r="O560" s="1978">
        <f>N560/SUM(N559:N560)</f>
        <v>0.49670273055126224</v>
      </c>
    </row>
    <row r="561" spans="2:15">
      <c r="B561" s="1981"/>
      <c r="C561" s="1967">
        <v>0</v>
      </c>
      <c r="D561" s="1758" t="s">
        <v>1745</v>
      </c>
      <c r="E561" s="948" t="s">
        <v>931</v>
      </c>
      <c r="F561" s="1976">
        <v>0.11697002680857067</v>
      </c>
      <c r="G561" s="1757"/>
      <c r="H561" s="1377">
        <v>5803</v>
      </c>
      <c r="I561" s="1978">
        <v>0.11697002680857067</v>
      </c>
      <c r="J561" s="1969"/>
      <c r="K561" s="1969"/>
      <c r="L561" s="1972"/>
      <c r="M561" s="1969"/>
      <c r="N561" s="1985"/>
      <c r="O561" s="1970"/>
    </row>
    <row r="562" spans="2:15">
      <c r="B562" s="1981"/>
      <c r="C562" s="1967"/>
      <c r="D562" s="1758" t="s">
        <v>1024</v>
      </c>
      <c r="E562" s="948" t="s">
        <v>931</v>
      </c>
      <c r="F562" s="1976">
        <v>0.11185019451331359</v>
      </c>
      <c r="G562" s="1757"/>
      <c r="H562" s="1377">
        <v>5549</v>
      </c>
      <c r="I562" s="1978">
        <v>0.11185019451331359</v>
      </c>
      <c r="J562" s="1969"/>
      <c r="K562" s="1969"/>
      <c r="L562" s="1972"/>
      <c r="M562" s="1969"/>
      <c r="N562" s="1985"/>
      <c r="O562" s="1970"/>
    </row>
    <row r="563" spans="2:15">
      <c r="B563" s="1981"/>
      <c r="C563" s="1967"/>
      <c r="D563" s="1758" t="s">
        <v>1746</v>
      </c>
      <c r="E563" s="948" t="s">
        <v>698</v>
      </c>
      <c r="F563" s="1976">
        <v>7.7482816310898789E-2</v>
      </c>
      <c r="G563" s="1757"/>
      <c r="H563" s="1377">
        <v>3844</v>
      </c>
      <c r="I563" s="1978">
        <v>7.7482816310898789E-2</v>
      </c>
      <c r="J563" s="1969"/>
      <c r="K563" s="1969"/>
      <c r="L563" s="1972"/>
      <c r="M563" s="1969"/>
      <c r="N563" s="1985"/>
      <c r="O563" s="1970"/>
    </row>
    <row r="564" spans="2:15">
      <c r="B564" s="1981"/>
      <c r="C564" s="1967"/>
      <c r="D564" s="1758" t="s">
        <v>1747</v>
      </c>
      <c r="E564" s="948" t="s">
        <v>931</v>
      </c>
      <c r="F564" s="1976">
        <v>6.9944165608433612E-2</v>
      </c>
      <c r="G564" s="1757"/>
      <c r="H564" s="1377">
        <v>3470</v>
      </c>
      <c r="I564" s="1978">
        <v>6.9944165608433612E-2</v>
      </c>
      <c r="J564" s="1969"/>
      <c r="K564" s="1969"/>
      <c r="L564" s="1972"/>
      <c r="M564" s="1969"/>
      <c r="N564" s="1985"/>
      <c r="O564" s="1970"/>
    </row>
    <row r="565" spans="2:15" ht="3" customHeight="1">
      <c r="B565" s="1981"/>
      <c r="C565" s="1967"/>
      <c r="D565" s="1758"/>
      <c r="E565" s="948"/>
      <c r="F565" s="1976"/>
      <c r="G565" s="1757"/>
      <c r="H565" s="1377"/>
      <c r="I565" s="1978"/>
      <c r="J565" s="1969"/>
      <c r="K565" s="1969"/>
      <c r="L565" s="1972"/>
      <c r="M565" s="1969"/>
      <c r="N565" s="1985"/>
      <c r="O565" s="1970"/>
    </row>
    <row r="566" spans="2:15">
      <c r="B566" s="2466"/>
      <c r="C566" s="2480"/>
      <c r="D566" s="2468" t="s">
        <v>16</v>
      </c>
      <c r="E566" s="2469"/>
      <c r="F566" s="2470"/>
      <c r="G566" s="2468"/>
      <c r="H566" s="2458">
        <f>SUM(H559:H564)</f>
        <v>49611</v>
      </c>
      <c r="I566" s="2472">
        <f>SUM(I559:I564)</f>
        <v>1</v>
      </c>
      <c r="J566" s="2458"/>
      <c r="K566" s="2458">
        <f>SUM(K559:K564)</f>
        <v>7875</v>
      </c>
      <c r="L566" s="2472">
        <f>SUM(L559:L564)</f>
        <v>1</v>
      </c>
      <c r="M566" s="2458"/>
      <c r="N566" s="2458">
        <f>SUM(N559:N564)</f>
        <v>38820</v>
      </c>
      <c r="O566" s="2472">
        <f>SUM(O559:O564)</f>
        <v>1</v>
      </c>
    </row>
    <row r="567" spans="2:15">
      <c r="B567" s="1981"/>
      <c r="C567" s="1967"/>
      <c r="D567" s="1757"/>
      <c r="E567" s="948"/>
      <c r="F567" s="1976"/>
      <c r="G567" s="1757"/>
      <c r="H567" s="1985"/>
      <c r="I567" s="1970"/>
      <c r="J567" s="1969"/>
      <c r="K567" s="1969"/>
      <c r="L567" s="1972"/>
      <c r="M567" s="1969"/>
      <c r="N567" s="1985"/>
      <c r="O567" s="1970"/>
    </row>
    <row r="568" spans="2:15">
      <c r="B568" s="1981" t="s">
        <v>689</v>
      </c>
      <c r="C568" s="1967"/>
      <c r="D568" s="1757" t="s">
        <v>984</v>
      </c>
      <c r="E568" s="948" t="s">
        <v>698</v>
      </c>
      <c r="F568" s="1976">
        <v>0.25079219888275456</v>
      </c>
      <c r="G568" s="1757"/>
      <c r="H568" s="1985">
        <v>15354</v>
      </c>
      <c r="I568" s="1970">
        <v>0.25079219888275456</v>
      </c>
      <c r="J568" s="1969"/>
      <c r="K568" s="1969">
        <v>3989</v>
      </c>
      <c r="L568" s="1972">
        <f>K568/K576</f>
        <v>0.39798463533872092</v>
      </c>
      <c r="M568" s="1969"/>
      <c r="N568" s="1985">
        <f>K568+H568</f>
        <v>19343</v>
      </c>
      <c r="O568" s="1970">
        <f>N568/SUM(N568:N569)</f>
        <v>0.52046280102246734</v>
      </c>
    </row>
    <row r="569" spans="2:15">
      <c r="B569" s="1986" t="s">
        <v>1725</v>
      </c>
      <c r="C569" s="1967">
        <v>0.6</v>
      </c>
      <c r="D569" s="1758" t="s">
        <v>1748</v>
      </c>
      <c r="E569" s="948" t="s">
        <v>827</v>
      </c>
      <c r="F569" s="1976">
        <v>0.1925451635033158</v>
      </c>
      <c r="G569" s="1757"/>
      <c r="H569" s="1377">
        <v>11788</v>
      </c>
      <c r="I569" s="1978">
        <v>0.1925451635033158</v>
      </c>
      <c r="J569" s="1969"/>
      <c r="K569" s="1977">
        <v>6034</v>
      </c>
      <c r="L569" s="1965">
        <f>K569/K576</f>
        <v>0.60201536466127903</v>
      </c>
      <c r="M569" s="1977"/>
      <c r="N569" s="1377">
        <f>K569+H569</f>
        <v>17822</v>
      </c>
      <c r="O569" s="1978">
        <f>N569/SUM(N568:N569)</f>
        <v>0.47953719897753261</v>
      </c>
    </row>
    <row r="570" spans="2:15">
      <c r="B570" s="1981"/>
      <c r="C570" s="1963"/>
      <c r="D570" s="1758" t="s">
        <v>1749</v>
      </c>
      <c r="E570" s="1778" t="s">
        <v>251</v>
      </c>
      <c r="F570" s="1976">
        <v>0.18498252262258666</v>
      </c>
      <c r="G570" s="1757"/>
      <c r="H570" s="1377">
        <v>11325</v>
      </c>
      <c r="I570" s="1978">
        <v>0.18498252262258666</v>
      </c>
      <c r="J570" s="1969"/>
      <c r="K570" s="1969"/>
      <c r="L570" s="1972"/>
      <c r="M570" s="1969"/>
      <c r="N570" s="1985"/>
      <c r="O570" s="1970"/>
    </row>
    <row r="571" spans="2:15">
      <c r="B571" s="1981"/>
      <c r="C571" s="1967"/>
      <c r="D571" s="1758" t="s">
        <v>1750</v>
      </c>
      <c r="E571" s="948" t="s">
        <v>699</v>
      </c>
      <c r="F571" s="1976">
        <v>0.1326157263728725</v>
      </c>
      <c r="G571" s="1757"/>
      <c r="H571" s="1377">
        <v>8119</v>
      </c>
      <c r="I571" s="1978">
        <v>0.1326157263728725</v>
      </c>
      <c r="J571" s="1969"/>
      <c r="K571" s="1969"/>
      <c r="L571" s="1972"/>
      <c r="M571" s="1969"/>
      <c r="N571" s="1985"/>
      <c r="O571" s="1970"/>
    </row>
    <row r="572" spans="2:15">
      <c r="B572" s="1981"/>
      <c r="C572" s="1967"/>
      <c r="D572" s="1758" t="s">
        <v>1224</v>
      </c>
      <c r="E572" s="948" t="s">
        <v>931</v>
      </c>
      <c r="F572" s="1976">
        <v>0.12317467577014798</v>
      </c>
      <c r="G572" s="1757"/>
      <c r="H572" s="1377">
        <v>7541</v>
      </c>
      <c r="I572" s="1978">
        <v>0.12317467577014798</v>
      </c>
      <c r="J572" s="1969"/>
      <c r="K572" s="1969"/>
      <c r="L572" s="1972"/>
      <c r="M572" s="1969"/>
      <c r="N572" s="1985"/>
      <c r="O572" s="1970"/>
    </row>
    <row r="573" spans="2:15">
      <c r="B573" s="1981"/>
      <c r="C573" s="1967"/>
      <c r="D573" s="1758" t="s">
        <v>989</v>
      </c>
      <c r="E573" s="948" t="s">
        <v>931</v>
      </c>
      <c r="F573" s="1976">
        <v>9.5488549867694617E-2</v>
      </c>
      <c r="G573" s="1757"/>
      <c r="H573" s="1377">
        <v>5846</v>
      </c>
      <c r="I573" s="1978">
        <v>9.5488549867694617E-2</v>
      </c>
      <c r="J573" s="1969"/>
      <c r="K573" s="1969"/>
      <c r="L573" s="1972"/>
      <c r="M573" s="1969"/>
      <c r="N573" s="1985"/>
      <c r="O573" s="1970"/>
    </row>
    <row r="574" spans="2:15">
      <c r="B574" s="1981"/>
      <c r="C574" s="1967"/>
      <c r="D574" s="1758" t="s">
        <v>1751</v>
      </c>
      <c r="E574" s="948" t="s">
        <v>931</v>
      </c>
      <c r="F574" s="1976">
        <v>2.0401162980627878E-2</v>
      </c>
      <c r="G574" s="1757"/>
      <c r="H574" s="1377">
        <v>1249</v>
      </c>
      <c r="I574" s="1978">
        <v>2.0401162980627878E-2</v>
      </c>
      <c r="J574" s="1969"/>
      <c r="K574" s="1969"/>
      <c r="L574" s="1972"/>
      <c r="M574" s="1969"/>
      <c r="N574" s="1985"/>
      <c r="O574" s="1970"/>
    </row>
    <row r="575" spans="2:15" ht="4.5" customHeight="1">
      <c r="B575" s="1981"/>
      <c r="C575" s="1967"/>
      <c r="D575" s="1758"/>
      <c r="E575" s="948"/>
      <c r="F575" s="1976"/>
      <c r="G575" s="1757"/>
      <c r="H575" s="1377"/>
      <c r="I575" s="1978"/>
      <c r="J575" s="1969"/>
      <c r="K575" s="1969"/>
      <c r="L575" s="1972"/>
      <c r="M575" s="1969"/>
      <c r="N575" s="1985"/>
      <c r="O575" s="1970"/>
    </row>
    <row r="576" spans="2:15" s="944" customFormat="1">
      <c r="B576" s="2000"/>
      <c r="C576" s="2001"/>
      <c r="D576" s="1785"/>
      <c r="E576" s="948"/>
      <c r="F576" s="1576"/>
      <c r="G576" s="1785"/>
      <c r="H576" s="1936">
        <f>SUM(H568:H574)</f>
        <v>61222</v>
      </c>
      <c r="I576" s="2475">
        <f>SUM(I568:I574)</f>
        <v>1</v>
      </c>
      <c r="J576" s="1936"/>
      <c r="K576" s="1936">
        <f>SUM(K568:K574)</f>
        <v>10023</v>
      </c>
      <c r="L576" s="2475">
        <f>SUM(L568:L574)</f>
        <v>1</v>
      </c>
      <c r="M576" s="1936"/>
      <c r="N576" s="1936">
        <f>SUM(N568:N574)</f>
        <v>37165</v>
      </c>
      <c r="O576" s="2475">
        <f>SUM(O568:O574)</f>
        <v>1</v>
      </c>
    </row>
    <row r="577" spans="2:15">
      <c r="B577" s="2083">
        <v>42495</v>
      </c>
      <c r="C577" s="2084"/>
      <c r="D577" s="2081"/>
      <c r="E577" s="1389"/>
      <c r="F577" s="2076"/>
      <c r="G577" s="2081"/>
      <c r="H577" s="2085"/>
      <c r="I577" s="2085"/>
      <c r="J577" s="2085"/>
      <c r="K577" s="2085"/>
      <c r="L577" s="2085"/>
      <c r="M577" s="2085"/>
      <c r="N577" s="2085"/>
      <c r="O577" s="2085"/>
    </row>
    <row r="578" spans="2:15">
      <c r="B578" s="1757" t="s">
        <v>1934</v>
      </c>
      <c r="D578" s="1757"/>
      <c r="E578" s="948"/>
    </row>
    <row r="579" spans="2:15">
      <c r="B579" s="1986" t="s">
        <v>1951</v>
      </c>
      <c r="C579" s="1987">
        <v>0.443</v>
      </c>
      <c r="D579" s="2288" t="s">
        <v>1819</v>
      </c>
      <c r="E579" s="1040" t="s">
        <v>699</v>
      </c>
      <c r="F579" s="1990">
        <v>0.40430035491825478</v>
      </c>
      <c r="G579" s="935"/>
      <c r="H579" s="1094">
        <v>56729</v>
      </c>
      <c r="I579" s="1458">
        <v>0.40430035491825478</v>
      </c>
      <c r="J579" s="1094"/>
      <c r="K579" s="2397">
        <v>12021</v>
      </c>
      <c r="L579" s="1838">
        <f>K579/K$592</f>
        <v>0.62534463923425065</v>
      </c>
      <c r="M579" s="1094"/>
      <c r="N579" s="1094">
        <f>H579+K579</f>
        <v>68750</v>
      </c>
      <c r="O579" s="1838">
        <f>N579/N$592</f>
        <v>0.63465248737618507</v>
      </c>
    </row>
    <row r="580" spans="2:15">
      <c r="D580" s="1394" t="s">
        <v>1802</v>
      </c>
      <c r="E580" s="948" t="s">
        <v>1955</v>
      </c>
      <c r="F580" s="1492">
        <v>0.23073249996436565</v>
      </c>
      <c r="H580" s="1046">
        <v>32375</v>
      </c>
      <c r="I580" s="1051">
        <v>0.23073249996436565</v>
      </c>
      <c r="K580" s="1988">
        <v>7202</v>
      </c>
      <c r="L580" s="1049">
        <f>K580/K$592</f>
        <v>0.37465536076574935</v>
      </c>
      <c r="N580" s="1046">
        <f>H580+K580</f>
        <v>39577</v>
      </c>
      <c r="O580" s="1049">
        <f>N580/N$592</f>
        <v>0.36534751262381493</v>
      </c>
    </row>
    <row r="581" spans="2:15">
      <c r="D581" s="1394" t="s">
        <v>1935</v>
      </c>
      <c r="E581" s="948" t="s">
        <v>698</v>
      </c>
      <c r="F581" s="1492">
        <v>0.13980785951508759</v>
      </c>
      <c r="H581" s="1046">
        <v>19617</v>
      </c>
      <c r="I581" s="1051">
        <v>0.13980785951508759</v>
      </c>
      <c r="K581" s="1492"/>
    </row>
    <row r="582" spans="2:15">
      <c r="D582" s="1394" t="s">
        <v>1936</v>
      </c>
      <c r="E582" s="948" t="s">
        <v>1341</v>
      </c>
      <c r="F582" s="1492">
        <v>7.1268725857719109E-2</v>
      </c>
      <c r="H582" s="1046">
        <v>10000</v>
      </c>
      <c r="I582" s="1051">
        <v>7.1268725857719109E-2</v>
      </c>
      <c r="K582" s="1492"/>
    </row>
    <row r="583" spans="2:15" ht="14">
      <c r="D583" s="1989" t="s">
        <v>1937</v>
      </c>
      <c r="E583" s="948" t="s">
        <v>827</v>
      </c>
      <c r="F583" s="1492">
        <v>5.7570876747865499E-2</v>
      </c>
      <c r="H583" s="1046">
        <v>8078</v>
      </c>
      <c r="I583" s="1051">
        <v>5.7570876747865499E-2</v>
      </c>
      <c r="K583" s="1492"/>
    </row>
    <row r="584" spans="2:15">
      <c r="D584" s="1394" t="s">
        <v>1938</v>
      </c>
      <c r="E584" s="948" t="s">
        <v>251</v>
      </c>
      <c r="F584" s="1492">
        <v>5.0707698447767152E-2</v>
      </c>
      <c r="H584" s="1046">
        <v>7115</v>
      </c>
      <c r="I584" s="1051">
        <v>5.0707698447767152E-2</v>
      </c>
      <c r="K584" s="1492"/>
    </row>
    <row r="585" spans="2:15">
      <c r="D585" s="1394" t="s">
        <v>1939</v>
      </c>
      <c r="E585" s="948" t="s">
        <v>1241</v>
      </c>
      <c r="F585" s="1492">
        <v>1.3370012970908108E-2</v>
      </c>
      <c r="H585" s="1046">
        <v>1876</v>
      </c>
      <c r="I585" s="1051">
        <v>1.3370012970908108E-2</v>
      </c>
      <c r="K585" s="1492"/>
    </row>
    <row r="586" spans="2:15">
      <c r="D586" s="1394" t="s">
        <v>1811</v>
      </c>
      <c r="E586" s="948" t="s">
        <v>931</v>
      </c>
      <c r="F586" s="1492">
        <v>9.8635916587083254E-3</v>
      </c>
      <c r="H586" s="1046">
        <v>1384</v>
      </c>
      <c r="I586" s="1051">
        <v>9.8635916587083254E-3</v>
      </c>
      <c r="K586" s="1492"/>
    </row>
    <row r="587" spans="2:15">
      <c r="D587" s="1394" t="s">
        <v>1940</v>
      </c>
      <c r="E587" s="948" t="s">
        <v>931</v>
      </c>
      <c r="F587" s="1492">
        <v>7.1981413116296309E-3</v>
      </c>
      <c r="H587" s="1046">
        <v>1010</v>
      </c>
      <c r="I587" s="1051">
        <v>7.1981413116296309E-3</v>
      </c>
      <c r="K587" s="1492"/>
    </row>
    <row r="588" spans="2:15" ht="14">
      <c r="D588" s="1989" t="s">
        <v>1805</v>
      </c>
      <c r="E588" s="948" t="s">
        <v>931</v>
      </c>
      <c r="F588" s="1492">
        <v>6.2502672577219665E-3</v>
      </c>
      <c r="H588" s="1046">
        <v>877</v>
      </c>
      <c r="I588" s="1051">
        <v>6.2502672577219665E-3</v>
      </c>
      <c r="K588" s="1492"/>
    </row>
    <row r="589" spans="2:15">
      <c r="D589" s="1394" t="s">
        <v>1941</v>
      </c>
      <c r="E589" s="948" t="s">
        <v>931</v>
      </c>
      <c r="F589" s="1492">
        <v>3.8841455592456917E-3</v>
      </c>
      <c r="H589" s="1046">
        <v>545</v>
      </c>
      <c r="I589" s="1051">
        <v>3.8841455592456917E-3</v>
      </c>
      <c r="K589" s="1492"/>
    </row>
    <row r="590" spans="2:15">
      <c r="D590" s="1394" t="s">
        <v>1942</v>
      </c>
      <c r="E590" s="948" t="s">
        <v>931</v>
      </c>
      <c r="F590" s="1492">
        <v>2.6155622389782917E-3</v>
      </c>
      <c r="H590" s="1046">
        <v>367</v>
      </c>
      <c r="I590" s="1051">
        <v>2.6155622389782917E-3</v>
      </c>
      <c r="K590" s="1492"/>
    </row>
    <row r="591" spans="2:15">
      <c r="D591" s="1394" t="s">
        <v>1943</v>
      </c>
      <c r="E591" s="948" t="s">
        <v>931</v>
      </c>
      <c r="F591" s="1492">
        <v>2.430263551748222E-3</v>
      </c>
      <c r="H591" s="1046">
        <v>341</v>
      </c>
      <c r="I591" s="1051">
        <v>2.430263551748222E-3</v>
      </c>
      <c r="K591" s="1492"/>
    </row>
    <row r="592" spans="2:15" s="935" customFormat="1">
      <c r="B592" s="2442"/>
      <c r="C592" s="2482"/>
      <c r="D592" s="2468" t="s">
        <v>16</v>
      </c>
      <c r="E592" s="2483"/>
      <c r="F592" s="2484"/>
      <c r="G592" s="2485"/>
      <c r="H592" s="2444">
        <v>140314</v>
      </c>
      <c r="I592" s="2472">
        <f>SUM(I579:I590)</f>
        <v>0.99756973644825175</v>
      </c>
      <c r="J592" s="2444"/>
      <c r="K592" s="2486">
        <f>SUM(K579:K591)</f>
        <v>19223</v>
      </c>
      <c r="L592" s="2472">
        <f>SUM(L579:L590)</f>
        <v>1</v>
      </c>
      <c r="M592" s="2444"/>
      <c r="N592" s="2444">
        <f>SUM(N579:N580)</f>
        <v>108327</v>
      </c>
      <c r="O592" s="2472">
        <f>SUM(O579:O590)</f>
        <v>1</v>
      </c>
    </row>
    <row r="593" spans="2:16">
      <c r="D593" s="1757"/>
      <c r="E593" s="948"/>
      <c r="I593" s="1051"/>
      <c r="K593" s="1991"/>
    </row>
    <row r="594" spans="2:16" ht="14.25" customHeight="1" thickBot="1">
      <c r="B594" s="1549"/>
      <c r="C594" s="2017"/>
      <c r="D594" s="2018"/>
      <c r="E594" s="2018"/>
      <c r="F594" s="2019"/>
      <c r="G594" s="2018"/>
      <c r="H594" s="3493" t="s">
        <v>1170</v>
      </c>
      <c r="I594" s="3409"/>
      <c r="J594" s="2368"/>
      <c r="K594" s="3493" t="s">
        <v>1219</v>
      </c>
      <c r="L594" s="3493"/>
      <c r="M594" s="2392"/>
      <c r="N594" s="3493" t="s">
        <v>267</v>
      </c>
      <c r="O594" s="3409"/>
    </row>
    <row r="595" spans="2:16" ht="16">
      <c r="B595" s="2021" t="s">
        <v>2387</v>
      </c>
      <c r="C595" s="2017"/>
      <c r="D595" s="2018" t="s">
        <v>11</v>
      </c>
      <c r="E595" s="2022" t="s">
        <v>110</v>
      </c>
      <c r="F595" s="2023"/>
      <c r="G595" s="2018"/>
      <c r="H595" s="2020" t="s">
        <v>111</v>
      </c>
      <c r="I595" s="2024" t="s">
        <v>153</v>
      </c>
      <c r="J595" s="2024"/>
      <c r="K595" s="2020" t="s">
        <v>111</v>
      </c>
      <c r="L595" s="2020" t="s">
        <v>153</v>
      </c>
      <c r="M595" s="2020"/>
      <c r="N595" s="2020" t="s">
        <v>111</v>
      </c>
      <c r="O595" s="2025" t="s">
        <v>153</v>
      </c>
    </row>
    <row r="596" spans="2:16">
      <c r="B596" s="1757" t="s">
        <v>1944</v>
      </c>
      <c r="E596" s="948"/>
      <c r="I596" s="1051"/>
      <c r="K596" s="1758"/>
    </row>
    <row r="597" spans="2:16">
      <c r="B597" s="1986" t="s">
        <v>1952</v>
      </c>
      <c r="C597" s="1992">
        <v>0.309</v>
      </c>
      <c r="D597" s="1757" t="s">
        <v>1236</v>
      </c>
      <c r="E597" s="1040" t="s">
        <v>699</v>
      </c>
      <c r="F597" s="1990">
        <v>0.52607198491432317</v>
      </c>
      <c r="G597" s="935"/>
      <c r="H597" s="1094">
        <v>51332</v>
      </c>
      <c r="I597" s="1458">
        <v>0.52607198491432317</v>
      </c>
      <c r="J597" s="1094"/>
      <c r="K597" s="1971" t="s">
        <v>685</v>
      </c>
      <c r="L597" s="1094"/>
      <c r="M597" s="1094"/>
      <c r="N597" s="1094">
        <f>H597</f>
        <v>51332</v>
      </c>
      <c r="O597" s="1458">
        <f>I597</f>
        <v>0.52607198491432317</v>
      </c>
    </row>
    <row r="598" spans="2:16">
      <c r="D598" s="1758" t="s">
        <v>1238</v>
      </c>
      <c r="E598" s="948" t="s">
        <v>827</v>
      </c>
      <c r="F598" s="1492">
        <v>0.21109699106337623</v>
      </c>
      <c r="H598" s="1046">
        <v>20598</v>
      </c>
      <c r="I598" s="1051">
        <v>0.21109699106337623</v>
      </c>
      <c r="K598" s="1964" t="s">
        <v>685</v>
      </c>
      <c r="O598" s="1051"/>
    </row>
    <row r="599" spans="2:16">
      <c r="D599" s="1758" t="s">
        <v>1945</v>
      </c>
      <c r="E599" s="1778" t="s">
        <v>1341</v>
      </c>
      <c r="F599" s="1492">
        <v>0.10872550627203409</v>
      </c>
      <c r="H599" s="1046">
        <v>10609</v>
      </c>
      <c r="I599" s="1051">
        <v>0.10872550627203409</v>
      </c>
      <c r="K599" s="1758"/>
    </row>
    <row r="600" spans="2:16">
      <c r="D600" s="1758" t="s">
        <v>1946</v>
      </c>
      <c r="E600" s="948" t="s">
        <v>1241</v>
      </c>
      <c r="F600" s="1492">
        <v>5.0729687628105272E-2</v>
      </c>
      <c r="H600" s="1046">
        <v>4950</v>
      </c>
      <c r="I600" s="1051">
        <v>5.0729687628105272E-2</v>
      </c>
      <c r="K600" s="1758"/>
    </row>
    <row r="601" spans="2:16">
      <c r="D601" s="1758" t="s">
        <v>1947</v>
      </c>
      <c r="E601" s="948" t="s">
        <v>931</v>
      </c>
      <c r="F601" s="1492">
        <v>4.0624743789456422E-2</v>
      </c>
      <c r="H601" s="1046">
        <v>3964</v>
      </c>
      <c r="I601" s="1051">
        <v>4.0624743789456422E-2</v>
      </c>
      <c r="K601" s="1758"/>
    </row>
    <row r="602" spans="2:16">
      <c r="D602" s="1758" t="s">
        <v>1243</v>
      </c>
      <c r="E602" s="948" t="s">
        <v>698</v>
      </c>
      <c r="F602" s="1492">
        <v>3.62076740182012E-2</v>
      </c>
      <c r="H602" s="1046">
        <v>3533</v>
      </c>
      <c r="I602" s="1051">
        <v>3.62076740182012E-2</v>
      </c>
      <c r="K602" s="1758"/>
    </row>
    <row r="603" spans="2:16">
      <c r="D603" s="1758" t="s">
        <v>1245</v>
      </c>
      <c r="E603" s="948" t="s">
        <v>926</v>
      </c>
      <c r="F603" s="1492">
        <v>2.6543412314503568E-2</v>
      </c>
      <c r="H603" s="1046">
        <v>2590</v>
      </c>
      <c r="I603" s="1051">
        <v>2.6543412314503568E-2</v>
      </c>
      <c r="K603" s="1758"/>
    </row>
    <row r="604" spans="2:16" s="935" customFormat="1">
      <c r="B604" s="2442"/>
      <c r="C604" s="2482"/>
      <c r="D604" s="2468" t="s">
        <v>267</v>
      </c>
      <c r="E604" s="2483"/>
      <c r="F604" s="2484"/>
      <c r="G604" s="2485"/>
      <c r="H604" s="2444">
        <v>97576</v>
      </c>
      <c r="I604" s="2472">
        <v>0.99756973644825175</v>
      </c>
      <c r="J604" s="2472"/>
      <c r="K604" s="2472"/>
      <c r="L604" s="2444"/>
      <c r="M604" s="2444"/>
      <c r="N604" s="2444"/>
      <c r="O604" s="2444"/>
    </row>
    <row r="605" spans="2:16" ht="3" customHeight="1">
      <c r="D605" s="1757"/>
      <c r="E605" s="948"/>
      <c r="I605" s="1051"/>
      <c r="K605" s="1758"/>
    </row>
    <row r="606" spans="2:16">
      <c r="B606" s="1757" t="s">
        <v>1152</v>
      </c>
      <c r="E606" s="948"/>
      <c r="I606" s="1051"/>
      <c r="K606" s="1991"/>
    </row>
    <row r="607" spans="2:16">
      <c r="B607" s="1986" t="s">
        <v>1953</v>
      </c>
      <c r="C607" s="1992">
        <v>0.29099999999999998</v>
      </c>
      <c r="D607" s="1757" t="s">
        <v>1954</v>
      </c>
      <c r="E607" s="1040" t="s">
        <v>699</v>
      </c>
      <c r="F607" s="1990">
        <v>4.9562903060702225E-3</v>
      </c>
      <c r="G607" s="935"/>
      <c r="H607" s="1094">
        <v>24209</v>
      </c>
      <c r="I607" s="1458">
        <f>H607/H$611</f>
        <v>0.49562903060702224</v>
      </c>
      <c r="J607" s="1094"/>
      <c r="K607" s="1991">
        <v>4123</v>
      </c>
      <c r="L607" s="1458">
        <f>K607/K611</f>
        <v>0.60659114315139029</v>
      </c>
      <c r="M607" s="1094"/>
      <c r="N607" s="1094">
        <f>H607+K607</f>
        <v>28332</v>
      </c>
      <c r="O607" s="1458">
        <f>P607/100</f>
        <v>0.66171524663677128</v>
      </c>
      <c r="P607" s="1046">
        <v>66.171524663677133</v>
      </c>
    </row>
    <row r="608" spans="2:16">
      <c r="D608" s="1758" t="s">
        <v>1948</v>
      </c>
      <c r="E608" s="948" t="s">
        <v>698</v>
      </c>
      <c r="F608" s="1492">
        <v>2.4178523902139422E-3</v>
      </c>
      <c r="H608" s="1046">
        <v>11810</v>
      </c>
      <c r="I608" s="1051">
        <f>H608/H$611</f>
        <v>0.2417852390213942</v>
      </c>
      <c r="K608" s="1993">
        <v>2674</v>
      </c>
      <c r="L608" s="1051">
        <f>K608/K611</f>
        <v>0.39340885684860966</v>
      </c>
      <c r="N608" s="1046">
        <f>K608+H608</f>
        <v>14484</v>
      </c>
      <c r="O608" s="1051">
        <f>P608/100</f>
        <v>0.33828475336322872</v>
      </c>
      <c r="P608" s="1046">
        <v>33.828475336322875</v>
      </c>
    </row>
    <row r="609" spans="2:15">
      <c r="D609" s="1758" t="s">
        <v>1949</v>
      </c>
      <c r="E609" s="1778" t="s">
        <v>251</v>
      </c>
      <c r="F609" s="1492">
        <v>1.7745931006244242E-3</v>
      </c>
      <c r="H609" s="1046">
        <v>8668</v>
      </c>
      <c r="I609" s="1051">
        <f>H609/H$611</f>
        <v>0.17745931006244242</v>
      </c>
      <c r="K609" s="1991"/>
    </row>
    <row r="610" spans="2:15">
      <c r="D610" s="1758" t="s">
        <v>1950</v>
      </c>
      <c r="E610" s="1778" t="s">
        <v>1341</v>
      </c>
      <c r="F610" s="1492">
        <v>8.5126420309141165E-4</v>
      </c>
      <c r="H610" s="1046">
        <v>4158</v>
      </c>
      <c r="I610" s="1051">
        <f>H610/H$611</f>
        <v>8.5126420309141165E-2</v>
      </c>
      <c r="K610" s="1991"/>
    </row>
    <row r="611" spans="2:15" s="947" customFormat="1">
      <c r="B611" s="1515"/>
      <c r="C611" s="2394"/>
      <c r="D611" s="1785" t="s">
        <v>16</v>
      </c>
      <c r="E611" s="1040"/>
      <c r="F611" s="1537"/>
      <c r="H611" s="1093">
        <v>48845</v>
      </c>
      <c r="I611" s="2475">
        <f>SUM(I607:I610)</f>
        <v>1</v>
      </c>
      <c r="J611" s="1093"/>
      <c r="K611" s="1093">
        <f>SUM(K605:K610)</f>
        <v>6797</v>
      </c>
      <c r="L611" s="2475">
        <f>SUM(L605:L610)</f>
        <v>1</v>
      </c>
      <c r="M611" s="1093"/>
      <c r="N611" s="1093">
        <f>SUM(N605:N610)</f>
        <v>42816</v>
      </c>
      <c r="O611" s="2475">
        <f>SUM(O605:O610)</f>
        <v>1</v>
      </c>
    </row>
    <row r="612" spans="2:15" s="947" customFormat="1" ht="6" customHeight="1">
      <c r="B612" s="1515"/>
      <c r="C612" s="2394"/>
      <c r="D612" s="1785"/>
      <c r="E612" s="1040"/>
      <c r="F612" s="1537"/>
      <c r="H612" s="1093"/>
      <c r="I612" s="1093"/>
      <c r="J612" s="1093"/>
      <c r="K612" s="2395"/>
      <c r="L612" s="1093"/>
      <c r="M612" s="1093"/>
      <c r="N612" s="1093"/>
      <c r="O612" s="1093"/>
    </row>
    <row r="613" spans="2:15">
      <c r="B613" s="2083">
        <v>42859</v>
      </c>
      <c r="C613" s="2084"/>
      <c r="D613" s="2081"/>
      <c r="E613" s="1389"/>
      <c r="F613" s="2076"/>
      <c r="G613" s="2081"/>
      <c r="H613" s="2085"/>
      <c r="I613" s="2085"/>
      <c r="J613" s="2085"/>
      <c r="K613" s="2085"/>
      <c r="L613" s="2085"/>
      <c r="M613" s="2085"/>
      <c r="N613" s="2085"/>
      <c r="O613" s="2085"/>
    </row>
    <row r="614" spans="2:15" ht="16">
      <c r="B614" s="1779" t="s">
        <v>2380</v>
      </c>
      <c r="D614" s="1757"/>
      <c r="E614" s="948"/>
    </row>
    <row r="615" spans="2:15">
      <c r="B615" s="1986" t="s">
        <v>1334</v>
      </c>
      <c r="C615" s="1992">
        <v>0.32900000000000001</v>
      </c>
      <c r="D615" s="1779" t="s">
        <v>2423</v>
      </c>
      <c r="E615" s="948" t="s">
        <v>698</v>
      </c>
      <c r="F615" s="1492">
        <f t="shared" ref="F615:F620" si="7">I615</f>
        <v>0.37960255117827307</v>
      </c>
      <c r="H615" s="1994">
        <v>76064</v>
      </c>
      <c r="I615" s="1995">
        <v>0.37960255117827307</v>
      </c>
      <c r="K615" s="1994">
        <v>12762</v>
      </c>
      <c r="L615" s="1995">
        <v>0.38741993260678181</v>
      </c>
      <c r="M615" s="1779"/>
      <c r="N615" s="1994">
        <v>88826</v>
      </c>
      <c r="O615" s="1995">
        <f>N615/N$621</f>
        <v>0.5692843088873365</v>
      </c>
    </row>
    <row r="616" spans="2:15">
      <c r="C616" s="1996"/>
      <c r="D616" s="1782" t="s">
        <v>2087</v>
      </c>
      <c r="E616" s="948" t="s">
        <v>827</v>
      </c>
      <c r="F616" s="1492">
        <f t="shared" si="7"/>
        <v>0.23468644262344168</v>
      </c>
      <c r="H616" s="1997">
        <v>47026</v>
      </c>
      <c r="I616" s="1998">
        <v>0.23468644262344168</v>
      </c>
      <c r="K616" s="1997">
        <v>20179</v>
      </c>
      <c r="L616" s="1998">
        <v>0.61258006739321813</v>
      </c>
      <c r="M616" s="1782"/>
      <c r="N616" s="1997">
        <v>67205</v>
      </c>
      <c r="O616" s="1998">
        <f>N616/N$621</f>
        <v>0.4307156911126635</v>
      </c>
    </row>
    <row r="617" spans="2:15">
      <c r="C617" s="1996"/>
      <c r="D617" s="1782" t="s">
        <v>2086</v>
      </c>
      <c r="E617" s="948" t="s">
        <v>699</v>
      </c>
      <c r="F617" s="1492">
        <f t="shared" si="7"/>
        <v>0.18613320823643315</v>
      </c>
      <c r="H617" s="1997">
        <v>37297</v>
      </c>
      <c r="I617" s="1998">
        <v>0.18613320823643315</v>
      </c>
      <c r="K617" s="1492"/>
    </row>
    <row r="618" spans="2:15">
      <c r="C618" s="1996"/>
      <c r="D618" s="1782" t="s">
        <v>2088</v>
      </c>
      <c r="E618" s="948" t="s">
        <v>251</v>
      </c>
      <c r="F618" s="1492">
        <f t="shared" si="7"/>
        <v>7.9504736048867639E-2</v>
      </c>
      <c r="H618" s="1997">
        <v>15931</v>
      </c>
      <c r="I618" s="1998">
        <v>7.9504736048867639E-2</v>
      </c>
      <c r="K618" s="1492"/>
    </row>
    <row r="619" spans="2:15">
      <c r="C619" s="1996"/>
      <c r="D619" s="1782" t="s">
        <v>2089</v>
      </c>
      <c r="E619" s="948" t="s">
        <v>1341</v>
      </c>
      <c r="F619" s="1492">
        <f t="shared" si="7"/>
        <v>6.3020890516923014E-2</v>
      </c>
      <c r="H619" s="1997">
        <v>12628</v>
      </c>
      <c r="I619" s="1998">
        <v>6.3020890516923014E-2</v>
      </c>
      <c r="K619" s="1492"/>
    </row>
    <row r="620" spans="2:15">
      <c r="C620" s="1996"/>
      <c r="D620" s="1782" t="s">
        <v>2090</v>
      </c>
      <c r="E620" s="948" t="s">
        <v>12</v>
      </c>
      <c r="F620" s="1492">
        <f t="shared" si="7"/>
        <v>5.7052171396061446E-2</v>
      </c>
      <c r="H620" s="1997">
        <v>11432</v>
      </c>
      <c r="I620" s="1998">
        <v>5.7052171396061446E-2</v>
      </c>
      <c r="K620" s="1492"/>
    </row>
    <row r="621" spans="2:15" s="935" customFormat="1">
      <c r="B621" s="2442"/>
      <c r="C621" s="2482"/>
      <c r="D621" s="2468" t="s">
        <v>16</v>
      </c>
      <c r="E621" s="2483"/>
      <c r="F621" s="2484"/>
      <c r="G621" s="2485"/>
      <c r="H621" s="2444">
        <f>SUM(H615:H620)</f>
        <v>200378</v>
      </c>
      <c r="I621" s="2472">
        <f>SUM(I615:I620)</f>
        <v>1</v>
      </c>
      <c r="J621" s="2444"/>
      <c r="K621" s="2444">
        <f>SUM(K615:K620)</f>
        <v>32941</v>
      </c>
      <c r="L621" s="2472">
        <f>SUM(L615:L620)</f>
        <v>1</v>
      </c>
      <c r="M621" s="2444"/>
      <c r="N621" s="2444">
        <f>SUM(N615:N620)</f>
        <v>156031</v>
      </c>
      <c r="O621" s="2472">
        <f>SUM(O615:O620)</f>
        <v>1</v>
      </c>
    </row>
    <row r="622" spans="2:15" ht="4.5" customHeight="1">
      <c r="D622" s="1394"/>
      <c r="E622" s="948"/>
      <c r="F622" s="1492">
        <f t="shared" ref="F622:F629" si="8">I622</f>
        <v>0</v>
      </c>
      <c r="I622" s="1051"/>
      <c r="K622" s="1492"/>
    </row>
    <row r="623" spans="2:15" ht="16">
      <c r="B623" s="1779" t="s">
        <v>2381</v>
      </c>
      <c r="D623" s="1394"/>
      <c r="E623" s="948"/>
      <c r="F623" s="1492">
        <f t="shared" si="8"/>
        <v>0</v>
      </c>
      <c r="I623" s="1051"/>
      <c r="K623" s="1492"/>
    </row>
    <row r="624" spans="2:15">
      <c r="B624" s="1986" t="s">
        <v>2096</v>
      </c>
      <c r="C624" s="1987">
        <v>0.28599999999999998</v>
      </c>
      <c r="D624" s="1779" t="s">
        <v>2424</v>
      </c>
      <c r="E624" s="1040" t="s">
        <v>699</v>
      </c>
      <c r="F624" s="1990">
        <f t="shared" si="8"/>
        <v>0.63407412635535132</v>
      </c>
      <c r="G624" s="935"/>
      <c r="H624" s="1994">
        <v>359352</v>
      </c>
      <c r="I624" s="1995">
        <v>0.63407412635535132</v>
      </c>
      <c r="J624" s="1094"/>
      <c r="K624" s="1971" t="s">
        <v>685</v>
      </c>
      <c r="L624" s="1094"/>
      <c r="M624" s="1094"/>
      <c r="N624" s="1094">
        <f>H624</f>
        <v>359352</v>
      </c>
      <c r="O624" s="1458">
        <f>I624</f>
        <v>0.63407412635535132</v>
      </c>
    </row>
    <row r="625" spans="2:16">
      <c r="C625" s="1996"/>
      <c r="D625" s="1782" t="s">
        <v>2091</v>
      </c>
      <c r="E625" s="948" t="s">
        <v>698</v>
      </c>
      <c r="F625" s="1492">
        <f t="shared" si="8"/>
        <v>0.22718201628627135</v>
      </c>
      <c r="H625" s="1997">
        <v>128752</v>
      </c>
      <c r="I625" s="1998">
        <v>0.22718201628627135</v>
      </c>
      <c r="K625" s="1964" t="s">
        <v>685</v>
      </c>
      <c r="O625" s="1051"/>
    </row>
    <row r="626" spans="2:16">
      <c r="C626" s="1996"/>
      <c r="D626" s="1782" t="s">
        <v>2092</v>
      </c>
      <c r="E626" s="948" t="s">
        <v>827</v>
      </c>
      <c r="F626" s="1492">
        <f t="shared" si="8"/>
        <v>6.0582106275419725E-2</v>
      </c>
      <c r="H626" s="1997">
        <v>34334</v>
      </c>
      <c r="I626" s="1998">
        <v>6.0582106275419725E-2</v>
      </c>
      <c r="K626" s="1492"/>
    </row>
    <row r="627" spans="2:16">
      <c r="C627" s="1996"/>
      <c r="D627" s="1782" t="s">
        <v>2094</v>
      </c>
      <c r="E627" s="948" t="s">
        <v>1341</v>
      </c>
      <c r="F627" s="1492">
        <f t="shared" si="8"/>
        <v>2.36865554447846E-2</v>
      </c>
      <c r="H627" s="1997">
        <v>13424</v>
      </c>
      <c r="I627" s="1998">
        <v>2.36865554447846E-2</v>
      </c>
      <c r="K627" s="1492"/>
    </row>
    <row r="628" spans="2:16">
      <c r="C628" s="1996"/>
      <c r="D628" s="1782" t="s">
        <v>2093</v>
      </c>
      <c r="E628" s="948" t="s">
        <v>251</v>
      </c>
      <c r="F628" s="1492">
        <f t="shared" si="8"/>
        <v>1.8673630532788692E-2</v>
      </c>
      <c r="H628" s="1997">
        <v>10583</v>
      </c>
      <c r="I628" s="1998">
        <v>1.8673630532788692E-2</v>
      </c>
      <c r="K628" s="1492"/>
    </row>
    <row r="629" spans="2:16">
      <c r="C629" s="1996"/>
      <c r="D629" s="1782" t="s">
        <v>2090</v>
      </c>
      <c r="E629" s="948" t="s">
        <v>2095</v>
      </c>
      <c r="F629" s="1492">
        <f t="shared" si="8"/>
        <v>3.5801565105384348E-2</v>
      </c>
      <c r="H629" s="1997">
        <v>20290</v>
      </c>
      <c r="I629" s="1998">
        <v>3.5801565105384348E-2</v>
      </c>
      <c r="K629" s="1991"/>
    </row>
    <row r="630" spans="2:16">
      <c r="B630" s="2442"/>
      <c r="C630" s="2487"/>
      <c r="D630" s="2468" t="s">
        <v>16</v>
      </c>
      <c r="E630" s="2483"/>
      <c r="F630" s="2484"/>
      <c r="G630" s="2485"/>
      <c r="H630" s="2444">
        <f>SUM(H624:H629)</f>
        <v>566735</v>
      </c>
      <c r="I630" s="2472">
        <f>SUM(I624:I629)</f>
        <v>1</v>
      </c>
      <c r="J630" s="2444"/>
      <c r="K630" s="2444"/>
      <c r="L630" s="2427"/>
      <c r="M630" s="2427"/>
      <c r="N630" s="2427"/>
      <c r="O630" s="2427"/>
    </row>
    <row r="631" spans="2:16">
      <c r="D631" s="1757"/>
      <c r="E631" s="1040"/>
      <c r="F631" s="1990"/>
      <c r="G631" s="935"/>
      <c r="H631" s="1094"/>
      <c r="I631" s="1094"/>
      <c r="J631" s="1094"/>
      <c r="K631" s="1094"/>
    </row>
    <row r="632" spans="2:16" ht="16">
      <c r="B632" s="1779" t="s">
        <v>2382</v>
      </c>
      <c r="E632" s="948"/>
      <c r="I632" s="1051"/>
      <c r="K632" s="1758"/>
    </row>
    <row r="633" spans="2:16">
      <c r="B633" s="1986" t="s">
        <v>2100</v>
      </c>
      <c r="C633" s="1987">
        <v>0.25900000000000001</v>
      </c>
      <c r="D633" s="1779" t="s">
        <v>2425</v>
      </c>
      <c r="E633" s="1040" t="s">
        <v>699</v>
      </c>
      <c r="F633" s="1990">
        <f t="shared" ref="F633:F638" si="9">I633</f>
        <v>0.59297096930645055</v>
      </c>
      <c r="G633" s="935"/>
      <c r="H633" s="1994">
        <v>171167</v>
      </c>
      <c r="I633" s="1995">
        <v>0.59297096930645055</v>
      </c>
      <c r="J633" s="1094"/>
      <c r="K633" s="1971" t="s">
        <v>685</v>
      </c>
      <c r="L633" s="1094"/>
      <c r="M633" s="1094"/>
      <c r="N633" s="1094">
        <f>H633</f>
        <v>171167</v>
      </c>
      <c r="O633" s="1458">
        <f>I633</f>
        <v>0.59297096930645055</v>
      </c>
    </row>
    <row r="634" spans="2:16">
      <c r="C634" s="1996"/>
      <c r="D634" s="1782" t="s">
        <v>1243</v>
      </c>
      <c r="E634" s="948" t="s">
        <v>698</v>
      </c>
      <c r="F634" s="1492">
        <f t="shared" si="9"/>
        <v>0.20371717591630292</v>
      </c>
      <c r="H634" s="1997">
        <v>58805</v>
      </c>
      <c r="I634" s="1998">
        <v>0.20371717591630292</v>
      </c>
      <c r="K634" s="1964" t="s">
        <v>685</v>
      </c>
      <c r="O634" s="1051"/>
    </row>
    <row r="635" spans="2:16">
      <c r="C635" s="1996"/>
      <c r="D635" s="1782" t="s">
        <v>2097</v>
      </c>
      <c r="E635" s="1778" t="s">
        <v>827</v>
      </c>
      <c r="F635" s="1492">
        <f t="shared" si="9"/>
        <v>6.8423058269244094E-2</v>
      </c>
      <c r="H635" s="1997">
        <v>19751</v>
      </c>
      <c r="I635" s="1998">
        <v>6.8423058269244094E-2</v>
      </c>
      <c r="K635" s="1758"/>
    </row>
    <row r="636" spans="2:16">
      <c r="C636" s="1996"/>
      <c r="D636" s="1782" t="s">
        <v>2099</v>
      </c>
      <c r="E636" s="948" t="s">
        <v>1341</v>
      </c>
      <c r="F636" s="1492">
        <f t="shared" si="9"/>
        <v>4.8825607981708583E-2</v>
      </c>
      <c r="H636" s="1997">
        <v>14094</v>
      </c>
      <c r="I636" s="1998">
        <v>4.8825607981708583E-2</v>
      </c>
      <c r="K636" s="1758"/>
    </row>
    <row r="637" spans="2:16">
      <c r="C637" s="1996"/>
      <c r="D637" s="1782" t="s">
        <v>2098</v>
      </c>
      <c r="E637" s="948" t="s">
        <v>251</v>
      </c>
      <c r="F637" s="1492">
        <f t="shared" si="9"/>
        <v>4.1384327582623157E-2</v>
      </c>
      <c r="H637" s="1997">
        <v>11946</v>
      </c>
      <c r="I637" s="1998">
        <v>4.1384327582623157E-2</v>
      </c>
      <c r="K637" s="1758"/>
    </row>
    <row r="638" spans="2:16">
      <c r="D638" s="1782" t="s">
        <v>2090</v>
      </c>
      <c r="E638" s="948" t="s">
        <v>2095</v>
      </c>
      <c r="F638" s="1492">
        <f t="shared" si="9"/>
        <v>4.4678860943670753E-2</v>
      </c>
      <c r="H638" s="1997">
        <v>12897</v>
      </c>
      <c r="I638" s="1998">
        <v>4.4678860943670753E-2</v>
      </c>
      <c r="K638" s="1758"/>
    </row>
    <row r="639" spans="2:16">
      <c r="B639" s="2442"/>
      <c r="C639" s="2487"/>
      <c r="D639" s="2468" t="s">
        <v>16</v>
      </c>
      <c r="E639" s="2483"/>
      <c r="F639" s="2484"/>
      <c r="G639" s="2485"/>
      <c r="H639" s="2444">
        <f>SUM(H633:H638)</f>
        <v>288660</v>
      </c>
      <c r="I639" s="2472">
        <f>SUM(I633:I638)</f>
        <v>1</v>
      </c>
      <c r="J639" s="2444"/>
      <c r="K639" s="2444"/>
      <c r="L639" s="2427"/>
      <c r="M639" s="2427"/>
      <c r="N639" s="2444"/>
      <c r="O639" s="2472"/>
      <c r="P639" s="935"/>
    </row>
    <row r="640" spans="2:16">
      <c r="D640" s="1757"/>
      <c r="E640" s="948"/>
      <c r="I640" s="1051"/>
      <c r="K640" s="1758"/>
    </row>
    <row r="641" spans="2:16" ht="16">
      <c r="B641" s="1779" t="s">
        <v>2383</v>
      </c>
      <c r="E641" s="948"/>
      <c r="I641" s="1051"/>
      <c r="K641" s="1991"/>
    </row>
    <row r="642" spans="2:16">
      <c r="B642" s="1986" t="s">
        <v>2104</v>
      </c>
      <c r="C642" s="1987">
        <v>0.21</v>
      </c>
      <c r="D642" s="1779" t="s">
        <v>2124</v>
      </c>
      <c r="E642" s="948" t="s">
        <v>698</v>
      </c>
      <c r="F642" s="1492">
        <f>I642</f>
        <v>0.39449559255631733</v>
      </c>
      <c r="H642" s="1994">
        <v>40278</v>
      </c>
      <c r="I642" s="1995">
        <v>0.39449559255631733</v>
      </c>
      <c r="K642" s="1994">
        <v>8300</v>
      </c>
      <c r="L642" s="1995">
        <v>0.5569348453331544</v>
      </c>
      <c r="M642" s="1779"/>
      <c r="N642" s="1994">
        <v>48578</v>
      </c>
      <c r="O642" s="1995">
        <v>0.51146581313567352</v>
      </c>
      <c r="P642" s="1046"/>
    </row>
    <row r="643" spans="2:16">
      <c r="D643" s="1782" t="s">
        <v>2101</v>
      </c>
      <c r="E643" s="948" t="s">
        <v>699</v>
      </c>
      <c r="F643" s="1492">
        <f>I643</f>
        <v>0.38978452497551419</v>
      </c>
      <c r="H643" s="1997">
        <v>39797</v>
      </c>
      <c r="I643" s="1998">
        <v>0.38978452497551419</v>
      </c>
      <c r="K643" s="1997">
        <v>6603</v>
      </c>
      <c r="L643" s="1998">
        <v>0.4430651546668456</v>
      </c>
      <c r="M643" s="1782"/>
      <c r="N643" s="1997">
        <v>46400</v>
      </c>
      <c r="O643" s="1998">
        <v>0.48853418686432648</v>
      </c>
      <c r="P643" s="1046"/>
    </row>
    <row r="644" spans="2:16">
      <c r="D644" s="1782" t="s">
        <v>2102</v>
      </c>
      <c r="E644" s="1778" t="s">
        <v>827</v>
      </c>
      <c r="F644" s="1492">
        <f>I644</f>
        <v>0.12291870714985309</v>
      </c>
      <c r="H644" s="1997">
        <v>12550</v>
      </c>
      <c r="I644" s="1998">
        <v>0.12291870714985309</v>
      </c>
      <c r="K644" s="1991"/>
    </row>
    <row r="645" spans="2:16">
      <c r="D645" s="1782" t="s">
        <v>2103</v>
      </c>
      <c r="E645" s="1778" t="s">
        <v>251</v>
      </c>
      <c r="F645" s="1492">
        <f>I645</f>
        <v>9.2801175318315374E-2</v>
      </c>
      <c r="H645" s="1997">
        <v>9475</v>
      </c>
      <c r="I645" s="1998">
        <v>9.2801175318315374E-2</v>
      </c>
      <c r="K645" s="1991"/>
    </row>
    <row r="646" spans="2:16">
      <c r="B646" s="2442"/>
      <c r="C646" s="2488"/>
      <c r="D646" s="2468" t="s">
        <v>16</v>
      </c>
      <c r="E646" s="2483"/>
      <c r="F646" s="2484"/>
      <c r="G646" s="2485"/>
      <c r="H646" s="2444">
        <f>SUM(H642:H645)</f>
        <v>102100</v>
      </c>
      <c r="I646" s="2472">
        <f>SUM(I640:I645)</f>
        <v>0.99999999999999989</v>
      </c>
      <c r="J646" s="2427"/>
      <c r="K646" s="2444">
        <f>SUM(K640:K645)</f>
        <v>14903</v>
      </c>
      <c r="L646" s="2472">
        <f>SUM(L640:L645)</f>
        <v>1</v>
      </c>
      <c r="M646" s="2427"/>
      <c r="N646" s="2444">
        <f>SUM(N640:N645)</f>
        <v>94978</v>
      </c>
      <c r="O646" s="2472">
        <f>SUM(O640:O645)</f>
        <v>1</v>
      </c>
    </row>
    <row r="647" spans="2:16" ht="5.25" customHeight="1">
      <c r="C647" s="1996"/>
      <c r="D647" s="1782"/>
      <c r="E647" s="948"/>
      <c r="F647" s="1492">
        <f>I647</f>
        <v>0</v>
      </c>
      <c r="H647" s="1997"/>
      <c r="I647" s="1998"/>
      <c r="K647" s="1758"/>
    </row>
    <row r="648" spans="2:16" ht="16">
      <c r="B648" s="1779" t="s">
        <v>2384</v>
      </c>
      <c r="E648" s="948"/>
      <c r="I648" s="1051"/>
      <c r="K648" s="1758"/>
    </row>
    <row r="649" spans="2:16">
      <c r="B649" s="1986" t="s">
        <v>2109</v>
      </c>
      <c r="C649" s="1987">
        <v>0.26300000000000001</v>
      </c>
      <c r="D649" s="1779" t="s">
        <v>2125</v>
      </c>
      <c r="E649" s="948" t="s">
        <v>698</v>
      </c>
      <c r="F649" s="1492">
        <f t="shared" ref="F649:F654" si="10">I649</f>
        <v>0.41920903078748034</v>
      </c>
      <c r="H649" s="1994">
        <v>216280</v>
      </c>
      <c r="I649" s="1995">
        <v>0.41920903078748034</v>
      </c>
      <c r="K649" s="1994">
        <v>22348</v>
      </c>
      <c r="L649" s="1995">
        <v>0.4759856020106068</v>
      </c>
      <c r="M649" s="1779"/>
      <c r="N649" s="1994">
        <v>238628</v>
      </c>
      <c r="O649" s="1995">
        <v>0.50397685273184223</v>
      </c>
    </row>
    <row r="650" spans="2:16">
      <c r="C650" s="1996"/>
      <c r="D650" s="1782" t="s">
        <v>2105</v>
      </c>
      <c r="E650" s="948" t="s">
        <v>699</v>
      </c>
      <c r="F650" s="1492">
        <f t="shared" si="10"/>
        <v>0.40753870725145563</v>
      </c>
      <c r="H650" s="1997">
        <v>210259</v>
      </c>
      <c r="I650" s="1998">
        <v>0.40753870725145563</v>
      </c>
      <c r="K650" s="1997">
        <v>24603</v>
      </c>
      <c r="L650" s="1998">
        <v>0.5240143979893932</v>
      </c>
      <c r="M650" s="1782"/>
      <c r="N650" s="1997">
        <v>234862</v>
      </c>
      <c r="O650" s="1998">
        <v>0.49602314726815772</v>
      </c>
    </row>
    <row r="651" spans="2:16">
      <c r="C651" s="1996"/>
      <c r="D651" s="1782" t="s">
        <v>2106</v>
      </c>
      <c r="E651" s="1778" t="s">
        <v>827</v>
      </c>
      <c r="F651" s="1492">
        <f t="shared" si="10"/>
        <v>5.8880765384048815E-2</v>
      </c>
      <c r="H651" s="1997">
        <v>30378</v>
      </c>
      <c r="I651" s="1998">
        <v>5.8880765384048815E-2</v>
      </c>
      <c r="K651" s="1758"/>
    </row>
    <row r="652" spans="2:16">
      <c r="C652" s="1996"/>
      <c r="D652" s="1782" t="s">
        <v>2107</v>
      </c>
      <c r="E652" s="948" t="s">
        <v>251</v>
      </c>
      <c r="F652" s="1492">
        <f t="shared" si="10"/>
        <v>5.6308681123576343E-2</v>
      </c>
      <c r="H652" s="1997">
        <v>29051</v>
      </c>
      <c r="I652" s="1998">
        <v>5.6308681123576343E-2</v>
      </c>
      <c r="K652" s="1758"/>
    </row>
    <row r="653" spans="2:16">
      <c r="C653" s="1996"/>
      <c r="D653" s="1782" t="s">
        <v>2108</v>
      </c>
      <c r="E653" s="948" t="s">
        <v>1341</v>
      </c>
      <c r="F653" s="1492">
        <f t="shared" si="10"/>
        <v>4.702242966018251E-2</v>
      </c>
      <c r="H653" s="1997">
        <v>24260</v>
      </c>
      <c r="I653" s="1998">
        <v>4.702242966018251E-2</v>
      </c>
      <c r="K653" s="1758"/>
    </row>
    <row r="654" spans="2:16">
      <c r="D654" s="1782" t="s">
        <v>2090</v>
      </c>
      <c r="E654" s="948" t="s">
        <v>2095</v>
      </c>
      <c r="F654" s="1492">
        <f t="shared" si="10"/>
        <v>1.1040385793256372E-2</v>
      </c>
      <c r="H654" s="1997">
        <v>5696</v>
      </c>
      <c r="I654" s="1998">
        <v>1.1040385793256372E-2</v>
      </c>
      <c r="K654" s="1758"/>
    </row>
    <row r="655" spans="2:16">
      <c r="B655" s="2442"/>
      <c r="C655" s="2487"/>
      <c r="D655" s="2468" t="s">
        <v>16</v>
      </c>
      <c r="E655" s="2483"/>
      <c r="F655" s="2484"/>
      <c r="G655" s="2485"/>
      <c r="H655" s="2444">
        <f>SUM(H649:H654)</f>
        <v>515924</v>
      </c>
      <c r="I655" s="2489">
        <v>1</v>
      </c>
      <c r="J655" s="2444"/>
      <c r="K655" s="2444">
        <f>SUM(K649:K654)</f>
        <v>46951</v>
      </c>
      <c r="L655" s="2472">
        <f>SUM(L649:L654)</f>
        <v>1</v>
      </c>
      <c r="M655" s="2427"/>
      <c r="N655" s="2444">
        <f>SUM(N649:N654)</f>
        <v>473490</v>
      </c>
      <c r="O655" s="2472">
        <f>SUM(O649:O654)</f>
        <v>1</v>
      </c>
    </row>
    <row r="656" spans="2:16">
      <c r="C656" s="1996"/>
      <c r="D656" s="1782"/>
      <c r="E656" s="948"/>
      <c r="H656" s="1997"/>
      <c r="I656" s="1998"/>
      <c r="K656" s="1758"/>
    </row>
    <row r="657" spans="2:15" ht="16">
      <c r="B657" s="1779" t="s">
        <v>2385</v>
      </c>
      <c r="E657" s="948"/>
      <c r="I657" s="1051"/>
      <c r="K657" s="1758"/>
    </row>
    <row r="658" spans="2:15">
      <c r="B658" s="1986" t="s">
        <v>2117</v>
      </c>
      <c r="C658" s="1987">
        <v>0.29299999999999998</v>
      </c>
      <c r="D658" s="1779" t="s">
        <v>2426</v>
      </c>
      <c r="E658" s="948" t="s">
        <v>698</v>
      </c>
      <c r="F658" s="1492">
        <f t="shared" ref="F658:F663" si="11">I658</f>
        <v>0.27314130782470902</v>
      </c>
      <c r="H658" s="1994">
        <v>53796</v>
      </c>
      <c r="I658" s="1995">
        <v>0.27314130782470902</v>
      </c>
      <c r="K658" s="1994">
        <v>16504</v>
      </c>
      <c r="L658" s="1995">
        <v>0.42536082474226805</v>
      </c>
      <c r="M658" s="1779"/>
      <c r="N658" s="1994">
        <v>70300</v>
      </c>
      <c r="O658" s="1995">
        <v>0.51606556895678413</v>
      </c>
    </row>
    <row r="659" spans="2:15">
      <c r="C659" s="1996"/>
      <c r="D659" s="1782" t="s">
        <v>2110</v>
      </c>
      <c r="E659" s="948" t="s">
        <v>699</v>
      </c>
      <c r="F659" s="1492">
        <f t="shared" si="11"/>
        <v>0.22150970028382405</v>
      </c>
      <c r="H659" s="1997">
        <v>43627</v>
      </c>
      <c r="I659" s="1998">
        <v>0.22150970028382405</v>
      </c>
      <c r="K659" s="1997">
        <v>22296</v>
      </c>
      <c r="L659" s="1998">
        <v>0.574639175257732</v>
      </c>
      <c r="M659" s="1782"/>
      <c r="N659" s="1997">
        <v>65923</v>
      </c>
      <c r="O659" s="1998">
        <v>0.48393443104321593</v>
      </c>
    </row>
    <row r="660" spans="2:15">
      <c r="C660" s="1996"/>
      <c r="D660" s="1782" t="s">
        <v>2111</v>
      </c>
      <c r="E660" s="1778" t="s">
        <v>827</v>
      </c>
      <c r="F660" s="1492">
        <f t="shared" si="11"/>
        <v>0.20204820439394169</v>
      </c>
      <c r="H660" s="1997">
        <v>39794</v>
      </c>
      <c r="I660" s="1998">
        <v>0.20204820439394169</v>
      </c>
      <c r="K660" s="1758"/>
    </row>
    <row r="661" spans="2:15">
      <c r="C661" s="1996"/>
      <c r="D661" s="1782" t="s">
        <v>2113</v>
      </c>
      <c r="E661" s="948" t="s">
        <v>1341</v>
      </c>
      <c r="F661" s="1492">
        <f t="shared" si="11"/>
        <v>0.11197595365391744</v>
      </c>
      <c r="H661" s="1997">
        <v>22054</v>
      </c>
      <c r="I661" s="1998">
        <v>0.11197595365391744</v>
      </c>
      <c r="K661" s="1758"/>
    </row>
    <row r="662" spans="2:15">
      <c r="C662" s="1996"/>
      <c r="D662" s="1782" t="s">
        <v>2112</v>
      </c>
      <c r="E662" s="948" t="s">
        <v>251</v>
      </c>
      <c r="F662" s="1492">
        <f t="shared" si="11"/>
        <v>4.1542906175585037E-2</v>
      </c>
      <c r="H662" s="1997">
        <v>8182</v>
      </c>
      <c r="I662" s="1998">
        <v>4.1542906175585037E-2</v>
      </c>
      <c r="K662" s="1758"/>
    </row>
    <row r="663" spans="2:15">
      <c r="C663" s="1996"/>
      <c r="D663" s="1782" t="s">
        <v>2090</v>
      </c>
      <c r="E663" s="948" t="s">
        <v>2095</v>
      </c>
      <c r="F663" s="1492">
        <f t="shared" si="11"/>
        <v>0.14978192766802231</v>
      </c>
      <c r="H663" s="1997">
        <v>29500</v>
      </c>
      <c r="I663" s="1998">
        <v>0.14978192766802231</v>
      </c>
      <c r="K663" s="1758"/>
    </row>
    <row r="664" spans="2:15">
      <c r="B664" s="2442"/>
      <c r="C664" s="2487"/>
      <c r="D664" s="2490" t="s">
        <v>16</v>
      </c>
      <c r="E664" s="2483"/>
      <c r="F664" s="2484"/>
      <c r="G664" s="2485"/>
      <c r="H664" s="2444">
        <f>SUM(H658:H663)</f>
        <v>196953</v>
      </c>
      <c r="I664" s="2489">
        <v>1</v>
      </c>
      <c r="J664" s="2444"/>
      <c r="K664" s="2444">
        <f>SUM(K658:K663)</f>
        <v>38800</v>
      </c>
      <c r="L664" s="2472">
        <f>SUM(L658:L663)</f>
        <v>1</v>
      </c>
      <c r="M664" s="2427"/>
      <c r="N664" s="2444">
        <f>SUM(N658:N663)</f>
        <v>136223</v>
      </c>
      <c r="O664" s="2472">
        <f>SUM(O658:O663)</f>
        <v>1</v>
      </c>
    </row>
    <row r="665" spans="2:15">
      <c r="E665" s="948"/>
      <c r="H665" s="1997"/>
      <c r="I665" s="1998"/>
      <c r="K665" s="1758"/>
    </row>
    <row r="666" spans="2:15" ht="14.25" customHeight="1" thickBot="1">
      <c r="B666" s="1549"/>
      <c r="C666" s="2017"/>
      <c r="D666" s="2018"/>
      <c r="E666" s="2018"/>
      <c r="F666" s="2019"/>
      <c r="G666" s="2018"/>
      <c r="H666" s="3493" t="s">
        <v>1170</v>
      </c>
      <c r="I666" s="3409"/>
      <c r="J666" s="2368"/>
      <c r="K666" s="3493" t="s">
        <v>1219</v>
      </c>
      <c r="L666" s="3493"/>
      <c r="M666" s="2392"/>
      <c r="N666" s="3493" t="s">
        <v>267</v>
      </c>
      <c r="O666" s="3409"/>
    </row>
    <row r="667" spans="2:15" ht="16">
      <c r="B667" s="2021" t="s">
        <v>2387</v>
      </c>
      <c r="C667" s="2017"/>
      <c r="D667" s="2018" t="s">
        <v>11</v>
      </c>
      <c r="E667" s="2022" t="s">
        <v>110</v>
      </c>
      <c r="F667" s="2023"/>
      <c r="G667" s="2018"/>
      <c r="H667" s="2020" t="s">
        <v>111</v>
      </c>
      <c r="I667" s="2024" t="s">
        <v>153</v>
      </c>
      <c r="J667" s="2024"/>
      <c r="K667" s="2020" t="s">
        <v>111</v>
      </c>
      <c r="L667" s="2020" t="s">
        <v>153</v>
      </c>
      <c r="M667" s="2020"/>
      <c r="N667" s="2020" t="s">
        <v>111</v>
      </c>
      <c r="O667" s="2025" t="s">
        <v>153</v>
      </c>
    </row>
    <row r="668" spans="2:15">
      <c r="B668" s="1779" t="s">
        <v>819</v>
      </c>
      <c r="E668" s="948"/>
      <c r="I668" s="1051"/>
      <c r="K668" s="1758"/>
    </row>
    <row r="669" spans="2:15">
      <c r="B669" s="1986" t="s">
        <v>2114</v>
      </c>
      <c r="C669" s="1987">
        <v>0.28899999999999998</v>
      </c>
      <c r="D669" s="1779" t="s">
        <v>2427</v>
      </c>
      <c r="E669" s="948" t="s">
        <v>698</v>
      </c>
      <c r="F669" s="1492">
        <f>I669</f>
        <v>0.50922284644194804</v>
      </c>
      <c r="H669" s="1994">
        <v>32631</v>
      </c>
      <c r="I669" s="1995">
        <v>0.50922284644194804</v>
      </c>
      <c r="J669" s="1094"/>
      <c r="K669" s="1971" t="s">
        <v>685</v>
      </c>
      <c r="L669" s="1094"/>
      <c r="M669" s="1094"/>
      <c r="N669" s="1094">
        <f>H669</f>
        <v>32631</v>
      </c>
      <c r="O669" s="1458">
        <f>I669</f>
        <v>0.50922284644194804</v>
      </c>
    </row>
    <row r="670" spans="2:15">
      <c r="C670" s="1999"/>
      <c r="D670" s="1782" t="s">
        <v>2115</v>
      </c>
      <c r="E670" s="948" t="s">
        <v>699</v>
      </c>
      <c r="F670" s="1492">
        <f>I670</f>
        <v>0.21184456928838952</v>
      </c>
      <c r="H670" s="1997">
        <v>13575</v>
      </c>
      <c r="I670" s="1998">
        <v>0.21184456928838952</v>
      </c>
      <c r="K670" s="1964" t="s">
        <v>685</v>
      </c>
      <c r="O670" s="1051"/>
    </row>
    <row r="671" spans="2:15">
      <c r="C671" s="1996"/>
      <c r="D671" s="1782" t="s">
        <v>2116</v>
      </c>
      <c r="E671" s="1778" t="s">
        <v>251</v>
      </c>
      <c r="F671" s="1492">
        <f>I671</f>
        <v>0.12116104868913857</v>
      </c>
      <c r="H671" s="1997">
        <v>7764</v>
      </c>
      <c r="I671" s="1998">
        <v>0.12116104868913857</v>
      </c>
      <c r="K671" s="1758"/>
    </row>
    <row r="672" spans="2:15">
      <c r="C672" s="1996"/>
      <c r="D672" s="1782" t="s">
        <v>2090</v>
      </c>
      <c r="E672" s="948" t="s">
        <v>2095</v>
      </c>
      <c r="F672" s="1492">
        <f>I672</f>
        <v>0.15777153558052434</v>
      </c>
      <c r="H672" s="1997">
        <v>10110</v>
      </c>
      <c r="I672" s="1998">
        <v>0.15777153558052434</v>
      </c>
      <c r="K672" s="1758"/>
    </row>
    <row r="673" spans="2:17">
      <c r="B673" s="2442"/>
      <c r="C673" s="2488"/>
      <c r="D673" s="2490" t="s">
        <v>16</v>
      </c>
      <c r="E673" s="2483"/>
      <c r="F673" s="2491"/>
      <c r="G673" s="2485"/>
      <c r="H673" s="2444">
        <f>SUM(H669:H672)</f>
        <v>64080</v>
      </c>
      <c r="I673" s="2489">
        <v>1</v>
      </c>
      <c r="J673" s="2444"/>
      <c r="K673" s="2444"/>
      <c r="L673" s="2427"/>
      <c r="M673" s="2427"/>
      <c r="N673" s="2427"/>
      <c r="O673" s="2427"/>
    </row>
    <row r="674" spans="2:17">
      <c r="B674" s="1779" t="s">
        <v>818</v>
      </c>
      <c r="E674" s="948"/>
      <c r="I674" s="1051"/>
      <c r="K674" s="1758"/>
    </row>
    <row r="675" spans="2:17">
      <c r="B675" s="1986" t="s">
        <v>2118</v>
      </c>
      <c r="C675" s="1987">
        <v>0.34100000000000003</v>
      </c>
      <c r="D675" s="1779" t="s">
        <v>2428</v>
      </c>
      <c r="E675" s="1040" t="s">
        <v>699</v>
      </c>
      <c r="F675" s="1990">
        <f>I675</f>
        <v>0.56374039996958403</v>
      </c>
      <c r="G675" s="935"/>
      <c r="H675" s="1994">
        <v>29655</v>
      </c>
      <c r="I675" s="1995">
        <v>0.56374039996958403</v>
      </c>
      <c r="J675" s="1094"/>
      <c r="K675" s="1971" t="s">
        <v>685</v>
      </c>
      <c r="L675" s="1094"/>
      <c r="M675" s="1094"/>
      <c r="N675" s="1094">
        <f>H675</f>
        <v>29655</v>
      </c>
      <c r="O675" s="1458">
        <f>I675</f>
        <v>0.56374039996958403</v>
      </c>
      <c r="P675" s="935"/>
    </row>
    <row r="676" spans="2:17">
      <c r="C676" s="1996"/>
      <c r="D676" s="1782" t="s">
        <v>2119</v>
      </c>
      <c r="E676" s="948" t="s">
        <v>698</v>
      </c>
      <c r="F676" s="1492">
        <f>I676</f>
        <v>0.30727701315489314</v>
      </c>
      <c r="H676" s="1997">
        <v>16164</v>
      </c>
      <c r="I676" s="1998">
        <v>0.30727701315489314</v>
      </c>
      <c r="K676" s="1964" t="s">
        <v>685</v>
      </c>
      <c r="O676" s="1051"/>
    </row>
    <row r="677" spans="2:17">
      <c r="C677" s="1996"/>
      <c r="D677" s="1782" t="s">
        <v>1715</v>
      </c>
      <c r="E677" s="1778" t="s">
        <v>827</v>
      </c>
      <c r="F677" s="1492">
        <f>I677</f>
        <v>6.7238232834005013E-2</v>
      </c>
      <c r="H677" s="1997">
        <v>3537</v>
      </c>
      <c r="I677" s="1998">
        <v>6.7238232834005013E-2</v>
      </c>
      <c r="K677" s="1758"/>
    </row>
    <row r="678" spans="2:17">
      <c r="C678" s="1996"/>
      <c r="D678" s="1782" t="s">
        <v>2120</v>
      </c>
      <c r="E678" s="948" t="s">
        <v>251</v>
      </c>
      <c r="F678" s="1492">
        <f>I678</f>
        <v>6.1744354041517756E-2</v>
      </c>
      <c r="H678" s="1997">
        <v>3248</v>
      </c>
      <c r="I678" s="1998">
        <v>6.1744354041517756E-2</v>
      </c>
      <c r="K678" s="1758"/>
    </row>
    <row r="679" spans="2:17" s="944" customFormat="1">
      <c r="B679" s="1515"/>
      <c r="C679" s="2510"/>
      <c r="D679" s="1796" t="s">
        <v>16</v>
      </c>
      <c r="E679" s="1040"/>
      <c r="F679" s="1497"/>
      <c r="G679" s="947"/>
      <c r="H679" s="1093">
        <f>SUM(H675:H678)</f>
        <v>52604</v>
      </c>
      <c r="I679" s="2511">
        <v>1</v>
      </c>
      <c r="J679" s="1093"/>
      <c r="K679" s="1093"/>
      <c r="L679" s="1043"/>
      <c r="M679" s="1043"/>
      <c r="N679" s="1043"/>
      <c r="O679" s="1043"/>
    </row>
    <row r="680" spans="2:17" s="948" customFormat="1" ht="10.5" hidden="1" customHeight="1">
      <c r="B680" s="2000"/>
      <c r="C680" s="2001"/>
      <c r="D680" s="1785"/>
      <c r="F680" s="1576"/>
      <c r="G680" s="1785"/>
      <c r="H680" s="1936"/>
      <c r="I680" s="2002"/>
      <c r="J680" s="2003"/>
      <c r="K680" s="2003"/>
      <c r="L680" s="2004"/>
      <c r="M680" s="2003"/>
      <c r="N680" s="1936"/>
      <c r="O680" s="2002"/>
    </row>
    <row r="681" spans="2:17" s="1034" customFormat="1" ht="2.25" customHeight="1">
      <c r="B681" s="2000"/>
      <c r="C681" s="2001"/>
      <c r="D681" s="1785"/>
      <c r="E681" s="948"/>
      <c r="F681" s="1576"/>
      <c r="G681" s="1785"/>
      <c r="H681" s="1936"/>
      <c r="I681" s="2002"/>
      <c r="J681" s="2003"/>
      <c r="K681" s="2003"/>
      <c r="L681" s="2004"/>
      <c r="M681" s="2003"/>
      <c r="N681" s="1936"/>
      <c r="O681" s="2002"/>
    </row>
    <row r="682" spans="2:17">
      <c r="B682" s="2083">
        <v>43223</v>
      </c>
      <c r="C682" s="2084"/>
      <c r="D682" s="2081"/>
      <c r="E682" s="1389"/>
      <c r="F682" s="2076"/>
      <c r="G682" s="2081"/>
      <c r="H682" s="2085"/>
      <c r="I682" s="2085"/>
      <c r="J682" s="2085"/>
      <c r="K682" s="2085"/>
      <c r="L682" s="2085"/>
      <c r="M682" s="2085"/>
      <c r="N682" s="2085"/>
      <c r="O682" s="2085"/>
    </row>
    <row r="683" spans="2:17">
      <c r="B683" s="1779" t="s">
        <v>2261</v>
      </c>
      <c r="E683" s="948"/>
      <c r="I683" s="1051"/>
      <c r="K683" s="1991"/>
    </row>
    <row r="684" spans="2:17">
      <c r="B684" s="1986" t="s">
        <v>2262</v>
      </c>
      <c r="C684" s="1987">
        <v>0.254</v>
      </c>
      <c r="D684" s="1779" t="s">
        <v>2287</v>
      </c>
      <c r="E684" s="948" t="s">
        <v>699</v>
      </c>
      <c r="F684" s="1492">
        <f t="shared" ref="F684:F690" si="12">I684</f>
        <v>0.47986774143058381</v>
      </c>
      <c r="H684" s="1994">
        <v>122635</v>
      </c>
      <c r="I684" s="1995">
        <f>H684/H$691</f>
        <v>0.47986774143058381</v>
      </c>
      <c r="K684" s="1994">
        <v>21519</v>
      </c>
      <c r="L684" s="1995">
        <f>K684/K$691</f>
        <v>0.6255523255813954</v>
      </c>
      <c r="M684" s="1779"/>
      <c r="N684" s="1994">
        <f>K684+H684</f>
        <v>144154</v>
      </c>
      <c r="O684" s="1995">
        <f>N684/(N684+N685)</f>
        <v>0.74011284931689714</v>
      </c>
      <c r="P684" s="1046"/>
    </row>
    <row r="685" spans="2:17">
      <c r="D685" s="1782" t="s">
        <v>2263</v>
      </c>
      <c r="E685" s="948" t="s">
        <v>698</v>
      </c>
      <c r="F685" s="1492">
        <f t="shared" si="12"/>
        <v>0.14766786664579745</v>
      </c>
      <c r="H685" s="1997">
        <v>37738</v>
      </c>
      <c r="I685" s="1998">
        <f t="shared" ref="I685:I690" si="13">H685/H$691</f>
        <v>0.14766786664579745</v>
      </c>
      <c r="K685" s="1997">
        <v>12881</v>
      </c>
      <c r="L685" s="1998">
        <f>K685/K$691</f>
        <v>0.37444767441860466</v>
      </c>
      <c r="M685" s="1782"/>
      <c r="N685" s="1997">
        <f>K685+H685</f>
        <v>50619</v>
      </c>
      <c r="O685" s="1998">
        <f>N685/(N685+N684)</f>
        <v>0.25988715068310292</v>
      </c>
      <c r="P685" s="937"/>
    </row>
    <row r="686" spans="2:17">
      <c r="D686" s="1782" t="s">
        <v>2264</v>
      </c>
      <c r="E686" s="1778" t="s">
        <v>827</v>
      </c>
      <c r="F686" s="1492">
        <f t="shared" si="12"/>
        <v>0.10622163092815777</v>
      </c>
      <c r="H686" s="1997">
        <v>27146</v>
      </c>
      <c r="I686" s="1998">
        <f t="shared" si="13"/>
        <v>0.10622163092815777</v>
      </c>
      <c r="K686" s="1991"/>
    </row>
    <row r="687" spans="2:17">
      <c r="D687" s="1782" t="s">
        <v>2267</v>
      </c>
      <c r="E687" s="1778" t="s">
        <v>2268</v>
      </c>
      <c r="F687" s="1492">
        <f t="shared" si="12"/>
        <v>8.7329785568946633E-2</v>
      </c>
      <c r="H687" s="1997">
        <v>22318</v>
      </c>
      <c r="I687" s="1998">
        <f t="shared" si="13"/>
        <v>8.7329785568946633E-2</v>
      </c>
      <c r="K687" s="1991"/>
      <c r="P687" s="919" t="s">
        <v>2268</v>
      </c>
      <c r="Q687" s="919" t="s">
        <v>2269</v>
      </c>
    </row>
    <row r="688" spans="2:17">
      <c r="D688" s="1782" t="s">
        <v>2265</v>
      </c>
      <c r="E688" s="1778" t="s">
        <v>1341</v>
      </c>
      <c r="F688" s="1492">
        <f t="shared" si="12"/>
        <v>7.9586007199874784E-2</v>
      </c>
      <c r="H688" s="1997">
        <v>20339</v>
      </c>
      <c r="I688" s="1998">
        <f t="shared" si="13"/>
        <v>7.9586007199874784E-2</v>
      </c>
      <c r="K688" s="1991"/>
    </row>
    <row r="689" spans="2:17">
      <c r="D689" s="1782" t="s">
        <v>2266</v>
      </c>
      <c r="E689" s="1778" t="s">
        <v>926</v>
      </c>
      <c r="F689" s="1492">
        <f t="shared" si="12"/>
        <v>5.6922053529503837E-2</v>
      </c>
      <c r="H689" s="1997">
        <v>14547</v>
      </c>
      <c r="I689" s="1998">
        <f t="shared" si="13"/>
        <v>5.6922053529503837E-2</v>
      </c>
      <c r="K689" s="1991"/>
      <c r="P689" s="919" t="s">
        <v>926</v>
      </c>
      <c r="Q689" s="919" t="s">
        <v>959</v>
      </c>
    </row>
    <row r="690" spans="2:17">
      <c r="D690" s="1782" t="s">
        <v>2270</v>
      </c>
      <c r="E690" s="1778" t="s">
        <v>2272</v>
      </c>
      <c r="F690" s="1492">
        <f t="shared" si="12"/>
        <v>4.2404914697135705E-2</v>
      </c>
      <c r="H690" s="1997">
        <v>10837</v>
      </c>
      <c r="I690" s="1998">
        <f t="shared" si="13"/>
        <v>4.2404914697135705E-2</v>
      </c>
      <c r="K690" s="1991"/>
      <c r="P690" s="919" t="s">
        <v>2272</v>
      </c>
      <c r="Q690" s="919" t="s">
        <v>2271</v>
      </c>
    </row>
    <row r="691" spans="2:17">
      <c r="B691" s="2442"/>
      <c r="C691" s="2488"/>
      <c r="D691" s="2468" t="s">
        <v>16</v>
      </c>
      <c r="E691" s="2483"/>
      <c r="F691" s="2484"/>
      <c r="G691" s="2485"/>
      <c r="H691" s="2444">
        <f>SUM(H684:H690)</f>
        <v>255560</v>
      </c>
      <c r="I691" s="2489">
        <v>1</v>
      </c>
      <c r="J691" s="2444"/>
      <c r="K691" s="2444">
        <f>SUM(K684:K690)</f>
        <v>34400</v>
      </c>
      <c r="L691" s="2472">
        <f>SUM(L684:L690)</f>
        <v>1</v>
      </c>
      <c r="M691" s="2427"/>
      <c r="N691" s="2444">
        <f>SUM(N684:N690)</f>
        <v>194773</v>
      </c>
      <c r="O691" s="2472">
        <f>SUM(O684:O690)</f>
        <v>1</v>
      </c>
    </row>
    <row r="692" spans="2:17">
      <c r="C692" s="1996"/>
      <c r="D692" s="1757"/>
      <c r="E692" s="1040"/>
      <c r="F692" s="1990"/>
      <c r="G692" s="935"/>
      <c r="H692" s="1094"/>
      <c r="I692" s="1998"/>
      <c r="K692" s="1094"/>
    </row>
    <row r="693" spans="2:17">
      <c r="B693" s="1779" t="s">
        <v>688</v>
      </c>
      <c r="D693" s="1757"/>
      <c r="E693" s="948"/>
    </row>
    <row r="694" spans="2:17" ht="15" customHeight="1">
      <c r="B694" s="1986" t="s">
        <v>2225</v>
      </c>
      <c r="C694" s="1987">
        <v>0.36899999999999999</v>
      </c>
      <c r="D694" s="2396" t="s">
        <v>2429</v>
      </c>
      <c r="E694" s="948" t="s">
        <v>699</v>
      </c>
      <c r="F694" s="1492">
        <f t="shared" ref="F694:F699" si="14">I694</f>
        <v>0.6592820481108157</v>
      </c>
      <c r="H694" s="1994">
        <v>42645</v>
      </c>
      <c r="I694" s="1995">
        <f t="shared" ref="I694:I699" si="15">H694/H$700</f>
        <v>0.6592820481108157</v>
      </c>
      <c r="K694" s="1964" t="s">
        <v>685</v>
      </c>
      <c r="L694" s="1995"/>
      <c r="M694" s="1779"/>
      <c r="N694" s="1994">
        <f>H694</f>
        <v>42645</v>
      </c>
      <c r="O694" s="1995">
        <v>0.5692843088873365</v>
      </c>
      <c r="P694" s="1195" t="s">
        <v>2232</v>
      </c>
    </row>
    <row r="695" spans="2:17">
      <c r="C695" s="1996"/>
      <c r="D695" s="1782" t="s">
        <v>2226</v>
      </c>
      <c r="E695" s="948" t="s">
        <v>698</v>
      </c>
      <c r="F695" s="1492">
        <f t="shared" si="14"/>
        <v>0.11104755426380558</v>
      </c>
      <c r="H695" s="1997">
        <v>7183</v>
      </c>
      <c r="I695" s="1998">
        <f t="shared" si="15"/>
        <v>0.11104755426380558</v>
      </c>
      <c r="K695" s="1964" t="s">
        <v>685</v>
      </c>
      <c r="L695" s="1998"/>
      <c r="M695" s="1782"/>
      <c r="N695" s="1997"/>
      <c r="O695" s="1998"/>
    </row>
    <row r="696" spans="2:17">
      <c r="C696" s="1996"/>
      <c r="D696" s="1782" t="s">
        <v>2386</v>
      </c>
      <c r="E696" s="948" t="s">
        <v>1341</v>
      </c>
      <c r="F696" s="1492">
        <f t="shared" si="14"/>
        <v>0.10472450683321996</v>
      </c>
      <c r="H696" s="1997">
        <v>6774</v>
      </c>
      <c r="I696" s="1998">
        <f t="shared" si="15"/>
        <v>0.10472450683321996</v>
      </c>
      <c r="K696" s="1492"/>
    </row>
    <row r="697" spans="2:17">
      <c r="C697" s="1996"/>
      <c r="D697" s="1782" t="s">
        <v>2227</v>
      </c>
      <c r="E697" s="948" t="s">
        <v>827</v>
      </c>
      <c r="F697" s="1492">
        <f t="shared" si="14"/>
        <v>7.4918063199554755E-2</v>
      </c>
      <c r="H697" s="1997">
        <v>4846</v>
      </c>
      <c r="I697" s="1998">
        <f t="shared" si="15"/>
        <v>7.4918063199554755E-2</v>
      </c>
      <c r="K697" s="1492"/>
    </row>
    <row r="698" spans="2:17">
      <c r="C698" s="1996"/>
      <c r="D698" s="1782" t="s">
        <v>2228</v>
      </c>
      <c r="E698" s="948" t="s">
        <v>2229</v>
      </c>
      <c r="F698" s="1492">
        <f t="shared" si="14"/>
        <v>4.110753818564096E-2</v>
      </c>
      <c r="H698" s="1997">
        <v>2659</v>
      </c>
      <c r="I698" s="1998">
        <f t="shared" si="15"/>
        <v>4.110753818564096E-2</v>
      </c>
      <c r="K698" s="1492"/>
      <c r="P698" s="919" t="s">
        <v>2229</v>
      </c>
      <c r="Q698" s="919" t="s">
        <v>2273</v>
      </c>
    </row>
    <row r="699" spans="2:17">
      <c r="C699" s="1996"/>
      <c r="D699" s="1782" t="s">
        <v>2230</v>
      </c>
      <c r="E699" s="948" t="s">
        <v>2231</v>
      </c>
      <c r="F699" s="1492">
        <f t="shared" si="14"/>
        <v>8.9202894069630827E-3</v>
      </c>
      <c r="H699" s="1997">
        <v>577</v>
      </c>
      <c r="I699" s="1998">
        <f t="shared" si="15"/>
        <v>8.9202894069630827E-3</v>
      </c>
      <c r="K699" s="1492"/>
    </row>
    <row r="700" spans="2:17" s="935" customFormat="1">
      <c r="B700" s="2442"/>
      <c r="C700" s="2482"/>
      <c r="D700" s="2468" t="s">
        <v>16</v>
      </c>
      <c r="E700" s="2483"/>
      <c r="F700" s="2484"/>
      <c r="G700" s="2485"/>
      <c r="H700" s="2444">
        <f>SUM(H694:H699)</f>
        <v>64684</v>
      </c>
      <c r="I700" s="2489">
        <v>1</v>
      </c>
      <c r="J700" s="2444"/>
      <c r="K700" s="2444"/>
      <c r="L700" s="2444"/>
      <c r="M700" s="2444"/>
      <c r="N700" s="2444"/>
      <c r="O700" s="2444"/>
    </row>
    <row r="701" spans="2:17">
      <c r="B701" s="1779" t="s">
        <v>684</v>
      </c>
      <c r="E701" s="948"/>
      <c r="F701" s="1492">
        <f t="shared" ref="F701:F708" si="16">I701</f>
        <v>0</v>
      </c>
      <c r="I701" s="1051"/>
      <c r="K701" s="1492"/>
    </row>
    <row r="702" spans="2:17" ht="14">
      <c r="B702" s="1986" t="s">
        <v>2237</v>
      </c>
      <c r="C702" s="1987">
        <v>0.374</v>
      </c>
      <c r="D702" s="2288" t="s">
        <v>2233</v>
      </c>
      <c r="E702" s="948" t="s">
        <v>699</v>
      </c>
      <c r="F702" s="1492">
        <f t="shared" si="16"/>
        <v>0.54301170266266152</v>
      </c>
      <c r="H702" s="1994">
        <v>39951</v>
      </c>
      <c r="I702" s="1995">
        <f>H702/H$709</f>
        <v>0.54301170266266152</v>
      </c>
      <c r="K702" s="1964" t="s">
        <v>685</v>
      </c>
      <c r="N702" s="1094">
        <f>H702</f>
        <v>39951</v>
      </c>
      <c r="O702" s="1458">
        <f>I702</f>
        <v>0.54301170266266152</v>
      </c>
      <c r="P702" s="1195" t="s">
        <v>2240</v>
      </c>
    </row>
    <row r="703" spans="2:17" ht="14">
      <c r="C703" s="1996"/>
      <c r="D703" s="1782" t="s">
        <v>2234</v>
      </c>
      <c r="E703" s="948" t="s">
        <v>698</v>
      </c>
      <c r="F703" s="1492">
        <f t="shared" si="16"/>
        <v>0.13306511899745832</v>
      </c>
      <c r="H703" s="1997">
        <v>9790</v>
      </c>
      <c r="I703" s="1998">
        <f t="shared" ref="I703:I708" si="17">H703/H$709</f>
        <v>0.13306511899745832</v>
      </c>
      <c r="K703" s="1964" t="s">
        <v>685</v>
      </c>
      <c r="O703" s="1051"/>
      <c r="P703" s="1195" t="s">
        <v>2241</v>
      </c>
    </row>
    <row r="704" spans="2:17">
      <c r="C704" s="1996"/>
      <c r="D704" s="1782" t="s">
        <v>2235</v>
      </c>
      <c r="E704" s="948" t="s">
        <v>1341</v>
      </c>
      <c r="F704" s="1492">
        <f t="shared" si="16"/>
        <v>0.10396476968453101</v>
      </c>
      <c r="H704" s="1997">
        <v>7649</v>
      </c>
      <c r="I704" s="1998">
        <f t="shared" si="17"/>
        <v>0.10396476968453101</v>
      </c>
      <c r="K704" s="1492"/>
    </row>
    <row r="705" spans="2:17">
      <c r="C705" s="1996"/>
      <c r="D705" s="1782" t="s">
        <v>920</v>
      </c>
      <c r="E705" s="948" t="s">
        <v>827</v>
      </c>
      <c r="F705" s="1492">
        <f t="shared" si="16"/>
        <v>8.243513245348158E-2</v>
      </c>
      <c r="H705" s="1997">
        <v>6065</v>
      </c>
      <c r="I705" s="1998">
        <f t="shared" si="17"/>
        <v>8.243513245348158E-2</v>
      </c>
      <c r="K705" s="1492"/>
    </row>
    <row r="706" spans="2:17">
      <c r="C706" s="1996"/>
      <c r="D706" s="1782" t="s">
        <v>1760</v>
      </c>
      <c r="E706" s="948" t="s">
        <v>2231</v>
      </c>
      <c r="F706" s="1492">
        <f t="shared" si="16"/>
        <v>7.448384597610537E-2</v>
      </c>
      <c r="H706" s="1997">
        <v>5480</v>
      </c>
      <c r="I706" s="1998">
        <f t="shared" si="17"/>
        <v>7.448384597610537E-2</v>
      </c>
      <c r="K706" s="1492"/>
    </row>
    <row r="707" spans="2:17">
      <c r="C707" s="1996"/>
      <c r="D707" s="1782" t="s">
        <v>1339</v>
      </c>
      <c r="E707" s="948" t="s">
        <v>2238</v>
      </c>
      <c r="F707" s="1492">
        <f t="shared" si="16"/>
        <v>5.6991015725877697E-2</v>
      </c>
      <c r="H707" s="1997">
        <v>4193</v>
      </c>
      <c r="I707" s="1998">
        <f t="shared" si="17"/>
        <v>5.6991015725877697E-2</v>
      </c>
      <c r="K707" s="1991"/>
      <c r="P707" s="919" t="s">
        <v>2238</v>
      </c>
      <c r="Q707" s="919" t="s">
        <v>2274</v>
      </c>
    </row>
    <row r="708" spans="2:17">
      <c r="C708" s="1996"/>
      <c r="D708" s="1782" t="s">
        <v>2236</v>
      </c>
      <c r="E708" s="948" t="s">
        <v>2239</v>
      </c>
      <c r="F708" s="1492">
        <f t="shared" si="16"/>
        <v>6.0484144998844682E-3</v>
      </c>
      <c r="H708" s="1997">
        <v>445</v>
      </c>
      <c r="I708" s="1998">
        <f t="shared" si="17"/>
        <v>6.0484144998844682E-3</v>
      </c>
      <c r="K708" s="1991"/>
      <c r="P708" s="919" t="s">
        <v>2239</v>
      </c>
      <c r="Q708" s="919" t="s">
        <v>2248</v>
      </c>
    </row>
    <row r="709" spans="2:17">
      <c r="B709" s="2442"/>
      <c r="C709" s="2487"/>
      <c r="D709" s="2468" t="s">
        <v>16</v>
      </c>
      <c r="E709" s="2483"/>
      <c r="F709" s="2484"/>
      <c r="G709" s="2485"/>
      <c r="H709" s="2444">
        <f>SUM(H702:H708)</f>
        <v>73573</v>
      </c>
      <c r="I709" s="2489">
        <v>1</v>
      </c>
      <c r="J709" s="2444"/>
      <c r="K709" s="2444"/>
      <c r="L709" s="2427"/>
      <c r="M709" s="2427"/>
      <c r="N709" s="2427"/>
      <c r="O709" s="2427"/>
    </row>
    <row r="710" spans="2:17" ht="3" customHeight="1">
      <c r="D710" s="1757"/>
      <c r="E710" s="1040"/>
      <c r="F710" s="1990"/>
      <c r="G710" s="935"/>
      <c r="H710" s="1094"/>
      <c r="I710" s="1094"/>
      <c r="J710" s="1094"/>
      <c r="K710" s="1094"/>
    </row>
    <row r="711" spans="2:17">
      <c r="B711" s="1779" t="s">
        <v>686</v>
      </c>
      <c r="E711" s="948"/>
      <c r="I711" s="1051"/>
      <c r="K711" s="1758"/>
    </row>
    <row r="712" spans="2:17">
      <c r="B712" s="1986" t="s">
        <v>2242</v>
      </c>
      <c r="C712" s="1987">
        <v>0.34899999999999998</v>
      </c>
      <c r="D712" s="1779" t="s">
        <v>2430</v>
      </c>
      <c r="E712" s="948" t="s">
        <v>699</v>
      </c>
      <c r="F712" s="1492">
        <f>I712</f>
        <v>0.59297096930645099</v>
      </c>
      <c r="H712" s="1994">
        <v>53214</v>
      </c>
      <c r="I712" s="1995">
        <v>0.59297096930645099</v>
      </c>
      <c r="K712" s="1964" t="s">
        <v>685</v>
      </c>
      <c r="N712" s="1094">
        <f>H712</f>
        <v>53214</v>
      </c>
      <c r="O712" s="1458">
        <f>I712</f>
        <v>0.59297096930645099</v>
      </c>
    </row>
    <row r="713" spans="2:17">
      <c r="C713" s="1996"/>
      <c r="D713" s="1782" t="s">
        <v>2244</v>
      </c>
      <c r="E713" s="948" t="s">
        <v>698</v>
      </c>
      <c r="F713" s="1492">
        <f>I713</f>
        <v>0.20371717591630292</v>
      </c>
      <c r="H713" s="1997">
        <v>8621</v>
      </c>
      <c r="I713" s="1998">
        <v>0.20371717591630292</v>
      </c>
      <c r="K713" s="1964" t="s">
        <v>685</v>
      </c>
      <c r="O713" s="1051"/>
    </row>
    <row r="714" spans="2:17">
      <c r="C714" s="1996"/>
      <c r="D714" s="1782" t="s">
        <v>2245</v>
      </c>
      <c r="E714" s="1778" t="s">
        <v>827</v>
      </c>
      <c r="F714" s="1492">
        <f>I714</f>
        <v>6.8423058269244094E-2</v>
      </c>
      <c r="H714" s="1997">
        <v>6809</v>
      </c>
      <c r="I714" s="1998">
        <v>6.8423058269244094E-2</v>
      </c>
      <c r="K714" s="1758"/>
    </row>
    <row r="715" spans="2:17">
      <c r="C715" s="1996"/>
      <c r="D715" s="1782" t="s">
        <v>2246</v>
      </c>
      <c r="E715" s="948" t="s">
        <v>172</v>
      </c>
      <c r="F715" s="1492">
        <f>I715</f>
        <v>4.8825607981708583E-2</v>
      </c>
      <c r="H715" s="1997">
        <v>2008</v>
      </c>
      <c r="I715" s="1998">
        <v>4.8825607981708583E-2</v>
      </c>
      <c r="K715" s="1758"/>
    </row>
    <row r="716" spans="2:17">
      <c r="C716" s="1996"/>
      <c r="D716" s="1782" t="s">
        <v>2247</v>
      </c>
      <c r="E716" s="948" t="s">
        <v>2239</v>
      </c>
      <c r="F716" s="1492">
        <f>I716</f>
        <v>4.1384327582623157E-2</v>
      </c>
      <c r="H716" s="1997">
        <v>1815</v>
      </c>
      <c r="I716" s="1998">
        <v>4.1384327582623157E-2</v>
      </c>
      <c r="K716" s="1758"/>
      <c r="P716" s="919" t="s">
        <v>2239</v>
      </c>
      <c r="Q716" s="919" t="s">
        <v>2248</v>
      </c>
    </row>
    <row r="717" spans="2:17">
      <c r="B717" s="2442"/>
      <c r="C717" s="2487"/>
      <c r="D717" s="2468" t="s">
        <v>16</v>
      </c>
      <c r="E717" s="2483"/>
      <c r="F717" s="2484"/>
      <c r="G717" s="2485"/>
      <c r="H717" s="2444">
        <f>SUM(H712:H716)</f>
        <v>72467</v>
      </c>
      <c r="I717" s="2489">
        <v>1</v>
      </c>
      <c r="J717" s="2444"/>
      <c r="K717" s="2444"/>
      <c r="L717" s="2427"/>
      <c r="M717" s="2427"/>
      <c r="N717" s="2427"/>
      <c r="O717" s="2427"/>
    </row>
    <row r="718" spans="2:17" ht="6" customHeight="1">
      <c r="D718" s="1757"/>
      <c r="E718" s="948"/>
      <c r="I718" s="1051"/>
      <c r="K718" s="1758"/>
    </row>
    <row r="719" spans="2:17">
      <c r="B719" s="1779" t="s">
        <v>960</v>
      </c>
      <c r="E719" s="948"/>
      <c r="I719" s="1051"/>
      <c r="K719" s="1991"/>
    </row>
    <row r="720" spans="2:17">
      <c r="B720" s="1986" t="s">
        <v>2249</v>
      </c>
      <c r="C720" s="1987">
        <v>0.40600000000000003</v>
      </c>
      <c r="D720" s="1779" t="s">
        <v>2431</v>
      </c>
      <c r="E720" s="948" t="s">
        <v>699</v>
      </c>
      <c r="F720" s="1492">
        <f t="shared" ref="F720:F726" si="18">I720</f>
        <v>0.4842754341473462</v>
      </c>
      <c r="H720" s="1994">
        <v>37619</v>
      </c>
      <c r="I720" s="1995">
        <f>H720/H$727</f>
        <v>0.4842754341473462</v>
      </c>
      <c r="K720" s="1994">
        <v>7246</v>
      </c>
      <c r="L720" s="1995">
        <f>K720/K$727</f>
        <v>0.65806920352374898</v>
      </c>
      <c r="M720" s="1779"/>
      <c r="N720" s="1994">
        <f>K720+H720</f>
        <v>44865</v>
      </c>
      <c r="O720" s="1995">
        <f>N720/(N720+N721)</f>
        <v>0.72664107672124778</v>
      </c>
      <c r="P720" s="1046"/>
    </row>
    <row r="721" spans="2:17">
      <c r="D721" s="1782" t="s">
        <v>2250</v>
      </c>
      <c r="E721" s="948" t="s">
        <v>2252</v>
      </c>
      <c r="F721" s="1492">
        <f t="shared" si="18"/>
        <v>0.16880575687748614</v>
      </c>
      <c r="H721" s="1997">
        <v>13113</v>
      </c>
      <c r="I721" s="1998">
        <f t="shared" ref="I721:I726" si="19">H721/H$727</f>
        <v>0.16880575687748614</v>
      </c>
      <c r="K721" s="1997">
        <v>3765</v>
      </c>
      <c r="L721" s="1998">
        <f>K721/K$727</f>
        <v>0.34193079647625102</v>
      </c>
      <c r="M721" s="1782"/>
      <c r="N721" s="1997">
        <f>K721+H721</f>
        <v>16878</v>
      </c>
      <c r="O721" s="1998">
        <f>N721/(N721+N720)</f>
        <v>0.27335892327875227</v>
      </c>
      <c r="P721" s="919" t="s">
        <v>2252</v>
      </c>
      <c r="Q721" s="937" t="s">
        <v>2251</v>
      </c>
    </row>
    <row r="722" spans="2:17">
      <c r="D722" s="1782" t="s">
        <v>2255</v>
      </c>
      <c r="E722" s="1778" t="s">
        <v>2257</v>
      </c>
      <c r="F722" s="1492">
        <f t="shared" si="18"/>
        <v>0.143007942740181</v>
      </c>
      <c r="H722" s="1997">
        <v>11109</v>
      </c>
      <c r="I722" s="1998">
        <f t="shared" si="19"/>
        <v>0.143007942740181</v>
      </c>
      <c r="K722" s="1991"/>
      <c r="P722" s="919" t="s">
        <v>2257</v>
      </c>
      <c r="Q722" s="919" t="s">
        <v>2275</v>
      </c>
    </row>
    <row r="723" spans="2:17">
      <c r="D723" s="1782" t="s">
        <v>2256</v>
      </c>
      <c r="E723" s="1778" t="s">
        <v>698</v>
      </c>
      <c r="F723" s="1492">
        <f t="shared" si="18"/>
        <v>7.9157065434276072E-2</v>
      </c>
      <c r="H723" s="1997">
        <v>6149</v>
      </c>
      <c r="I723" s="1998">
        <f t="shared" si="19"/>
        <v>7.9157065434276072E-2</v>
      </c>
      <c r="K723" s="1991"/>
    </row>
    <row r="724" spans="2:17">
      <c r="D724" s="1782" t="s">
        <v>2253</v>
      </c>
      <c r="E724" s="1778" t="s">
        <v>827</v>
      </c>
      <c r="F724" s="1492">
        <f t="shared" si="18"/>
        <v>7.2063953862591887E-2</v>
      </c>
      <c r="H724" s="1997">
        <v>5598</v>
      </c>
      <c r="I724" s="1998">
        <f t="shared" si="19"/>
        <v>7.2063953862591887E-2</v>
      </c>
      <c r="K724" s="1991"/>
    </row>
    <row r="725" spans="2:17">
      <c r="D725" s="1782" t="s">
        <v>2254</v>
      </c>
      <c r="E725" s="1778" t="s">
        <v>1341</v>
      </c>
      <c r="F725" s="1492">
        <f t="shared" si="18"/>
        <v>4.3318185914187513E-2</v>
      </c>
      <c r="H725" s="1997">
        <v>3365</v>
      </c>
      <c r="I725" s="1998">
        <f t="shared" si="19"/>
        <v>4.3318185914187513E-2</v>
      </c>
      <c r="K725" s="1991"/>
    </row>
    <row r="726" spans="2:17">
      <c r="D726" s="1782" t="s">
        <v>1779</v>
      </c>
      <c r="E726" s="1778" t="s">
        <v>1241</v>
      </c>
      <c r="F726" s="1492">
        <f t="shared" si="18"/>
        <v>9.3716610239312059E-3</v>
      </c>
      <c r="H726" s="1997">
        <v>728</v>
      </c>
      <c r="I726" s="1998">
        <f t="shared" si="19"/>
        <v>9.3716610239312059E-3</v>
      </c>
      <c r="K726" s="1991"/>
      <c r="P726" s="919" t="s">
        <v>1241</v>
      </c>
      <c r="Q726" s="919" t="s">
        <v>1355</v>
      </c>
    </row>
    <row r="727" spans="2:17">
      <c r="B727" s="2442"/>
      <c r="C727" s="2488"/>
      <c r="D727" s="2468" t="s">
        <v>16</v>
      </c>
      <c r="E727" s="2483"/>
      <c r="F727" s="2484"/>
      <c r="G727" s="2485"/>
      <c r="H727" s="2444">
        <f>SUM(H720:H726)</f>
        <v>77681</v>
      </c>
      <c r="I727" s="2489">
        <v>1</v>
      </c>
      <c r="J727" s="2444"/>
      <c r="K727" s="2444">
        <f>SUM(K720:K726)</f>
        <v>11011</v>
      </c>
      <c r="L727" s="2472">
        <f>SUM(L720:L726)</f>
        <v>1</v>
      </c>
      <c r="M727" s="2427"/>
      <c r="N727" s="2444">
        <f>SUM(N720:N726)</f>
        <v>61743</v>
      </c>
      <c r="O727" s="2472">
        <f>SUM(O720:O726)</f>
        <v>1</v>
      </c>
    </row>
    <row r="728" spans="2:17" ht="3.75" customHeight="1">
      <c r="C728" s="1996"/>
      <c r="D728" s="1782"/>
      <c r="E728" s="948"/>
      <c r="F728" s="1492">
        <f>I728</f>
        <v>0</v>
      </c>
      <c r="H728" s="1997"/>
      <c r="I728" s="1998"/>
      <c r="K728" s="1758"/>
    </row>
    <row r="729" spans="2:17">
      <c r="B729" s="1779" t="s">
        <v>812</v>
      </c>
      <c r="E729" s="948"/>
      <c r="I729" s="1051"/>
      <c r="K729" s="1991"/>
    </row>
    <row r="730" spans="2:17">
      <c r="B730" s="1986" t="s">
        <v>2258</v>
      </c>
      <c r="C730" s="1987">
        <v>0.38600000000000001</v>
      </c>
      <c r="D730" s="1779" t="s">
        <v>2290</v>
      </c>
      <c r="E730" s="948" t="s">
        <v>827</v>
      </c>
      <c r="F730" s="1492">
        <f>I730</f>
        <v>0.48654889312417532</v>
      </c>
      <c r="H730" s="1994">
        <v>13275</v>
      </c>
      <c r="I730" s="1995">
        <f>H730/H$733</f>
        <v>0.48654889312417532</v>
      </c>
      <c r="K730" s="1994">
        <v>2656</v>
      </c>
      <c r="L730" s="1995">
        <f>K730/K$733</f>
        <v>0.78510198049068869</v>
      </c>
      <c r="M730" s="1779"/>
      <c r="N730" s="1994">
        <f>K730+H730</f>
        <v>15931</v>
      </c>
      <c r="O730" s="1995">
        <f>N730/(N730+N731)</f>
        <v>0.61552430260412638</v>
      </c>
      <c r="P730" s="1046"/>
    </row>
    <row r="731" spans="2:17">
      <c r="D731" s="1782" t="s">
        <v>2259</v>
      </c>
      <c r="E731" s="948" t="s">
        <v>699</v>
      </c>
      <c r="F731" s="1492">
        <f>I731</f>
        <v>0.3380735962468846</v>
      </c>
      <c r="H731" s="1997">
        <v>9224</v>
      </c>
      <c r="I731" s="1998">
        <f>H731/H$733</f>
        <v>0.3380735962468846</v>
      </c>
      <c r="K731" s="1997">
        <v>727</v>
      </c>
      <c r="L731" s="1998">
        <f>K731/K$733</f>
        <v>0.21489801950931126</v>
      </c>
      <c r="M731" s="1782"/>
      <c r="N731" s="1997">
        <f>K731+H731</f>
        <v>9951</v>
      </c>
      <c r="O731" s="1998">
        <f>N731/(N731+N730)</f>
        <v>0.38447569739587356</v>
      </c>
      <c r="P731" s="937"/>
    </row>
    <row r="732" spans="2:17">
      <c r="D732" s="1782" t="s">
        <v>2260</v>
      </c>
      <c r="E732" s="1778" t="s">
        <v>698</v>
      </c>
      <c r="F732" s="1492">
        <f>I732</f>
        <v>0.17537751062894003</v>
      </c>
      <c r="H732" s="1997">
        <v>4785</v>
      </c>
      <c r="I732" s="1998">
        <f>H732/H$733</f>
        <v>0.17537751062894003</v>
      </c>
      <c r="K732" s="1991"/>
    </row>
    <row r="733" spans="2:17">
      <c r="C733" s="1996"/>
      <c r="D733" s="1757" t="s">
        <v>16</v>
      </c>
      <c r="E733" s="1040"/>
      <c r="F733" s="1990"/>
      <c r="G733" s="935"/>
      <c r="H733" s="1094">
        <f>SUM(H730:H732)</f>
        <v>27284</v>
      </c>
      <c r="I733" s="1998"/>
      <c r="K733" s="2444">
        <f>SUM(K730:K732)</f>
        <v>3383</v>
      </c>
      <c r="L733" s="2472">
        <f>SUM(L730:L732)</f>
        <v>1</v>
      </c>
      <c r="M733" s="2427"/>
      <c r="N733" s="2444">
        <f>SUM(N730:N732)</f>
        <v>25882</v>
      </c>
      <c r="O733" s="2472">
        <f>SUM(O730:O732)</f>
        <v>1</v>
      </c>
    </row>
    <row r="734" spans="2:17" ht="4.5" customHeight="1">
      <c r="B734" s="2569"/>
      <c r="C734" s="2570"/>
      <c r="D734" s="2571"/>
      <c r="E734" s="1388"/>
      <c r="F734" s="2571"/>
      <c r="G734" s="1388"/>
      <c r="H734" s="2572"/>
      <c r="I734" s="2573"/>
      <c r="J734" s="1561"/>
      <c r="K734" s="2572"/>
      <c r="L734" s="1561"/>
      <c r="M734" s="1561"/>
      <c r="N734" s="1561"/>
      <c r="O734" s="1561"/>
    </row>
    <row r="735" spans="2:17" ht="14" thickBot="1">
      <c r="B735" s="1549"/>
      <c r="C735" s="2017"/>
      <c r="D735" s="2018"/>
      <c r="E735" s="2018"/>
      <c r="F735" s="2019"/>
      <c r="G735" s="2018"/>
      <c r="H735" s="3493" t="s">
        <v>1170</v>
      </c>
      <c r="I735" s="3409"/>
      <c r="J735" s="2548"/>
      <c r="K735" s="3493" t="s">
        <v>1219</v>
      </c>
      <c r="L735" s="3493"/>
      <c r="M735" s="2392"/>
      <c r="N735" s="3493" t="s">
        <v>267</v>
      </c>
      <c r="O735" s="3409"/>
    </row>
    <row r="736" spans="2:17" ht="16">
      <c r="B736" s="2021" t="s">
        <v>2387</v>
      </c>
      <c r="C736" s="2017"/>
      <c r="D736" s="2018" t="s">
        <v>11</v>
      </c>
      <c r="E736" s="2022" t="s">
        <v>110</v>
      </c>
      <c r="F736" s="2023"/>
      <c r="G736" s="2018"/>
      <c r="H736" s="2020" t="s">
        <v>111</v>
      </c>
      <c r="I736" s="2024" t="s">
        <v>153</v>
      </c>
      <c r="J736" s="2024"/>
      <c r="K736" s="2020" t="s">
        <v>111</v>
      </c>
      <c r="L736" s="2020" t="s">
        <v>153</v>
      </c>
      <c r="M736" s="2020"/>
      <c r="N736" s="2020" t="s">
        <v>111</v>
      </c>
      <c r="O736" s="2025" t="s">
        <v>153</v>
      </c>
    </row>
    <row r="737" spans="2:15">
      <c r="B737" s="2083">
        <v>43587</v>
      </c>
      <c r="C737" s="2084"/>
      <c r="D737" s="2081"/>
      <c r="E737" s="1389"/>
      <c r="F737" s="2076"/>
      <c r="G737" s="2081"/>
      <c r="H737" s="2085"/>
      <c r="I737" s="2085"/>
      <c r="J737" s="2085"/>
      <c r="K737" s="2085"/>
      <c r="L737" s="2085"/>
      <c r="M737" s="2085"/>
      <c r="N737" s="2085"/>
      <c r="O737" s="2085"/>
    </row>
    <row r="738" spans="2:15" s="1034" customFormat="1">
      <c r="B738" s="2560" t="s">
        <v>813</v>
      </c>
      <c r="C738" s="1982"/>
      <c r="E738" s="948"/>
      <c r="F738" s="1758"/>
      <c r="H738" s="1054"/>
      <c r="I738" s="1054"/>
      <c r="J738" s="1054"/>
      <c r="K738" s="1054"/>
      <c r="L738" s="1054"/>
      <c r="M738" s="1054"/>
      <c r="N738" s="1054"/>
      <c r="O738" s="1054"/>
    </row>
    <row r="739" spans="2:15" s="1034" customFormat="1">
      <c r="B739" s="2561" t="s">
        <v>2489</v>
      </c>
      <c r="C739" s="1982">
        <v>0.375</v>
      </c>
      <c r="D739" s="2566" t="s">
        <v>994</v>
      </c>
      <c r="E739" s="948" t="s">
        <v>827</v>
      </c>
      <c r="F739" s="1492">
        <f>I739</f>
        <v>0.36</v>
      </c>
      <c r="H739" s="2562">
        <v>17596</v>
      </c>
      <c r="I739" s="1422">
        <v>0.36</v>
      </c>
      <c r="J739" s="2562"/>
      <c r="K739" s="2562">
        <v>3820</v>
      </c>
      <c r="L739" s="1422">
        <v>0.621</v>
      </c>
      <c r="M739" s="2562"/>
      <c r="N739" s="2562">
        <v>21416</v>
      </c>
      <c r="O739" s="1422">
        <v>0.54200000000000004</v>
      </c>
    </row>
    <row r="740" spans="2:15" s="1034" customFormat="1">
      <c r="D740" s="1034" t="s">
        <v>2486</v>
      </c>
      <c r="E740" s="1034" t="s">
        <v>698</v>
      </c>
      <c r="F740" s="1492">
        <f>I740</f>
        <v>0.32300000000000001</v>
      </c>
      <c r="H740" s="1034">
        <v>15778</v>
      </c>
      <c r="I740" s="1052">
        <v>0.32300000000000001</v>
      </c>
      <c r="K740" s="1034">
        <v>2327</v>
      </c>
      <c r="L740" s="1052">
        <v>0.379</v>
      </c>
      <c r="N740" s="1034">
        <v>18105</v>
      </c>
      <c r="O740" s="1052">
        <v>0.45800000000000002</v>
      </c>
    </row>
    <row r="741" spans="2:15" s="1034" customFormat="1">
      <c r="D741" s="1034" t="s">
        <v>2487</v>
      </c>
      <c r="E741" s="1034" t="s">
        <v>699</v>
      </c>
      <c r="F741" s="1492">
        <f>I741</f>
        <v>0.19800000000000001</v>
      </c>
      <c r="H741" s="1034">
        <v>9677</v>
      </c>
      <c r="I741" s="1052">
        <v>0.19800000000000001</v>
      </c>
      <c r="O741" s="2564"/>
    </row>
    <row r="742" spans="2:15" s="1034" customFormat="1">
      <c r="B742" s="2559"/>
      <c r="C742" s="1982"/>
      <c r="D742" s="1034" t="s">
        <v>2488</v>
      </c>
      <c r="E742" s="948" t="s">
        <v>1341</v>
      </c>
      <c r="F742" s="1492">
        <f>I742</f>
        <v>6.6000000000000003E-2</v>
      </c>
      <c r="H742" s="1054">
        <v>3239</v>
      </c>
      <c r="I742" s="2563">
        <v>6.6000000000000003E-2</v>
      </c>
      <c r="J742" s="1054"/>
      <c r="K742" s="1054"/>
      <c r="L742" s="1054"/>
      <c r="M742" s="1054"/>
      <c r="N742" s="1054"/>
      <c r="O742" s="2565"/>
    </row>
    <row r="743" spans="2:15" s="1034" customFormat="1">
      <c r="B743" s="2559"/>
      <c r="C743" s="1982"/>
      <c r="D743" s="1034" t="s">
        <v>1722</v>
      </c>
      <c r="E743" s="948" t="s">
        <v>251</v>
      </c>
      <c r="F743" s="1492">
        <f>I743</f>
        <v>5.3999999999999999E-2</v>
      </c>
      <c r="H743" s="1054">
        <v>2627</v>
      </c>
      <c r="I743" s="2563">
        <v>5.3999999999999999E-2</v>
      </c>
      <c r="J743" s="1054"/>
      <c r="K743" s="1054"/>
      <c r="L743" s="1054"/>
      <c r="M743" s="1054"/>
      <c r="N743" s="1054"/>
      <c r="O743" s="2565"/>
    </row>
    <row r="744" spans="2:15" s="1034" customFormat="1">
      <c r="B744" s="2442"/>
      <c r="C744" s="2488"/>
      <c r="D744" s="2468" t="s">
        <v>16</v>
      </c>
      <c r="E744" s="2483"/>
      <c r="F744" s="2484"/>
      <c r="G744" s="2485"/>
      <c r="H744" s="2444">
        <f>SUM(H739:H743)</f>
        <v>48917</v>
      </c>
      <c r="I744" s="2489"/>
      <c r="J744" s="2444"/>
      <c r="K744" s="2444">
        <f>SUM(K739:K743)</f>
        <v>6147</v>
      </c>
      <c r="L744" s="2472">
        <f>SUM(L739:L743)</f>
        <v>1</v>
      </c>
      <c r="M744" s="2427"/>
      <c r="N744" s="2444">
        <f>SUM(N739:N743)</f>
        <v>39521</v>
      </c>
      <c r="O744" s="2472">
        <f>SUM(O739:O743)</f>
        <v>1</v>
      </c>
    </row>
    <row r="745" spans="2:15" s="1034" customFormat="1">
      <c r="B745" s="2560" t="s">
        <v>1723</v>
      </c>
      <c r="C745" s="1982"/>
      <c r="E745" s="948"/>
      <c r="F745" s="1758"/>
      <c r="H745" s="1054"/>
      <c r="I745" s="1054"/>
      <c r="J745" s="1054"/>
      <c r="K745" s="1054"/>
      <c r="L745" s="1054"/>
      <c r="M745" s="1054"/>
      <c r="N745" s="1054"/>
      <c r="O745" s="1054"/>
    </row>
    <row r="746" spans="2:15" s="1034" customFormat="1">
      <c r="B746" s="2561" t="s">
        <v>1334</v>
      </c>
      <c r="C746" s="1982"/>
      <c r="D746" s="2566" t="s">
        <v>1724</v>
      </c>
      <c r="E746" s="948" t="s">
        <v>931</v>
      </c>
      <c r="F746" s="1758">
        <f>I746</f>
        <v>0.57362297243079041</v>
      </c>
      <c r="H746" s="2562">
        <v>10008</v>
      </c>
      <c r="I746" s="1422">
        <f>H746/H749</f>
        <v>0.57362297243079041</v>
      </c>
      <c r="J746" s="1054"/>
      <c r="K746" s="1054"/>
      <c r="L746" s="1054"/>
      <c r="M746" s="1054"/>
      <c r="N746" s="1054"/>
      <c r="O746" s="1054"/>
    </row>
    <row r="747" spans="2:15" s="1034" customFormat="1">
      <c r="B747" s="2559"/>
      <c r="C747" s="1982"/>
      <c r="D747" s="1034" t="s">
        <v>2490</v>
      </c>
      <c r="E747" s="948" t="s">
        <v>699</v>
      </c>
      <c r="F747" s="1758">
        <f>I747</f>
        <v>0.26044592193500316</v>
      </c>
      <c r="H747" s="1054">
        <v>4544</v>
      </c>
      <c r="I747" s="2563">
        <f>H747/H749</f>
        <v>0.26044592193500316</v>
      </c>
      <c r="J747" s="1054"/>
      <c r="K747" s="1054"/>
      <c r="L747" s="1054"/>
      <c r="M747" s="1054"/>
      <c r="N747" s="1054"/>
      <c r="O747" s="1054"/>
    </row>
    <row r="748" spans="2:15" s="1034" customFormat="1">
      <c r="B748" s="2559"/>
      <c r="C748" s="1982"/>
      <c r="D748" s="1034" t="s">
        <v>2491</v>
      </c>
      <c r="E748" s="948" t="s">
        <v>698</v>
      </c>
      <c r="F748" s="1758">
        <f>I748</f>
        <v>0.16593110563420646</v>
      </c>
      <c r="H748" s="1054">
        <v>2895</v>
      </c>
      <c r="I748" s="2563">
        <f>H748/H749</f>
        <v>0.16593110563420646</v>
      </c>
      <c r="J748" s="1054"/>
      <c r="K748" s="1054"/>
      <c r="L748" s="1054"/>
      <c r="M748" s="1054"/>
      <c r="N748" s="1054"/>
      <c r="O748" s="1054"/>
    </row>
    <row r="749" spans="2:15" s="1034" customFormat="1">
      <c r="B749" s="2442"/>
      <c r="C749" s="2488"/>
      <c r="D749" s="2468" t="s">
        <v>16</v>
      </c>
      <c r="E749" s="2483"/>
      <c r="F749" s="2484"/>
      <c r="G749" s="2485"/>
      <c r="H749" s="2444">
        <f>SUM(H746:H748)</f>
        <v>17447</v>
      </c>
      <c r="I749" s="2489"/>
      <c r="J749" s="2444"/>
      <c r="K749" s="2444"/>
      <c r="L749" s="2472"/>
      <c r="M749" s="2427"/>
      <c r="N749" s="2444"/>
      <c r="O749" s="2472"/>
    </row>
    <row r="750" spans="2:15" s="1034" customFormat="1">
      <c r="B750" s="2560" t="s">
        <v>1001</v>
      </c>
      <c r="C750" s="1982"/>
      <c r="E750" s="948"/>
      <c r="F750" s="1758"/>
      <c r="H750" s="1054"/>
      <c r="I750" s="1054"/>
      <c r="J750" s="1054"/>
      <c r="K750" s="1054"/>
      <c r="L750" s="1054"/>
      <c r="M750" s="1054"/>
      <c r="N750" s="1054"/>
      <c r="O750" s="1054"/>
    </row>
    <row r="751" spans="2:15" s="1034" customFormat="1">
      <c r="B751" s="2561" t="s">
        <v>2492</v>
      </c>
      <c r="C751" s="1982"/>
      <c r="D751" s="2566" t="s">
        <v>2493</v>
      </c>
      <c r="E751" s="948" t="s">
        <v>699</v>
      </c>
      <c r="F751" s="1758">
        <f>I751</f>
        <v>0.60998138420859171</v>
      </c>
      <c r="H751" s="2562">
        <v>51444</v>
      </c>
      <c r="I751" s="1422">
        <f>H751/$H$758</f>
        <v>0.60998138420859171</v>
      </c>
      <c r="J751" s="1054"/>
      <c r="K751" s="1054"/>
      <c r="L751" s="1054"/>
      <c r="M751" s="1054"/>
      <c r="N751" s="1054"/>
      <c r="O751" s="1054"/>
    </row>
    <row r="752" spans="2:15" s="1034" customFormat="1">
      <c r="B752" s="2559"/>
      <c r="C752" s="1982"/>
      <c r="D752" s="1034" t="s">
        <v>2494</v>
      </c>
      <c r="E752" s="948" t="s">
        <v>698</v>
      </c>
      <c r="F752" s="1758">
        <f t="shared" ref="F752:F757" si="20">I752</f>
        <v>0.17215457035464862</v>
      </c>
      <c r="H752" s="1054">
        <v>14519</v>
      </c>
      <c r="I752" s="2563">
        <f t="shared" ref="I752:I757" si="21">H752/$H$758</f>
        <v>0.17215457035464862</v>
      </c>
      <c r="J752" s="1054"/>
      <c r="K752" s="1054"/>
      <c r="L752" s="1054"/>
      <c r="M752" s="1054"/>
      <c r="N752" s="1054"/>
      <c r="O752" s="1054"/>
    </row>
    <row r="753" spans="2:15" s="1034" customFormat="1">
      <c r="B753" s="2559"/>
      <c r="C753" s="1982"/>
      <c r="D753" s="1034" t="s">
        <v>2495</v>
      </c>
      <c r="E753" s="948" t="s">
        <v>1341</v>
      </c>
      <c r="F753" s="1758">
        <f t="shared" si="20"/>
        <v>7.8957041393457203E-2</v>
      </c>
      <c r="H753" s="1054">
        <v>6659</v>
      </c>
      <c r="I753" s="2563">
        <f t="shared" si="21"/>
        <v>7.8957041393457203E-2</v>
      </c>
      <c r="J753" s="1054"/>
      <c r="K753" s="1054"/>
      <c r="L753" s="1054"/>
      <c r="M753" s="1054"/>
      <c r="N753" s="1054"/>
      <c r="O753" s="1054"/>
    </row>
    <row r="754" spans="2:15" s="1034" customFormat="1">
      <c r="B754" s="2559"/>
      <c r="C754" s="1982"/>
      <c r="D754" s="1034" t="s">
        <v>2496</v>
      </c>
      <c r="E754" s="948" t="s">
        <v>827</v>
      </c>
      <c r="F754" s="1758">
        <f t="shared" si="20"/>
        <v>4.8626344309140708E-2</v>
      </c>
      <c r="H754" s="1054">
        <v>4101</v>
      </c>
      <c r="I754" s="2563">
        <f t="shared" si="21"/>
        <v>4.8626344309140708E-2</v>
      </c>
      <c r="J754" s="1054"/>
      <c r="K754" s="1054"/>
      <c r="L754" s="1054"/>
      <c r="M754" s="1054"/>
      <c r="N754" s="1054"/>
      <c r="O754" s="1054"/>
    </row>
    <row r="755" spans="2:15" s="1034" customFormat="1">
      <c r="B755" s="2559"/>
      <c r="C755" s="1982"/>
      <c r="D755" s="1034" t="s">
        <v>2497</v>
      </c>
      <c r="E755" s="948" t="s">
        <v>251</v>
      </c>
      <c r="F755" s="1758">
        <f t="shared" si="20"/>
        <v>4.1808458920758386E-2</v>
      </c>
      <c r="H755" s="1054">
        <v>3526</v>
      </c>
      <c r="I755" s="2563">
        <f t="shared" si="21"/>
        <v>4.1808458920758386E-2</v>
      </c>
      <c r="J755" s="1054"/>
      <c r="K755" s="1054"/>
      <c r="L755" s="1054"/>
      <c r="M755" s="1054"/>
      <c r="N755" s="1054"/>
      <c r="O755" s="1054"/>
    </row>
    <row r="756" spans="2:15" s="1034" customFormat="1">
      <c r="B756" s="2559"/>
      <c r="C756" s="1982"/>
      <c r="D756" s="1034" t="s">
        <v>2498</v>
      </c>
      <c r="E756" s="948" t="s">
        <v>931</v>
      </c>
      <c r="F756" s="1758">
        <f t="shared" si="20"/>
        <v>2.8990834390599619E-2</v>
      </c>
      <c r="H756" s="1054">
        <v>2445</v>
      </c>
      <c r="I756" s="2563">
        <f t="shared" si="21"/>
        <v>2.8990834390599619E-2</v>
      </c>
      <c r="J756" s="1054"/>
      <c r="K756" s="1054"/>
      <c r="L756" s="1054"/>
      <c r="M756" s="1054"/>
      <c r="N756" s="1054"/>
      <c r="O756" s="1054"/>
    </row>
    <row r="757" spans="2:15" s="1034" customFormat="1">
      <c r="B757" s="2559"/>
      <c r="C757" s="1982"/>
      <c r="D757" s="1034" t="s">
        <v>2499</v>
      </c>
      <c r="E757" s="948" t="s">
        <v>2500</v>
      </c>
      <c r="F757" s="1758">
        <f t="shared" si="20"/>
        <v>1.948136642280375E-2</v>
      </c>
      <c r="H757" s="1054">
        <v>1643</v>
      </c>
      <c r="I757" s="2563">
        <f t="shared" si="21"/>
        <v>1.948136642280375E-2</v>
      </c>
      <c r="J757" s="1054"/>
      <c r="K757" s="1054"/>
      <c r="L757" s="1054"/>
      <c r="M757" s="1054"/>
      <c r="N757" s="1054"/>
      <c r="O757" s="1054"/>
    </row>
    <row r="758" spans="2:15" s="1034" customFormat="1">
      <c r="B758" s="2442"/>
      <c r="C758" s="2488"/>
      <c r="D758" s="2468" t="s">
        <v>16</v>
      </c>
      <c r="E758" s="2483"/>
      <c r="F758" s="2484"/>
      <c r="G758" s="2485"/>
      <c r="H758" s="2444">
        <f>SUM(H751:H757)</f>
        <v>84337</v>
      </c>
      <c r="I758" s="2489"/>
      <c r="J758" s="2444"/>
      <c r="K758" s="2444"/>
      <c r="L758" s="2472"/>
      <c r="M758" s="2427"/>
      <c r="N758" s="2444"/>
      <c r="O758" s="2472"/>
    </row>
    <row r="759" spans="2:15" s="1034" customFormat="1">
      <c r="B759" s="2560" t="s">
        <v>817</v>
      </c>
      <c r="C759" s="1982"/>
      <c r="E759" s="948"/>
      <c r="F759" s="1758"/>
      <c r="H759" s="1054"/>
      <c r="I759" s="1054"/>
      <c r="J759" s="1054"/>
      <c r="K759" s="1054"/>
      <c r="L759" s="1054"/>
      <c r="M759" s="1054"/>
      <c r="N759" s="1054"/>
      <c r="O759" s="1054"/>
    </row>
    <row r="760" spans="2:15" s="1034" customFormat="1">
      <c r="B760" s="2561" t="s">
        <v>2502</v>
      </c>
      <c r="C760" s="1982"/>
      <c r="D760" s="2566" t="s">
        <v>2503</v>
      </c>
      <c r="E760" s="948" t="s">
        <v>699</v>
      </c>
      <c r="F760" s="1758">
        <f>I760</f>
        <v>0.29199999999999998</v>
      </c>
      <c r="H760" s="2562">
        <v>6881</v>
      </c>
      <c r="I760" s="1422">
        <v>0.29199999999999998</v>
      </c>
      <c r="J760" s="1054"/>
      <c r="K760" s="2562">
        <v>1049</v>
      </c>
      <c r="L760" s="1422">
        <v>0.33700000000000002</v>
      </c>
      <c r="M760" s="2562"/>
      <c r="N760" s="2562">
        <v>7930</v>
      </c>
      <c r="O760" s="1422">
        <v>0.50009999999999999</v>
      </c>
    </row>
    <row r="761" spans="2:15" s="1034" customFormat="1">
      <c r="B761" s="2559"/>
      <c r="C761" s="1982"/>
      <c r="D761" s="1034" t="s">
        <v>1737</v>
      </c>
      <c r="E761" s="948" t="s">
        <v>1738</v>
      </c>
      <c r="F761" s="1758">
        <f>I761</f>
        <v>0.248</v>
      </c>
      <c r="H761" s="1054">
        <v>5860</v>
      </c>
      <c r="I761" s="2563">
        <v>0.248</v>
      </c>
      <c r="J761" s="1054"/>
      <c r="K761" s="1054">
        <v>2068</v>
      </c>
      <c r="L761" s="2563">
        <v>0.66300000000000003</v>
      </c>
      <c r="M761" s="1054"/>
      <c r="N761" s="1054">
        <v>7928</v>
      </c>
      <c r="O761" s="2563">
        <v>0.49998999999999999</v>
      </c>
    </row>
    <row r="762" spans="2:15" s="1034" customFormat="1">
      <c r="B762" s="2559"/>
      <c r="C762" s="1982"/>
      <c r="D762" s="1034" t="s">
        <v>2504</v>
      </c>
      <c r="E762" s="948" t="s">
        <v>931</v>
      </c>
      <c r="F762" s="1758">
        <f>I762</f>
        <v>0.20469001781019422</v>
      </c>
      <c r="H762" s="1054">
        <v>4827</v>
      </c>
      <c r="I762" s="2563">
        <f>H762/$H$765</f>
        <v>0.20469001781019422</v>
      </c>
      <c r="J762" s="1054"/>
      <c r="K762" s="1054"/>
      <c r="L762" s="1054"/>
      <c r="M762" s="1054"/>
      <c r="N762" s="1054"/>
      <c r="O762" s="1054"/>
    </row>
    <row r="763" spans="2:15" s="1034" customFormat="1">
      <c r="B763" s="2559"/>
      <c r="C763" s="1982"/>
      <c r="D763" s="1034" t="s">
        <v>2115</v>
      </c>
      <c r="E763" s="948" t="s">
        <v>698</v>
      </c>
      <c r="F763" s="1758">
        <f>I763</f>
        <v>0.15231956577050293</v>
      </c>
      <c r="H763" s="1054">
        <v>3592</v>
      </c>
      <c r="I763" s="2563">
        <f>H763/$H$765</f>
        <v>0.15231956577050293</v>
      </c>
      <c r="J763" s="1054"/>
      <c r="K763" s="1054"/>
      <c r="L763" s="1054"/>
      <c r="M763" s="1054"/>
      <c r="N763" s="1054"/>
      <c r="O763" s="1054"/>
    </row>
    <row r="764" spans="2:15" s="1034" customFormat="1">
      <c r="B764" s="2559"/>
      <c r="C764" s="1982"/>
      <c r="D764" s="1034" t="s">
        <v>2505</v>
      </c>
      <c r="E764" s="948" t="s">
        <v>931</v>
      </c>
      <c r="F764" s="1758">
        <f>I764</f>
        <v>0.10270545331184802</v>
      </c>
      <c r="H764" s="1054">
        <v>2422</v>
      </c>
      <c r="I764" s="2563">
        <f>H764/$H$765</f>
        <v>0.10270545331184802</v>
      </c>
      <c r="J764" s="1054"/>
      <c r="K764" s="1054"/>
      <c r="L764" s="1054"/>
      <c r="M764" s="1054"/>
      <c r="N764" s="1054"/>
      <c r="O764" s="1054"/>
    </row>
    <row r="765" spans="2:15" s="1034" customFormat="1">
      <c r="B765" s="2442"/>
      <c r="C765" s="2488"/>
      <c r="D765" s="2468" t="s">
        <v>16</v>
      </c>
      <c r="E765" s="2483"/>
      <c r="F765" s="2484"/>
      <c r="G765" s="2485"/>
      <c r="H765" s="2444">
        <f>SUM(H760:H764)</f>
        <v>23582</v>
      </c>
      <c r="I765" s="2489"/>
      <c r="J765" s="2444"/>
      <c r="K765" s="2444"/>
      <c r="L765" s="2472"/>
      <c r="M765" s="2427"/>
      <c r="N765" s="2444"/>
      <c r="O765" s="2472"/>
    </row>
    <row r="766" spans="2:15" s="1034" customFormat="1">
      <c r="B766" s="2559" t="s">
        <v>841</v>
      </c>
      <c r="C766" s="1982"/>
      <c r="E766" s="948"/>
      <c r="F766" s="1758"/>
      <c r="H766" s="1054"/>
      <c r="I766" s="1054"/>
      <c r="J766" s="1054"/>
      <c r="K766" s="1054"/>
      <c r="L766" s="1054"/>
      <c r="M766" s="1054"/>
      <c r="N766" s="1054"/>
      <c r="O766" s="1054"/>
    </row>
    <row r="767" spans="2:15" s="1034" customFormat="1">
      <c r="B767" s="2561" t="s">
        <v>2506</v>
      </c>
      <c r="C767" s="1982"/>
      <c r="D767" s="2566" t="s">
        <v>2485</v>
      </c>
      <c r="E767" s="1040" t="s">
        <v>931</v>
      </c>
      <c r="F767" s="1758">
        <f>I767</f>
        <v>0.5918048382712694</v>
      </c>
      <c r="H767" s="2562">
        <v>17418</v>
      </c>
      <c r="I767" s="1422">
        <f>H767/$H$771</f>
        <v>0.5918048382712694</v>
      </c>
      <c r="J767" s="1054"/>
      <c r="K767" s="1054"/>
      <c r="L767" s="1054"/>
      <c r="M767" s="1054"/>
      <c r="N767" s="1054"/>
      <c r="O767" s="1054"/>
    </row>
    <row r="768" spans="2:15" s="1034" customFormat="1">
      <c r="B768" s="2559"/>
      <c r="C768" s="1982"/>
      <c r="D768" s="1034" t="s">
        <v>2507</v>
      </c>
      <c r="E768" s="948" t="s">
        <v>699</v>
      </c>
      <c r="F768" s="1758">
        <f>I768</f>
        <v>0.22737156836096764</v>
      </c>
      <c r="H768" s="1054">
        <v>6692</v>
      </c>
      <c r="I768" s="2563">
        <f>H768/$H$771</f>
        <v>0.22737156836096764</v>
      </c>
      <c r="J768" s="1054"/>
      <c r="K768" s="1054"/>
      <c r="L768" s="1054"/>
      <c r="M768" s="1054"/>
      <c r="N768" s="1054"/>
      <c r="O768" s="1054"/>
    </row>
    <row r="769" spans="2:15" s="1034" customFormat="1">
      <c r="B769" s="2559"/>
      <c r="C769" s="1982"/>
      <c r="D769" s="1034" t="s">
        <v>2508</v>
      </c>
      <c r="E769" s="948" t="s">
        <v>931</v>
      </c>
      <c r="F769" s="1758">
        <f>I769</f>
        <v>9.9891274802935581E-2</v>
      </c>
      <c r="H769" s="1054">
        <v>2940</v>
      </c>
      <c r="I769" s="2563">
        <f>H769/$H$771</f>
        <v>9.9891274802935581E-2</v>
      </c>
      <c r="J769" s="1054"/>
      <c r="K769" s="1054"/>
      <c r="L769" s="1054"/>
      <c r="M769" s="1054"/>
      <c r="N769" s="1054"/>
      <c r="O769" s="1054"/>
    </row>
    <row r="770" spans="2:15" s="1034" customFormat="1">
      <c r="B770" s="2559"/>
      <c r="C770" s="1982"/>
      <c r="D770" s="1034" t="s">
        <v>2509</v>
      </c>
      <c r="E770" s="948" t="s">
        <v>698</v>
      </c>
      <c r="F770" s="1758">
        <f>I770</f>
        <v>8.0932318564827396E-2</v>
      </c>
      <c r="H770" s="1054">
        <v>2382</v>
      </c>
      <c r="I770" s="2563">
        <f>H770/$H$771</f>
        <v>8.0932318564827396E-2</v>
      </c>
      <c r="J770" s="1054"/>
      <c r="K770" s="1054"/>
      <c r="L770" s="1054"/>
      <c r="M770" s="1054"/>
      <c r="N770" s="1054"/>
      <c r="O770" s="1054"/>
    </row>
    <row r="771" spans="2:15" s="1034" customFormat="1">
      <c r="B771" s="2442"/>
      <c r="C771" s="2488"/>
      <c r="D771" s="2468" t="s">
        <v>16</v>
      </c>
      <c r="E771" s="2483"/>
      <c r="F771" s="1758">
        <f>I771</f>
        <v>0</v>
      </c>
      <c r="G771" s="2485"/>
      <c r="H771" s="2444">
        <f>SUM(H767:H770)</f>
        <v>29432</v>
      </c>
      <c r="I771" s="2489"/>
      <c r="J771" s="2444"/>
      <c r="K771" s="2444"/>
      <c r="L771" s="2472"/>
      <c r="M771" s="2427"/>
      <c r="N771" s="2444"/>
      <c r="O771" s="2472"/>
    </row>
    <row r="772" spans="2:15" s="1034" customFormat="1" ht="3.5" customHeight="1">
      <c r="B772" s="2569"/>
      <c r="C772" s="2570"/>
      <c r="D772" s="2571"/>
      <c r="E772" s="1388"/>
      <c r="F772" s="2571"/>
      <c r="G772" s="1388"/>
      <c r="H772" s="2572"/>
      <c r="I772" s="2573"/>
      <c r="J772" s="1561"/>
      <c r="K772" s="2572"/>
      <c r="L772" s="1561"/>
      <c r="M772" s="1561"/>
      <c r="N772" s="1561"/>
      <c r="O772" s="1561"/>
    </row>
    <row r="773" spans="2:15" s="1492" customFormat="1" ht="12.75" customHeight="1" thickBot="1">
      <c r="B773" s="1549"/>
      <c r="C773" s="2017"/>
      <c r="D773" s="2018"/>
      <c r="E773" s="2018"/>
      <c r="F773" s="2019"/>
      <c r="G773" s="2018"/>
      <c r="H773" s="3493" t="s">
        <v>1170</v>
      </c>
      <c r="I773" s="3409"/>
      <c r="J773" s="3287"/>
      <c r="K773" s="3493" t="s">
        <v>1219</v>
      </c>
      <c r="L773" s="3493"/>
      <c r="M773" s="2392"/>
      <c r="N773" s="3493" t="s">
        <v>267</v>
      </c>
      <c r="O773" s="3409"/>
    </row>
    <row r="774" spans="2:15" s="1492" customFormat="1" ht="12.75" customHeight="1">
      <c r="B774" s="2021" t="s">
        <v>2387</v>
      </c>
      <c r="C774" s="2017"/>
      <c r="D774" s="2018" t="s">
        <v>11</v>
      </c>
      <c r="E774" s="2022" t="s">
        <v>110</v>
      </c>
      <c r="F774" s="2023"/>
      <c r="G774" s="2018"/>
      <c r="H774" s="2020" t="s">
        <v>111</v>
      </c>
      <c r="I774" s="2024" t="s">
        <v>153</v>
      </c>
      <c r="J774" s="2024"/>
      <c r="K774" s="2020" t="s">
        <v>111</v>
      </c>
      <c r="L774" s="2020" t="s">
        <v>153</v>
      </c>
      <c r="M774" s="2020"/>
      <c r="N774" s="2020" t="s">
        <v>111</v>
      </c>
      <c r="O774" s="2025" t="s">
        <v>153</v>
      </c>
    </row>
    <row r="775" spans="2:15" s="1492" customFormat="1" ht="12.75" customHeight="1">
      <c r="B775" s="2083">
        <v>44322</v>
      </c>
      <c r="C775" s="2084"/>
      <c r="D775" s="2081"/>
      <c r="E775" s="1389"/>
      <c r="F775" s="2076"/>
      <c r="G775" s="2081"/>
      <c r="H775" s="2085"/>
      <c r="I775" s="2085"/>
      <c r="J775" s="2085"/>
      <c r="K775" s="2085"/>
      <c r="L775" s="2085"/>
      <c r="M775" s="2085"/>
      <c r="N775" s="2085"/>
      <c r="O775" s="2085"/>
    </row>
    <row r="776" spans="2:15" s="1034" customFormat="1">
      <c r="B776" s="2560" t="s">
        <v>1212</v>
      </c>
      <c r="C776" s="1982"/>
      <c r="E776" s="948"/>
      <c r="F776" s="1758"/>
      <c r="H776" s="1054"/>
      <c r="I776" s="1054"/>
      <c r="J776" s="1054"/>
      <c r="K776" s="1054"/>
      <c r="L776" s="1054"/>
      <c r="M776" s="1054"/>
      <c r="N776" s="1054"/>
      <c r="O776" s="1054"/>
    </row>
    <row r="777" spans="2:15" s="1034" customFormat="1">
      <c r="B777" s="3324" t="s">
        <v>2821</v>
      </c>
      <c r="C777" s="3319"/>
      <c r="D777" s="2566" t="s">
        <v>2126</v>
      </c>
      <c r="E777" s="1040" t="s">
        <v>699</v>
      </c>
      <c r="F777" s="3166">
        <f t="shared" ref="F777:F786" si="22">I777</f>
        <v>0.36325846656166622</v>
      </c>
      <c r="G777" s="3166"/>
      <c r="H777" s="2562">
        <v>50510</v>
      </c>
      <c r="I777" s="1422">
        <f>H777/$H$786</f>
        <v>0.36325846656166622</v>
      </c>
      <c r="J777" s="1054"/>
      <c r="K777" s="1054">
        <v>8766</v>
      </c>
      <c r="L777" s="2563">
        <v>0.48399999999999999</v>
      </c>
      <c r="M777" s="1054"/>
      <c r="N777" s="1054">
        <v>59276</v>
      </c>
      <c r="O777" s="3323">
        <v>0.56499999999999995</v>
      </c>
    </row>
    <row r="778" spans="2:15" s="1034" customFormat="1">
      <c r="B778" s="3320"/>
      <c r="C778" s="3319"/>
      <c r="D778" s="3166" t="s">
        <v>2824</v>
      </c>
      <c r="E778" s="3160" t="s">
        <v>1341</v>
      </c>
      <c r="F778" s="3166">
        <f t="shared" si="22"/>
        <v>0.26128575229958217</v>
      </c>
      <c r="G778" s="3166"/>
      <c r="H778" s="3326">
        <v>36331</v>
      </c>
      <c r="I778" s="3208">
        <f t="shared" ref="I778:I785" si="23">H778/$H$786</f>
        <v>0.26128575229958217</v>
      </c>
      <c r="J778" s="1054"/>
      <c r="K778" s="1054">
        <v>9332</v>
      </c>
      <c r="L778" s="2563">
        <v>0.51600000000000001</v>
      </c>
      <c r="M778" s="1054"/>
      <c r="N778" s="1054">
        <v>45663</v>
      </c>
      <c r="O778" s="3323">
        <v>0.435</v>
      </c>
    </row>
    <row r="779" spans="2:15" s="1034" customFormat="1">
      <c r="B779" s="3320"/>
      <c r="C779" s="3319"/>
      <c r="D779" s="3166" t="s">
        <v>2825</v>
      </c>
      <c r="E779" s="3160" t="s">
        <v>698</v>
      </c>
      <c r="F779" s="3166">
        <f t="shared" si="22"/>
        <v>0.18566384028422045</v>
      </c>
      <c r="G779" s="3166"/>
      <c r="H779" s="3326">
        <v>25816</v>
      </c>
      <c r="I779" s="3208">
        <f t="shared" si="23"/>
        <v>0.18566384028422045</v>
      </c>
      <c r="J779" s="1054"/>
      <c r="K779" s="1054"/>
      <c r="L779" s="1054"/>
      <c r="M779" s="1054"/>
      <c r="N779" s="1054"/>
      <c r="O779" s="3323"/>
    </row>
    <row r="780" spans="2:15" s="1034" customFormat="1">
      <c r="B780" s="3320"/>
      <c r="C780" s="3319"/>
      <c r="D780" s="3166" t="s">
        <v>2826</v>
      </c>
      <c r="E780" s="3160" t="s">
        <v>827</v>
      </c>
      <c r="F780" s="3166">
        <f t="shared" si="22"/>
        <v>0.11159535984235547</v>
      </c>
      <c r="G780" s="3166"/>
      <c r="H780" s="3326">
        <v>15517</v>
      </c>
      <c r="I780" s="3208">
        <f t="shared" si="23"/>
        <v>0.11159535984235547</v>
      </c>
      <c r="J780" s="1054"/>
      <c r="K780" s="1054"/>
      <c r="L780" s="1054"/>
      <c r="M780" s="1054"/>
      <c r="N780" s="1054"/>
      <c r="O780" s="1054"/>
    </row>
    <row r="781" spans="2:15" s="1034" customFormat="1">
      <c r="B781" s="3320"/>
      <c r="C781" s="3319"/>
      <c r="D781" s="3166" t="s">
        <v>2827</v>
      </c>
      <c r="E781" s="3160" t="s">
        <v>931</v>
      </c>
      <c r="F781" s="3166">
        <f t="shared" si="22"/>
        <v>3.5642624436341669E-2</v>
      </c>
      <c r="G781" s="3166"/>
      <c r="H781" s="3326">
        <v>4956</v>
      </c>
      <c r="I781" s="3208">
        <f t="shared" si="23"/>
        <v>3.5642624436341669E-2</v>
      </c>
      <c r="J781" s="1054"/>
      <c r="K781" s="1054"/>
      <c r="L781" s="1054"/>
      <c r="M781" s="1054"/>
      <c r="N781" s="1054"/>
      <c r="O781" s="1054"/>
    </row>
    <row r="782" spans="2:15" s="1034" customFormat="1">
      <c r="B782" s="3320"/>
      <c r="C782" s="3319"/>
      <c r="D782" s="3166" t="s">
        <v>1939</v>
      </c>
      <c r="E782" s="3160" t="s">
        <v>2830</v>
      </c>
      <c r="F782" s="3166">
        <f t="shared" si="22"/>
        <v>2.297065021179889E-2</v>
      </c>
      <c r="G782" s="3166"/>
      <c r="H782" s="3326">
        <v>3194</v>
      </c>
      <c r="I782" s="3208">
        <f t="shared" si="23"/>
        <v>2.297065021179889E-2</v>
      </c>
      <c r="J782" s="1054"/>
      <c r="K782" s="1054"/>
      <c r="L782" s="1054"/>
      <c r="M782" s="1054"/>
      <c r="N782" s="1054"/>
      <c r="O782" s="1054"/>
    </row>
    <row r="783" spans="2:15" s="1034" customFormat="1">
      <c r="B783" s="3320"/>
      <c r="C783" s="3319"/>
      <c r="D783" s="3166" t="s">
        <v>1942</v>
      </c>
      <c r="E783" s="3160" t="s">
        <v>931</v>
      </c>
      <c r="F783" s="3166">
        <f t="shared" si="22"/>
        <v>1.0989090019921322E-2</v>
      </c>
      <c r="G783" s="3166"/>
      <c r="H783" s="3326">
        <v>1528</v>
      </c>
      <c r="I783" s="3208">
        <f t="shared" si="23"/>
        <v>1.0989090019921322E-2</v>
      </c>
      <c r="J783" s="1054"/>
      <c r="K783" s="1054"/>
      <c r="L783" s="1054"/>
      <c r="M783" s="1054"/>
      <c r="N783" s="1054"/>
      <c r="O783" s="1054"/>
    </row>
    <row r="784" spans="2:15" s="1034" customFormat="1">
      <c r="B784" s="3320"/>
      <c r="C784" s="3319"/>
      <c r="D784" s="3166" t="s">
        <v>2828</v>
      </c>
      <c r="E784" s="3160" t="s">
        <v>2830</v>
      </c>
      <c r="F784" s="3166">
        <f t="shared" si="22"/>
        <v>5.7966011492516919E-3</v>
      </c>
      <c r="G784" s="3166"/>
      <c r="H784" s="3326">
        <v>806</v>
      </c>
      <c r="I784" s="3208">
        <f t="shared" si="23"/>
        <v>5.7966011492516919E-3</v>
      </c>
      <c r="J784" s="1054"/>
      <c r="K784" s="1054"/>
      <c r="L784" s="1054"/>
      <c r="M784" s="1054"/>
      <c r="N784" s="1054"/>
      <c r="O784" s="1054"/>
    </row>
    <row r="785" spans="2:15" s="1034" customFormat="1">
      <c r="B785" s="3320"/>
      <c r="C785" s="3319"/>
      <c r="D785" s="3166" t="s">
        <v>2829</v>
      </c>
      <c r="E785" s="3160" t="s">
        <v>931</v>
      </c>
      <c r="F785" s="3166">
        <f t="shared" si="22"/>
        <v>2.7976151948621688E-3</v>
      </c>
      <c r="G785" s="3166"/>
      <c r="H785" s="3326">
        <v>389</v>
      </c>
      <c r="I785" s="3208">
        <f t="shared" si="23"/>
        <v>2.7976151948621688E-3</v>
      </c>
      <c r="J785" s="1054"/>
      <c r="K785" s="1054"/>
      <c r="L785" s="1054"/>
      <c r="M785" s="1054"/>
      <c r="N785" s="1054"/>
      <c r="O785" s="1054"/>
    </row>
    <row r="786" spans="2:15" s="1034" customFormat="1">
      <c r="B786" s="3321"/>
      <c r="C786" s="3322"/>
      <c r="D786" s="2483" t="s">
        <v>16</v>
      </c>
      <c r="E786" s="2483"/>
      <c r="F786" s="3166">
        <f t="shared" si="22"/>
        <v>0</v>
      </c>
      <c r="G786" s="2485"/>
      <c r="H786" s="2444">
        <f>SUM(H777:H785)</f>
        <v>139047</v>
      </c>
      <c r="I786" s="2489"/>
      <c r="J786" s="2444"/>
      <c r="K786" s="2444"/>
      <c r="L786" s="2472"/>
      <c r="M786" s="2427"/>
      <c r="N786" s="2444"/>
      <c r="O786" s="2472"/>
    </row>
    <row r="787" spans="2:15" s="1034" customFormat="1">
      <c r="B787" s="2560" t="s">
        <v>819</v>
      </c>
      <c r="C787" s="1982"/>
      <c r="D787" s="3166"/>
      <c r="E787" s="3160"/>
      <c r="F787" s="3166"/>
      <c r="G787" s="3166"/>
      <c r="H787" s="3326"/>
      <c r="I787" s="3326"/>
      <c r="J787" s="1054"/>
      <c r="K787" s="1054"/>
      <c r="L787" s="1054"/>
      <c r="M787" s="1054"/>
      <c r="N787" s="1054"/>
      <c r="O787" s="1054"/>
    </row>
    <row r="788" spans="2:15" s="1034" customFormat="1">
      <c r="B788" s="3324" t="s">
        <v>2822</v>
      </c>
      <c r="C788" s="3319"/>
      <c r="D788" s="2566" t="s">
        <v>1708</v>
      </c>
      <c r="E788" s="1040" t="s">
        <v>699</v>
      </c>
      <c r="F788" s="3166">
        <f t="shared" ref="F788:F795" si="24">I788</f>
        <v>0.43798081489220247</v>
      </c>
      <c r="G788" s="3166"/>
      <c r="H788" s="2562">
        <v>27669</v>
      </c>
      <c r="I788" s="1422">
        <f>H788/$H$795</f>
        <v>0.43798081489220247</v>
      </c>
      <c r="J788" s="1054"/>
      <c r="K788" s="1054">
        <v>3563</v>
      </c>
      <c r="L788" s="2563">
        <v>0.54</v>
      </c>
      <c r="M788" s="1054"/>
      <c r="N788" s="1054">
        <v>31232</v>
      </c>
      <c r="O788" s="3323">
        <v>0.59799999999999998</v>
      </c>
    </row>
    <row r="789" spans="2:15" s="1034" customFormat="1">
      <c r="B789" s="3320"/>
      <c r="C789" s="3319"/>
      <c r="D789" s="3166" t="s">
        <v>2831</v>
      </c>
      <c r="E789" s="3160" t="s">
        <v>698</v>
      </c>
      <c r="F789" s="3166">
        <f t="shared" si="24"/>
        <v>0.28461075759014787</v>
      </c>
      <c r="G789" s="3166"/>
      <c r="H789" s="3326">
        <v>17980</v>
      </c>
      <c r="I789" s="3208">
        <f t="shared" ref="I789:I794" si="25">H789/$H$795</f>
        <v>0.28461075759014787</v>
      </c>
      <c r="J789" s="1054"/>
      <c r="K789" s="1054">
        <v>3039</v>
      </c>
      <c r="L789" s="2563">
        <v>0.46</v>
      </c>
      <c r="M789" s="1054"/>
      <c r="N789" s="1054">
        <v>21019</v>
      </c>
      <c r="O789" s="3323">
        <v>0.40200000000000002</v>
      </c>
    </row>
    <row r="790" spans="2:15" s="1034" customFormat="1">
      <c r="B790" s="3320"/>
      <c r="C790" s="3319"/>
      <c r="D790" s="3166" t="s">
        <v>2832</v>
      </c>
      <c r="E790" s="3160" t="s">
        <v>931</v>
      </c>
      <c r="F790" s="3166">
        <f t="shared" si="24"/>
        <v>8.1774147592363941E-2</v>
      </c>
      <c r="G790" s="3166"/>
      <c r="H790" s="3326">
        <v>5166</v>
      </c>
      <c r="I790" s="3208">
        <f t="shared" si="25"/>
        <v>8.1774147592363941E-2</v>
      </c>
      <c r="J790" s="1054"/>
      <c r="K790" s="1054"/>
      <c r="L790" s="1054"/>
      <c r="M790" s="1054"/>
      <c r="N790" s="1054"/>
      <c r="O790" s="1054"/>
    </row>
    <row r="791" spans="2:15" s="1034" customFormat="1">
      <c r="B791" s="3320"/>
      <c r="C791" s="3319"/>
      <c r="D791" s="3166" t="s">
        <v>2833</v>
      </c>
      <c r="E791" s="3160" t="s">
        <v>2830</v>
      </c>
      <c r="F791" s="3166">
        <f t="shared" si="24"/>
        <v>6.4472726121505688E-2</v>
      </c>
      <c r="G791" s="3166"/>
      <c r="H791" s="3326">
        <v>4073</v>
      </c>
      <c r="I791" s="3208">
        <f t="shared" si="25"/>
        <v>6.4472726121505688E-2</v>
      </c>
      <c r="J791" s="1054"/>
      <c r="K791" s="1054"/>
      <c r="L791" s="1054"/>
      <c r="M791" s="1054"/>
      <c r="N791" s="1054"/>
      <c r="O791" s="1054"/>
    </row>
    <row r="792" spans="2:15" s="1034" customFormat="1">
      <c r="B792" s="3320"/>
      <c r="C792" s="3319"/>
      <c r="D792" s="3166" t="s">
        <v>2834</v>
      </c>
      <c r="E792" s="3160" t="s">
        <v>931</v>
      </c>
      <c r="F792" s="3166">
        <f t="shared" si="24"/>
        <v>6.1797574951720648E-2</v>
      </c>
      <c r="G792" s="3166"/>
      <c r="H792" s="3326">
        <v>3904</v>
      </c>
      <c r="I792" s="3208">
        <f t="shared" si="25"/>
        <v>6.1797574951720648E-2</v>
      </c>
      <c r="J792" s="1054"/>
      <c r="K792" s="1054"/>
      <c r="L792" s="2563"/>
      <c r="M792" s="1054"/>
      <c r="N792" s="1054"/>
      <c r="O792" s="3323"/>
    </row>
    <row r="793" spans="2:15" s="1034" customFormat="1">
      <c r="B793" s="3320"/>
      <c r="C793" s="3319"/>
      <c r="D793" s="3166" t="s">
        <v>2835</v>
      </c>
      <c r="E793" s="3160" t="s">
        <v>1341</v>
      </c>
      <c r="F793" s="3166">
        <f t="shared" si="24"/>
        <v>5.3344730427074431E-2</v>
      </c>
      <c r="G793" s="3166"/>
      <c r="H793" s="3326">
        <v>3370</v>
      </c>
      <c r="I793" s="3208">
        <f t="shared" si="25"/>
        <v>5.3344730427074431E-2</v>
      </c>
      <c r="J793" s="1054"/>
      <c r="K793" s="1054"/>
      <c r="L793" s="1054"/>
      <c r="M793" s="1054"/>
      <c r="N793" s="1054"/>
      <c r="O793" s="1054"/>
    </row>
    <row r="794" spans="2:15" s="1034" customFormat="1">
      <c r="B794" s="3320"/>
      <c r="C794" s="3319"/>
      <c r="D794" s="3166" t="s">
        <v>2836</v>
      </c>
      <c r="E794" s="3160" t="s">
        <v>2830</v>
      </c>
      <c r="F794" s="3166">
        <f t="shared" si="24"/>
        <v>1.6019248424984964E-2</v>
      </c>
      <c r="G794" s="3166"/>
      <c r="H794" s="3326">
        <v>1012</v>
      </c>
      <c r="I794" s="3208">
        <f t="shared" si="25"/>
        <v>1.6019248424984964E-2</v>
      </c>
      <c r="J794" s="1054"/>
      <c r="K794" s="1054"/>
      <c r="L794" s="1054"/>
      <c r="M794" s="1054"/>
      <c r="N794" s="1054"/>
      <c r="O794" s="1054"/>
    </row>
    <row r="795" spans="2:15" s="1034" customFormat="1">
      <c r="B795" s="3321"/>
      <c r="C795" s="3322"/>
      <c r="D795" s="2483" t="s">
        <v>16</v>
      </c>
      <c r="E795" s="2483"/>
      <c r="F795" s="3166">
        <f t="shared" si="24"/>
        <v>0</v>
      </c>
      <c r="G795" s="2485"/>
      <c r="H795" s="2444">
        <f>SUM(H788:H794)</f>
        <v>63174</v>
      </c>
      <c r="I795" s="2489"/>
      <c r="J795" s="2444"/>
      <c r="K795" s="2444"/>
      <c r="L795" s="2472"/>
      <c r="M795" s="2427"/>
      <c r="N795" s="2444"/>
      <c r="O795" s="2472"/>
    </row>
    <row r="796" spans="2:15" s="1034" customFormat="1">
      <c r="B796" s="2560" t="s">
        <v>1235</v>
      </c>
      <c r="C796" s="1982"/>
      <c r="E796" s="948"/>
      <c r="F796" s="1758"/>
      <c r="H796" s="1054"/>
      <c r="I796" s="1054"/>
      <c r="J796" s="1054"/>
      <c r="K796" s="1054"/>
      <c r="L796" s="1054"/>
      <c r="M796" s="1054"/>
      <c r="N796" s="1054"/>
      <c r="O796" s="1054"/>
    </row>
    <row r="797" spans="2:15" s="1034" customFormat="1">
      <c r="B797" s="3324" t="s">
        <v>830</v>
      </c>
      <c r="C797" s="3319"/>
      <c r="D797" s="2566" t="s">
        <v>2815</v>
      </c>
      <c r="E797" s="1040" t="s">
        <v>699</v>
      </c>
      <c r="F797" s="3166">
        <f t="shared" ref="F797:F804" si="26">I797</f>
        <v>0.38506320856354959</v>
      </c>
      <c r="G797" s="3166"/>
      <c r="H797" s="2562">
        <v>38958</v>
      </c>
      <c r="I797" s="1422">
        <f>H797/$H$804</f>
        <v>0.38506320856354959</v>
      </c>
      <c r="J797" s="1054"/>
      <c r="K797" s="1054">
        <v>7535</v>
      </c>
      <c r="L797" s="2563">
        <v>0.42899999999999999</v>
      </c>
      <c r="M797" s="1054"/>
      <c r="N797" s="1054">
        <v>46493</v>
      </c>
      <c r="O797" s="3323">
        <v>0.59199999999999997</v>
      </c>
    </row>
    <row r="798" spans="2:15" s="1034" customFormat="1">
      <c r="B798" s="3320"/>
      <c r="C798" s="3319"/>
      <c r="D798" s="3166" t="s">
        <v>2837</v>
      </c>
      <c r="E798" s="3160" t="s">
        <v>931</v>
      </c>
      <c r="F798" s="3166">
        <f t="shared" si="26"/>
        <v>0.217913870301365</v>
      </c>
      <c r="G798" s="3166"/>
      <c r="H798" s="3326">
        <v>22047</v>
      </c>
      <c r="I798" s="3208">
        <f t="shared" ref="I798:I803" si="27">H798/$H$804</f>
        <v>0.217913870301365</v>
      </c>
      <c r="J798" s="1054"/>
      <c r="K798" s="1054">
        <v>10032</v>
      </c>
      <c r="L798" s="2563">
        <v>0.57099999999999995</v>
      </c>
      <c r="M798" s="1054"/>
      <c r="N798" s="1054">
        <v>32079</v>
      </c>
      <c r="O798" s="3323">
        <v>0.40799999999999997</v>
      </c>
    </row>
    <row r="799" spans="2:15" s="1034" customFormat="1">
      <c r="B799" s="3320"/>
      <c r="C799" s="3319"/>
      <c r="D799" s="3166" t="s">
        <v>1238</v>
      </c>
      <c r="E799" s="3160" t="s">
        <v>827</v>
      </c>
      <c r="F799" s="3166">
        <f t="shared" si="26"/>
        <v>0.16966977355618593</v>
      </c>
      <c r="G799" s="3166"/>
      <c r="H799" s="3326">
        <v>17166</v>
      </c>
      <c r="I799" s="3208">
        <f t="shared" si="27"/>
        <v>0.16966977355618593</v>
      </c>
      <c r="J799" s="1054"/>
      <c r="K799" s="1054"/>
      <c r="L799" s="1054"/>
      <c r="M799" s="1054"/>
      <c r="N799" s="1054"/>
      <c r="O799" s="1054"/>
    </row>
    <row r="800" spans="2:15" s="1034" customFormat="1">
      <c r="B800" s="3320"/>
      <c r="C800" s="3319"/>
      <c r="D800" s="3166" t="s">
        <v>2099</v>
      </c>
      <c r="E800" s="3160" t="s">
        <v>1341</v>
      </c>
      <c r="F800" s="3166">
        <f t="shared" si="26"/>
        <v>8.666343787374102E-2</v>
      </c>
      <c r="G800" s="3166"/>
      <c r="H800" s="3326">
        <v>8768</v>
      </c>
      <c r="I800" s="3208">
        <f t="shared" si="27"/>
        <v>8.666343787374102E-2</v>
      </c>
      <c r="J800" s="1054"/>
      <c r="K800" s="1054"/>
      <c r="L800" s="1054"/>
      <c r="M800" s="1054"/>
      <c r="N800" s="1054"/>
      <c r="O800" s="1054"/>
    </row>
    <row r="801" spans="2:15" s="1034" customFormat="1">
      <c r="B801" s="3320"/>
      <c r="C801" s="3319"/>
      <c r="D801" s="3166" t="s">
        <v>1242</v>
      </c>
      <c r="E801" s="3160" t="s">
        <v>2830</v>
      </c>
      <c r="F801" s="3166">
        <f t="shared" si="26"/>
        <v>7.0522767932155811E-2</v>
      </c>
      <c r="G801" s="3166"/>
      <c r="H801" s="3326">
        <v>7135</v>
      </c>
      <c r="I801" s="3208">
        <f t="shared" si="27"/>
        <v>7.0522767932155811E-2</v>
      </c>
      <c r="J801" s="1054"/>
      <c r="K801" s="1054"/>
      <c r="L801" s="2563"/>
      <c r="M801" s="1054"/>
      <c r="N801" s="1054"/>
      <c r="O801" s="3323"/>
    </row>
    <row r="802" spans="2:15" s="1034" customFormat="1">
      <c r="B802" s="3320"/>
      <c r="C802" s="3319"/>
      <c r="D802" s="3166" t="s">
        <v>2838</v>
      </c>
      <c r="E802" s="3160" t="s">
        <v>698</v>
      </c>
      <c r="F802" s="3166">
        <f t="shared" si="26"/>
        <v>4.1384559121504752E-2</v>
      </c>
      <c r="G802" s="3166"/>
      <c r="H802" s="3326">
        <v>4187</v>
      </c>
      <c r="I802" s="3208">
        <f t="shared" si="27"/>
        <v>4.1384559121504752E-2</v>
      </c>
      <c r="J802" s="1054"/>
      <c r="K802" s="1054"/>
      <c r="L802" s="1054"/>
      <c r="M802" s="1054"/>
      <c r="N802" s="1054"/>
      <c r="O802" s="1054"/>
    </row>
    <row r="803" spans="2:15" s="1034" customFormat="1">
      <c r="B803" s="3320"/>
      <c r="C803" s="3319"/>
      <c r="D803" s="3166" t="s">
        <v>2839</v>
      </c>
      <c r="E803" s="3160" t="s">
        <v>2830</v>
      </c>
      <c r="F803" s="3166">
        <f t="shared" si="26"/>
        <v>2.8782382651497931E-2</v>
      </c>
      <c r="G803" s="3166"/>
      <c r="H803" s="3326">
        <v>2912</v>
      </c>
      <c r="I803" s="3208">
        <f t="shared" si="27"/>
        <v>2.8782382651497931E-2</v>
      </c>
      <c r="J803" s="1054"/>
      <c r="K803" s="1054"/>
      <c r="L803" s="1054"/>
      <c r="M803" s="1054"/>
      <c r="N803" s="1054"/>
      <c r="O803" s="1054"/>
    </row>
    <row r="804" spans="2:15" s="1034" customFormat="1">
      <c r="B804" s="3321"/>
      <c r="C804" s="3322"/>
      <c r="D804" s="2483" t="s">
        <v>16</v>
      </c>
      <c r="E804" s="2483"/>
      <c r="F804" s="3166">
        <f t="shared" si="26"/>
        <v>0</v>
      </c>
      <c r="G804" s="2485"/>
      <c r="H804" s="2444">
        <f>SUM(H797:H803)</f>
        <v>101173</v>
      </c>
      <c r="I804" s="2489"/>
      <c r="J804" s="2444"/>
      <c r="K804" s="2444"/>
      <c r="L804" s="2472"/>
      <c r="M804" s="2427"/>
      <c r="N804" s="2444"/>
      <c r="O804" s="2472"/>
    </row>
    <row r="805" spans="2:15" s="1034" customFormat="1">
      <c r="B805" s="2560" t="s">
        <v>818</v>
      </c>
      <c r="C805" s="1982"/>
      <c r="E805" s="948"/>
      <c r="F805" s="1758"/>
      <c r="H805" s="1054"/>
      <c r="I805" s="1054"/>
      <c r="J805" s="1054"/>
      <c r="K805" s="1054"/>
      <c r="L805" s="1054"/>
      <c r="M805" s="1054"/>
      <c r="N805" s="1054"/>
      <c r="O805" s="1054"/>
    </row>
    <row r="806" spans="2:15" s="1034" customFormat="1">
      <c r="B806" s="3324" t="s">
        <v>1764</v>
      </c>
      <c r="C806" s="3319"/>
      <c r="D806" s="2566" t="s">
        <v>1716</v>
      </c>
      <c r="E806" s="1040" t="s">
        <v>699</v>
      </c>
      <c r="F806" s="3166">
        <f t="shared" ref="F806:F811" si="28">I806</f>
        <v>0.53361798114879566</v>
      </c>
      <c r="G806" s="3166"/>
      <c r="H806" s="2562">
        <v>33119</v>
      </c>
      <c r="I806" s="1422">
        <f>H806/$H$811</f>
        <v>0.53361798114879566</v>
      </c>
      <c r="J806" s="1054"/>
      <c r="K806" s="1054"/>
      <c r="L806" s="1054"/>
      <c r="M806" s="1054"/>
      <c r="N806" s="1054"/>
      <c r="O806" s="1054"/>
    </row>
    <row r="807" spans="2:15" s="1034" customFormat="1">
      <c r="B807" s="3320"/>
      <c r="C807" s="3319"/>
      <c r="D807" s="3166" t="s">
        <v>2840</v>
      </c>
      <c r="E807" s="3160" t="s">
        <v>698</v>
      </c>
      <c r="F807" s="3166">
        <f t="shared" si="28"/>
        <v>0.31202771288165632</v>
      </c>
      <c r="G807" s="3166"/>
      <c r="H807" s="3326">
        <v>19366</v>
      </c>
      <c r="I807" s="3208">
        <f>H807/$H$811</f>
        <v>0.31202771288165632</v>
      </c>
      <c r="J807" s="1054"/>
      <c r="K807" s="1054"/>
      <c r="L807" s="1054"/>
      <c r="M807" s="1054"/>
      <c r="N807" s="1054"/>
      <c r="O807" s="1054"/>
    </row>
    <row r="808" spans="2:15" s="1034" customFormat="1">
      <c r="B808" s="3320"/>
      <c r="C808" s="3319"/>
      <c r="D808" s="3166" t="s">
        <v>2841</v>
      </c>
      <c r="E808" s="3160" t="s">
        <v>1341</v>
      </c>
      <c r="F808" s="3166">
        <f t="shared" si="28"/>
        <v>6.8927737049867072E-2</v>
      </c>
      <c r="G808" s="3166"/>
      <c r="H808" s="3326">
        <v>4278</v>
      </c>
      <c r="I808" s="3208">
        <f>H808/$H$811</f>
        <v>6.8927737049867072E-2</v>
      </c>
      <c r="J808" s="1054"/>
      <c r="K808" s="1054"/>
      <c r="L808" s="1054"/>
      <c r="M808" s="1054"/>
      <c r="N808" s="1054"/>
      <c r="O808" s="1054"/>
    </row>
    <row r="809" spans="2:15" s="1034" customFormat="1">
      <c r="B809" s="3320"/>
      <c r="C809" s="3319"/>
      <c r="D809" s="3166" t="s">
        <v>1715</v>
      </c>
      <c r="E809" s="3160" t="s">
        <v>827</v>
      </c>
      <c r="F809" s="3166">
        <f t="shared" si="28"/>
        <v>5.7181986626923385E-2</v>
      </c>
      <c r="G809" s="3166"/>
      <c r="H809" s="3326">
        <v>3549</v>
      </c>
      <c r="I809" s="3208">
        <f>H809/$H$811</f>
        <v>5.7181986626923385E-2</v>
      </c>
      <c r="J809" s="1054"/>
      <c r="K809" s="1054"/>
      <c r="L809" s="1054"/>
      <c r="M809" s="1054"/>
      <c r="N809" s="1054"/>
      <c r="O809" s="1054"/>
    </row>
    <row r="810" spans="2:15" s="1034" customFormat="1">
      <c r="B810" s="3320"/>
      <c r="C810" s="3319"/>
      <c r="D810" s="3166" t="s">
        <v>2842</v>
      </c>
      <c r="E810" s="3160" t="s">
        <v>2830</v>
      </c>
      <c r="F810" s="3166">
        <f t="shared" si="28"/>
        <v>2.8244582292757593E-2</v>
      </c>
      <c r="G810" s="3166"/>
      <c r="H810" s="3326">
        <v>1753</v>
      </c>
      <c r="I810" s="3208">
        <f>H810/$H$811</f>
        <v>2.8244582292757593E-2</v>
      </c>
      <c r="J810" s="1054"/>
      <c r="K810" s="1054"/>
      <c r="L810" s="1054"/>
      <c r="M810" s="1054"/>
      <c r="N810" s="1054"/>
      <c r="O810" s="1054"/>
    </row>
    <row r="811" spans="2:15" s="1034" customFormat="1">
      <c r="B811" s="3321"/>
      <c r="C811" s="3322"/>
      <c r="D811" s="2483" t="s">
        <v>16</v>
      </c>
      <c r="E811" s="2483"/>
      <c r="F811" s="3166">
        <f t="shared" si="28"/>
        <v>0</v>
      </c>
      <c r="G811" s="2485"/>
      <c r="H811" s="2444">
        <f>SUM(H806:H810)</f>
        <v>62065</v>
      </c>
      <c r="I811" s="2489"/>
      <c r="J811" s="2444"/>
      <c r="K811" s="2444"/>
      <c r="L811" s="2472"/>
      <c r="M811" s="2427"/>
      <c r="N811" s="2444"/>
      <c r="O811" s="2472"/>
    </row>
    <row r="812" spans="2:15" s="1034" customFormat="1">
      <c r="B812" s="2560" t="s">
        <v>1152</v>
      </c>
      <c r="C812" s="1982"/>
      <c r="D812" s="3166"/>
      <c r="E812" s="3160"/>
      <c r="F812" s="3166"/>
      <c r="G812" s="3166"/>
      <c r="H812" s="3326"/>
      <c r="I812" s="3326"/>
      <c r="J812" s="1054"/>
      <c r="K812" s="1054"/>
      <c r="L812" s="1054"/>
      <c r="M812" s="1054"/>
      <c r="N812" s="1054"/>
      <c r="O812" s="1054"/>
    </row>
    <row r="813" spans="2:15" s="1034" customFormat="1">
      <c r="B813" s="3324" t="s">
        <v>2823</v>
      </c>
      <c r="C813" s="3319"/>
      <c r="D813" s="2566" t="s">
        <v>1954</v>
      </c>
      <c r="E813" s="1040" t="s">
        <v>699</v>
      </c>
      <c r="F813" s="3166">
        <f t="shared" ref="F813:F819" si="29">I813</f>
        <v>0.59007124711095826</v>
      </c>
      <c r="G813" s="3166"/>
      <c r="H813" s="2562">
        <v>30892</v>
      </c>
      <c r="I813" s="1422">
        <f t="shared" ref="I813:I818" si="30">H813/$H$819</f>
        <v>0.59007124711095826</v>
      </c>
      <c r="J813" s="1054"/>
      <c r="K813" s="1054"/>
      <c r="L813" s="1054"/>
      <c r="M813" s="1054"/>
      <c r="N813" s="1054"/>
      <c r="O813" s="1054"/>
    </row>
    <row r="814" spans="2:15" s="1034" customFormat="1">
      <c r="B814" s="3325"/>
      <c r="C814" s="3319"/>
      <c r="D814" s="3166" t="s">
        <v>2843</v>
      </c>
      <c r="E814" s="3160" t="s">
        <v>698</v>
      </c>
      <c r="F814" s="3166">
        <f t="shared" si="29"/>
        <v>0.23368288350237809</v>
      </c>
      <c r="G814" s="3166"/>
      <c r="H814" s="3326">
        <v>12234</v>
      </c>
      <c r="I814" s="3208">
        <f t="shared" si="30"/>
        <v>0.23368288350237809</v>
      </c>
      <c r="J814" s="1054"/>
      <c r="K814" s="1054"/>
      <c r="L814" s="1054"/>
      <c r="M814" s="1054"/>
      <c r="N814" s="1054"/>
      <c r="O814" s="1054"/>
    </row>
    <row r="815" spans="2:15" s="1034" customFormat="1">
      <c r="B815" s="3320"/>
      <c r="C815" s="3319"/>
      <c r="D815" s="3166" t="s">
        <v>2844</v>
      </c>
      <c r="E815" s="3160" t="s">
        <v>1341</v>
      </c>
      <c r="F815" s="3166">
        <f t="shared" si="29"/>
        <v>8.7578553282524396E-2</v>
      </c>
      <c r="G815" s="3166"/>
      <c r="H815" s="3326">
        <v>4585</v>
      </c>
      <c r="I815" s="3208">
        <f t="shared" si="30"/>
        <v>8.7578553282524396E-2</v>
      </c>
      <c r="J815" s="1054"/>
      <c r="K815" s="1054"/>
      <c r="L815" s="1054"/>
      <c r="M815" s="1054"/>
      <c r="N815" s="1054"/>
      <c r="O815" s="1054"/>
    </row>
    <row r="816" spans="2:15" s="1034" customFormat="1">
      <c r="B816" s="3320"/>
      <c r="C816" s="3319"/>
      <c r="D816" s="3166" t="s">
        <v>2845</v>
      </c>
      <c r="E816" s="3160" t="s">
        <v>931</v>
      </c>
      <c r="F816" s="3166">
        <f t="shared" si="29"/>
        <v>3.6101083032490974E-2</v>
      </c>
      <c r="G816" s="3166"/>
      <c r="H816" s="3326">
        <v>1890</v>
      </c>
      <c r="I816" s="3208">
        <f t="shared" si="30"/>
        <v>3.6101083032490974E-2</v>
      </c>
      <c r="J816" s="1054"/>
      <c r="K816" s="1054"/>
      <c r="L816" s="1054"/>
      <c r="M816" s="1054"/>
      <c r="N816" s="1054"/>
      <c r="O816" s="1054"/>
    </row>
    <row r="817" spans="1:21" s="1034" customFormat="1">
      <c r="B817" s="3320"/>
      <c r="C817" s="3319"/>
      <c r="D817" s="3166" t="s">
        <v>2846</v>
      </c>
      <c r="E817" s="3160" t="s">
        <v>827</v>
      </c>
      <c r="F817" s="3166">
        <f t="shared" si="29"/>
        <v>3.2777491261245774E-2</v>
      </c>
      <c r="G817" s="3166"/>
      <c r="H817" s="3326">
        <v>1716</v>
      </c>
      <c r="I817" s="3208">
        <f t="shared" si="30"/>
        <v>3.2777491261245774E-2</v>
      </c>
      <c r="J817" s="1054"/>
      <c r="K817" s="1054"/>
      <c r="L817" s="1054"/>
      <c r="M817" s="1054"/>
      <c r="N817" s="1054"/>
      <c r="O817" s="1054"/>
    </row>
    <row r="818" spans="1:21" s="1034" customFormat="1">
      <c r="B818" s="3320"/>
      <c r="C818" s="3319"/>
      <c r="D818" s="3166" t="s">
        <v>2847</v>
      </c>
      <c r="E818" s="3160" t="s">
        <v>931</v>
      </c>
      <c r="F818" s="3166">
        <f t="shared" si="29"/>
        <v>1.9788741810402459E-2</v>
      </c>
      <c r="G818" s="3166"/>
      <c r="H818" s="3326">
        <v>1036</v>
      </c>
      <c r="I818" s="3208">
        <f t="shared" si="30"/>
        <v>1.9788741810402459E-2</v>
      </c>
      <c r="J818" s="1054"/>
      <c r="K818" s="1054"/>
      <c r="L818" s="1054"/>
      <c r="M818" s="1054"/>
      <c r="N818" s="1054"/>
      <c r="O818" s="1054"/>
    </row>
    <row r="819" spans="1:21" s="1034" customFormat="1">
      <c r="B819" s="3321"/>
      <c r="C819" s="3322"/>
      <c r="D819" s="2483" t="s">
        <v>16</v>
      </c>
      <c r="E819" s="2483"/>
      <c r="F819" s="3166">
        <f t="shared" si="29"/>
        <v>0</v>
      </c>
      <c r="G819" s="2485"/>
      <c r="H819" s="2444">
        <f>SUM(H813:H818)</f>
        <v>52353</v>
      </c>
      <c r="I819" s="2489"/>
      <c r="J819" s="2444"/>
      <c r="K819" s="2444"/>
      <c r="L819" s="2472"/>
      <c r="M819" s="2427"/>
      <c r="N819" s="2444"/>
      <c r="O819" s="2472"/>
    </row>
    <row r="820" spans="1:21" s="1492" customFormat="1" ht="12.75" customHeight="1">
      <c r="A820" s="1034"/>
      <c r="B820" s="2574"/>
      <c r="C820" s="2575"/>
      <c r="D820" s="1037"/>
      <c r="E820" s="1023"/>
      <c r="F820" s="2576"/>
      <c r="G820" s="1037"/>
      <c r="H820" s="2532"/>
      <c r="I820" s="2532"/>
      <c r="J820" s="2532"/>
      <c r="K820" s="2532"/>
      <c r="L820" s="2532"/>
      <c r="M820" s="2532"/>
      <c r="N820" s="2532"/>
      <c r="O820" s="2532"/>
      <c r="U820" s="944" t="s">
        <v>1212</v>
      </c>
    </row>
    <row r="821" spans="1:21" ht="11.25" customHeight="1">
      <c r="A821" s="1492"/>
      <c r="B821" s="2005" t="s">
        <v>1113</v>
      </c>
      <c r="D821" s="1492"/>
      <c r="E821" s="1497"/>
      <c r="G821" s="2006"/>
      <c r="H821" s="2007"/>
      <c r="I821" s="2007"/>
      <c r="J821" s="2007"/>
      <c r="K821" s="2007"/>
      <c r="L821" s="2007"/>
      <c r="M821" s="2007"/>
      <c r="N821" s="2007"/>
      <c r="O821" s="919"/>
      <c r="U821" s="944" t="s">
        <v>1792</v>
      </c>
    </row>
    <row r="822" spans="1:21" ht="11.25" customHeight="1">
      <c r="A822" s="1492"/>
      <c r="B822" s="2005" t="s">
        <v>1429</v>
      </c>
      <c r="D822" s="1492"/>
      <c r="E822" s="1497"/>
      <c r="G822" s="2006"/>
      <c r="H822" s="2007"/>
      <c r="I822" s="2007"/>
      <c r="J822" s="2007"/>
      <c r="K822" s="2007"/>
      <c r="L822" s="2007"/>
      <c r="M822" s="2007"/>
      <c r="N822" s="2007"/>
      <c r="O822" s="919"/>
      <c r="U822" s="948" t="s">
        <v>1235</v>
      </c>
    </row>
    <row r="823" spans="1:21" ht="11.25" customHeight="1">
      <c r="A823" s="1492"/>
      <c r="B823" s="2005" t="s">
        <v>2121</v>
      </c>
      <c r="D823" s="1492"/>
      <c r="E823" s="1497"/>
      <c r="G823" s="2006"/>
      <c r="H823" s="2007"/>
      <c r="I823" s="2007"/>
      <c r="J823" s="2007"/>
      <c r="K823" s="2007"/>
      <c r="L823" s="2007"/>
      <c r="M823" s="2007"/>
      <c r="N823" s="2007"/>
      <c r="O823" s="919"/>
      <c r="U823" s="1754" t="s">
        <v>665</v>
      </c>
    </row>
    <row r="824" spans="1:21" ht="11.25" customHeight="1">
      <c r="A824" s="1492"/>
      <c r="B824" s="2497" t="s">
        <v>1356</v>
      </c>
      <c r="C824" s="1982"/>
      <c r="D824" s="1758"/>
      <c r="E824" s="1497"/>
      <c r="G824" s="2006"/>
      <c r="H824" s="2007"/>
      <c r="I824" s="2007"/>
      <c r="J824" s="2007"/>
      <c r="K824" s="2008"/>
      <c r="L824" s="2007"/>
      <c r="M824" s="2007"/>
      <c r="N824" s="2007"/>
      <c r="O824" s="919"/>
      <c r="U824" s="944" t="s">
        <v>1152</v>
      </c>
    </row>
    <row r="825" spans="1:21" ht="11.25" customHeight="1">
      <c r="B825" s="2498" t="s">
        <v>4</v>
      </c>
      <c r="C825" s="1982" t="s">
        <v>2433</v>
      </c>
      <c r="D825" s="1034"/>
      <c r="F825" s="919"/>
      <c r="H825" s="1394" t="s">
        <v>1340</v>
      </c>
      <c r="I825" s="2009" t="s">
        <v>1343</v>
      </c>
      <c r="L825" s="919"/>
      <c r="M825" s="919"/>
      <c r="N825" s="919"/>
      <c r="O825" s="919"/>
    </row>
    <row r="826" spans="1:21" ht="11.25" customHeight="1">
      <c r="B826" s="919" t="s">
        <v>2257</v>
      </c>
      <c r="C826" s="1130" t="s">
        <v>2275</v>
      </c>
      <c r="F826" s="919"/>
      <c r="H826" s="1394" t="s">
        <v>3</v>
      </c>
      <c r="I826" s="1394" t="s">
        <v>901</v>
      </c>
      <c r="J826" s="919"/>
      <c r="K826" s="919"/>
      <c r="L826" s="919"/>
      <c r="M826" s="919"/>
      <c r="N826" s="919"/>
      <c r="O826" s="919"/>
    </row>
    <row r="827" spans="1:21" ht="11.25" customHeight="1">
      <c r="B827" s="1394" t="s">
        <v>1822</v>
      </c>
      <c r="C827" s="2009" t="s">
        <v>1803</v>
      </c>
      <c r="F827" s="919"/>
      <c r="H827" s="1394" t="s">
        <v>1738</v>
      </c>
      <c r="I827" s="1394" t="s">
        <v>2276</v>
      </c>
      <c r="J827" s="919"/>
      <c r="K827" s="919"/>
      <c r="L827" s="919"/>
      <c r="M827" s="919"/>
      <c r="N827" s="919"/>
      <c r="O827" s="919"/>
    </row>
    <row r="828" spans="1:21" ht="11.25" customHeight="1">
      <c r="B828" s="1394" t="s">
        <v>880</v>
      </c>
      <c r="C828" s="2009" t="s">
        <v>6</v>
      </c>
      <c r="F828" s="919"/>
      <c r="H828" s="1394" t="s">
        <v>707</v>
      </c>
      <c r="I828" s="1394" t="s">
        <v>711</v>
      </c>
      <c r="J828" s="919"/>
      <c r="K828" s="919"/>
      <c r="L828" s="919"/>
      <c r="M828" s="919"/>
      <c r="N828" s="919"/>
      <c r="O828" s="919"/>
    </row>
    <row r="829" spans="1:21" ht="11.25" customHeight="1">
      <c r="B829" s="1394" t="s">
        <v>1824</v>
      </c>
      <c r="C829" s="2009" t="s">
        <v>1809</v>
      </c>
      <c r="F829" s="919"/>
      <c r="H829" s="919" t="s">
        <v>2252</v>
      </c>
      <c r="I829" s="937" t="s">
        <v>2251</v>
      </c>
      <c r="J829" s="919"/>
      <c r="K829" s="919"/>
      <c r="L829" s="919"/>
      <c r="M829" s="919"/>
      <c r="N829" s="919"/>
      <c r="O829" s="919"/>
    </row>
    <row r="830" spans="1:21" ht="11.25" customHeight="1">
      <c r="B830" s="1394" t="s">
        <v>1262</v>
      </c>
      <c r="C830" s="2009" t="s">
        <v>1790</v>
      </c>
      <c r="F830" s="919"/>
      <c r="H830" s="919" t="s">
        <v>2238</v>
      </c>
      <c r="I830" s="919" t="s">
        <v>2274</v>
      </c>
      <c r="J830" s="919"/>
      <c r="K830" s="919"/>
      <c r="L830" s="919"/>
      <c r="M830" s="919"/>
      <c r="N830" s="919"/>
      <c r="O830" s="919"/>
    </row>
    <row r="831" spans="1:21" ht="11.25" customHeight="1">
      <c r="B831" s="1394" t="s">
        <v>823</v>
      </c>
      <c r="C831" s="2009" t="s">
        <v>2277</v>
      </c>
      <c r="F831" s="919"/>
      <c r="H831" s="1394" t="s">
        <v>815</v>
      </c>
      <c r="I831" s="1394" t="s">
        <v>144</v>
      </c>
      <c r="J831" s="919"/>
      <c r="K831" s="919"/>
      <c r="L831" s="919"/>
      <c r="M831" s="919"/>
      <c r="N831" s="919"/>
      <c r="O831" s="919"/>
    </row>
    <row r="832" spans="1:21" ht="11.25" customHeight="1">
      <c r="B832" s="1394" t="s">
        <v>172</v>
      </c>
      <c r="C832" s="2009" t="s">
        <v>2278</v>
      </c>
      <c r="F832" s="919"/>
      <c r="H832" s="919" t="s">
        <v>2500</v>
      </c>
      <c r="I832" s="919" t="s">
        <v>2501</v>
      </c>
      <c r="J832" s="919"/>
      <c r="K832" s="919"/>
      <c r="L832" s="919"/>
      <c r="M832" s="919"/>
      <c r="N832" s="919"/>
      <c r="O832" s="919"/>
    </row>
    <row r="833" spans="1:15" ht="11.25" customHeight="1">
      <c r="B833" s="1394" t="s">
        <v>917</v>
      </c>
      <c r="C833" s="2009" t="s">
        <v>2279</v>
      </c>
      <c r="F833" s="919"/>
      <c r="H833" s="1394" t="s">
        <v>771</v>
      </c>
      <c r="I833" s="1394" t="s">
        <v>712</v>
      </c>
      <c r="J833" s="919"/>
      <c r="K833" s="919"/>
      <c r="L833" s="919"/>
      <c r="M833" s="919"/>
      <c r="N833" s="919"/>
      <c r="O833" s="919"/>
    </row>
    <row r="834" spans="1:15" ht="11.25" customHeight="1">
      <c r="B834" s="1394" t="s">
        <v>2285</v>
      </c>
      <c r="C834" s="2009" t="s">
        <v>2284</v>
      </c>
      <c r="F834" s="919"/>
      <c r="H834" s="919" t="s">
        <v>2272</v>
      </c>
      <c r="I834" s="919" t="s">
        <v>2271</v>
      </c>
      <c r="J834" s="919"/>
      <c r="K834" s="919"/>
      <c r="L834" s="919"/>
      <c r="M834" s="919"/>
      <c r="N834" s="919"/>
      <c r="O834" s="919"/>
    </row>
    <row r="835" spans="1:15" ht="11.25" customHeight="1">
      <c r="B835" s="919" t="s">
        <v>2239</v>
      </c>
      <c r="C835" s="1130" t="s">
        <v>2248</v>
      </c>
      <c r="F835" s="919"/>
      <c r="H835" s="1394" t="s">
        <v>2282</v>
      </c>
      <c r="I835" s="1394" t="s">
        <v>2283</v>
      </c>
      <c r="J835" s="919"/>
      <c r="K835" s="919"/>
      <c r="L835" s="919"/>
      <c r="M835" s="919"/>
      <c r="N835" s="919"/>
      <c r="O835" s="919"/>
    </row>
    <row r="836" spans="1:15" ht="11.25" customHeight="1">
      <c r="B836" s="1394" t="s">
        <v>926</v>
      </c>
      <c r="C836" s="2009" t="s">
        <v>959</v>
      </c>
      <c r="F836" s="919"/>
      <c r="H836" s="1394" t="s">
        <v>1825</v>
      </c>
      <c r="I836" s="1394" t="s">
        <v>2280</v>
      </c>
      <c r="J836" s="919"/>
      <c r="K836" s="919"/>
      <c r="L836" s="919"/>
      <c r="M836" s="919"/>
      <c r="N836" s="919"/>
      <c r="O836" s="919"/>
    </row>
    <row r="837" spans="1:15" s="1492" customFormat="1" ht="12.75" customHeight="1">
      <c r="A837" s="919"/>
      <c r="B837" s="1394" t="s">
        <v>788</v>
      </c>
      <c r="C837" s="2009" t="s">
        <v>2281</v>
      </c>
      <c r="D837" s="919"/>
      <c r="E837" s="944"/>
      <c r="F837" s="919"/>
      <c r="G837" s="919"/>
      <c r="H837" s="919" t="s">
        <v>1241</v>
      </c>
      <c r="I837" s="919" t="s">
        <v>1355</v>
      </c>
      <c r="J837" s="919"/>
      <c r="K837" s="919"/>
      <c r="L837" s="919"/>
      <c r="M837" s="919"/>
      <c r="N837" s="919"/>
      <c r="O837" s="2007"/>
    </row>
    <row r="838" spans="1:15" s="1492" customFormat="1" ht="12.75" customHeight="1">
      <c r="A838" s="919"/>
      <c r="B838" s="1394" t="s">
        <v>838</v>
      </c>
      <c r="C838" s="2009" t="s">
        <v>878</v>
      </c>
      <c r="D838" s="919"/>
      <c r="E838" s="944"/>
      <c r="F838" s="919"/>
      <c r="G838" s="919"/>
      <c r="H838" s="1394" t="s">
        <v>1013</v>
      </c>
      <c r="I838" s="1394" t="s">
        <v>1014</v>
      </c>
      <c r="J838" s="919"/>
      <c r="K838" s="919"/>
      <c r="L838" s="919"/>
      <c r="M838" s="919"/>
      <c r="N838" s="919"/>
      <c r="O838" s="2007"/>
    </row>
    <row r="839" spans="1:15" s="1492" customFormat="1" ht="12.75" customHeight="1">
      <c r="A839" s="919"/>
      <c r="B839" s="1394" t="s">
        <v>1247</v>
      </c>
      <c r="C839" s="2009" t="s">
        <v>1263</v>
      </c>
      <c r="D839" s="919"/>
      <c r="E839" s="944"/>
      <c r="F839" s="919"/>
      <c r="G839" s="919"/>
      <c r="H839" s="1394" t="s">
        <v>1000</v>
      </c>
      <c r="I839" s="1394" t="s">
        <v>991</v>
      </c>
      <c r="J839" s="919"/>
      <c r="K839" s="919"/>
      <c r="L839" s="919"/>
      <c r="M839" s="919"/>
      <c r="N839" s="919"/>
      <c r="O839" s="2007"/>
    </row>
    <row r="840" spans="1:15" s="1492" customFormat="1" ht="12.75" customHeight="1">
      <c r="A840" s="919"/>
      <c r="B840" s="1394" t="s">
        <v>763</v>
      </c>
      <c r="C840" s="2009" t="s">
        <v>1234</v>
      </c>
      <c r="D840" s="919"/>
      <c r="E840" s="944"/>
      <c r="F840" s="919"/>
      <c r="G840" s="919"/>
      <c r="H840" s="919" t="s">
        <v>2229</v>
      </c>
      <c r="I840" s="919" t="s">
        <v>2273</v>
      </c>
      <c r="J840" s="919"/>
      <c r="K840" s="919"/>
      <c r="L840" s="919"/>
      <c r="M840" s="919"/>
      <c r="N840" s="919"/>
      <c r="O840" s="2007"/>
    </row>
    <row r="841" spans="1:15" s="1492" customFormat="1" ht="12.75" customHeight="1">
      <c r="B841" s="2010" t="s">
        <v>21</v>
      </c>
      <c r="C841" s="2011"/>
      <c r="D841" s="2012"/>
      <c r="E841" s="2403"/>
      <c r="F841" s="2012"/>
      <c r="G841" s="2006"/>
      <c r="H841" s="919" t="s">
        <v>2268</v>
      </c>
      <c r="I841" s="919" t="s">
        <v>2269</v>
      </c>
      <c r="J841" s="919"/>
      <c r="K841" s="919"/>
      <c r="L841" s="919"/>
      <c r="M841" s="2007"/>
      <c r="N841" s="2007"/>
      <c r="O841" s="2007"/>
    </row>
    <row r="842" spans="1:15">
      <c r="A842" s="1492"/>
      <c r="B842" s="2010" t="s">
        <v>1786</v>
      </c>
      <c r="C842" s="2011"/>
      <c r="D842" s="2012"/>
      <c r="E842" s="2403"/>
      <c r="F842" s="2012"/>
      <c r="G842" s="2006"/>
      <c r="H842" s="2007"/>
      <c r="I842" s="2007"/>
      <c r="J842" s="2007"/>
      <c r="K842" s="2007"/>
      <c r="L842" s="2007"/>
      <c r="M842" s="2007"/>
      <c r="N842" s="2007"/>
    </row>
    <row r="843" spans="1:15">
      <c r="A843" s="1492"/>
      <c r="B843" s="2010" t="s">
        <v>1787</v>
      </c>
      <c r="C843" s="2011"/>
      <c r="D843" s="2012"/>
      <c r="E843" s="2403"/>
      <c r="F843" s="2012"/>
      <c r="G843" s="2006"/>
      <c r="H843" s="2007"/>
      <c r="I843" s="2007"/>
      <c r="J843" s="2007"/>
      <c r="K843" s="2007"/>
      <c r="L843" s="2007"/>
      <c r="M843" s="2007"/>
      <c r="N843" s="2007"/>
    </row>
    <row r="844" spans="1:15">
      <c r="A844" s="1492"/>
      <c r="B844" s="2010" t="s">
        <v>1788</v>
      </c>
      <c r="C844" s="2011"/>
      <c r="D844" s="2012"/>
      <c r="E844" s="2403"/>
      <c r="F844" s="2012"/>
      <c r="G844" s="2006"/>
      <c r="H844" s="2007"/>
      <c r="I844" s="2007"/>
      <c r="J844" s="2007"/>
      <c r="K844" s="2007"/>
      <c r="L844" s="2007"/>
      <c r="M844" s="2007"/>
      <c r="N844" s="2007"/>
    </row>
    <row r="845" spans="1:15">
      <c r="A845" s="1492"/>
      <c r="B845" s="2010" t="s">
        <v>1789</v>
      </c>
      <c r="D845" s="1492"/>
      <c r="E845" s="1497"/>
      <c r="G845" s="2006"/>
      <c r="H845" s="2007"/>
      <c r="I845" s="2007"/>
      <c r="J845" s="2007"/>
      <c r="K845" s="2007"/>
      <c r="L845" s="2007"/>
      <c r="M845" s="2007"/>
      <c r="N845" s="2007"/>
    </row>
    <row r="854" spans="2:12">
      <c r="B854" s="1840"/>
      <c r="C854" s="2013"/>
      <c r="F854" s="919"/>
      <c r="G854" s="2014"/>
      <c r="H854" s="919"/>
      <c r="I854" s="919"/>
      <c r="J854" s="919"/>
      <c r="K854" s="919"/>
      <c r="L854" s="919"/>
    </row>
    <row r="855" spans="2:12">
      <c r="B855" s="2015" t="s">
        <v>993</v>
      </c>
      <c r="C855" s="2013"/>
      <c r="F855" s="919"/>
      <c r="G855" s="2014"/>
      <c r="H855" s="919"/>
      <c r="I855" s="919"/>
      <c r="J855" s="919"/>
      <c r="K855" s="919"/>
      <c r="L855" s="919"/>
    </row>
    <row r="856" spans="2:12">
      <c r="B856" s="2015" t="s">
        <v>999</v>
      </c>
      <c r="C856" s="2013"/>
      <c r="E856" s="1815"/>
      <c r="F856" s="919"/>
      <c r="G856" s="2014"/>
      <c r="H856" s="919"/>
      <c r="I856" s="919"/>
      <c r="J856" s="919"/>
      <c r="K856" s="919"/>
      <c r="L856" s="919"/>
    </row>
    <row r="857" spans="2:12">
      <c r="B857" s="1260" t="s">
        <v>1016</v>
      </c>
      <c r="C857" s="2016"/>
      <c r="D857" s="1828"/>
      <c r="E857" s="1815"/>
      <c r="F857" s="919"/>
      <c r="G857" s="2014"/>
      <c r="H857" s="919"/>
      <c r="I857" s="919"/>
      <c r="J857" s="919"/>
      <c r="K857" s="919"/>
      <c r="L857" s="919"/>
    </row>
    <row r="858" spans="2:12">
      <c r="B858" s="1260" t="s">
        <v>1022</v>
      </c>
      <c r="C858" s="2016"/>
      <c r="D858" s="1828"/>
      <c r="F858" s="919"/>
      <c r="G858" s="2014"/>
      <c r="H858" s="919"/>
      <c r="I858" s="919"/>
      <c r="J858" s="919"/>
      <c r="K858" s="919"/>
      <c r="L858" s="919"/>
    </row>
    <row r="859" spans="2:12">
      <c r="B859" s="2015" t="s">
        <v>1027</v>
      </c>
      <c r="C859" s="2013"/>
      <c r="F859" s="919"/>
      <c r="G859" s="2014"/>
      <c r="H859" s="919"/>
      <c r="I859" s="919"/>
      <c r="J859" s="919"/>
      <c r="K859" s="919"/>
      <c r="L859" s="919"/>
    </row>
    <row r="860" spans="2:12">
      <c r="B860" s="1260" t="s">
        <v>1226</v>
      </c>
      <c r="C860" s="2013"/>
      <c r="F860" s="919"/>
      <c r="G860" s="2014"/>
      <c r="H860" s="919"/>
      <c r="I860" s="919"/>
      <c r="J860" s="919"/>
      <c r="K860" s="919"/>
      <c r="L860" s="919"/>
    </row>
    <row r="861" spans="2:12">
      <c r="B861" s="1260" t="s">
        <v>1232</v>
      </c>
      <c r="C861" s="2013"/>
      <c r="F861" s="919"/>
      <c r="G861" s="2014"/>
      <c r="H861" s="919"/>
      <c r="I861" s="919"/>
      <c r="J861" s="919"/>
      <c r="K861" s="919"/>
      <c r="L861" s="919"/>
    </row>
    <row r="862" spans="2:12">
      <c r="B862" s="1260" t="s">
        <v>1251</v>
      </c>
      <c r="C862" s="2013"/>
      <c r="F862" s="919"/>
      <c r="G862" s="2014"/>
      <c r="H862" s="919"/>
      <c r="I862" s="919"/>
      <c r="J862" s="919"/>
      <c r="K862" s="919"/>
      <c r="L862" s="919"/>
    </row>
  </sheetData>
  <sortState xmlns:xlrd2="http://schemas.microsoft.com/office/spreadsheetml/2017/richdata2" ref="U820:U824">
    <sortCondition ref="U820:U824"/>
  </sortState>
  <mergeCells count="36">
    <mergeCell ref="H163:I163"/>
    <mergeCell ref="K163:L163"/>
    <mergeCell ref="H4:I4"/>
    <mergeCell ref="K4:L4"/>
    <mergeCell ref="N4:O4"/>
    <mergeCell ref="H84:I84"/>
    <mergeCell ref="K84:L84"/>
    <mergeCell ref="N84:O84"/>
    <mergeCell ref="N163:O163"/>
    <mergeCell ref="H238:I238"/>
    <mergeCell ref="K238:L238"/>
    <mergeCell ref="N238:O238"/>
    <mergeCell ref="H312:I312"/>
    <mergeCell ref="K312:L312"/>
    <mergeCell ref="N312:O312"/>
    <mergeCell ref="H666:I666"/>
    <mergeCell ref="K666:L666"/>
    <mergeCell ref="N666:O666"/>
    <mergeCell ref="H386:I386"/>
    <mergeCell ref="K386:L386"/>
    <mergeCell ref="N386:O386"/>
    <mergeCell ref="H453:I453"/>
    <mergeCell ref="K453:L453"/>
    <mergeCell ref="N453:O453"/>
    <mergeCell ref="H594:I594"/>
    <mergeCell ref="K594:L594"/>
    <mergeCell ref="N594:O594"/>
    <mergeCell ref="H526:I526"/>
    <mergeCell ref="K526:L526"/>
    <mergeCell ref="N526:O526"/>
    <mergeCell ref="H773:I773"/>
    <mergeCell ref="K773:L773"/>
    <mergeCell ref="N773:O773"/>
    <mergeCell ref="H735:I735"/>
    <mergeCell ref="K735:L735"/>
    <mergeCell ref="N735:O735"/>
  </mergeCells>
  <conditionalFormatting sqref="F1:F83 F840:F1048576 F86:F162 F165:F237 F240:F311 F314:F385 F388:F452 F455:F525 F528:F593 F596:F665 F668:F682 F821:F824 I826:I831 I833:I841 F687:F738">
    <cfRule type="dataBar" priority="107">
      <dataBar showValue="0">
        <cfvo type="num" val="0"/>
        <cfvo type="num" val="0.7"/>
        <color theme="4"/>
      </dataBar>
      <extLst>
        <ext xmlns:x14="http://schemas.microsoft.com/office/spreadsheetml/2009/9/main" uri="{B025F937-C7B1-47D3-B67F-A62EFF666E3E}">
          <x14:id>{11A79EAB-D917-49FD-A314-3878958F0F6C}</x14:id>
        </ext>
      </extLst>
    </cfRule>
  </conditionalFormatting>
  <conditionalFormatting sqref="F683:F686">
    <cfRule type="dataBar" priority="92">
      <dataBar showValue="0">
        <cfvo type="num" val="0"/>
        <cfvo type="num" val="0.7"/>
        <color theme="4"/>
      </dataBar>
      <extLst>
        <ext xmlns:x14="http://schemas.microsoft.com/office/spreadsheetml/2009/9/main" uri="{B025F937-C7B1-47D3-B67F-A62EFF666E3E}">
          <x14:id>{A9A3108D-7DF5-41E9-B9B5-EBA8312A3561}</x14:id>
        </ext>
      </extLst>
    </cfRule>
  </conditionalFormatting>
  <conditionalFormatting sqref="C1:C83 C86:C162 C165:C237 C240:C311 C314:C385 C388:C452 I825 C826:C1048576 C455:C525 C528:C593 C596:C665 C821:C824 C668:C739">
    <cfRule type="dataBar" priority="78">
      <dataBar showValue="0">
        <cfvo type="num" val="0"/>
        <cfvo type="num" val="0.99"/>
        <color theme="4"/>
      </dataBar>
      <extLst>
        <ext xmlns:x14="http://schemas.microsoft.com/office/spreadsheetml/2009/9/main" uri="{B025F937-C7B1-47D3-B67F-A62EFF666E3E}">
          <x14:id>{0D03BBE9-BBC5-46CD-A466-89C70F16162B}</x14:id>
        </ext>
      </extLst>
    </cfRule>
  </conditionalFormatting>
  <conditionalFormatting sqref="F238:F239">
    <cfRule type="dataBar" priority="73">
      <dataBar showValue="0">
        <cfvo type="num" val="0"/>
        <cfvo type="num" val="0.7"/>
        <color theme="4"/>
      </dataBar>
      <extLst>
        <ext xmlns:x14="http://schemas.microsoft.com/office/spreadsheetml/2009/9/main" uri="{B025F937-C7B1-47D3-B67F-A62EFF666E3E}">
          <x14:id>{C5E528D1-39C9-4117-BA0D-1C16980F7BFF}</x14:id>
        </ext>
      </extLst>
    </cfRule>
  </conditionalFormatting>
  <conditionalFormatting sqref="C238:C239">
    <cfRule type="dataBar" priority="72">
      <dataBar showValue="0">
        <cfvo type="num" val="0"/>
        <cfvo type="num" val="0.99"/>
        <color theme="4"/>
      </dataBar>
      <extLst>
        <ext xmlns:x14="http://schemas.microsoft.com/office/spreadsheetml/2009/9/main" uri="{B025F937-C7B1-47D3-B67F-A62EFF666E3E}">
          <x14:id>{75F60CCC-379F-4093-BD75-FD591E137971}</x14:id>
        </ext>
      </extLst>
    </cfRule>
  </conditionalFormatting>
  <conditionalFormatting sqref="F312:F313">
    <cfRule type="dataBar" priority="71">
      <dataBar showValue="0">
        <cfvo type="num" val="0"/>
        <cfvo type="num" val="0.7"/>
        <color theme="4"/>
      </dataBar>
      <extLst>
        <ext xmlns:x14="http://schemas.microsoft.com/office/spreadsheetml/2009/9/main" uri="{B025F937-C7B1-47D3-B67F-A62EFF666E3E}">
          <x14:id>{AC0166E0-DA8D-4BCF-BC7D-811D157FB1E5}</x14:id>
        </ext>
      </extLst>
    </cfRule>
  </conditionalFormatting>
  <conditionalFormatting sqref="C312:C313">
    <cfRule type="dataBar" priority="70">
      <dataBar showValue="0">
        <cfvo type="num" val="0"/>
        <cfvo type="num" val="0.99"/>
        <color theme="4"/>
      </dataBar>
      <extLst>
        <ext xmlns:x14="http://schemas.microsoft.com/office/spreadsheetml/2009/9/main" uri="{B025F937-C7B1-47D3-B67F-A62EFF666E3E}">
          <x14:id>{DC2F76E9-7F89-4F85-8596-1CCDBE23C67D}</x14:id>
        </ext>
      </extLst>
    </cfRule>
  </conditionalFormatting>
  <conditionalFormatting sqref="F386:F387">
    <cfRule type="dataBar" priority="69">
      <dataBar showValue="0">
        <cfvo type="num" val="0"/>
        <cfvo type="num" val="0.7"/>
        <color theme="4"/>
      </dataBar>
      <extLst>
        <ext xmlns:x14="http://schemas.microsoft.com/office/spreadsheetml/2009/9/main" uri="{B025F937-C7B1-47D3-B67F-A62EFF666E3E}">
          <x14:id>{B3E27E6E-0C7E-4B00-B0F7-BF1397EFE1EF}</x14:id>
        </ext>
      </extLst>
    </cfRule>
  </conditionalFormatting>
  <conditionalFormatting sqref="C386:C387">
    <cfRule type="dataBar" priority="68">
      <dataBar showValue="0">
        <cfvo type="num" val="0"/>
        <cfvo type="num" val="0.99"/>
        <color theme="4"/>
      </dataBar>
      <extLst>
        <ext xmlns:x14="http://schemas.microsoft.com/office/spreadsheetml/2009/9/main" uri="{B025F937-C7B1-47D3-B67F-A62EFF666E3E}">
          <x14:id>{2EFFD364-3353-46D1-8035-BF88FD05675E}</x14:id>
        </ext>
      </extLst>
    </cfRule>
  </conditionalFormatting>
  <conditionalFormatting sqref="F453:F454">
    <cfRule type="dataBar" priority="67">
      <dataBar showValue="0">
        <cfvo type="num" val="0"/>
        <cfvo type="num" val="0.7"/>
        <color theme="4"/>
      </dataBar>
      <extLst>
        <ext xmlns:x14="http://schemas.microsoft.com/office/spreadsheetml/2009/9/main" uri="{B025F937-C7B1-47D3-B67F-A62EFF666E3E}">
          <x14:id>{E2FB50E1-B2A2-4B6C-AAF0-58AA6155EA99}</x14:id>
        </ext>
      </extLst>
    </cfRule>
  </conditionalFormatting>
  <conditionalFormatting sqref="C453:C454">
    <cfRule type="dataBar" priority="66">
      <dataBar showValue="0">
        <cfvo type="num" val="0"/>
        <cfvo type="num" val="0.99"/>
        <color theme="4"/>
      </dataBar>
      <extLst>
        <ext xmlns:x14="http://schemas.microsoft.com/office/spreadsheetml/2009/9/main" uri="{B025F937-C7B1-47D3-B67F-A62EFF666E3E}">
          <x14:id>{CF3EF47A-E17D-4A51-AFF3-6691BA3D0757}</x14:id>
        </ext>
      </extLst>
    </cfRule>
  </conditionalFormatting>
  <conditionalFormatting sqref="F526:F527">
    <cfRule type="dataBar" priority="65">
      <dataBar showValue="0">
        <cfvo type="num" val="0"/>
        <cfvo type="num" val="0.7"/>
        <color theme="4"/>
      </dataBar>
      <extLst>
        <ext xmlns:x14="http://schemas.microsoft.com/office/spreadsheetml/2009/9/main" uri="{B025F937-C7B1-47D3-B67F-A62EFF666E3E}">
          <x14:id>{DCC54636-092D-4E6D-9F77-700BD5BE6AE6}</x14:id>
        </ext>
      </extLst>
    </cfRule>
  </conditionalFormatting>
  <conditionalFormatting sqref="C526:C527">
    <cfRule type="dataBar" priority="64">
      <dataBar showValue="0">
        <cfvo type="num" val="0"/>
        <cfvo type="num" val="0.99"/>
        <color theme="4"/>
      </dataBar>
      <extLst>
        <ext xmlns:x14="http://schemas.microsoft.com/office/spreadsheetml/2009/9/main" uri="{B025F937-C7B1-47D3-B67F-A62EFF666E3E}">
          <x14:id>{1C595105-0725-4967-B7D9-73F3F6A5568B}</x14:id>
        </ext>
      </extLst>
    </cfRule>
  </conditionalFormatting>
  <conditionalFormatting sqref="F594:F595">
    <cfRule type="dataBar" priority="63">
      <dataBar showValue="0">
        <cfvo type="num" val="0"/>
        <cfvo type="num" val="0.7"/>
        <color theme="4"/>
      </dataBar>
      <extLst>
        <ext xmlns:x14="http://schemas.microsoft.com/office/spreadsheetml/2009/9/main" uri="{B025F937-C7B1-47D3-B67F-A62EFF666E3E}">
          <x14:id>{EB07744A-89DA-4CD7-BCDE-0F2EB038FD28}</x14:id>
        </ext>
      </extLst>
    </cfRule>
  </conditionalFormatting>
  <conditionalFormatting sqref="C594:C595">
    <cfRule type="dataBar" priority="62">
      <dataBar showValue="0">
        <cfvo type="num" val="0"/>
        <cfvo type="num" val="0.99"/>
        <color theme="4"/>
      </dataBar>
      <extLst>
        <ext xmlns:x14="http://schemas.microsoft.com/office/spreadsheetml/2009/9/main" uri="{B025F937-C7B1-47D3-B67F-A62EFF666E3E}">
          <x14:id>{F1BDD0A5-CB73-4B65-9D91-504323F9E448}</x14:id>
        </ext>
      </extLst>
    </cfRule>
  </conditionalFormatting>
  <conditionalFormatting sqref="F666:F667">
    <cfRule type="dataBar" priority="61">
      <dataBar showValue="0">
        <cfvo type="num" val="0"/>
        <cfvo type="num" val="0.7"/>
        <color theme="4"/>
      </dataBar>
      <extLst>
        <ext xmlns:x14="http://schemas.microsoft.com/office/spreadsheetml/2009/9/main" uri="{B025F937-C7B1-47D3-B67F-A62EFF666E3E}">
          <x14:id>{B7524F15-7EBA-47BD-9C59-34D1E44B76DA}</x14:id>
        </ext>
      </extLst>
    </cfRule>
  </conditionalFormatting>
  <conditionalFormatting sqref="C666:C667">
    <cfRule type="dataBar" priority="60">
      <dataBar showValue="0">
        <cfvo type="num" val="0"/>
        <cfvo type="num" val="0.99"/>
        <color theme="4"/>
      </dataBar>
      <extLst>
        <ext xmlns:x14="http://schemas.microsoft.com/office/spreadsheetml/2009/9/main" uri="{B025F937-C7B1-47D3-B67F-A62EFF666E3E}">
          <x14:id>{03445E6E-B838-4DC8-A7A6-55C6F815F1CC}</x14:id>
        </ext>
      </extLst>
    </cfRule>
  </conditionalFormatting>
  <conditionalFormatting sqref="F84:F85">
    <cfRule type="dataBar" priority="59">
      <dataBar showValue="0">
        <cfvo type="num" val="0"/>
        <cfvo type="num" val="0.7"/>
        <color theme="4"/>
      </dataBar>
      <extLst>
        <ext xmlns:x14="http://schemas.microsoft.com/office/spreadsheetml/2009/9/main" uri="{B025F937-C7B1-47D3-B67F-A62EFF666E3E}">
          <x14:id>{E24B9346-116F-41EA-BCBC-265493F6A610}</x14:id>
        </ext>
      </extLst>
    </cfRule>
  </conditionalFormatting>
  <conditionalFormatting sqref="C84:C85">
    <cfRule type="dataBar" priority="58">
      <dataBar showValue="0">
        <cfvo type="num" val="0"/>
        <cfvo type="num" val="0.99"/>
        <color theme="4"/>
      </dataBar>
      <extLst>
        <ext xmlns:x14="http://schemas.microsoft.com/office/spreadsheetml/2009/9/main" uri="{B025F937-C7B1-47D3-B67F-A62EFF666E3E}">
          <x14:id>{E3389569-8701-4169-9B55-E9A9C4189E34}</x14:id>
        </ext>
      </extLst>
    </cfRule>
  </conditionalFormatting>
  <conditionalFormatting sqref="F163:F164">
    <cfRule type="dataBar" priority="57">
      <dataBar showValue="0">
        <cfvo type="num" val="0"/>
        <cfvo type="num" val="0.7"/>
        <color theme="4"/>
      </dataBar>
      <extLst>
        <ext xmlns:x14="http://schemas.microsoft.com/office/spreadsheetml/2009/9/main" uri="{B025F937-C7B1-47D3-B67F-A62EFF666E3E}">
          <x14:id>{3B5814E1-8ACA-45E6-AF7B-BC8DEF7457E7}</x14:id>
        </ext>
      </extLst>
    </cfRule>
  </conditionalFormatting>
  <conditionalFormatting sqref="C163:C164">
    <cfRule type="dataBar" priority="56">
      <dataBar showValue="0">
        <cfvo type="num" val="0"/>
        <cfvo type="num" val="0.99"/>
        <color theme="4"/>
      </dataBar>
      <extLst>
        <ext xmlns:x14="http://schemas.microsoft.com/office/spreadsheetml/2009/9/main" uri="{B025F937-C7B1-47D3-B67F-A62EFF666E3E}">
          <x14:id>{74B09DEC-5925-4DBC-9B2C-5BBF2798B200}</x14:id>
        </ext>
      </extLst>
    </cfRule>
  </conditionalFormatting>
  <conditionalFormatting sqref="F745:F748 F750:F757 F759:F764 F766 F820">
    <cfRule type="dataBar" priority="55">
      <dataBar showValue="0">
        <cfvo type="num" val="0"/>
        <cfvo type="num" val="0.7"/>
        <color theme="4"/>
      </dataBar>
      <extLst>
        <ext xmlns:x14="http://schemas.microsoft.com/office/spreadsheetml/2009/9/main" uri="{B025F937-C7B1-47D3-B67F-A62EFF666E3E}">
          <x14:id>{530FF1E5-470A-4D33-B647-36060BA23BE0}</x14:id>
        </ext>
      </extLst>
    </cfRule>
  </conditionalFormatting>
  <conditionalFormatting sqref="C742:C743 C745:C748 C750:C757 C759:C764 C766:C770 C820">
    <cfRule type="dataBar" priority="54">
      <dataBar showValue="0">
        <cfvo type="num" val="0"/>
        <cfvo type="num" val="0.99"/>
        <color theme="4"/>
      </dataBar>
      <extLst>
        <ext xmlns:x14="http://schemas.microsoft.com/office/spreadsheetml/2009/9/main" uri="{B025F937-C7B1-47D3-B67F-A62EFF666E3E}">
          <x14:id>{6C0DB3AA-BCFC-44CD-82ED-E52AFADDD80C}</x14:id>
        </ext>
      </extLst>
    </cfRule>
  </conditionalFormatting>
  <conditionalFormatting sqref="F735:F737">
    <cfRule type="dataBar" priority="53">
      <dataBar showValue="0">
        <cfvo type="num" val="0"/>
        <cfvo type="num" val="0.7"/>
        <color theme="4"/>
      </dataBar>
      <extLst>
        <ext xmlns:x14="http://schemas.microsoft.com/office/spreadsheetml/2009/9/main" uri="{B025F937-C7B1-47D3-B67F-A62EFF666E3E}">
          <x14:id>{D683AE7B-38F1-4C0B-B6E8-2A37C8D4BAE0}</x14:id>
        </ext>
      </extLst>
    </cfRule>
  </conditionalFormatting>
  <conditionalFormatting sqref="C735:C737">
    <cfRule type="dataBar" priority="52">
      <dataBar showValue="0">
        <cfvo type="num" val="0"/>
        <cfvo type="num" val="0.99"/>
        <color theme="4"/>
      </dataBar>
      <extLst>
        <ext xmlns:x14="http://schemas.microsoft.com/office/spreadsheetml/2009/9/main" uri="{B025F937-C7B1-47D3-B67F-A62EFF666E3E}">
          <x14:id>{869CB639-593B-4635-957C-4DCFDD08F9AB}</x14:id>
        </ext>
      </extLst>
    </cfRule>
  </conditionalFormatting>
  <conditionalFormatting sqref="F739:F743">
    <cfRule type="dataBar" priority="51">
      <dataBar showValue="0">
        <cfvo type="percent" val="0"/>
        <cfvo type="num" val="1"/>
        <color theme="4"/>
      </dataBar>
      <extLst>
        <ext xmlns:x14="http://schemas.microsoft.com/office/spreadsheetml/2009/9/main" uri="{B025F937-C7B1-47D3-B67F-A62EFF666E3E}">
          <x14:id>{C376C037-ECF2-436C-8625-C80F09BBCBE1}</x14:id>
        </ext>
      </extLst>
    </cfRule>
  </conditionalFormatting>
  <conditionalFormatting sqref="F744">
    <cfRule type="dataBar" priority="49">
      <dataBar showValue="0">
        <cfvo type="num" val="0"/>
        <cfvo type="num" val="0.7"/>
        <color theme="4"/>
      </dataBar>
      <extLst>
        <ext xmlns:x14="http://schemas.microsoft.com/office/spreadsheetml/2009/9/main" uri="{B025F937-C7B1-47D3-B67F-A62EFF666E3E}">
          <x14:id>{329981B6-B7A3-4602-8127-4B1422800D4D}</x14:id>
        </ext>
      </extLst>
    </cfRule>
  </conditionalFormatting>
  <conditionalFormatting sqref="C744">
    <cfRule type="dataBar" priority="48">
      <dataBar showValue="0">
        <cfvo type="num" val="0"/>
        <cfvo type="num" val="0.99"/>
        <color theme="4"/>
      </dataBar>
      <extLst>
        <ext xmlns:x14="http://schemas.microsoft.com/office/spreadsheetml/2009/9/main" uri="{B025F937-C7B1-47D3-B67F-A62EFF666E3E}">
          <x14:id>{EBAC91DD-4130-49A8-8E32-9EAC2DBC6E68}</x14:id>
        </ext>
      </extLst>
    </cfRule>
  </conditionalFormatting>
  <conditionalFormatting sqref="F749">
    <cfRule type="dataBar" priority="47">
      <dataBar showValue="0">
        <cfvo type="num" val="0"/>
        <cfvo type="num" val="0.7"/>
        <color theme="4"/>
      </dataBar>
      <extLst>
        <ext xmlns:x14="http://schemas.microsoft.com/office/spreadsheetml/2009/9/main" uri="{B025F937-C7B1-47D3-B67F-A62EFF666E3E}">
          <x14:id>{997F508A-1ED0-41EF-A131-BEA7C469AC4E}</x14:id>
        </ext>
      </extLst>
    </cfRule>
  </conditionalFormatting>
  <conditionalFormatting sqref="C749">
    <cfRule type="dataBar" priority="46">
      <dataBar showValue="0">
        <cfvo type="num" val="0"/>
        <cfvo type="num" val="0.99"/>
        <color theme="4"/>
      </dataBar>
      <extLst>
        <ext xmlns:x14="http://schemas.microsoft.com/office/spreadsheetml/2009/9/main" uri="{B025F937-C7B1-47D3-B67F-A62EFF666E3E}">
          <x14:id>{D356BFAC-4331-46EF-87CB-FC8B8E522E6E}</x14:id>
        </ext>
      </extLst>
    </cfRule>
  </conditionalFormatting>
  <conditionalFormatting sqref="F758">
    <cfRule type="dataBar" priority="45">
      <dataBar showValue="0">
        <cfvo type="num" val="0"/>
        <cfvo type="num" val="0.7"/>
        <color theme="4"/>
      </dataBar>
      <extLst>
        <ext xmlns:x14="http://schemas.microsoft.com/office/spreadsheetml/2009/9/main" uri="{B025F937-C7B1-47D3-B67F-A62EFF666E3E}">
          <x14:id>{58359CED-9F21-4890-AB3D-D3A23CDBED4E}</x14:id>
        </ext>
      </extLst>
    </cfRule>
  </conditionalFormatting>
  <conditionalFormatting sqref="C758">
    <cfRule type="dataBar" priority="44">
      <dataBar showValue="0">
        <cfvo type="num" val="0"/>
        <cfvo type="num" val="0.99"/>
        <color theme="4"/>
      </dataBar>
      <extLst>
        <ext xmlns:x14="http://schemas.microsoft.com/office/spreadsheetml/2009/9/main" uri="{B025F937-C7B1-47D3-B67F-A62EFF666E3E}">
          <x14:id>{155DA6C5-73C0-4178-A21D-7A509BED0BA3}</x14:id>
        </ext>
      </extLst>
    </cfRule>
  </conditionalFormatting>
  <conditionalFormatting sqref="F765">
    <cfRule type="dataBar" priority="43">
      <dataBar showValue="0">
        <cfvo type="num" val="0"/>
        <cfvo type="num" val="0.7"/>
        <color theme="4"/>
      </dataBar>
      <extLst>
        <ext xmlns:x14="http://schemas.microsoft.com/office/spreadsheetml/2009/9/main" uri="{B025F937-C7B1-47D3-B67F-A62EFF666E3E}">
          <x14:id>{6279F82A-47C9-4695-AF60-25521AAB169D}</x14:id>
        </ext>
      </extLst>
    </cfRule>
  </conditionalFormatting>
  <conditionalFormatting sqref="C765">
    <cfRule type="dataBar" priority="42">
      <dataBar showValue="0">
        <cfvo type="num" val="0"/>
        <cfvo type="num" val="0.99"/>
        <color theme="4"/>
      </dataBar>
      <extLst>
        <ext xmlns:x14="http://schemas.microsoft.com/office/spreadsheetml/2009/9/main" uri="{B025F937-C7B1-47D3-B67F-A62EFF666E3E}">
          <x14:id>{6E5F3B1F-9780-439C-9393-1499F4A3480C}</x14:id>
        </ext>
      </extLst>
    </cfRule>
  </conditionalFormatting>
  <conditionalFormatting sqref="F787">
    <cfRule type="dataBar" priority="30">
      <dataBar showValue="0">
        <cfvo type="num" val="0"/>
        <cfvo type="num" val="0.7"/>
        <color theme="4"/>
      </dataBar>
      <extLst>
        <ext xmlns:x14="http://schemas.microsoft.com/office/spreadsheetml/2009/9/main" uri="{B025F937-C7B1-47D3-B67F-A62EFF666E3E}">
          <x14:id>{69AB7049-E315-4814-8E11-B519D03FB49B}</x14:id>
        </ext>
      </extLst>
    </cfRule>
  </conditionalFormatting>
  <conditionalFormatting sqref="C771">
    <cfRule type="dataBar" priority="40">
      <dataBar showValue="0">
        <cfvo type="num" val="0"/>
        <cfvo type="num" val="0.99"/>
        <color theme="4"/>
      </dataBar>
      <extLst>
        <ext xmlns:x14="http://schemas.microsoft.com/office/spreadsheetml/2009/9/main" uri="{B025F937-C7B1-47D3-B67F-A62EFF666E3E}">
          <x14:id>{C3F0033F-6B67-4ACD-A325-20FFBD2D77F7}</x14:id>
        </ext>
      </extLst>
    </cfRule>
  </conditionalFormatting>
  <conditionalFormatting sqref="F772:F775">
    <cfRule type="dataBar" priority="39">
      <dataBar showValue="0">
        <cfvo type="num" val="0"/>
        <cfvo type="num" val="0.7"/>
        <color theme="4"/>
      </dataBar>
      <extLst>
        <ext xmlns:x14="http://schemas.microsoft.com/office/spreadsheetml/2009/9/main" uri="{B025F937-C7B1-47D3-B67F-A62EFF666E3E}">
          <x14:id>{4144B2AC-C2EA-41B9-AB9B-03FC43EF2B01}</x14:id>
        </ext>
      </extLst>
    </cfRule>
  </conditionalFormatting>
  <conditionalFormatting sqref="C772:C775">
    <cfRule type="dataBar" priority="38">
      <dataBar showValue="0">
        <cfvo type="num" val="0"/>
        <cfvo type="num" val="0.99"/>
        <color theme="4"/>
      </dataBar>
      <extLst>
        <ext xmlns:x14="http://schemas.microsoft.com/office/spreadsheetml/2009/9/main" uri="{B025F937-C7B1-47D3-B67F-A62EFF666E3E}">
          <x14:id>{EB0AA51A-1AC1-48F7-B66E-BB61FFEF8B39}</x14:id>
        </ext>
      </extLst>
    </cfRule>
  </conditionalFormatting>
  <conditionalFormatting sqref="F773:F775">
    <cfRule type="dataBar" priority="37">
      <dataBar showValue="0">
        <cfvo type="num" val="0"/>
        <cfvo type="num" val="0.7"/>
        <color theme="4"/>
      </dataBar>
      <extLst>
        <ext xmlns:x14="http://schemas.microsoft.com/office/spreadsheetml/2009/9/main" uri="{B025F937-C7B1-47D3-B67F-A62EFF666E3E}">
          <x14:id>{14257254-A0D2-454C-B981-9A96C1525F57}</x14:id>
        </ext>
      </extLst>
    </cfRule>
  </conditionalFormatting>
  <conditionalFormatting sqref="C773:C775">
    <cfRule type="dataBar" priority="36">
      <dataBar showValue="0">
        <cfvo type="num" val="0"/>
        <cfvo type="num" val="0.99"/>
        <color theme="4"/>
      </dataBar>
      <extLst>
        <ext xmlns:x14="http://schemas.microsoft.com/office/spreadsheetml/2009/9/main" uri="{B025F937-C7B1-47D3-B67F-A62EFF666E3E}">
          <x14:id>{B96FFBD6-ECF6-4F16-B284-75347FD1E7FB}</x14:id>
        </ext>
      </extLst>
    </cfRule>
  </conditionalFormatting>
  <conditionalFormatting sqref="F767:F771">
    <cfRule type="dataBar" priority="35">
      <dataBar showValue="0">
        <cfvo type="num" val="0"/>
        <cfvo type="num" val="0.7"/>
        <color theme="4"/>
      </dataBar>
      <extLst>
        <ext xmlns:x14="http://schemas.microsoft.com/office/spreadsheetml/2009/9/main" uri="{B025F937-C7B1-47D3-B67F-A62EFF666E3E}">
          <x14:id>{2F4A4836-F503-4C33-AE1D-E6F61507FC29}</x14:id>
        </ext>
      </extLst>
    </cfRule>
  </conditionalFormatting>
  <conditionalFormatting sqref="F776">
    <cfRule type="dataBar" priority="34">
      <dataBar showValue="0">
        <cfvo type="num" val="0"/>
        <cfvo type="num" val="0.7"/>
        <color theme="4"/>
      </dataBar>
      <extLst>
        <ext xmlns:x14="http://schemas.microsoft.com/office/spreadsheetml/2009/9/main" uri="{B025F937-C7B1-47D3-B67F-A62EFF666E3E}">
          <x14:id>{5FD849A0-A96A-4782-A7C0-D0649FF21DBB}</x14:id>
        </ext>
      </extLst>
    </cfRule>
  </conditionalFormatting>
  <conditionalFormatting sqref="C776:C780">
    <cfRule type="dataBar" priority="33">
      <dataBar showValue="0">
        <cfvo type="num" val="0"/>
        <cfvo type="num" val="0.99"/>
        <color theme="4"/>
      </dataBar>
      <extLst>
        <ext xmlns:x14="http://schemas.microsoft.com/office/spreadsheetml/2009/9/main" uri="{B025F937-C7B1-47D3-B67F-A62EFF666E3E}">
          <x14:id>{E6D45B72-2A07-41E4-B199-28F2995D07E8}</x14:id>
        </ext>
      </extLst>
    </cfRule>
  </conditionalFormatting>
  <conditionalFormatting sqref="C786">
    <cfRule type="dataBar" priority="32">
      <dataBar showValue="0">
        <cfvo type="num" val="0"/>
        <cfvo type="num" val="0.99"/>
        <color theme="4"/>
      </dataBar>
      <extLst>
        <ext xmlns:x14="http://schemas.microsoft.com/office/spreadsheetml/2009/9/main" uri="{B025F937-C7B1-47D3-B67F-A62EFF666E3E}">
          <x14:id>{D08C1AA5-3B04-4852-BEBE-8ACD963BB270}</x14:id>
        </ext>
      </extLst>
    </cfRule>
  </conditionalFormatting>
  <conditionalFormatting sqref="F777:F780 F786">
    <cfRule type="dataBar" priority="31">
      <dataBar showValue="0">
        <cfvo type="num" val="0"/>
        <cfvo type="num" val="0.7"/>
        <color theme="4"/>
      </dataBar>
      <extLst>
        <ext xmlns:x14="http://schemas.microsoft.com/office/spreadsheetml/2009/9/main" uri="{B025F937-C7B1-47D3-B67F-A62EFF666E3E}">
          <x14:id>{9C74ECD0-A57F-433D-9A80-D49B0295FB35}</x14:id>
        </ext>
      </extLst>
    </cfRule>
  </conditionalFormatting>
  <conditionalFormatting sqref="F812">
    <cfRule type="dataBar" priority="16">
      <dataBar showValue="0">
        <cfvo type="num" val="0"/>
        <cfvo type="num" val="0.7"/>
        <color theme="4"/>
      </dataBar>
      <extLst>
        <ext xmlns:x14="http://schemas.microsoft.com/office/spreadsheetml/2009/9/main" uri="{B025F937-C7B1-47D3-B67F-A62EFF666E3E}">
          <x14:id>{87323952-46B5-4DB7-857C-0FAA9D818781}</x14:id>
        </ext>
      </extLst>
    </cfRule>
  </conditionalFormatting>
  <conditionalFormatting sqref="C787:C791">
    <cfRule type="dataBar" priority="29">
      <dataBar showValue="0">
        <cfvo type="num" val="0"/>
        <cfvo type="num" val="0.99"/>
        <color theme="4"/>
      </dataBar>
      <extLst>
        <ext xmlns:x14="http://schemas.microsoft.com/office/spreadsheetml/2009/9/main" uri="{B025F937-C7B1-47D3-B67F-A62EFF666E3E}">
          <x14:id>{1FD7AA9E-0B45-4F64-B354-37C0FF22395A}</x14:id>
        </ext>
      </extLst>
    </cfRule>
  </conditionalFormatting>
  <conditionalFormatting sqref="F796">
    <cfRule type="dataBar" priority="24">
      <dataBar showValue="0">
        <cfvo type="num" val="0"/>
        <cfvo type="num" val="0.7"/>
        <color theme="4"/>
      </dataBar>
      <extLst>
        <ext xmlns:x14="http://schemas.microsoft.com/office/spreadsheetml/2009/9/main" uri="{B025F937-C7B1-47D3-B67F-A62EFF666E3E}">
          <x14:id>{F6980066-61FB-494F-9569-57A6F4168368}</x14:id>
        </ext>
      </extLst>
    </cfRule>
  </conditionalFormatting>
  <conditionalFormatting sqref="C796:C800">
    <cfRule type="dataBar" priority="23">
      <dataBar showValue="0">
        <cfvo type="num" val="0"/>
        <cfvo type="num" val="0.99"/>
        <color theme="4"/>
      </dataBar>
      <extLst>
        <ext xmlns:x14="http://schemas.microsoft.com/office/spreadsheetml/2009/9/main" uri="{B025F937-C7B1-47D3-B67F-A62EFF666E3E}">
          <x14:id>{4B9CB2AD-28B8-4853-8A5B-20AEB50D4AC1}</x14:id>
        </ext>
      </extLst>
    </cfRule>
  </conditionalFormatting>
  <conditionalFormatting sqref="C795">
    <cfRule type="dataBar" priority="26">
      <dataBar showValue="0">
        <cfvo type="num" val="0"/>
        <cfvo type="num" val="0.99"/>
        <color theme="4"/>
      </dataBar>
      <extLst>
        <ext xmlns:x14="http://schemas.microsoft.com/office/spreadsheetml/2009/9/main" uri="{B025F937-C7B1-47D3-B67F-A62EFF666E3E}">
          <x14:id>{EF8D282C-CEF2-48F1-97B6-07D9BD18FB97}</x14:id>
        </ext>
      </extLst>
    </cfRule>
  </conditionalFormatting>
  <conditionalFormatting sqref="F788:F791 F795">
    <cfRule type="dataBar" priority="25">
      <dataBar showValue="0">
        <cfvo type="num" val="0"/>
        <cfvo type="num" val="0.7"/>
        <color theme="4"/>
      </dataBar>
      <extLst>
        <ext xmlns:x14="http://schemas.microsoft.com/office/spreadsheetml/2009/9/main" uri="{B025F937-C7B1-47D3-B67F-A62EFF666E3E}">
          <x14:id>{97305191-05EC-49B6-889A-B6873F4233C1}</x14:id>
        </ext>
      </extLst>
    </cfRule>
  </conditionalFormatting>
  <conditionalFormatting sqref="F805">
    <cfRule type="dataBar" priority="20">
      <dataBar showValue="0">
        <cfvo type="num" val="0"/>
        <cfvo type="num" val="0.7"/>
        <color theme="4"/>
      </dataBar>
      <extLst>
        <ext xmlns:x14="http://schemas.microsoft.com/office/spreadsheetml/2009/9/main" uri="{B025F937-C7B1-47D3-B67F-A62EFF666E3E}">
          <x14:id>{0665AF88-9BF9-4D8E-9E76-6540BBC41FE2}</x14:id>
        </ext>
      </extLst>
    </cfRule>
  </conditionalFormatting>
  <conditionalFormatting sqref="C805:C809">
    <cfRule type="dataBar" priority="19">
      <dataBar showValue="0">
        <cfvo type="num" val="0"/>
        <cfvo type="num" val="0.99"/>
        <color theme="4"/>
      </dataBar>
      <extLst>
        <ext xmlns:x14="http://schemas.microsoft.com/office/spreadsheetml/2009/9/main" uri="{B025F937-C7B1-47D3-B67F-A62EFF666E3E}">
          <x14:id>{CE283DE4-220B-4A50-A6FF-4720DA657D9A}</x14:id>
        </ext>
      </extLst>
    </cfRule>
  </conditionalFormatting>
  <conditionalFormatting sqref="C804">
    <cfRule type="dataBar" priority="22">
      <dataBar showValue="0">
        <cfvo type="num" val="0"/>
        <cfvo type="num" val="0.99"/>
        <color theme="4"/>
      </dataBar>
      <extLst>
        <ext xmlns:x14="http://schemas.microsoft.com/office/spreadsheetml/2009/9/main" uri="{B025F937-C7B1-47D3-B67F-A62EFF666E3E}">
          <x14:id>{FAC7F262-1DFB-4E6A-9807-23C6E6D35CAD}</x14:id>
        </ext>
      </extLst>
    </cfRule>
  </conditionalFormatting>
  <conditionalFormatting sqref="F797:F800 F804">
    <cfRule type="dataBar" priority="21">
      <dataBar showValue="0">
        <cfvo type="num" val="0"/>
        <cfvo type="num" val="0.7"/>
        <color theme="4"/>
      </dataBar>
      <extLst>
        <ext xmlns:x14="http://schemas.microsoft.com/office/spreadsheetml/2009/9/main" uri="{B025F937-C7B1-47D3-B67F-A62EFF666E3E}">
          <x14:id>{AB11E03E-D4E6-4672-AE04-CC050ADA3EF9}</x14:id>
        </ext>
      </extLst>
    </cfRule>
  </conditionalFormatting>
  <conditionalFormatting sqref="C812:C816">
    <cfRule type="dataBar" priority="15">
      <dataBar showValue="0">
        <cfvo type="num" val="0"/>
        <cfvo type="num" val="0.99"/>
        <color theme="4"/>
      </dataBar>
      <extLst>
        <ext xmlns:x14="http://schemas.microsoft.com/office/spreadsheetml/2009/9/main" uri="{B025F937-C7B1-47D3-B67F-A62EFF666E3E}">
          <x14:id>{5F81D2B9-CA57-495A-905A-643BEAB1B234}</x14:id>
        </ext>
      </extLst>
    </cfRule>
  </conditionalFormatting>
  <conditionalFormatting sqref="C811">
    <cfRule type="dataBar" priority="18">
      <dataBar showValue="0">
        <cfvo type="num" val="0"/>
        <cfvo type="num" val="0.99"/>
        <color theme="4"/>
      </dataBar>
      <extLst>
        <ext xmlns:x14="http://schemas.microsoft.com/office/spreadsheetml/2009/9/main" uri="{B025F937-C7B1-47D3-B67F-A62EFF666E3E}">
          <x14:id>{B5E16953-EB88-4E37-96BF-4EDC51E2FF37}</x14:id>
        </ext>
      </extLst>
    </cfRule>
  </conditionalFormatting>
  <conditionalFormatting sqref="F806:F809 F811">
    <cfRule type="dataBar" priority="17">
      <dataBar showValue="0">
        <cfvo type="num" val="0"/>
        <cfvo type="num" val="0.7"/>
        <color theme="4"/>
      </dataBar>
      <extLst>
        <ext xmlns:x14="http://schemas.microsoft.com/office/spreadsheetml/2009/9/main" uri="{B025F937-C7B1-47D3-B67F-A62EFF666E3E}">
          <x14:id>{282BD59A-953E-4D94-8344-4AF7C4AB6908}</x14:id>
        </ext>
      </extLst>
    </cfRule>
  </conditionalFormatting>
  <conditionalFormatting sqref="C819">
    <cfRule type="dataBar" priority="14">
      <dataBar showValue="0">
        <cfvo type="num" val="0"/>
        <cfvo type="num" val="0.99"/>
        <color theme="4"/>
      </dataBar>
      <extLst>
        <ext xmlns:x14="http://schemas.microsoft.com/office/spreadsheetml/2009/9/main" uri="{B025F937-C7B1-47D3-B67F-A62EFF666E3E}">
          <x14:id>{97B222CC-754E-4352-8365-1A592F42CEDA}</x14:id>
        </ext>
      </extLst>
    </cfRule>
  </conditionalFormatting>
  <conditionalFormatting sqref="F813:F816 F819">
    <cfRule type="dataBar" priority="13">
      <dataBar showValue="0">
        <cfvo type="num" val="0"/>
        <cfvo type="num" val="0.7"/>
        <color theme="4"/>
      </dataBar>
      <extLst>
        <ext xmlns:x14="http://schemas.microsoft.com/office/spreadsheetml/2009/9/main" uri="{B025F937-C7B1-47D3-B67F-A62EFF666E3E}">
          <x14:id>{87CACAA5-854C-40FB-AE0B-ACB522C92FDB}</x14:id>
        </ext>
      </extLst>
    </cfRule>
  </conditionalFormatting>
  <conditionalFormatting sqref="C781:C783">
    <cfRule type="dataBar" priority="12">
      <dataBar showValue="0">
        <cfvo type="num" val="0"/>
        <cfvo type="num" val="0.99"/>
        <color theme="4"/>
      </dataBar>
      <extLst>
        <ext xmlns:x14="http://schemas.microsoft.com/office/spreadsheetml/2009/9/main" uri="{B025F937-C7B1-47D3-B67F-A62EFF666E3E}">
          <x14:id>{5606745A-4FD0-4C81-BEA3-8E3C5D09524F}</x14:id>
        </ext>
      </extLst>
    </cfRule>
  </conditionalFormatting>
  <conditionalFormatting sqref="F781:F783">
    <cfRule type="dataBar" priority="11">
      <dataBar showValue="0">
        <cfvo type="num" val="0"/>
        <cfvo type="num" val="0.7"/>
        <color theme="4"/>
      </dataBar>
      <extLst>
        <ext xmlns:x14="http://schemas.microsoft.com/office/spreadsheetml/2009/9/main" uri="{B025F937-C7B1-47D3-B67F-A62EFF666E3E}">
          <x14:id>{0220DFBC-8462-4E27-821B-5E09FA38A048}</x14:id>
        </ext>
      </extLst>
    </cfRule>
  </conditionalFormatting>
  <conditionalFormatting sqref="C784:C785">
    <cfRule type="dataBar" priority="10">
      <dataBar showValue="0">
        <cfvo type="num" val="0"/>
        <cfvo type="num" val="0.99"/>
        <color theme="4"/>
      </dataBar>
      <extLst>
        <ext xmlns:x14="http://schemas.microsoft.com/office/spreadsheetml/2009/9/main" uri="{B025F937-C7B1-47D3-B67F-A62EFF666E3E}">
          <x14:id>{386CA4EA-B383-4EBC-8631-2EAB8120CB76}</x14:id>
        </ext>
      </extLst>
    </cfRule>
  </conditionalFormatting>
  <conditionalFormatting sqref="F784:F785">
    <cfRule type="dataBar" priority="9">
      <dataBar showValue="0">
        <cfvo type="num" val="0"/>
        <cfvo type="num" val="0.7"/>
        <color theme="4"/>
      </dataBar>
      <extLst>
        <ext xmlns:x14="http://schemas.microsoft.com/office/spreadsheetml/2009/9/main" uri="{B025F937-C7B1-47D3-B67F-A62EFF666E3E}">
          <x14:id>{BB10A5D4-2B59-403A-8C3D-74ECC2264FDB}</x14:id>
        </ext>
      </extLst>
    </cfRule>
  </conditionalFormatting>
  <conditionalFormatting sqref="C792:C794">
    <cfRule type="dataBar" priority="8">
      <dataBar showValue="0">
        <cfvo type="num" val="0"/>
        <cfvo type="num" val="0.99"/>
        <color theme="4"/>
      </dataBar>
      <extLst>
        <ext xmlns:x14="http://schemas.microsoft.com/office/spreadsheetml/2009/9/main" uri="{B025F937-C7B1-47D3-B67F-A62EFF666E3E}">
          <x14:id>{E5D7590D-E253-47EE-AF7A-2747E7D504EB}</x14:id>
        </ext>
      </extLst>
    </cfRule>
  </conditionalFormatting>
  <conditionalFormatting sqref="F792:F794">
    <cfRule type="dataBar" priority="7">
      <dataBar showValue="0">
        <cfvo type="num" val="0"/>
        <cfvo type="num" val="0.7"/>
        <color theme="4"/>
      </dataBar>
      <extLst>
        <ext xmlns:x14="http://schemas.microsoft.com/office/spreadsheetml/2009/9/main" uri="{B025F937-C7B1-47D3-B67F-A62EFF666E3E}">
          <x14:id>{8EDC1999-9944-4115-9D0E-F731B88E2A2A}</x14:id>
        </ext>
      </extLst>
    </cfRule>
  </conditionalFormatting>
  <conditionalFormatting sqref="C801:C803">
    <cfRule type="dataBar" priority="6">
      <dataBar showValue="0">
        <cfvo type="num" val="0"/>
        <cfvo type="num" val="0.99"/>
        <color theme="4"/>
      </dataBar>
      <extLst>
        <ext xmlns:x14="http://schemas.microsoft.com/office/spreadsheetml/2009/9/main" uri="{B025F937-C7B1-47D3-B67F-A62EFF666E3E}">
          <x14:id>{27529ACF-EFC0-4F05-A35F-C4BD70897846}</x14:id>
        </ext>
      </extLst>
    </cfRule>
  </conditionalFormatting>
  <conditionalFormatting sqref="F801:F803">
    <cfRule type="dataBar" priority="5">
      <dataBar showValue="0">
        <cfvo type="num" val="0"/>
        <cfvo type="num" val="0.7"/>
        <color theme="4"/>
      </dataBar>
      <extLst>
        <ext xmlns:x14="http://schemas.microsoft.com/office/spreadsheetml/2009/9/main" uri="{B025F937-C7B1-47D3-B67F-A62EFF666E3E}">
          <x14:id>{743331AE-AEA4-45DA-AFE5-872FF1DEE0B3}</x14:id>
        </ext>
      </extLst>
    </cfRule>
  </conditionalFormatting>
  <conditionalFormatting sqref="C810">
    <cfRule type="dataBar" priority="4">
      <dataBar showValue="0">
        <cfvo type="num" val="0"/>
        <cfvo type="num" val="0.99"/>
        <color theme="4"/>
      </dataBar>
      <extLst>
        <ext xmlns:x14="http://schemas.microsoft.com/office/spreadsheetml/2009/9/main" uri="{B025F937-C7B1-47D3-B67F-A62EFF666E3E}">
          <x14:id>{46EEE647-7562-4B2E-96DC-CC8C8C187D7C}</x14:id>
        </ext>
      </extLst>
    </cfRule>
  </conditionalFormatting>
  <conditionalFormatting sqref="F810">
    <cfRule type="dataBar" priority="3">
      <dataBar showValue="0">
        <cfvo type="num" val="0"/>
        <cfvo type="num" val="0.7"/>
        <color theme="4"/>
      </dataBar>
      <extLst>
        <ext xmlns:x14="http://schemas.microsoft.com/office/spreadsheetml/2009/9/main" uri="{B025F937-C7B1-47D3-B67F-A62EFF666E3E}">
          <x14:id>{7E02B7E2-0840-474B-B9D1-87BDF823DB8A}</x14:id>
        </ext>
      </extLst>
    </cfRule>
  </conditionalFormatting>
  <conditionalFormatting sqref="C817:C818">
    <cfRule type="dataBar" priority="2">
      <dataBar showValue="0">
        <cfvo type="num" val="0"/>
        <cfvo type="num" val="0.99"/>
        <color theme="4"/>
      </dataBar>
      <extLst>
        <ext xmlns:x14="http://schemas.microsoft.com/office/spreadsheetml/2009/9/main" uri="{B025F937-C7B1-47D3-B67F-A62EFF666E3E}">
          <x14:id>{D65CE230-9EC7-44FC-A706-924F53E0AD88}</x14:id>
        </ext>
      </extLst>
    </cfRule>
  </conditionalFormatting>
  <conditionalFormatting sqref="F817:F818">
    <cfRule type="dataBar" priority="1">
      <dataBar showValue="0">
        <cfvo type="num" val="0"/>
        <cfvo type="num" val="0.7"/>
        <color theme="4"/>
      </dataBar>
      <extLst>
        <ext xmlns:x14="http://schemas.microsoft.com/office/spreadsheetml/2009/9/main" uri="{B025F937-C7B1-47D3-B67F-A62EFF666E3E}">
          <x14:id>{ECEA2A0B-D3BB-4C33-90C5-B015ADE54699}</x14:id>
        </ext>
      </extLst>
    </cfRule>
  </conditionalFormatting>
  <hyperlinks>
    <hyperlink ref="B855" r:id="rId1" xr:uid="{00000000-0004-0000-4E00-000000000000}"/>
    <hyperlink ref="B859" r:id="rId2" xr:uid="{00000000-0004-0000-4E00-000001000000}"/>
    <hyperlink ref="B856" r:id="rId3" xr:uid="{00000000-0004-0000-4E00-000002000000}"/>
    <hyperlink ref="P694" r:id="rId4" xr:uid="{00000000-0004-0000-4E00-000003000000}"/>
    <hyperlink ref="P702" r:id="rId5" xr:uid="{00000000-0004-0000-4E00-000004000000}"/>
    <hyperlink ref="P703" r:id="rId6" xr:uid="{00000000-0004-0000-4E00-000005000000}"/>
  </hyperlinks>
  <pageMargins left="0.74803149606299213" right="0.74803149606299213" top="0.98425196850393704" bottom="0.98425196850393704" header="0.51181102362204722" footer="0.51181102362204722"/>
  <pageSetup paperSize="9" scale="73" firstPageNumber="45" fitToHeight="0" orientation="portrait" useFirstPageNumber="1" horizontalDpi="300" verticalDpi="300" r:id="rId7"/>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7" manualBreakCount="7">
    <brk id="81" min="1" max="14" man="1"/>
    <brk id="84" min="1" max="14" man="1"/>
    <brk id="162" min="1" max="14" man="1"/>
    <brk id="237" min="1" max="14" man="1"/>
    <brk id="311" min="1" max="14" man="1"/>
    <brk id="385" min="1" max="14" man="1"/>
    <brk id="468" min="1" max="14" man="1"/>
  </rowBreaks>
  <extLst>
    <ext xmlns:x14="http://schemas.microsoft.com/office/spreadsheetml/2009/9/main" uri="{78C0D931-6437-407d-A8EE-F0AAD7539E65}">
      <x14:conditionalFormattings>
        <x14:conditionalFormatting xmlns:xm="http://schemas.microsoft.com/office/excel/2006/main">
          <x14:cfRule type="dataBar" id="{11A79EAB-D917-49FD-A314-3878958F0F6C}">
            <x14:dataBar minLength="0" maxLength="100" gradient="0" negativeBarColorSameAsPositive="1" axisPosition="none">
              <x14:cfvo type="num">
                <xm:f>0</xm:f>
              </x14:cfvo>
              <x14:cfvo type="num">
                <xm:f>0.7</xm:f>
              </x14:cfvo>
            </x14:dataBar>
          </x14:cfRule>
          <xm:sqref>F1:F83 F840:F1048576 F86:F162 F165:F237 F240:F311 F314:F385 F388:F452 F455:F525 F528:F593 F596:F665 F668:F682 F821:F824 I826:I831 I833:I841 F687:F738</xm:sqref>
        </x14:conditionalFormatting>
        <x14:conditionalFormatting xmlns:xm="http://schemas.microsoft.com/office/excel/2006/main">
          <x14:cfRule type="dataBar" id="{A9A3108D-7DF5-41E9-B9B5-EBA8312A3561}">
            <x14:dataBar minLength="0" maxLength="100" gradient="0" negativeBarColorSameAsPositive="1" axisPosition="none">
              <x14:cfvo type="num">
                <xm:f>0</xm:f>
              </x14:cfvo>
              <x14:cfvo type="num">
                <xm:f>0.7</xm:f>
              </x14:cfvo>
            </x14:dataBar>
          </x14:cfRule>
          <xm:sqref>F683:F686</xm:sqref>
        </x14:conditionalFormatting>
        <x14:conditionalFormatting xmlns:xm="http://schemas.microsoft.com/office/excel/2006/main">
          <x14:cfRule type="dataBar" id="{0D03BBE9-BBC5-46CD-A466-89C70F16162B}">
            <x14:dataBar minLength="0" maxLength="100" gradient="0">
              <x14:cfvo type="num">
                <xm:f>0</xm:f>
              </x14:cfvo>
              <x14:cfvo type="num">
                <xm:f>0.99</xm:f>
              </x14:cfvo>
              <x14:negativeFillColor rgb="FFFF0000"/>
              <x14:axisColor rgb="FF000000"/>
            </x14:dataBar>
          </x14:cfRule>
          <xm:sqref>C1:C83 C86:C162 C165:C237 C240:C311 C314:C385 C388:C452 I825 C826:C1048576 C455:C525 C528:C593 C596:C665 C821:C824 C668:C739</xm:sqref>
        </x14:conditionalFormatting>
        <x14:conditionalFormatting xmlns:xm="http://schemas.microsoft.com/office/excel/2006/main">
          <x14:cfRule type="dataBar" id="{C5E528D1-39C9-4117-BA0D-1C16980F7BFF}">
            <x14:dataBar minLength="0" maxLength="100" gradient="0" negativeBarColorSameAsPositive="1" axisPosition="none">
              <x14:cfvo type="num">
                <xm:f>0</xm:f>
              </x14:cfvo>
              <x14:cfvo type="num">
                <xm:f>0.7</xm:f>
              </x14:cfvo>
            </x14:dataBar>
          </x14:cfRule>
          <xm:sqref>F238:F239</xm:sqref>
        </x14:conditionalFormatting>
        <x14:conditionalFormatting xmlns:xm="http://schemas.microsoft.com/office/excel/2006/main">
          <x14:cfRule type="dataBar" id="{75F60CCC-379F-4093-BD75-FD591E137971}">
            <x14:dataBar minLength="0" maxLength="100" gradient="0">
              <x14:cfvo type="num">
                <xm:f>0</xm:f>
              </x14:cfvo>
              <x14:cfvo type="num">
                <xm:f>0.99</xm:f>
              </x14:cfvo>
              <x14:negativeFillColor rgb="FFFF0000"/>
              <x14:axisColor rgb="FF000000"/>
            </x14:dataBar>
          </x14:cfRule>
          <xm:sqref>C238:C239</xm:sqref>
        </x14:conditionalFormatting>
        <x14:conditionalFormatting xmlns:xm="http://schemas.microsoft.com/office/excel/2006/main">
          <x14:cfRule type="dataBar" id="{AC0166E0-DA8D-4BCF-BC7D-811D157FB1E5}">
            <x14:dataBar minLength="0" maxLength="100" gradient="0" negativeBarColorSameAsPositive="1" axisPosition="none">
              <x14:cfvo type="num">
                <xm:f>0</xm:f>
              </x14:cfvo>
              <x14:cfvo type="num">
                <xm:f>0.7</xm:f>
              </x14:cfvo>
            </x14:dataBar>
          </x14:cfRule>
          <xm:sqref>F312:F313</xm:sqref>
        </x14:conditionalFormatting>
        <x14:conditionalFormatting xmlns:xm="http://schemas.microsoft.com/office/excel/2006/main">
          <x14:cfRule type="dataBar" id="{DC2F76E9-7F89-4F85-8596-1CCDBE23C67D}">
            <x14:dataBar minLength="0" maxLength="100" gradient="0">
              <x14:cfvo type="num">
                <xm:f>0</xm:f>
              </x14:cfvo>
              <x14:cfvo type="num">
                <xm:f>0.99</xm:f>
              </x14:cfvo>
              <x14:negativeFillColor rgb="FFFF0000"/>
              <x14:axisColor rgb="FF000000"/>
            </x14:dataBar>
          </x14:cfRule>
          <xm:sqref>C312:C313</xm:sqref>
        </x14:conditionalFormatting>
        <x14:conditionalFormatting xmlns:xm="http://schemas.microsoft.com/office/excel/2006/main">
          <x14:cfRule type="dataBar" id="{B3E27E6E-0C7E-4B00-B0F7-BF1397EFE1EF}">
            <x14:dataBar minLength="0" maxLength="100" gradient="0" negativeBarColorSameAsPositive="1" axisPosition="none">
              <x14:cfvo type="num">
                <xm:f>0</xm:f>
              </x14:cfvo>
              <x14:cfvo type="num">
                <xm:f>0.7</xm:f>
              </x14:cfvo>
            </x14:dataBar>
          </x14:cfRule>
          <xm:sqref>F386:F387</xm:sqref>
        </x14:conditionalFormatting>
        <x14:conditionalFormatting xmlns:xm="http://schemas.microsoft.com/office/excel/2006/main">
          <x14:cfRule type="dataBar" id="{2EFFD364-3353-46D1-8035-BF88FD05675E}">
            <x14:dataBar minLength="0" maxLength="100" gradient="0">
              <x14:cfvo type="num">
                <xm:f>0</xm:f>
              </x14:cfvo>
              <x14:cfvo type="num">
                <xm:f>0.99</xm:f>
              </x14:cfvo>
              <x14:negativeFillColor rgb="FFFF0000"/>
              <x14:axisColor rgb="FF000000"/>
            </x14:dataBar>
          </x14:cfRule>
          <xm:sqref>C386:C387</xm:sqref>
        </x14:conditionalFormatting>
        <x14:conditionalFormatting xmlns:xm="http://schemas.microsoft.com/office/excel/2006/main">
          <x14:cfRule type="dataBar" id="{E2FB50E1-B2A2-4B6C-AAF0-58AA6155EA99}">
            <x14:dataBar minLength="0" maxLength="100" gradient="0" negativeBarColorSameAsPositive="1" axisPosition="none">
              <x14:cfvo type="num">
                <xm:f>0</xm:f>
              </x14:cfvo>
              <x14:cfvo type="num">
                <xm:f>0.7</xm:f>
              </x14:cfvo>
            </x14:dataBar>
          </x14:cfRule>
          <xm:sqref>F453:F454</xm:sqref>
        </x14:conditionalFormatting>
        <x14:conditionalFormatting xmlns:xm="http://schemas.microsoft.com/office/excel/2006/main">
          <x14:cfRule type="dataBar" id="{CF3EF47A-E17D-4A51-AFF3-6691BA3D0757}">
            <x14:dataBar minLength="0" maxLength="100" gradient="0">
              <x14:cfvo type="num">
                <xm:f>0</xm:f>
              </x14:cfvo>
              <x14:cfvo type="num">
                <xm:f>0.99</xm:f>
              </x14:cfvo>
              <x14:negativeFillColor rgb="FFFF0000"/>
              <x14:axisColor rgb="FF000000"/>
            </x14:dataBar>
          </x14:cfRule>
          <xm:sqref>C453:C454</xm:sqref>
        </x14:conditionalFormatting>
        <x14:conditionalFormatting xmlns:xm="http://schemas.microsoft.com/office/excel/2006/main">
          <x14:cfRule type="dataBar" id="{DCC54636-092D-4E6D-9F77-700BD5BE6AE6}">
            <x14:dataBar minLength="0" maxLength="100" gradient="0" negativeBarColorSameAsPositive="1" axisPosition="none">
              <x14:cfvo type="num">
                <xm:f>0</xm:f>
              </x14:cfvo>
              <x14:cfvo type="num">
                <xm:f>0.7</xm:f>
              </x14:cfvo>
            </x14:dataBar>
          </x14:cfRule>
          <xm:sqref>F526:F527</xm:sqref>
        </x14:conditionalFormatting>
        <x14:conditionalFormatting xmlns:xm="http://schemas.microsoft.com/office/excel/2006/main">
          <x14:cfRule type="dataBar" id="{1C595105-0725-4967-B7D9-73F3F6A5568B}">
            <x14:dataBar minLength="0" maxLength="100" gradient="0">
              <x14:cfvo type="num">
                <xm:f>0</xm:f>
              </x14:cfvo>
              <x14:cfvo type="num">
                <xm:f>0.99</xm:f>
              </x14:cfvo>
              <x14:negativeFillColor rgb="FFFF0000"/>
              <x14:axisColor rgb="FF000000"/>
            </x14:dataBar>
          </x14:cfRule>
          <xm:sqref>C526:C527</xm:sqref>
        </x14:conditionalFormatting>
        <x14:conditionalFormatting xmlns:xm="http://schemas.microsoft.com/office/excel/2006/main">
          <x14:cfRule type="dataBar" id="{EB07744A-89DA-4CD7-BCDE-0F2EB038FD28}">
            <x14:dataBar minLength="0" maxLength="100" gradient="0" negativeBarColorSameAsPositive="1" axisPosition="none">
              <x14:cfvo type="num">
                <xm:f>0</xm:f>
              </x14:cfvo>
              <x14:cfvo type="num">
                <xm:f>0.7</xm:f>
              </x14:cfvo>
            </x14:dataBar>
          </x14:cfRule>
          <xm:sqref>F594:F595</xm:sqref>
        </x14:conditionalFormatting>
        <x14:conditionalFormatting xmlns:xm="http://schemas.microsoft.com/office/excel/2006/main">
          <x14:cfRule type="dataBar" id="{F1BDD0A5-CB73-4B65-9D91-504323F9E448}">
            <x14:dataBar minLength="0" maxLength="100" gradient="0">
              <x14:cfvo type="num">
                <xm:f>0</xm:f>
              </x14:cfvo>
              <x14:cfvo type="num">
                <xm:f>0.99</xm:f>
              </x14:cfvo>
              <x14:negativeFillColor rgb="FFFF0000"/>
              <x14:axisColor rgb="FF000000"/>
            </x14:dataBar>
          </x14:cfRule>
          <xm:sqref>C594:C595</xm:sqref>
        </x14:conditionalFormatting>
        <x14:conditionalFormatting xmlns:xm="http://schemas.microsoft.com/office/excel/2006/main">
          <x14:cfRule type="dataBar" id="{B7524F15-7EBA-47BD-9C59-34D1E44B76DA}">
            <x14:dataBar minLength="0" maxLength="100" gradient="0" negativeBarColorSameAsPositive="1" axisPosition="none">
              <x14:cfvo type="num">
                <xm:f>0</xm:f>
              </x14:cfvo>
              <x14:cfvo type="num">
                <xm:f>0.7</xm:f>
              </x14:cfvo>
            </x14:dataBar>
          </x14:cfRule>
          <xm:sqref>F666:F667</xm:sqref>
        </x14:conditionalFormatting>
        <x14:conditionalFormatting xmlns:xm="http://schemas.microsoft.com/office/excel/2006/main">
          <x14:cfRule type="dataBar" id="{03445E6E-B838-4DC8-A7A6-55C6F815F1CC}">
            <x14:dataBar minLength="0" maxLength="100" gradient="0">
              <x14:cfvo type="num">
                <xm:f>0</xm:f>
              </x14:cfvo>
              <x14:cfvo type="num">
                <xm:f>0.99</xm:f>
              </x14:cfvo>
              <x14:negativeFillColor rgb="FFFF0000"/>
              <x14:axisColor rgb="FF000000"/>
            </x14:dataBar>
          </x14:cfRule>
          <xm:sqref>C666:C667</xm:sqref>
        </x14:conditionalFormatting>
        <x14:conditionalFormatting xmlns:xm="http://schemas.microsoft.com/office/excel/2006/main">
          <x14:cfRule type="dataBar" id="{E24B9346-116F-41EA-BCBC-265493F6A610}">
            <x14:dataBar minLength="0" maxLength="100" gradient="0" negativeBarColorSameAsPositive="1" axisPosition="none">
              <x14:cfvo type="num">
                <xm:f>0</xm:f>
              </x14:cfvo>
              <x14:cfvo type="num">
                <xm:f>0.7</xm:f>
              </x14:cfvo>
            </x14:dataBar>
          </x14:cfRule>
          <xm:sqref>F84:F85</xm:sqref>
        </x14:conditionalFormatting>
        <x14:conditionalFormatting xmlns:xm="http://schemas.microsoft.com/office/excel/2006/main">
          <x14:cfRule type="dataBar" id="{E3389569-8701-4169-9B55-E9A9C4189E34}">
            <x14:dataBar minLength="0" maxLength="100" gradient="0">
              <x14:cfvo type="num">
                <xm:f>0</xm:f>
              </x14:cfvo>
              <x14:cfvo type="num">
                <xm:f>0.99</xm:f>
              </x14:cfvo>
              <x14:negativeFillColor rgb="FFFF0000"/>
              <x14:axisColor rgb="FF000000"/>
            </x14:dataBar>
          </x14:cfRule>
          <xm:sqref>C84:C85</xm:sqref>
        </x14:conditionalFormatting>
        <x14:conditionalFormatting xmlns:xm="http://schemas.microsoft.com/office/excel/2006/main">
          <x14:cfRule type="dataBar" id="{3B5814E1-8ACA-45E6-AF7B-BC8DEF7457E7}">
            <x14:dataBar minLength="0" maxLength="100" gradient="0" negativeBarColorSameAsPositive="1" axisPosition="none">
              <x14:cfvo type="num">
                <xm:f>0</xm:f>
              </x14:cfvo>
              <x14:cfvo type="num">
                <xm:f>0.7</xm:f>
              </x14:cfvo>
            </x14:dataBar>
          </x14:cfRule>
          <xm:sqref>F163:F164</xm:sqref>
        </x14:conditionalFormatting>
        <x14:conditionalFormatting xmlns:xm="http://schemas.microsoft.com/office/excel/2006/main">
          <x14:cfRule type="dataBar" id="{74B09DEC-5925-4DBC-9B2C-5BBF2798B200}">
            <x14:dataBar minLength="0" maxLength="100" gradient="0">
              <x14:cfvo type="num">
                <xm:f>0</xm:f>
              </x14:cfvo>
              <x14:cfvo type="num">
                <xm:f>0.99</xm:f>
              </x14:cfvo>
              <x14:negativeFillColor rgb="FFFF0000"/>
              <x14:axisColor rgb="FF000000"/>
            </x14:dataBar>
          </x14:cfRule>
          <xm:sqref>C163:C164</xm:sqref>
        </x14:conditionalFormatting>
        <x14:conditionalFormatting xmlns:xm="http://schemas.microsoft.com/office/excel/2006/main">
          <x14:cfRule type="dataBar" id="{530FF1E5-470A-4D33-B647-36060BA23BE0}">
            <x14:dataBar minLength="0" maxLength="100" gradient="0" negativeBarColorSameAsPositive="1" axisPosition="none">
              <x14:cfvo type="num">
                <xm:f>0</xm:f>
              </x14:cfvo>
              <x14:cfvo type="num">
                <xm:f>0.7</xm:f>
              </x14:cfvo>
            </x14:dataBar>
          </x14:cfRule>
          <xm:sqref>F745:F748 F750:F757 F759:F764 F766 F820</xm:sqref>
        </x14:conditionalFormatting>
        <x14:conditionalFormatting xmlns:xm="http://schemas.microsoft.com/office/excel/2006/main">
          <x14:cfRule type="dataBar" id="{6C0DB3AA-BCFC-44CD-82ED-E52AFADDD80C}">
            <x14:dataBar minLength="0" maxLength="100" gradient="0">
              <x14:cfvo type="num">
                <xm:f>0</xm:f>
              </x14:cfvo>
              <x14:cfvo type="num">
                <xm:f>0.99</xm:f>
              </x14:cfvo>
              <x14:negativeFillColor rgb="FFFF0000"/>
              <x14:axisColor rgb="FF000000"/>
            </x14:dataBar>
          </x14:cfRule>
          <xm:sqref>C742:C743 C745:C748 C750:C757 C759:C764 C766:C770 C820</xm:sqref>
        </x14:conditionalFormatting>
        <x14:conditionalFormatting xmlns:xm="http://schemas.microsoft.com/office/excel/2006/main">
          <x14:cfRule type="dataBar" id="{D683AE7B-38F1-4C0B-B6E8-2A37C8D4BAE0}">
            <x14:dataBar minLength="0" maxLength="100" gradient="0" negativeBarColorSameAsPositive="1" axisPosition="none">
              <x14:cfvo type="num">
                <xm:f>0</xm:f>
              </x14:cfvo>
              <x14:cfvo type="num">
                <xm:f>0.7</xm:f>
              </x14:cfvo>
            </x14:dataBar>
          </x14:cfRule>
          <xm:sqref>F735:F737</xm:sqref>
        </x14:conditionalFormatting>
        <x14:conditionalFormatting xmlns:xm="http://schemas.microsoft.com/office/excel/2006/main">
          <x14:cfRule type="dataBar" id="{869CB639-593B-4635-957C-4DCFDD08F9AB}">
            <x14:dataBar minLength="0" maxLength="100" gradient="0">
              <x14:cfvo type="num">
                <xm:f>0</xm:f>
              </x14:cfvo>
              <x14:cfvo type="num">
                <xm:f>0.99</xm:f>
              </x14:cfvo>
              <x14:negativeFillColor rgb="FFFF0000"/>
              <x14:axisColor rgb="FF000000"/>
            </x14:dataBar>
          </x14:cfRule>
          <xm:sqref>C735:C737</xm:sqref>
        </x14:conditionalFormatting>
        <x14:conditionalFormatting xmlns:xm="http://schemas.microsoft.com/office/excel/2006/main">
          <x14:cfRule type="dataBar" id="{C376C037-ECF2-436C-8625-C80F09BBCBE1}">
            <x14:dataBar minLength="0" maxLength="100" gradient="0" negativeBarColorSameAsPositive="1" axisPosition="none">
              <x14:cfvo type="percent">
                <xm:f>0</xm:f>
              </x14:cfvo>
              <x14:cfvo type="num">
                <xm:f>1</xm:f>
              </x14:cfvo>
            </x14:dataBar>
          </x14:cfRule>
          <xm:sqref>F739:F743</xm:sqref>
        </x14:conditionalFormatting>
        <x14:conditionalFormatting xmlns:xm="http://schemas.microsoft.com/office/excel/2006/main">
          <x14:cfRule type="dataBar" id="{329981B6-B7A3-4602-8127-4B1422800D4D}">
            <x14:dataBar minLength="0" maxLength="100" gradient="0" negativeBarColorSameAsPositive="1" axisPosition="none">
              <x14:cfvo type="num">
                <xm:f>0</xm:f>
              </x14:cfvo>
              <x14:cfvo type="num">
                <xm:f>0.7</xm:f>
              </x14:cfvo>
            </x14:dataBar>
          </x14:cfRule>
          <xm:sqref>F744</xm:sqref>
        </x14:conditionalFormatting>
        <x14:conditionalFormatting xmlns:xm="http://schemas.microsoft.com/office/excel/2006/main">
          <x14:cfRule type="dataBar" id="{EBAC91DD-4130-49A8-8E32-9EAC2DBC6E68}">
            <x14:dataBar minLength="0" maxLength="100" gradient="0">
              <x14:cfvo type="num">
                <xm:f>0</xm:f>
              </x14:cfvo>
              <x14:cfvo type="num">
                <xm:f>0.99</xm:f>
              </x14:cfvo>
              <x14:negativeFillColor rgb="FFFF0000"/>
              <x14:axisColor rgb="FF000000"/>
            </x14:dataBar>
          </x14:cfRule>
          <xm:sqref>C744</xm:sqref>
        </x14:conditionalFormatting>
        <x14:conditionalFormatting xmlns:xm="http://schemas.microsoft.com/office/excel/2006/main">
          <x14:cfRule type="dataBar" id="{997F508A-1ED0-41EF-A131-BEA7C469AC4E}">
            <x14:dataBar minLength="0" maxLength="100" gradient="0" negativeBarColorSameAsPositive="1" axisPosition="none">
              <x14:cfvo type="num">
                <xm:f>0</xm:f>
              </x14:cfvo>
              <x14:cfvo type="num">
                <xm:f>0.7</xm:f>
              </x14:cfvo>
            </x14:dataBar>
          </x14:cfRule>
          <xm:sqref>F749</xm:sqref>
        </x14:conditionalFormatting>
        <x14:conditionalFormatting xmlns:xm="http://schemas.microsoft.com/office/excel/2006/main">
          <x14:cfRule type="dataBar" id="{D356BFAC-4331-46EF-87CB-FC8B8E522E6E}">
            <x14:dataBar minLength="0" maxLength="100" gradient="0">
              <x14:cfvo type="num">
                <xm:f>0</xm:f>
              </x14:cfvo>
              <x14:cfvo type="num">
                <xm:f>0.99</xm:f>
              </x14:cfvo>
              <x14:negativeFillColor rgb="FFFF0000"/>
              <x14:axisColor rgb="FF000000"/>
            </x14:dataBar>
          </x14:cfRule>
          <xm:sqref>C749</xm:sqref>
        </x14:conditionalFormatting>
        <x14:conditionalFormatting xmlns:xm="http://schemas.microsoft.com/office/excel/2006/main">
          <x14:cfRule type="dataBar" id="{58359CED-9F21-4890-AB3D-D3A23CDBED4E}">
            <x14:dataBar minLength="0" maxLength="100" gradient="0" negativeBarColorSameAsPositive="1" axisPosition="none">
              <x14:cfvo type="num">
                <xm:f>0</xm:f>
              </x14:cfvo>
              <x14:cfvo type="num">
                <xm:f>0.7</xm:f>
              </x14:cfvo>
            </x14:dataBar>
          </x14:cfRule>
          <xm:sqref>F758</xm:sqref>
        </x14:conditionalFormatting>
        <x14:conditionalFormatting xmlns:xm="http://schemas.microsoft.com/office/excel/2006/main">
          <x14:cfRule type="dataBar" id="{155DA6C5-73C0-4178-A21D-7A509BED0BA3}">
            <x14:dataBar minLength="0" maxLength="100" gradient="0">
              <x14:cfvo type="num">
                <xm:f>0</xm:f>
              </x14:cfvo>
              <x14:cfvo type="num">
                <xm:f>0.99</xm:f>
              </x14:cfvo>
              <x14:negativeFillColor rgb="FFFF0000"/>
              <x14:axisColor rgb="FF000000"/>
            </x14:dataBar>
          </x14:cfRule>
          <xm:sqref>C758</xm:sqref>
        </x14:conditionalFormatting>
        <x14:conditionalFormatting xmlns:xm="http://schemas.microsoft.com/office/excel/2006/main">
          <x14:cfRule type="dataBar" id="{6279F82A-47C9-4695-AF60-25521AAB169D}">
            <x14:dataBar minLength="0" maxLength="100" gradient="0" negativeBarColorSameAsPositive="1" axisPosition="none">
              <x14:cfvo type="num">
                <xm:f>0</xm:f>
              </x14:cfvo>
              <x14:cfvo type="num">
                <xm:f>0.7</xm:f>
              </x14:cfvo>
            </x14:dataBar>
          </x14:cfRule>
          <xm:sqref>F765</xm:sqref>
        </x14:conditionalFormatting>
        <x14:conditionalFormatting xmlns:xm="http://schemas.microsoft.com/office/excel/2006/main">
          <x14:cfRule type="dataBar" id="{6E5F3B1F-9780-439C-9393-1499F4A3480C}">
            <x14:dataBar minLength="0" maxLength="100" gradient="0">
              <x14:cfvo type="num">
                <xm:f>0</xm:f>
              </x14:cfvo>
              <x14:cfvo type="num">
                <xm:f>0.99</xm:f>
              </x14:cfvo>
              <x14:negativeFillColor rgb="FFFF0000"/>
              <x14:axisColor rgb="FF000000"/>
            </x14:dataBar>
          </x14:cfRule>
          <xm:sqref>C765</xm:sqref>
        </x14:conditionalFormatting>
        <x14:conditionalFormatting xmlns:xm="http://schemas.microsoft.com/office/excel/2006/main">
          <x14:cfRule type="dataBar" id="{69AB7049-E315-4814-8E11-B519D03FB49B}">
            <x14:dataBar minLength="0" maxLength="100" gradient="0" negativeBarColorSameAsPositive="1" axisPosition="none">
              <x14:cfvo type="num">
                <xm:f>0</xm:f>
              </x14:cfvo>
              <x14:cfvo type="num">
                <xm:f>0.7</xm:f>
              </x14:cfvo>
            </x14:dataBar>
          </x14:cfRule>
          <xm:sqref>F787</xm:sqref>
        </x14:conditionalFormatting>
        <x14:conditionalFormatting xmlns:xm="http://schemas.microsoft.com/office/excel/2006/main">
          <x14:cfRule type="dataBar" id="{C3F0033F-6B67-4ACD-A325-20FFBD2D77F7}">
            <x14:dataBar minLength="0" maxLength="100" gradient="0">
              <x14:cfvo type="num">
                <xm:f>0</xm:f>
              </x14:cfvo>
              <x14:cfvo type="num">
                <xm:f>0.99</xm:f>
              </x14:cfvo>
              <x14:negativeFillColor rgb="FFFF0000"/>
              <x14:axisColor rgb="FF000000"/>
            </x14:dataBar>
          </x14:cfRule>
          <xm:sqref>C771</xm:sqref>
        </x14:conditionalFormatting>
        <x14:conditionalFormatting xmlns:xm="http://schemas.microsoft.com/office/excel/2006/main">
          <x14:cfRule type="dataBar" id="{4144B2AC-C2EA-41B9-AB9B-03FC43EF2B01}">
            <x14:dataBar minLength="0" maxLength="100" gradient="0" negativeBarColorSameAsPositive="1" axisPosition="none">
              <x14:cfvo type="num">
                <xm:f>0</xm:f>
              </x14:cfvo>
              <x14:cfvo type="num">
                <xm:f>0.7</xm:f>
              </x14:cfvo>
            </x14:dataBar>
          </x14:cfRule>
          <xm:sqref>F772:F775</xm:sqref>
        </x14:conditionalFormatting>
        <x14:conditionalFormatting xmlns:xm="http://schemas.microsoft.com/office/excel/2006/main">
          <x14:cfRule type="dataBar" id="{EB0AA51A-1AC1-48F7-B66E-BB61FFEF8B39}">
            <x14:dataBar minLength="0" maxLength="100" gradient="0">
              <x14:cfvo type="num">
                <xm:f>0</xm:f>
              </x14:cfvo>
              <x14:cfvo type="num">
                <xm:f>0.99</xm:f>
              </x14:cfvo>
              <x14:negativeFillColor rgb="FFFF0000"/>
              <x14:axisColor rgb="FF000000"/>
            </x14:dataBar>
          </x14:cfRule>
          <xm:sqref>C772:C775</xm:sqref>
        </x14:conditionalFormatting>
        <x14:conditionalFormatting xmlns:xm="http://schemas.microsoft.com/office/excel/2006/main">
          <x14:cfRule type="dataBar" id="{14257254-A0D2-454C-B981-9A96C1525F57}">
            <x14:dataBar minLength="0" maxLength="100" gradient="0" negativeBarColorSameAsPositive="1" axisPosition="none">
              <x14:cfvo type="num">
                <xm:f>0</xm:f>
              </x14:cfvo>
              <x14:cfvo type="num">
                <xm:f>0.7</xm:f>
              </x14:cfvo>
            </x14:dataBar>
          </x14:cfRule>
          <xm:sqref>F773:F775</xm:sqref>
        </x14:conditionalFormatting>
        <x14:conditionalFormatting xmlns:xm="http://schemas.microsoft.com/office/excel/2006/main">
          <x14:cfRule type="dataBar" id="{B96FFBD6-ECF6-4F16-B284-75347FD1E7FB}">
            <x14:dataBar minLength="0" maxLength="100" gradient="0">
              <x14:cfvo type="num">
                <xm:f>0</xm:f>
              </x14:cfvo>
              <x14:cfvo type="num">
                <xm:f>0.99</xm:f>
              </x14:cfvo>
              <x14:negativeFillColor rgb="FFFF0000"/>
              <x14:axisColor rgb="FF000000"/>
            </x14:dataBar>
          </x14:cfRule>
          <xm:sqref>C773:C775</xm:sqref>
        </x14:conditionalFormatting>
        <x14:conditionalFormatting xmlns:xm="http://schemas.microsoft.com/office/excel/2006/main">
          <x14:cfRule type="dataBar" id="{2F4A4836-F503-4C33-AE1D-E6F61507FC29}">
            <x14:dataBar minLength="0" maxLength="100" gradient="0" negativeBarColorSameAsPositive="1" axisPosition="none">
              <x14:cfvo type="num">
                <xm:f>0</xm:f>
              </x14:cfvo>
              <x14:cfvo type="num">
                <xm:f>0.7</xm:f>
              </x14:cfvo>
            </x14:dataBar>
          </x14:cfRule>
          <xm:sqref>F767:F771</xm:sqref>
        </x14:conditionalFormatting>
        <x14:conditionalFormatting xmlns:xm="http://schemas.microsoft.com/office/excel/2006/main">
          <x14:cfRule type="dataBar" id="{5FD849A0-A96A-4782-A7C0-D0649FF21DBB}">
            <x14:dataBar minLength="0" maxLength="100" gradient="0" negativeBarColorSameAsPositive="1" axisPosition="none">
              <x14:cfvo type="num">
                <xm:f>0</xm:f>
              </x14:cfvo>
              <x14:cfvo type="num">
                <xm:f>0.7</xm:f>
              </x14:cfvo>
            </x14:dataBar>
          </x14:cfRule>
          <xm:sqref>F776</xm:sqref>
        </x14:conditionalFormatting>
        <x14:conditionalFormatting xmlns:xm="http://schemas.microsoft.com/office/excel/2006/main">
          <x14:cfRule type="dataBar" id="{E6D45B72-2A07-41E4-B199-28F2995D07E8}">
            <x14:dataBar minLength="0" maxLength="100" gradient="0">
              <x14:cfvo type="num">
                <xm:f>0</xm:f>
              </x14:cfvo>
              <x14:cfvo type="num">
                <xm:f>0.99</xm:f>
              </x14:cfvo>
              <x14:negativeFillColor rgb="FFFF0000"/>
              <x14:axisColor rgb="FF000000"/>
            </x14:dataBar>
          </x14:cfRule>
          <xm:sqref>C776:C780</xm:sqref>
        </x14:conditionalFormatting>
        <x14:conditionalFormatting xmlns:xm="http://schemas.microsoft.com/office/excel/2006/main">
          <x14:cfRule type="dataBar" id="{D08C1AA5-3B04-4852-BEBE-8ACD963BB270}">
            <x14:dataBar minLength="0" maxLength="100" gradient="0">
              <x14:cfvo type="num">
                <xm:f>0</xm:f>
              </x14:cfvo>
              <x14:cfvo type="num">
                <xm:f>0.99</xm:f>
              </x14:cfvo>
              <x14:negativeFillColor rgb="FFFF0000"/>
              <x14:axisColor rgb="FF000000"/>
            </x14:dataBar>
          </x14:cfRule>
          <xm:sqref>C786</xm:sqref>
        </x14:conditionalFormatting>
        <x14:conditionalFormatting xmlns:xm="http://schemas.microsoft.com/office/excel/2006/main">
          <x14:cfRule type="dataBar" id="{9C74ECD0-A57F-433D-9A80-D49B0295FB35}">
            <x14:dataBar minLength="0" maxLength="100" gradient="0" negativeBarColorSameAsPositive="1" axisPosition="none">
              <x14:cfvo type="num">
                <xm:f>0</xm:f>
              </x14:cfvo>
              <x14:cfvo type="num">
                <xm:f>0.7</xm:f>
              </x14:cfvo>
            </x14:dataBar>
          </x14:cfRule>
          <xm:sqref>F777:F780 F786</xm:sqref>
        </x14:conditionalFormatting>
        <x14:conditionalFormatting xmlns:xm="http://schemas.microsoft.com/office/excel/2006/main">
          <x14:cfRule type="dataBar" id="{87323952-46B5-4DB7-857C-0FAA9D818781}">
            <x14:dataBar minLength="0" maxLength="100" gradient="0" negativeBarColorSameAsPositive="1" axisPosition="none">
              <x14:cfvo type="num">
                <xm:f>0</xm:f>
              </x14:cfvo>
              <x14:cfvo type="num">
                <xm:f>0.7</xm:f>
              </x14:cfvo>
            </x14:dataBar>
          </x14:cfRule>
          <xm:sqref>F812</xm:sqref>
        </x14:conditionalFormatting>
        <x14:conditionalFormatting xmlns:xm="http://schemas.microsoft.com/office/excel/2006/main">
          <x14:cfRule type="dataBar" id="{1FD7AA9E-0B45-4F64-B354-37C0FF22395A}">
            <x14:dataBar minLength="0" maxLength="100" gradient="0">
              <x14:cfvo type="num">
                <xm:f>0</xm:f>
              </x14:cfvo>
              <x14:cfvo type="num">
                <xm:f>0.99</xm:f>
              </x14:cfvo>
              <x14:negativeFillColor rgb="FFFF0000"/>
              <x14:axisColor rgb="FF000000"/>
            </x14:dataBar>
          </x14:cfRule>
          <xm:sqref>C787:C791</xm:sqref>
        </x14:conditionalFormatting>
        <x14:conditionalFormatting xmlns:xm="http://schemas.microsoft.com/office/excel/2006/main">
          <x14:cfRule type="dataBar" id="{F6980066-61FB-494F-9569-57A6F4168368}">
            <x14:dataBar minLength="0" maxLength="100" gradient="0" negativeBarColorSameAsPositive="1" axisPosition="none">
              <x14:cfvo type="num">
                <xm:f>0</xm:f>
              </x14:cfvo>
              <x14:cfvo type="num">
                <xm:f>0.7</xm:f>
              </x14:cfvo>
            </x14:dataBar>
          </x14:cfRule>
          <xm:sqref>F796</xm:sqref>
        </x14:conditionalFormatting>
        <x14:conditionalFormatting xmlns:xm="http://schemas.microsoft.com/office/excel/2006/main">
          <x14:cfRule type="dataBar" id="{4B9CB2AD-28B8-4853-8A5B-20AEB50D4AC1}">
            <x14:dataBar minLength="0" maxLength="100" gradient="0">
              <x14:cfvo type="num">
                <xm:f>0</xm:f>
              </x14:cfvo>
              <x14:cfvo type="num">
                <xm:f>0.99</xm:f>
              </x14:cfvo>
              <x14:negativeFillColor rgb="FFFF0000"/>
              <x14:axisColor rgb="FF000000"/>
            </x14:dataBar>
          </x14:cfRule>
          <xm:sqref>C796:C800</xm:sqref>
        </x14:conditionalFormatting>
        <x14:conditionalFormatting xmlns:xm="http://schemas.microsoft.com/office/excel/2006/main">
          <x14:cfRule type="dataBar" id="{EF8D282C-CEF2-48F1-97B6-07D9BD18FB97}">
            <x14:dataBar minLength="0" maxLength="100" gradient="0">
              <x14:cfvo type="num">
                <xm:f>0</xm:f>
              </x14:cfvo>
              <x14:cfvo type="num">
                <xm:f>0.99</xm:f>
              </x14:cfvo>
              <x14:negativeFillColor rgb="FFFF0000"/>
              <x14:axisColor rgb="FF000000"/>
            </x14:dataBar>
          </x14:cfRule>
          <xm:sqref>C795</xm:sqref>
        </x14:conditionalFormatting>
        <x14:conditionalFormatting xmlns:xm="http://schemas.microsoft.com/office/excel/2006/main">
          <x14:cfRule type="dataBar" id="{97305191-05EC-49B6-889A-B6873F4233C1}">
            <x14:dataBar minLength="0" maxLength="100" gradient="0" negativeBarColorSameAsPositive="1" axisPosition="none">
              <x14:cfvo type="num">
                <xm:f>0</xm:f>
              </x14:cfvo>
              <x14:cfvo type="num">
                <xm:f>0.7</xm:f>
              </x14:cfvo>
            </x14:dataBar>
          </x14:cfRule>
          <xm:sqref>F788:F791 F795</xm:sqref>
        </x14:conditionalFormatting>
        <x14:conditionalFormatting xmlns:xm="http://schemas.microsoft.com/office/excel/2006/main">
          <x14:cfRule type="dataBar" id="{0665AF88-9BF9-4D8E-9E76-6540BBC41FE2}">
            <x14:dataBar minLength="0" maxLength="100" gradient="0" negativeBarColorSameAsPositive="1" axisPosition="none">
              <x14:cfvo type="num">
                <xm:f>0</xm:f>
              </x14:cfvo>
              <x14:cfvo type="num">
                <xm:f>0.7</xm:f>
              </x14:cfvo>
            </x14:dataBar>
          </x14:cfRule>
          <xm:sqref>F805</xm:sqref>
        </x14:conditionalFormatting>
        <x14:conditionalFormatting xmlns:xm="http://schemas.microsoft.com/office/excel/2006/main">
          <x14:cfRule type="dataBar" id="{CE283DE4-220B-4A50-A6FF-4720DA657D9A}">
            <x14:dataBar minLength="0" maxLength="100" gradient="0">
              <x14:cfvo type="num">
                <xm:f>0</xm:f>
              </x14:cfvo>
              <x14:cfvo type="num">
                <xm:f>0.99</xm:f>
              </x14:cfvo>
              <x14:negativeFillColor rgb="FFFF0000"/>
              <x14:axisColor rgb="FF000000"/>
            </x14:dataBar>
          </x14:cfRule>
          <xm:sqref>C805:C809</xm:sqref>
        </x14:conditionalFormatting>
        <x14:conditionalFormatting xmlns:xm="http://schemas.microsoft.com/office/excel/2006/main">
          <x14:cfRule type="dataBar" id="{FAC7F262-1DFB-4E6A-9807-23C6E6D35CAD}">
            <x14:dataBar minLength="0" maxLength="100" gradient="0">
              <x14:cfvo type="num">
                <xm:f>0</xm:f>
              </x14:cfvo>
              <x14:cfvo type="num">
                <xm:f>0.99</xm:f>
              </x14:cfvo>
              <x14:negativeFillColor rgb="FFFF0000"/>
              <x14:axisColor rgb="FF000000"/>
            </x14:dataBar>
          </x14:cfRule>
          <xm:sqref>C804</xm:sqref>
        </x14:conditionalFormatting>
        <x14:conditionalFormatting xmlns:xm="http://schemas.microsoft.com/office/excel/2006/main">
          <x14:cfRule type="dataBar" id="{AB11E03E-D4E6-4672-AE04-CC050ADA3EF9}">
            <x14:dataBar minLength="0" maxLength="100" gradient="0" negativeBarColorSameAsPositive="1" axisPosition="none">
              <x14:cfvo type="num">
                <xm:f>0</xm:f>
              </x14:cfvo>
              <x14:cfvo type="num">
                <xm:f>0.7</xm:f>
              </x14:cfvo>
            </x14:dataBar>
          </x14:cfRule>
          <xm:sqref>F797:F800 F804</xm:sqref>
        </x14:conditionalFormatting>
        <x14:conditionalFormatting xmlns:xm="http://schemas.microsoft.com/office/excel/2006/main">
          <x14:cfRule type="dataBar" id="{5F81D2B9-CA57-495A-905A-643BEAB1B234}">
            <x14:dataBar minLength="0" maxLength="100" gradient="0">
              <x14:cfvo type="num">
                <xm:f>0</xm:f>
              </x14:cfvo>
              <x14:cfvo type="num">
                <xm:f>0.99</xm:f>
              </x14:cfvo>
              <x14:negativeFillColor rgb="FFFF0000"/>
              <x14:axisColor rgb="FF000000"/>
            </x14:dataBar>
          </x14:cfRule>
          <xm:sqref>C812:C816</xm:sqref>
        </x14:conditionalFormatting>
        <x14:conditionalFormatting xmlns:xm="http://schemas.microsoft.com/office/excel/2006/main">
          <x14:cfRule type="dataBar" id="{B5E16953-EB88-4E37-96BF-4EDC51E2FF37}">
            <x14:dataBar minLength="0" maxLength="100" gradient="0">
              <x14:cfvo type="num">
                <xm:f>0</xm:f>
              </x14:cfvo>
              <x14:cfvo type="num">
                <xm:f>0.99</xm:f>
              </x14:cfvo>
              <x14:negativeFillColor rgb="FFFF0000"/>
              <x14:axisColor rgb="FF000000"/>
            </x14:dataBar>
          </x14:cfRule>
          <xm:sqref>C811</xm:sqref>
        </x14:conditionalFormatting>
        <x14:conditionalFormatting xmlns:xm="http://schemas.microsoft.com/office/excel/2006/main">
          <x14:cfRule type="dataBar" id="{282BD59A-953E-4D94-8344-4AF7C4AB6908}">
            <x14:dataBar minLength="0" maxLength="100" gradient="0" negativeBarColorSameAsPositive="1" axisPosition="none">
              <x14:cfvo type="num">
                <xm:f>0</xm:f>
              </x14:cfvo>
              <x14:cfvo type="num">
                <xm:f>0.7</xm:f>
              </x14:cfvo>
            </x14:dataBar>
          </x14:cfRule>
          <xm:sqref>F806:F809 F811</xm:sqref>
        </x14:conditionalFormatting>
        <x14:conditionalFormatting xmlns:xm="http://schemas.microsoft.com/office/excel/2006/main">
          <x14:cfRule type="dataBar" id="{97B222CC-754E-4352-8365-1A592F42CEDA}">
            <x14:dataBar minLength="0" maxLength="100" gradient="0">
              <x14:cfvo type="num">
                <xm:f>0</xm:f>
              </x14:cfvo>
              <x14:cfvo type="num">
                <xm:f>0.99</xm:f>
              </x14:cfvo>
              <x14:negativeFillColor rgb="FFFF0000"/>
              <x14:axisColor rgb="FF000000"/>
            </x14:dataBar>
          </x14:cfRule>
          <xm:sqref>C819</xm:sqref>
        </x14:conditionalFormatting>
        <x14:conditionalFormatting xmlns:xm="http://schemas.microsoft.com/office/excel/2006/main">
          <x14:cfRule type="dataBar" id="{87CACAA5-854C-40FB-AE0B-ACB522C92FDB}">
            <x14:dataBar minLength="0" maxLength="100" gradient="0" negativeBarColorSameAsPositive="1" axisPosition="none">
              <x14:cfvo type="num">
                <xm:f>0</xm:f>
              </x14:cfvo>
              <x14:cfvo type="num">
                <xm:f>0.7</xm:f>
              </x14:cfvo>
            </x14:dataBar>
          </x14:cfRule>
          <xm:sqref>F813:F816 F819</xm:sqref>
        </x14:conditionalFormatting>
        <x14:conditionalFormatting xmlns:xm="http://schemas.microsoft.com/office/excel/2006/main">
          <x14:cfRule type="dataBar" id="{5606745A-4FD0-4C81-BEA3-8E3C5D09524F}">
            <x14:dataBar minLength="0" maxLength="100" gradient="0">
              <x14:cfvo type="num">
                <xm:f>0</xm:f>
              </x14:cfvo>
              <x14:cfvo type="num">
                <xm:f>0.99</xm:f>
              </x14:cfvo>
              <x14:negativeFillColor rgb="FFFF0000"/>
              <x14:axisColor rgb="FF000000"/>
            </x14:dataBar>
          </x14:cfRule>
          <xm:sqref>C781:C783</xm:sqref>
        </x14:conditionalFormatting>
        <x14:conditionalFormatting xmlns:xm="http://schemas.microsoft.com/office/excel/2006/main">
          <x14:cfRule type="dataBar" id="{0220DFBC-8462-4E27-821B-5E09FA38A048}">
            <x14:dataBar minLength="0" maxLength="100" gradient="0" negativeBarColorSameAsPositive="1" axisPosition="none">
              <x14:cfvo type="num">
                <xm:f>0</xm:f>
              </x14:cfvo>
              <x14:cfvo type="num">
                <xm:f>0.7</xm:f>
              </x14:cfvo>
            </x14:dataBar>
          </x14:cfRule>
          <xm:sqref>F781:F783</xm:sqref>
        </x14:conditionalFormatting>
        <x14:conditionalFormatting xmlns:xm="http://schemas.microsoft.com/office/excel/2006/main">
          <x14:cfRule type="dataBar" id="{386CA4EA-B383-4EBC-8631-2EAB8120CB76}">
            <x14:dataBar minLength="0" maxLength="100" gradient="0">
              <x14:cfvo type="num">
                <xm:f>0</xm:f>
              </x14:cfvo>
              <x14:cfvo type="num">
                <xm:f>0.99</xm:f>
              </x14:cfvo>
              <x14:negativeFillColor rgb="FFFF0000"/>
              <x14:axisColor rgb="FF000000"/>
            </x14:dataBar>
          </x14:cfRule>
          <xm:sqref>C784:C785</xm:sqref>
        </x14:conditionalFormatting>
        <x14:conditionalFormatting xmlns:xm="http://schemas.microsoft.com/office/excel/2006/main">
          <x14:cfRule type="dataBar" id="{BB10A5D4-2B59-403A-8C3D-74ECC2264FDB}">
            <x14:dataBar minLength="0" maxLength="100" gradient="0" negativeBarColorSameAsPositive="1" axisPosition="none">
              <x14:cfvo type="num">
                <xm:f>0</xm:f>
              </x14:cfvo>
              <x14:cfvo type="num">
                <xm:f>0.7</xm:f>
              </x14:cfvo>
            </x14:dataBar>
          </x14:cfRule>
          <xm:sqref>F784:F785</xm:sqref>
        </x14:conditionalFormatting>
        <x14:conditionalFormatting xmlns:xm="http://schemas.microsoft.com/office/excel/2006/main">
          <x14:cfRule type="dataBar" id="{E5D7590D-E253-47EE-AF7A-2747E7D504EB}">
            <x14:dataBar minLength="0" maxLength="100" gradient="0">
              <x14:cfvo type="num">
                <xm:f>0</xm:f>
              </x14:cfvo>
              <x14:cfvo type="num">
                <xm:f>0.99</xm:f>
              </x14:cfvo>
              <x14:negativeFillColor rgb="FFFF0000"/>
              <x14:axisColor rgb="FF000000"/>
            </x14:dataBar>
          </x14:cfRule>
          <xm:sqref>C792:C794</xm:sqref>
        </x14:conditionalFormatting>
        <x14:conditionalFormatting xmlns:xm="http://schemas.microsoft.com/office/excel/2006/main">
          <x14:cfRule type="dataBar" id="{8EDC1999-9944-4115-9D0E-F731B88E2A2A}">
            <x14:dataBar minLength="0" maxLength="100" gradient="0" negativeBarColorSameAsPositive="1" axisPosition="none">
              <x14:cfvo type="num">
                <xm:f>0</xm:f>
              </x14:cfvo>
              <x14:cfvo type="num">
                <xm:f>0.7</xm:f>
              </x14:cfvo>
            </x14:dataBar>
          </x14:cfRule>
          <xm:sqref>F792:F794</xm:sqref>
        </x14:conditionalFormatting>
        <x14:conditionalFormatting xmlns:xm="http://schemas.microsoft.com/office/excel/2006/main">
          <x14:cfRule type="dataBar" id="{27529ACF-EFC0-4F05-A35F-C4BD70897846}">
            <x14:dataBar minLength="0" maxLength="100" gradient="0">
              <x14:cfvo type="num">
                <xm:f>0</xm:f>
              </x14:cfvo>
              <x14:cfvo type="num">
                <xm:f>0.99</xm:f>
              </x14:cfvo>
              <x14:negativeFillColor rgb="FFFF0000"/>
              <x14:axisColor rgb="FF000000"/>
            </x14:dataBar>
          </x14:cfRule>
          <xm:sqref>C801:C803</xm:sqref>
        </x14:conditionalFormatting>
        <x14:conditionalFormatting xmlns:xm="http://schemas.microsoft.com/office/excel/2006/main">
          <x14:cfRule type="dataBar" id="{743331AE-AEA4-45DA-AFE5-872FF1DEE0B3}">
            <x14:dataBar minLength="0" maxLength="100" gradient="0" negativeBarColorSameAsPositive="1" axisPosition="none">
              <x14:cfvo type="num">
                <xm:f>0</xm:f>
              </x14:cfvo>
              <x14:cfvo type="num">
                <xm:f>0.7</xm:f>
              </x14:cfvo>
            </x14:dataBar>
          </x14:cfRule>
          <xm:sqref>F801:F803</xm:sqref>
        </x14:conditionalFormatting>
        <x14:conditionalFormatting xmlns:xm="http://schemas.microsoft.com/office/excel/2006/main">
          <x14:cfRule type="dataBar" id="{46EEE647-7562-4B2E-96DC-CC8C8C187D7C}">
            <x14:dataBar minLength="0" maxLength="100" gradient="0">
              <x14:cfvo type="num">
                <xm:f>0</xm:f>
              </x14:cfvo>
              <x14:cfvo type="num">
                <xm:f>0.99</xm:f>
              </x14:cfvo>
              <x14:negativeFillColor rgb="FFFF0000"/>
              <x14:axisColor rgb="FF000000"/>
            </x14:dataBar>
          </x14:cfRule>
          <xm:sqref>C810</xm:sqref>
        </x14:conditionalFormatting>
        <x14:conditionalFormatting xmlns:xm="http://schemas.microsoft.com/office/excel/2006/main">
          <x14:cfRule type="dataBar" id="{7E02B7E2-0840-474B-B9D1-87BDF823DB8A}">
            <x14:dataBar minLength="0" maxLength="100" gradient="0" negativeBarColorSameAsPositive="1" axisPosition="none">
              <x14:cfvo type="num">
                <xm:f>0</xm:f>
              </x14:cfvo>
              <x14:cfvo type="num">
                <xm:f>0.7</xm:f>
              </x14:cfvo>
            </x14:dataBar>
          </x14:cfRule>
          <xm:sqref>F810</xm:sqref>
        </x14:conditionalFormatting>
        <x14:conditionalFormatting xmlns:xm="http://schemas.microsoft.com/office/excel/2006/main">
          <x14:cfRule type="dataBar" id="{D65CE230-9EC7-44FC-A706-924F53E0AD88}">
            <x14:dataBar minLength="0" maxLength="100" gradient="0">
              <x14:cfvo type="num">
                <xm:f>0</xm:f>
              </x14:cfvo>
              <x14:cfvo type="num">
                <xm:f>0.99</xm:f>
              </x14:cfvo>
              <x14:negativeFillColor rgb="FFFF0000"/>
              <x14:axisColor rgb="FF000000"/>
            </x14:dataBar>
          </x14:cfRule>
          <xm:sqref>C817:C818</xm:sqref>
        </x14:conditionalFormatting>
        <x14:conditionalFormatting xmlns:xm="http://schemas.microsoft.com/office/excel/2006/main">
          <x14:cfRule type="dataBar" id="{ECEA2A0B-D3BB-4C33-90C5-B015ADE54699}">
            <x14:dataBar minLength="0" maxLength="100" gradient="0" negativeBarColorSameAsPositive="1" axisPosition="none">
              <x14:cfvo type="num">
                <xm:f>0</xm:f>
              </x14:cfvo>
              <x14:cfvo type="num">
                <xm:f>0.7</xm:f>
              </x14:cfvo>
            </x14:dataBar>
          </x14:cfRule>
          <xm:sqref>F817:F818</xm:sqref>
        </x14:conditionalFormatting>
      </x14:conditionalFormatting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04">
    <tabColor theme="4"/>
  </sheetPr>
  <dimension ref="A1:AC76"/>
  <sheetViews>
    <sheetView showGridLines="0" topLeftCell="A34" zoomScale="70" zoomScaleNormal="70" workbookViewId="0">
      <selection activeCell="B28" sqref="B28:T48"/>
    </sheetView>
  </sheetViews>
  <sheetFormatPr baseColWidth="10" defaultColWidth="9.3984375" defaultRowHeight="13"/>
  <cols>
    <col min="1" max="1" width="9.3984375" style="944"/>
    <col min="2" max="2" width="14.19921875" style="944" customWidth="1"/>
    <col min="3" max="3" width="2.3984375" style="944" customWidth="1"/>
    <col min="4" max="4" width="23.19921875" style="944" customWidth="1"/>
    <col min="5" max="5" width="1.796875" style="944" customWidth="1"/>
    <col min="6" max="8" width="6.796875" style="944" customWidth="1"/>
    <col min="9" max="9" width="0.796875" style="944" customWidth="1"/>
    <col min="10" max="10" width="6" style="944" hidden="1" customWidth="1"/>
    <col min="11" max="11" width="0.3984375" style="944" customWidth="1"/>
    <col min="12" max="12" width="9.3984375" style="944"/>
    <col min="13" max="13" width="1.796875" style="944" customWidth="1"/>
    <col min="14" max="14" width="13.796875" style="944" bestFit="1" customWidth="1"/>
    <col min="15" max="15" width="1.796875" style="944" customWidth="1"/>
    <col min="16" max="16" width="9.3984375" style="944"/>
    <col min="17" max="17" width="1.796875" style="944" customWidth="1"/>
    <col min="18" max="18" width="9.3984375" style="944"/>
    <col min="19" max="19" width="1.796875" style="944" customWidth="1"/>
    <col min="20" max="20" width="8.19921875" style="944" customWidth="1"/>
    <col min="21" max="21" width="2" style="1077" customWidth="1"/>
    <col min="22" max="22" width="9.3984375" style="944"/>
    <col min="23" max="23" width="31.3984375" style="944" customWidth="1"/>
    <col min="24" max="24" width="2.3984375" style="944" customWidth="1"/>
    <col min="25" max="27" width="9.3984375" style="944"/>
    <col min="28" max="29" width="10.3984375" style="944" customWidth="1"/>
    <col min="30" max="16384" width="9.3984375" style="944"/>
  </cols>
  <sheetData>
    <row r="1" spans="2:23">
      <c r="B1" s="947" t="s">
        <v>2132</v>
      </c>
      <c r="C1" s="947"/>
      <c r="D1" s="1068"/>
      <c r="E1" s="1068"/>
      <c r="F1" s="1783"/>
      <c r="G1" s="1783"/>
      <c r="H1" s="1755"/>
      <c r="I1" s="1755"/>
      <c r="J1" s="1755"/>
      <c r="K1" s="1755"/>
      <c r="L1" s="1465"/>
      <c r="M1" s="1465"/>
      <c r="N1" s="1748"/>
      <c r="O1" s="1748"/>
      <c r="P1" s="1748"/>
      <c r="Q1" s="1748"/>
      <c r="R1" s="1748"/>
      <c r="S1" s="1748"/>
      <c r="T1" s="1748"/>
      <c r="V1" s="1748"/>
      <c r="W1" s="1748"/>
    </row>
    <row r="2" spans="2:23" ht="3" customHeight="1">
      <c r="B2" s="947"/>
      <c r="C2" s="947"/>
      <c r="D2" s="1068"/>
      <c r="E2" s="1068"/>
      <c r="F2" s="1783"/>
      <c r="G2" s="1783"/>
      <c r="H2" s="1755"/>
      <c r="I2" s="1755"/>
      <c r="J2" s="1755"/>
      <c r="K2" s="1755"/>
      <c r="L2" s="1465"/>
      <c r="M2" s="1465"/>
      <c r="N2" s="1748"/>
      <c r="O2" s="1748"/>
      <c r="P2" s="1748"/>
      <c r="Q2" s="1748"/>
      <c r="R2" s="1748"/>
      <c r="S2" s="1748"/>
      <c r="T2" s="1748"/>
      <c r="V2" s="1748" t="s">
        <v>2289</v>
      </c>
      <c r="W2" s="1748"/>
    </row>
    <row r="3" spans="2:23" ht="1.5" customHeight="1">
      <c r="D3" s="1068"/>
      <c r="E3" s="1068"/>
      <c r="F3" s="1783"/>
      <c r="G3" s="1783"/>
      <c r="H3" s="1755"/>
      <c r="I3" s="1755"/>
      <c r="J3" s="1755"/>
      <c r="K3" s="1755"/>
      <c r="L3" s="1748"/>
      <c r="M3" s="1748"/>
      <c r="N3" s="1748"/>
      <c r="O3" s="1748"/>
      <c r="P3" s="1748"/>
      <c r="Q3" s="1748"/>
      <c r="R3" s="1748"/>
      <c r="S3" s="1748"/>
      <c r="T3" s="1748"/>
      <c r="V3" s="1748" t="s">
        <v>2289</v>
      </c>
      <c r="W3" s="1748"/>
    </row>
    <row r="4" spans="2:23" ht="12.75" customHeight="1">
      <c r="B4" s="3495" t="s">
        <v>2127</v>
      </c>
      <c r="C4" s="947"/>
      <c r="D4" s="1749"/>
      <c r="E4" s="1749"/>
      <c r="F4" s="1783"/>
      <c r="G4" s="1783"/>
      <c r="H4" s="1784" t="s">
        <v>1827</v>
      </c>
      <c r="I4" s="1751"/>
      <c r="J4" s="1751" t="s">
        <v>1828</v>
      </c>
      <c r="K4" s="1755" t="s">
        <v>221</v>
      </c>
      <c r="L4" s="3494" t="s">
        <v>1829</v>
      </c>
      <c r="M4" s="3494"/>
      <c r="N4" s="3494"/>
      <c r="O4" s="3494"/>
      <c r="P4" s="3494"/>
      <c r="Q4" s="3494"/>
      <c r="R4" s="3494"/>
      <c r="S4" s="3494"/>
      <c r="T4" s="3494"/>
      <c r="V4" s="1748" t="s">
        <v>2289</v>
      </c>
      <c r="W4" s="1748"/>
    </row>
    <row r="5" spans="2:23" s="947" customFormat="1" ht="12" customHeight="1">
      <c r="B5" s="3495"/>
      <c r="C5" s="1750"/>
      <c r="D5" s="1750" t="s">
        <v>1830</v>
      </c>
      <c r="E5" s="1750"/>
      <c r="F5" s="1092" t="s">
        <v>110</v>
      </c>
      <c r="G5" s="3286"/>
      <c r="H5" s="1784" t="s">
        <v>1831</v>
      </c>
      <c r="I5" s="1751" t="s">
        <v>221</v>
      </c>
      <c r="J5" s="1784" t="s">
        <v>1832</v>
      </c>
      <c r="K5" s="1752"/>
      <c r="L5" s="1753" t="s">
        <v>653</v>
      </c>
      <c r="M5" s="1753"/>
      <c r="N5" s="1753" t="s">
        <v>268</v>
      </c>
      <c r="O5" s="1753"/>
      <c r="P5" s="1753" t="s">
        <v>654</v>
      </c>
      <c r="Q5" s="1753"/>
      <c r="R5" s="1753" t="s">
        <v>655</v>
      </c>
      <c r="S5" s="1753"/>
      <c r="T5" s="1753" t="s">
        <v>2372</v>
      </c>
      <c r="U5" s="1400"/>
      <c r="V5" s="1748" t="s">
        <v>2289</v>
      </c>
      <c r="W5" s="1465"/>
    </row>
    <row r="6" spans="2:23" ht="3.75" customHeight="1">
      <c r="B6" s="1754"/>
      <c r="C6" s="1754"/>
      <c r="D6" s="1754"/>
      <c r="E6" s="1754"/>
      <c r="F6" s="1783"/>
      <c r="G6" s="1783"/>
      <c r="H6" s="1755"/>
      <c r="I6" s="1755"/>
      <c r="J6" s="1755"/>
      <c r="K6" s="1755"/>
      <c r="L6" s="1756"/>
      <c r="M6" s="1756"/>
      <c r="N6" s="1756"/>
      <c r="O6" s="1756"/>
      <c r="P6" s="1756"/>
      <c r="Q6" s="1756"/>
      <c r="R6" s="1756"/>
      <c r="S6" s="1756"/>
      <c r="T6" s="1756"/>
      <c r="V6" s="1748" t="s">
        <v>2289</v>
      </c>
      <c r="W6" s="1748"/>
    </row>
    <row r="7" spans="2:23" ht="14" customHeight="1">
      <c r="B7" s="1754" t="s">
        <v>659</v>
      </c>
      <c r="C7" s="1754"/>
      <c r="D7" s="1785" t="s">
        <v>876</v>
      </c>
      <c r="E7" s="1576"/>
      <c r="F7" s="1786" t="s">
        <v>827</v>
      </c>
      <c r="G7" s="1786"/>
      <c r="H7" s="1755">
        <v>2014</v>
      </c>
      <c r="I7" s="1755"/>
      <c r="J7" s="1755">
        <f t="shared" ref="J7:J22" si="0">H7+4</f>
        <v>2018</v>
      </c>
      <c r="K7" s="1755"/>
      <c r="L7" s="1756" t="s">
        <v>660</v>
      </c>
      <c r="M7" s="1756"/>
      <c r="N7" s="1759">
        <v>37084</v>
      </c>
      <c r="O7" s="1558"/>
      <c r="P7" s="1756">
        <v>7636</v>
      </c>
      <c r="Q7" s="1756"/>
      <c r="R7" s="1756">
        <v>7140</v>
      </c>
      <c r="S7" s="1756"/>
      <c r="T7" s="1760">
        <v>0.245</v>
      </c>
      <c r="V7" s="1748" t="s">
        <v>2289</v>
      </c>
      <c r="W7" s="1748"/>
    </row>
    <row r="8" spans="2:23" ht="14" customHeight="1">
      <c r="B8" s="1754" t="s">
        <v>664</v>
      </c>
      <c r="C8" s="1754"/>
      <c r="D8" s="1787" t="s">
        <v>835</v>
      </c>
      <c r="E8" s="1788"/>
      <c r="F8" s="1789" t="s">
        <v>699</v>
      </c>
      <c r="G8" s="1789"/>
      <c r="H8" s="1755">
        <v>2014</v>
      </c>
      <c r="I8" s="1755"/>
      <c r="J8" s="1755">
        <f t="shared" si="0"/>
        <v>2018</v>
      </c>
      <c r="K8" s="1755"/>
      <c r="L8" s="1756" t="s">
        <v>660</v>
      </c>
      <c r="M8" s="1756"/>
      <c r="N8" s="1759">
        <v>37182</v>
      </c>
      <c r="O8" s="1558"/>
      <c r="P8" s="1756">
        <v>16822</v>
      </c>
      <c r="Q8" s="1756"/>
      <c r="R8" s="1756">
        <v>15914</v>
      </c>
      <c r="S8" s="1756"/>
      <c r="T8" s="1760">
        <v>0.18</v>
      </c>
      <c r="V8" s="1748" t="s">
        <v>2289</v>
      </c>
      <c r="W8" s="1748"/>
    </row>
    <row r="9" spans="2:23" ht="14" customHeight="1">
      <c r="B9" s="1754" t="s">
        <v>679</v>
      </c>
      <c r="C9" s="1790">
        <v>2</v>
      </c>
      <c r="D9" s="1761" t="s">
        <v>2128</v>
      </c>
      <c r="E9" s="1762"/>
      <c r="F9" s="1789" t="s">
        <v>699</v>
      </c>
      <c r="G9" s="1789"/>
      <c r="H9" s="1755">
        <v>2016</v>
      </c>
      <c r="I9" s="1755"/>
      <c r="J9" s="1755">
        <f t="shared" si="0"/>
        <v>2020</v>
      </c>
      <c r="K9" s="1755"/>
      <c r="L9" s="1756" t="s">
        <v>660</v>
      </c>
      <c r="M9" s="1756"/>
      <c r="N9" s="1759">
        <v>37379</v>
      </c>
      <c r="O9" s="1558"/>
      <c r="P9" s="1756">
        <v>24697</v>
      </c>
      <c r="Q9" s="1756"/>
      <c r="R9" s="1756">
        <v>10547</v>
      </c>
      <c r="S9" s="1756"/>
      <c r="T9" s="1760">
        <v>0.31900000000000001</v>
      </c>
      <c r="V9" s="1748" t="s">
        <v>2289</v>
      </c>
      <c r="W9" s="1748"/>
    </row>
    <row r="10" spans="2:23" ht="14" customHeight="1">
      <c r="B10" s="944" t="s">
        <v>960</v>
      </c>
      <c r="C10" s="1790">
        <v>2</v>
      </c>
      <c r="D10" s="1761" t="s">
        <v>1774</v>
      </c>
      <c r="E10" s="1762"/>
      <c r="F10" s="1789" t="s">
        <v>699</v>
      </c>
      <c r="G10" s="1789"/>
      <c r="H10" s="1755">
        <v>2015</v>
      </c>
      <c r="I10" s="1755"/>
      <c r="J10" s="1755">
        <f t="shared" si="0"/>
        <v>2019</v>
      </c>
      <c r="K10" s="1755"/>
      <c r="L10" s="1558" t="s">
        <v>175</v>
      </c>
      <c r="M10" s="1558"/>
      <c r="N10" s="1759">
        <v>40304</v>
      </c>
      <c r="O10" s="1558" t="s">
        <v>854</v>
      </c>
      <c r="P10" s="1558">
        <v>60758</v>
      </c>
      <c r="Q10" s="1558"/>
      <c r="R10" s="1558">
        <v>39857</v>
      </c>
      <c r="S10" s="1558"/>
      <c r="T10" s="1760">
        <v>0.621</v>
      </c>
      <c r="V10" s="1748" t="s">
        <v>2289</v>
      </c>
      <c r="W10" s="1748"/>
    </row>
    <row r="11" spans="2:23" ht="14" customHeight="1">
      <c r="B11" s="944" t="s">
        <v>1001</v>
      </c>
      <c r="D11" s="1761" t="s">
        <v>1728</v>
      </c>
      <c r="E11" s="1762"/>
      <c r="F11" s="1789" t="s">
        <v>699</v>
      </c>
      <c r="G11" s="1789"/>
      <c r="H11" s="1755">
        <v>2014</v>
      </c>
      <c r="I11" s="1755"/>
      <c r="J11" s="1755">
        <f t="shared" si="0"/>
        <v>2018</v>
      </c>
      <c r="K11" s="1755"/>
      <c r="L11" s="1768" t="s">
        <v>1833</v>
      </c>
      <c r="M11" s="1558"/>
      <c r="N11" s="1558"/>
      <c r="O11" s="1558"/>
      <c r="P11" s="1558"/>
      <c r="Q11" s="1558"/>
      <c r="R11" s="1558"/>
      <c r="S11" s="1558"/>
      <c r="T11" s="1558"/>
      <c r="V11" s="1748" t="s">
        <v>2289</v>
      </c>
      <c r="W11" s="1748"/>
    </row>
    <row r="12" spans="2:23" ht="14" customHeight="1">
      <c r="B12" s="1754" t="s">
        <v>674</v>
      </c>
      <c r="C12" s="1754"/>
      <c r="D12" s="1761" t="s">
        <v>687</v>
      </c>
      <c r="E12" s="1762"/>
      <c r="F12" s="1789" t="s">
        <v>699</v>
      </c>
      <c r="G12" s="1789"/>
      <c r="H12" s="1755">
        <v>2015</v>
      </c>
      <c r="I12" s="1755"/>
      <c r="J12" s="1755">
        <f t="shared" si="0"/>
        <v>2019</v>
      </c>
      <c r="K12" s="1755"/>
      <c r="L12" s="1756" t="s">
        <v>660</v>
      </c>
      <c r="M12" s="1756"/>
      <c r="N12" s="1759">
        <v>37287</v>
      </c>
      <c r="O12" s="1558"/>
      <c r="P12" s="1756">
        <v>27263</v>
      </c>
      <c r="Q12" s="1756"/>
      <c r="R12" s="1756">
        <v>12687</v>
      </c>
      <c r="S12" s="1756"/>
      <c r="T12" s="1760">
        <v>0.25900000000000001</v>
      </c>
      <c r="V12" s="1748" t="s">
        <v>2289</v>
      </c>
      <c r="W12" s="1748"/>
    </row>
    <row r="13" spans="2:23" ht="14" customHeight="1">
      <c r="B13" s="1754" t="s">
        <v>677</v>
      </c>
      <c r="C13" s="1754"/>
      <c r="D13" s="1761" t="s">
        <v>994</v>
      </c>
      <c r="E13" s="1762"/>
      <c r="F13" s="1786" t="s">
        <v>827</v>
      </c>
      <c r="G13" s="1786"/>
      <c r="H13" s="1755">
        <v>2015</v>
      </c>
      <c r="I13" s="1755"/>
      <c r="J13" s="1755">
        <f t="shared" si="0"/>
        <v>2019</v>
      </c>
      <c r="K13" s="1755"/>
      <c r="L13" s="1756" t="s">
        <v>660</v>
      </c>
      <c r="M13" s="1756"/>
      <c r="N13" s="1759">
        <v>37308</v>
      </c>
      <c r="O13" s="1558"/>
      <c r="P13" s="1756">
        <v>11316</v>
      </c>
      <c r="Q13" s="1756"/>
      <c r="R13" s="1756">
        <v>5537</v>
      </c>
      <c r="S13" s="1756"/>
      <c r="T13" s="1760">
        <v>0.155</v>
      </c>
      <c r="V13" s="1748" t="s">
        <v>2289</v>
      </c>
      <c r="W13" s="1748"/>
    </row>
    <row r="14" spans="2:23" ht="14" customHeight="1">
      <c r="B14" s="1754" t="s">
        <v>680</v>
      </c>
      <c r="C14" s="1754"/>
      <c r="D14" s="1761" t="s">
        <v>1737</v>
      </c>
      <c r="E14" s="1762"/>
      <c r="F14" s="1791" t="s">
        <v>931</v>
      </c>
      <c r="G14" s="1791"/>
      <c r="H14" s="1755">
        <v>2015</v>
      </c>
      <c r="I14" s="1755"/>
      <c r="J14" s="1755">
        <f t="shared" si="0"/>
        <v>2019</v>
      </c>
      <c r="K14" s="1755"/>
      <c r="L14" s="1756" t="s">
        <v>660</v>
      </c>
      <c r="M14" s="1756"/>
      <c r="N14" s="1759">
        <v>37379</v>
      </c>
      <c r="O14" s="1558"/>
      <c r="P14" s="1756">
        <v>8973</v>
      </c>
      <c r="Q14" s="1756"/>
      <c r="R14" s="1756">
        <v>7350</v>
      </c>
      <c r="S14" s="1756"/>
      <c r="T14" s="1760">
        <v>0.2104</v>
      </c>
      <c r="V14" s="1748" t="s">
        <v>2289</v>
      </c>
      <c r="W14" s="1748"/>
    </row>
    <row r="15" spans="2:23" ht="14" customHeight="1">
      <c r="B15" s="1792" t="s">
        <v>61</v>
      </c>
      <c r="C15" s="1792"/>
      <c r="D15" s="1761" t="s">
        <v>984</v>
      </c>
      <c r="E15" s="1762"/>
      <c r="F15" s="1793" t="s">
        <v>806</v>
      </c>
      <c r="G15" s="1793"/>
      <c r="H15" s="1755">
        <v>2015</v>
      </c>
      <c r="I15" s="1755"/>
      <c r="J15" s="1755">
        <f t="shared" si="0"/>
        <v>2019</v>
      </c>
      <c r="K15" s="1755"/>
      <c r="L15" s="1794" t="s">
        <v>660</v>
      </c>
      <c r="M15" s="1794"/>
      <c r="N15" s="1759">
        <v>38547</v>
      </c>
      <c r="O15" s="1558"/>
      <c r="P15" s="1794">
        <v>18074</v>
      </c>
      <c r="Q15" s="1794"/>
      <c r="R15" s="1794">
        <v>14682</v>
      </c>
      <c r="S15" s="1794"/>
      <c r="T15" s="1760">
        <v>0.32100000000000001</v>
      </c>
      <c r="V15" s="1748" t="s">
        <v>2289</v>
      </c>
      <c r="W15" s="1748"/>
    </row>
    <row r="16" spans="2:23" ht="14" customHeight="1">
      <c r="B16" s="944" t="s">
        <v>463</v>
      </c>
      <c r="D16" s="1761" t="s">
        <v>1742</v>
      </c>
      <c r="E16" s="1762"/>
      <c r="F16" s="1789" t="s">
        <v>699</v>
      </c>
      <c r="G16" s="1789"/>
      <c r="H16" s="1755">
        <v>2015</v>
      </c>
      <c r="I16" s="1755"/>
      <c r="J16" s="1755">
        <f t="shared" si="0"/>
        <v>2019</v>
      </c>
      <c r="K16" s="1755"/>
      <c r="L16" s="1763" t="s">
        <v>175</v>
      </c>
      <c r="M16" s="1763"/>
      <c r="N16" s="1759">
        <v>41543</v>
      </c>
      <c r="O16" s="1558"/>
      <c r="P16" s="1764">
        <v>8674</v>
      </c>
      <c r="Q16" s="1764"/>
      <c r="R16" s="1764">
        <v>6455</v>
      </c>
      <c r="S16" s="1764"/>
      <c r="T16" s="1760">
        <v>0.151</v>
      </c>
      <c r="V16" s="1748" t="s">
        <v>2289</v>
      </c>
      <c r="W16" s="1748"/>
    </row>
    <row r="17" spans="1:23" ht="14" customHeight="1">
      <c r="B17" s="944" t="s">
        <v>1723</v>
      </c>
      <c r="D17" s="1761" t="s">
        <v>1724</v>
      </c>
      <c r="E17" s="1762"/>
      <c r="F17" s="1791" t="s">
        <v>931</v>
      </c>
      <c r="G17" s="1791"/>
      <c r="H17" s="1755">
        <v>2015</v>
      </c>
      <c r="I17" s="1755"/>
      <c r="J17" s="1755">
        <f t="shared" si="0"/>
        <v>2019</v>
      </c>
      <c r="K17" s="1755"/>
      <c r="L17" s="1763" t="s">
        <v>175</v>
      </c>
      <c r="M17" s="1763"/>
      <c r="N17" s="1759">
        <v>41781</v>
      </c>
      <c r="O17" s="1558"/>
      <c r="P17" s="1764">
        <v>12671</v>
      </c>
      <c r="Q17" s="1764"/>
      <c r="R17" s="1764">
        <v>5489</v>
      </c>
      <c r="S17" s="1764"/>
      <c r="T17" s="1760">
        <v>0.33900000000000002</v>
      </c>
      <c r="V17" s="1748" t="s">
        <v>2289</v>
      </c>
      <c r="W17" s="1748"/>
    </row>
    <row r="18" spans="1:23" ht="14" customHeight="1">
      <c r="B18" s="944" t="s">
        <v>1152</v>
      </c>
      <c r="D18" s="1765" t="s">
        <v>1956</v>
      </c>
      <c r="E18" s="1161"/>
      <c r="F18" s="1789" t="s">
        <v>699</v>
      </c>
      <c r="G18" s="1789"/>
      <c r="H18" s="1755">
        <v>2016</v>
      </c>
      <c r="I18" s="1755"/>
      <c r="J18" s="1755">
        <f t="shared" si="0"/>
        <v>2020</v>
      </c>
      <c r="K18" s="1755"/>
      <c r="L18" s="1558" t="s">
        <v>175</v>
      </c>
      <c r="M18" s="1558"/>
      <c r="N18" s="1759">
        <v>40934</v>
      </c>
      <c r="O18" s="1558"/>
      <c r="P18" s="1558">
        <v>17344</v>
      </c>
      <c r="Q18" s="1558"/>
      <c r="R18" s="1558">
        <v>13653</v>
      </c>
      <c r="S18" s="1558"/>
      <c r="T18" s="1760">
        <v>0.18099999999999999</v>
      </c>
      <c r="V18" s="1748" t="s">
        <v>2289</v>
      </c>
      <c r="W18" s="1748"/>
    </row>
    <row r="19" spans="1:23" ht="14" customHeight="1">
      <c r="B19" s="944" t="s">
        <v>1212</v>
      </c>
      <c r="D19" s="1766" t="s">
        <v>2126</v>
      </c>
      <c r="E19" s="1767"/>
      <c r="F19" s="1789" t="s">
        <v>699</v>
      </c>
      <c r="G19" s="1789"/>
      <c r="H19" s="1755">
        <v>2016</v>
      </c>
      <c r="I19" s="1755"/>
      <c r="J19" s="1755">
        <f t="shared" si="0"/>
        <v>2020</v>
      </c>
      <c r="K19" s="1755"/>
      <c r="L19" s="1763" t="s">
        <v>175</v>
      </c>
      <c r="M19" s="1763"/>
      <c r="N19" s="1759">
        <v>41032</v>
      </c>
      <c r="O19" s="1558"/>
      <c r="P19" s="1764">
        <v>41032</v>
      </c>
      <c r="Q19" s="1764"/>
      <c r="R19" s="1764">
        <v>35880</v>
      </c>
      <c r="S19" s="1764"/>
      <c r="T19" s="1760">
        <v>0.24118434710075165</v>
      </c>
      <c r="V19" s="1748" t="s">
        <v>2289</v>
      </c>
      <c r="W19" s="1748"/>
    </row>
    <row r="20" spans="1:23" ht="14" customHeight="1">
      <c r="B20" s="948" t="s">
        <v>1235</v>
      </c>
      <c r="C20" s="948"/>
      <c r="D20" s="1765" t="s">
        <v>1236</v>
      </c>
      <c r="E20" s="1161"/>
      <c r="F20" s="1789" t="s">
        <v>699</v>
      </c>
      <c r="G20" s="1789"/>
      <c r="H20" s="1755">
        <v>2016</v>
      </c>
      <c r="I20" s="1755"/>
      <c r="J20" s="1755">
        <f t="shared" si="0"/>
        <v>2020</v>
      </c>
      <c r="K20" s="1755"/>
      <c r="L20" s="1768" t="s">
        <v>1833</v>
      </c>
      <c r="M20" s="1558"/>
      <c r="N20" s="1558"/>
      <c r="O20" s="1558"/>
      <c r="P20" s="1558"/>
      <c r="Q20" s="1558"/>
      <c r="R20" s="1558"/>
      <c r="S20" s="1558"/>
      <c r="T20" s="1558"/>
      <c r="V20" s="1748" t="s">
        <v>2289</v>
      </c>
      <c r="W20" s="1748"/>
    </row>
    <row r="21" spans="1:23" ht="14" customHeight="1">
      <c r="B21" s="1754" t="s">
        <v>665</v>
      </c>
      <c r="C21" s="1754"/>
      <c r="D21" s="1787" t="s">
        <v>1716</v>
      </c>
      <c r="E21" s="1788"/>
      <c r="F21" s="1789" t="s">
        <v>699</v>
      </c>
      <c r="G21" s="1789"/>
      <c r="H21" s="1755">
        <v>2017</v>
      </c>
      <c r="I21" s="1755"/>
      <c r="J21" s="1755">
        <f t="shared" si="0"/>
        <v>2021</v>
      </c>
      <c r="K21" s="1755"/>
      <c r="L21" s="1756" t="s">
        <v>660</v>
      </c>
      <c r="M21" s="1756"/>
      <c r="N21" s="1759">
        <v>37182</v>
      </c>
      <c r="O21" s="1558"/>
      <c r="P21" s="1756">
        <v>30262</v>
      </c>
      <c r="Q21" s="1756"/>
      <c r="R21" s="1756">
        <v>22296</v>
      </c>
      <c r="S21" s="1756"/>
      <c r="T21" s="1760">
        <v>0.36</v>
      </c>
      <c r="V21" s="1748" t="s">
        <v>2289</v>
      </c>
      <c r="W21" s="1748"/>
    </row>
    <row r="22" spans="1:23" s="948" customFormat="1" ht="14" customHeight="1">
      <c r="A22" s="944"/>
      <c r="B22" s="944" t="s">
        <v>1792</v>
      </c>
      <c r="C22" s="944"/>
      <c r="D22" s="1761" t="s">
        <v>1708</v>
      </c>
      <c r="E22" s="1762"/>
      <c r="F22" s="1789" t="s">
        <v>699</v>
      </c>
      <c r="G22" s="1789"/>
      <c r="H22" s="1755">
        <v>2017</v>
      </c>
      <c r="I22" s="1755"/>
      <c r="J22" s="1755">
        <f t="shared" si="0"/>
        <v>2021</v>
      </c>
      <c r="K22" s="1755"/>
      <c r="L22" s="1763" t="s">
        <v>175</v>
      </c>
      <c r="M22" s="1763"/>
      <c r="N22" s="1759">
        <v>41032</v>
      </c>
      <c r="O22" s="1558"/>
      <c r="P22" s="1764">
        <v>42196</v>
      </c>
      <c r="Q22" s="1764"/>
      <c r="R22" s="1764">
        <v>25879</v>
      </c>
      <c r="S22" s="1764"/>
      <c r="T22" s="1760">
        <v>0.307</v>
      </c>
      <c r="U22" s="1077"/>
      <c r="V22" s="1748" t="s">
        <v>2289</v>
      </c>
      <c r="W22" s="1748"/>
    </row>
    <row r="23" spans="1:23" s="948" customFormat="1" ht="3.75" customHeight="1">
      <c r="A23" s="944"/>
      <c r="B23" s="1077"/>
      <c r="C23" s="1077"/>
      <c r="D23" s="1769"/>
      <c r="E23" s="1770"/>
      <c r="F23" s="1771"/>
      <c r="G23" s="1771"/>
      <c r="H23" s="1755"/>
      <c r="I23" s="1755"/>
      <c r="J23" s="1755"/>
      <c r="K23" s="1755"/>
      <c r="L23" s="1763"/>
      <c r="M23" s="1763"/>
      <c r="N23" s="1759"/>
      <c r="O23" s="1558"/>
      <c r="P23" s="1764"/>
      <c r="Q23" s="1764"/>
      <c r="R23" s="1764"/>
      <c r="S23" s="1764"/>
      <c r="T23" s="1760"/>
      <c r="U23" s="1077"/>
      <c r="V23" s="1748" t="s">
        <v>2289</v>
      </c>
      <c r="W23" s="1748"/>
    </row>
    <row r="24" spans="1:23" s="948" customFormat="1">
      <c r="A24" s="944"/>
      <c r="B24" s="1077"/>
      <c r="C24" s="1077"/>
      <c r="D24" s="1769"/>
      <c r="E24" s="1770"/>
      <c r="F24" s="1771"/>
      <c r="G24" s="1771"/>
      <c r="H24" s="1755"/>
      <c r="I24" s="1755"/>
      <c r="J24" s="1755"/>
      <c r="K24" s="1755"/>
      <c r="L24" s="1763"/>
      <c r="M24" s="1763"/>
      <c r="N24" s="1759"/>
      <c r="O24" s="1558"/>
      <c r="P24" s="1764"/>
      <c r="Q24" s="1764"/>
      <c r="R24" s="1764"/>
      <c r="S24" s="1764"/>
      <c r="T24" s="1760"/>
      <c r="U24" s="1077"/>
      <c r="V24" s="1748"/>
      <c r="W24" s="1748"/>
    </row>
    <row r="25" spans="1:23" s="948" customFormat="1">
      <c r="A25" s="944"/>
      <c r="B25" s="1077"/>
      <c r="C25" s="1077"/>
      <c r="D25" s="1769"/>
      <c r="E25" s="1770"/>
      <c r="F25" s="1771"/>
      <c r="G25" s="1771"/>
      <c r="H25" s="1167"/>
      <c r="I25" s="1167"/>
      <c r="J25" s="1167"/>
      <c r="K25" s="1167"/>
      <c r="L25" s="1772"/>
      <c r="M25" s="1772"/>
      <c r="N25" s="1773"/>
      <c r="O25" s="1076"/>
      <c r="P25" s="1403"/>
      <c r="Q25" s="1403"/>
      <c r="R25" s="1403"/>
      <c r="S25" s="1403"/>
      <c r="T25" s="1774"/>
      <c r="U25" s="1077"/>
    </row>
    <row r="26" spans="1:23" s="948" customFormat="1">
      <c r="A26" s="944"/>
      <c r="B26" s="1077"/>
      <c r="C26" s="1077"/>
      <c r="D26" s="1769"/>
      <c r="E26" s="1770"/>
      <c r="F26" s="1771"/>
      <c r="G26" s="1771"/>
      <c r="H26" s="1167"/>
      <c r="I26" s="1167"/>
      <c r="J26" s="1167"/>
      <c r="K26" s="1167"/>
      <c r="L26" s="1772"/>
      <c r="M26" s="1772"/>
      <c r="N26" s="1773"/>
      <c r="O26" s="1076"/>
      <c r="P26" s="1403"/>
      <c r="Q26" s="1403"/>
      <c r="R26" s="1403"/>
      <c r="S26" s="1403"/>
      <c r="T26" s="1774"/>
      <c r="U26" s="1077"/>
    </row>
    <row r="27" spans="1:23">
      <c r="B27" s="947"/>
      <c r="C27" s="947"/>
      <c r="D27" s="1068"/>
      <c r="E27" s="1068"/>
      <c r="F27" s="1783"/>
      <c r="G27" s="1783"/>
      <c r="H27" s="997"/>
      <c r="I27" s="997"/>
      <c r="J27" s="997"/>
      <c r="K27" s="997"/>
      <c r="L27" s="947"/>
      <c r="M27" s="947"/>
    </row>
    <row r="28" spans="1:23" ht="16">
      <c r="B28" s="1122" t="s">
        <v>2879</v>
      </c>
      <c r="C28" s="1118"/>
      <c r="D28" s="1802"/>
      <c r="E28" s="1802"/>
      <c r="F28" s="1803"/>
      <c r="G28" s="1803"/>
      <c r="H28" s="1172"/>
      <c r="I28" s="1172"/>
      <c r="J28" s="1172"/>
      <c r="K28" s="1172"/>
      <c r="L28" s="1118"/>
      <c r="M28" s="1118"/>
      <c r="N28" s="1119"/>
      <c r="O28" s="1119"/>
      <c r="P28" s="1119"/>
      <c r="Q28" s="1119"/>
      <c r="R28" s="1119"/>
      <c r="S28" s="1119"/>
      <c r="T28" s="1119"/>
    </row>
    <row r="29" spans="1:23" ht="12.75" customHeight="1" thickBot="1">
      <c r="B29" s="3408" t="s">
        <v>2127</v>
      </c>
      <c r="C29" s="1023"/>
      <c r="D29" s="1042"/>
      <c r="E29" s="1042"/>
      <c r="F29" s="1799"/>
      <c r="G29" s="1025" t="s">
        <v>2291</v>
      </c>
      <c r="H29" s="3284" t="s">
        <v>2814</v>
      </c>
      <c r="I29" s="1800"/>
      <c r="J29" s="1800" t="s">
        <v>1828</v>
      </c>
      <c r="K29" s="1022" t="s">
        <v>221</v>
      </c>
      <c r="L29" s="3431" t="s">
        <v>1829</v>
      </c>
      <c r="M29" s="3431"/>
      <c r="N29" s="3431"/>
      <c r="O29" s="3431"/>
      <c r="P29" s="3431"/>
      <c r="Q29" s="3431"/>
      <c r="R29" s="3431"/>
      <c r="S29" s="3431"/>
      <c r="T29" s="3431"/>
    </row>
    <row r="30" spans="1:23" s="947" customFormat="1" ht="12" customHeight="1">
      <c r="B30" s="3408"/>
      <c r="C30" s="1801"/>
      <c r="D30" s="1801" t="s">
        <v>1830</v>
      </c>
      <c r="E30" s="1801"/>
      <c r="F30" s="1270" t="s">
        <v>110</v>
      </c>
      <c r="G30" s="1025" t="s">
        <v>1832</v>
      </c>
      <c r="H30" s="1025" t="s">
        <v>1832</v>
      </c>
      <c r="I30" s="1800" t="s">
        <v>221</v>
      </c>
      <c r="J30" s="1025" t="s">
        <v>1832</v>
      </c>
      <c r="K30" s="1022"/>
      <c r="L30" s="1120" t="s">
        <v>653</v>
      </c>
      <c r="M30" s="1120"/>
      <c r="N30" s="1120" t="s">
        <v>268</v>
      </c>
      <c r="O30" s="1120"/>
      <c r="P30" s="1120" t="s">
        <v>654</v>
      </c>
      <c r="Q30" s="1120"/>
      <c r="R30" s="1120" t="s">
        <v>655</v>
      </c>
      <c r="S30" s="1120"/>
      <c r="T30" s="1120" t="s">
        <v>2379</v>
      </c>
      <c r="U30" s="1400"/>
    </row>
    <row r="31" spans="1:23" ht="3" customHeight="1" thickBot="1">
      <c r="B31" s="1754"/>
      <c r="C31" s="1754"/>
      <c r="D31" s="1754"/>
      <c r="E31" s="1754"/>
      <c r="F31" s="1783"/>
      <c r="G31" s="997"/>
      <c r="I31" s="997"/>
      <c r="J31" s="997"/>
      <c r="K31" s="997"/>
      <c r="L31" s="1775"/>
      <c r="M31" s="1775"/>
      <c r="N31" s="1775"/>
      <c r="O31" s="1775"/>
      <c r="P31" s="1775"/>
      <c r="Q31" s="1775"/>
      <c r="R31" s="1775"/>
      <c r="S31" s="1775"/>
      <c r="T31" s="1775"/>
    </row>
    <row r="32" spans="1:23" ht="14" customHeight="1" thickBot="1">
      <c r="B32" s="944" t="s">
        <v>1001</v>
      </c>
      <c r="D32" s="1761" t="s">
        <v>1728</v>
      </c>
      <c r="E32" s="1762"/>
      <c r="F32" s="2493" t="s">
        <v>699</v>
      </c>
      <c r="G32" s="997">
        <v>2019</v>
      </c>
      <c r="H32" s="997">
        <v>2023</v>
      </c>
      <c r="I32" s="997"/>
      <c r="J32" s="997">
        <f>G32+4</f>
        <v>2023</v>
      </c>
      <c r="K32" s="997"/>
      <c r="L32" s="2831" t="s">
        <v>1833</v>
      </c>
      <c r="M32" s="2864"/>
      <c r="N32" s="2864"/>
      <c r="O32" s="2864"/>
      <c r="P32" s="2864"/>
      <c r="Q32" s="2864"/>
      <c r="R32" s="2864"/>
      <c r="S32" s="2864"/>
      <c r="T32" s="2864"/>
    </row>
    <row r="33" spans="1:21" ht="14" customHeight="1" thickBot="1">
      <c r="B33" s="1754" t="s">
        <v>677</v>
      </c>
      <c r="C33" s="1754"/>
      <c r="D33" s="1761" t="s">
        <v>994</v>
      </c>
      <c r="E33" s="1762"/>
      <c r="F33" s="2494" t="s">
        <v>827</v>
      </c>
      <c r="G33" s="997">
        <v>2019</v>
      </c>
      <c r="H33" s="997">
        <v>2023</v>
      </c>
      <c r="I33" s="997"/>
      <c r="J33" s="997">
        <f>G33+4</f>
        <v>2023</v>
      </c>
      <c r="K33" s="997"/>
      <c r="L33" s="3314" t="s">
        <v>660</v>
      </c>
      <c r="M33" s="3314"/>
      <c r="N33" s="3315">
        <v>37308</v>
      </c>
      <c r="O33" s="2864"/>
      <c r="P33" s="3314">
        <v>11316</v>
      </c>
      <c r="Q33" s="3314"/>
      <c r="R33" s="3314">
        <v>5537</v>
      </c>
      <c r="S33" s="3314"/>
      <c r="T33" s="3316">
        <v>0.155</v>
      </c>
    </row>
    <row r="34" spans="1:21" ht="14" customHeight="1" thickBot="1">
      <c r="B34" s="1754" t="s">
        <v>680</v>
      </c>
      <c r="C34" s="1754"/>
      <c r="D34" s="1761" t="s">
        <v>2503</v>
      </c>
      <c r="E34" s="1762"/>
      <c r="F34" s="2493" t="s">
        <v>699</v>
      </c>
      <c r="G34" s="997">
        <v>2019</v>
      </c>
      <c r="H34" s="997">
        <v>2023</v>
      </c>
      <c r="I34" s="997"/>
      <c r="J34" s="997"/>
      <c r="K34" s="997"/>
      <c r="L34" s="3314" t="s">
        <v>660</v>
      </c>
      <c r="M34" s="3314"/>
      <c r="N34" s="3315">
        <v>37379</v>
      </c>
      <c r="O34" s="2864"/>
      <c r="P34" s="3314">
        <v>8973</v>
      </c>
      <c r="Q34" s="3314"/>
      <c r="R34" s="3314">
        <v>7350</v>
      </c>
      <c r="S34" s="3314"/>
      <c r="T34" s="3316">
        <v>0.2104</v>
      </c>
    </row>
    <row r="35" spans="1:21" ht="14" customHeight="1" thickBot="1">
      <c r="B35" s="944" t="s">
        <v>463</v>
      </c>
      <c r="D35" s="1761" t="s">
        <v>2485</v>
      </c>
      <c r="E35" s="1762"/>
      <c r="F35" s="2495" t="s">
        <v>931</v>
      </c>
      <c r="G35" s="997">
        <v>2019</v>
      </c>
      <c r="H35" s="997">
        <v>2023</v>
      </c>
      <c r="I35" s="997"/>
      <c r="J35" s="997"/>
      <c r="K35" s="997"/>
      <c r="L35" s="3317" t="s">
        <v>175</v>
      </c>
      <c r="M35" s="3317"/>
      <c r="N35" s="3315">
        <v>41543</v>
      </c>
      <c r="O35" s="2864"/>
      <c r="P35" s="3318">
        <v>8674</v>
      </c>
      <c r="Q35" s="3318"/>
      <c r="R35" s="3318">
        <v>6455</v>
      </c>
      <c r="S35" s="3318"/>
      <c r="T35" s="3316">
        <v>0.151</v>
      </c>
    </row>
    <row r="36" spans="1:21" ht="14" customHeight="1" thickBot="1">
      <c r="B36" s="944" t="s">
        <v>1723</v>
      </c>
      <c r="D36" s="1761" t="s">
        <v>1724</v>
      </c>
      <c r="E36" s="1762"/>
      <c r="F36" s="1804" t="s">
        <v>806</v>
      </c>
      <c r="G36" s="997">
        <v>2019</v>
      </c>
      <c r="H36" s="997">
        <v>2023</v>
      </c>
      <c r="I36" s="997"/>
      <c r="J36" s="997"/>
      <c r="K36" s="997"/>
      <c r="L36" s="3317" t="s">
        <v>175</v>
      </c>
      <c r="M36" s="3317"/>
      <c r="N36" s="3315">
        <v>41781</v>
      </c>
      <c r="O36" s="2864"/>
      <c r="P36" s="3318">
        <v>12671</v>
      </c>
      <c r="Q36" s="3318"/>
      <c r="R36" s="3318">
        <v>5489</v>
      </c>
      <c r="S36" s="3318"/>
      <c r="T36" s="3316">
        <v>0.33900000000000002</v>
      </c>
    </row>
    <row r="37" spans="1:21" ht="14" customHeight="1" thickBot="1">
      <c r="B37" s="944" t="s">
        <v>1152</v>
      </c>
      <c r="D37" s="1765" t="s">
        <v>1954</v>
      </c>
      <c r="E37" s="1161"/>
      <c r="F37" s="2493" t="s">
        <v>699</v>
      </c>
      <c r="G37" s="997">
        <v>2021</v>
      </c>
      <c r="H37" s="997">
        <v>2024</v>
      </c>
      <c r="I37" s="997"/>
      <c r="J37" s="997"/>
      <c r="K37" s="997"/>
      <c r="L37" s="2864" t="s">
        <v>175</v>
      </c>
      <c r="M37" s="2864"/>
      <c r="N37" s="3315">
        <v>40934</v>
      </c>
      <c r="O37" s="2864"/>
      <c r="P37" s="2864">
        <v>17344</v>
      </c>
      <c r="Q37" s="2864"/>
      <c r="R37" s="2864">
        <v>13653</v>
      </c>
      <c r="S37" s="2864"/>
      <c r="T37" s="3316">
        <v>0.18099999999999999</v>
      </c>
    </row>
    <row r="38" spans="1:21" ht="14" customHeight="1" thickBot="1">
      <c r="B38" s="944" t="s">
        <v>1212</v>
      </c>
      <c r="D38" s="1766" t="s">
        <v>2126</v>
      </c>
      <c r="E38" s="1767"/>
      <c r="F38" s="2493" t="s">
        <v>699</v>
      </c>
      <c r="G38" s="997">
        <v>2021</v>
      </c>
      <c r="H38" s="997">
        <v>2024</v>
      </c>
      <c r="I38" s="997"/>
      <c r="J38" s="997"/>
      <c r="K38" s="997"/>
      <c r="L38" s="3317" t="s">
        <v>175</v>
      </c>
      <c r="M38" s="3317"/>
      <c r="N38" s="3315">
        <v>41032</v>
      </c>
      <c r="O38" s="2864"/>
      <c r="P38" s="3318">
        <v>41032</v>
      </c>
      <c r="Q38" s="3318"/>
      <c r="R38" s="3318">
        <v>35880</v>
      </c>
      <c r="S38" s="3318"/>
      <c r="T38" s="3316">
        <v>0.24118434710075165</v>
      </c>
    </row>
    <row r="39" spans="1:21" ht="14" customHeight="1" thickBot="1">
      <c r="B39" s="948" t="s">
        <v>1235</v>
      </c>
      <c r="C39" s="948"/>
      <c r="D39" s="1765" t="s">
        <v>2815</v>
      </c>
      <c r="E39" s="1161"/>
      <c r="F39" s="2493" t="s">
        <v>699</v>
      </c>
      <c r="G39" s="1162">
        <v>2021</v>
      </c>
      <c r="H39" s="1162">
        <v>2024</v>
      </c>
      <c r="I39" s="1162"/>
      <c r="J39" s="1162"/>
      <c r="K39" s="1162"/>
      <c r="L39" s="2831" t="s">
        <v>1833</v>
      </c>
      <c r="M39" s="2864"/>
      <c r="N39" s="2864"/>
      <c r="O39" s="2864"/>
      <c r="P39" s="2864"/>
      <c r="Q39" s="2864"/>
      <c r="R39" s="2864"/>
      <c r="S39" s="2864"/>
      <c r="T39" s="2864"/>
    </row>
    <row r="40" spans="1:21" ht="14" customHeight="1" thickBot="1">
      <c r="B40" s="1754" t="s">
        <v>665</v>
      </c>
      <c r="C40" s="1754"/>
      <c r="D40" s="1787" t="s">
        <v>1716</v>
      </c>
      <c r="E40" s="1788"/>
      <c r="F40" s="2493" t="s">
        <v>699</v>
      </c>
      <c r="G40" s="997">
        <v>2021</v>
      </c>
      <c r="H40" s="997">
        <v>2025</v>
      </c>
      <c r="I40" s="997"/>
      <c r="J40" s="997"/>
      <c r="K40" s="997"/>
      <c r="L40" s="3314" t="s">
        <v>660</v>
      </c>
      <c r="M40" s="3314"/>
      <c r="N40" s="3315">
        <v>37182</v>
      </c>
      <c r="O40" s="2864"/>
      <c r="P40" s="3314">
        <v>30262</v>
      </c>
      <c r="Q40" s="3314"/>
      <c r="R40" s="3314">
        <v>22296</v>
      </c>
      <c r="S40" s="3314"/>
      <c r="T40" s="3316">
        <v>0.36</v>
      </c>
    </row>
    <row r="41" spans="1:21" ht="14" customHeight="1" thickBot="1">
      <c r="B41" s="944" t="s">
        <v>1792</v>
      </c>
      <c r="D41" s="1761" t="s">
        <v>1708</v>
      </c>
      <c r="E41" s="1762"/>
      <c r="F41" s="2493" t="s">
        <v>699</v>
      </c>
      <c r="G41" s="997">
        <v>2021</v>
      </c>
      <c r="H41" s="997">
        <v>2025</v>
      </c>
      <c r="I41" s="997"/>
      <c r="J41" s="997"/>
      <c r="K41" s="997"/>
      <c r="L41" s="3317" t="s">
        <v>175</v>
      </c>
      <c r="M41" s="3317"/>
      <c r="N41" s="3315">
        <v>41032</v>
      </c>
      <c r="O41" s="2864"/>
      <c r="P41" s="3318">
        <v>42196</v>
      </c>
      <c r="Q41" s="3318"/>
      <c r="R41" s="3318">
        <v>25879</v>
      </c>
      <c r="S41" s="3318"/>
      <c r="T41" s="3316">
        <v>0.307</v>
      </c>
    </row>
    <row r="42" spans="1:21" ht="14" customHeight="1" thickBot="1">
      <c r="B42" s="1754" t="s">
        <v>659</v>
      </c>
      <c r="C42" s="1754"/>
      <c r="D42" s="1796" t="s">
        <v>2816</v>
      </c>
      <c r="E42" s="1576"/>
      <c r="F42" s="2494" t="s">
        <v>827</v>
      </c>
      <c r="G42" s="997">
        <v>2018</v>
      </c>
      <c r="H42" s="997">
        <v>2022</v>
      </c>
      <c r="I42" s="997"/>
      <c r="J42" s="997"/>
      <c r="K42" s="997"/>
      <c r="L42" s="3314" t="s">
        <v>660</v>
      </c>
      <c r="M42" s="3314"/>
      <c r="N42" s="3315">
        <v>37084</v>
      </c>
      <c r="O42" s="2864"/>
      <c r="P42" s="3314">
        <v>7636</v>
      </c>
      <c r="Q42" s="3314"/>
      <c r="R42" s="3314">
        <v>7140</v>
      </c>
      <c r="S42" s="3314"/>
      <c r="T42" s="3316">
        <v>0.245</v>
      </c>
    </row>
    <row r="43" spans="1:21" ht="14" customHeight="1" thickBot="1">
      <c r="B43" s="1754" t="s">
        <v>664</v>
      </c>
      <c r="C43" s="1754"/>
      <c r="D43" s="1787" t="s">
        <v>2817</v>
      </c>
      <c r="E43" s="1788"/>
      <c r="F43" s="2493" t="s">
        <v>699</v>
      </c>
      <c r="G43" s="997">
        <v>2018</v>
      </c>
      <c r="H43" s="997">
        <v>2022</v>
      </c>
      <c r="I43" s="997"/>
      <c r="J43" s="997"/>
      <c r="K43" s="997"/>
      <c r="L43" s="3314" t="s">
        <v>660</v>
      </c>
      <c r="M43" s="3314"/>
      <c r="N43" s="3315">
        <v>37182</v>
      </c>
      <c r="O43" s="2864"/>
      <c r="P43" s="3314">
        <v>16822</v>
      </c>
      <c r="Q43" s="3314"/>
      <c r="R43" s="3314">
        <v>15914</v>
      </c>
      <c r="S43" s="3314"/>
      <c r="T43" s="3316">
        <v>0.18</v>
      </c>
    </row>
    <row r="44" spans="1:21" ht="14" customHeight="1" thickBot="1">
      <c r="B44" s="1754" t="s">
        <v>679</v>
      </c>
      <c r="C44" s="1790"/>
      <c r="D44" s="947" t="s">
        <v>2128</v>
      </c>
      <c r="E44" s="1762"/>
      <c r="F44" s="2493" t="s">
        <v>699</v>
      </c>
      <c r="G44" s="997">
        <v>2018</v>
      </c>
      <c r="H44" s="997">
        <v>2022</v>
      </c>
      <c r="I44" s="997"/>
      <c r="J44" s="997"/>
      <c r="K44" s="997"/>
      <c r="L44" s="3314" t="s">
        <v>660</v>
      </c>
      <c r="M44" s="3314"/>
      <c r="N44" s="3315">
        <v>37379</v>
      </c>
      <c r="O44" s="2864"/>
      <c r="P44" s="3314">
        <v>24697</v>
      </c>
      <c r="Q44" s="3314"/>
      <c r="R44" s="3314">
        <v>10547</v>
      </c>
      <c r="S44" s="3314"/>
      <c r="T44" s="3316">
        <v>0.31900000000000001</v>
      </c>
    </row>
    <row r="45" spans="1:21" ht="14" customHeight="1" thickBot="1">
      <c r="B45" s="944" t="s">
        <v>960</v>
      </c>
      <c r="C45" s="1790"/>
      <c r="D45" s="1761" t="s">
        <v>1774</v>
      </c>
      <c r="E45" s="1762"/>
      <c r="F45" s="2493" t="s">
        <v>699</v>
      </c>
      <c r="G45" s="997">
        <v>2018</v>
      </c>
      <c r="H45" s="997">
        <v>2022</v>
      </c>
      <c r="I45" s="997"/>
      <c r="J45" s="997"/>
      <c r="K45" s="997"/>
      <c r="L45" s="2864" t="s">
        <v>175</v>
      </c>
      <c r="M45" s="2864"/>
      <c r="N45" s="3315">
        <v>40304</v>
      </c>
      <c r="O45" s="2864" t="s">
        <v>854</v>
      </c>
      <c r="P45" s="2864">
        <v>60758</v>
      </c>
      <c r="Q45" s="2864"/>
      <c r="R45" s="2864">
        <v>39857</v>
      </c>
      <c r="S45" s="2864"/>
      <c r="T45" s="3316">
        <v>0.621</v>
      </c>
    </row>
    <row r="46" spans="1:21" s="948" customFormat="1" ht="14" customHeight="1" thickBot="1">
      <c r="A46" s="944"/>
      <c r="B46" s="1754" t="s">
        <v>674</v>
      </c>
      <c r="C46" s="1754"/>
      <c r="D46" s="1761" t="s">
        <v>2243</v>
      </c>
      <c r="E46" s="1762"/>
      <c r="F46" s="2493" t="s">
        <v>699</v>
      </c>
      <c r="G46" s="997">
        <v>2018</v>
      </c>
      <c r="H46" s="997">
        <v>2022</v>
      </c>
      <c r="I46" s="997"/>
      <c r="J46" s="997"/>
      <c r="K46" s="997"/>
      <c r="L46" s="3314" t="s">
        <v>660</v>
      </c>
      <c r="M46" s="3314"/>
      <c r="N46" s="3315">
        <v>37287</v>
      </c>
      <c r="O46" s="2864"/>
      <c r="P46" s="3314">
        <v>27263</v>
      </c>
      <c r="Q46" s="3314"/>
      <c r="R46" s="3314">
        <v>12687</v>
      </c>
      <c r="S46" s="3314"/>
      <c r="T46" s="3316">
        <v>0.25900000000000001</v>
      </c>
      <c r="U46" s="1077"/>
    </row>
    <row r="47" spans="1:21" s="948" customFormat="1" ht="3.75" customHeight="1">
      <c r="A47" s="944"/>
      <c r="B47" s="1754"/>
      <c r="C47" s="1754"/>
      <c r="D47" s="1761"/>
      <c r="E47" s="1762"/>
      <c r="F47" s="1810"/>
      <c r="G47" s="1783"/>
      <c r="H47" s="1162"/>
      <c r="I47" s="1162"/>
      <c r="J47" s="1162"/>
      <c r="K47" s="1162"/>
      <c r="L47" s="1775"/>
      <c r="M47" s="1775"/>
      <c r="N47" s="1776"/>
      <c r="O47" s="1043"/>
      <c r="P47" s="1775"/>
      <c r="Q47" s="1775"/>
      <c r="R47" s="1775"/>
      <c r="S47" s="1775"/>
      <c r="T47" s="1777"/>
      <c r="U47" s="1077"/>
    </row>
    <row r="48" spans="1:21" s="948" customFormat="1" ht="3.75" customHeight="1">
      <c r="A48" s="944"/>
      <c r="B48" s="1023"/>
      <c r="C48" s="1023"/>
      <c r="D48" s="1805"/>
      <c r="E48" s="1806"/>
      <c r="F48" s="1799"/>
      <c r="G48" s="1799"/>
      <c r="H48" s="1022"/>
      <c r="I48" s="1022"/>
      <c r="J48" s="1022"/>
      <c r="K48" s="1022"/>
      <c r="L48" s="1025"/>
      <c r="M48" s="1025"/>
      <c r="N48" s="1807"/>
      <c r="O48" s="1039"/>
      <c r="P48" s="1808"/>
      <c r="Q48" s="1808"/>
      <c r="R48" s="1808"/>
      <c r="S48" s="1808"/>
      <c r="T48" s="1809"/>
      <c r="U48" s="1077"/>
    </row>
    <row r="49" spans="2:29">
      <c r="B49" s="948" t="s">
        <v>168</v>
      </c>
    </row>
    <row r="50" spans="2:29">
      <c r="B50" s="944" t="s">
        <v>1417</v>
      </c>
    </row>
    <row r="51" spans="2:29">
      <c r="B51" s="944" t="s">
        <v>2129</v>
      </c>
    </row>
    <row r="52" spans="2:29">
      <c r="B52" s="944" t="s">
        <v>2131</v>
      </c>
    </row>
    <row r="53" spans="2:29">
      <c r="B53" s="944" t="s">
        <v>1674</v>
      </c>
    </row>
    <row r="54" spans="2:29">
      <c r="B54" s="1780" t="s">
        <v>2373</v>
      </c>
    </row>
    <row r="55" spans="2:29">
      <c r="B55" s="3036" t="s">
        <v>2292</v>
      </c>
    </row>
    <row r="57" spans="2:29">
      <c r="B57" s="947" t="s">
        <v>2288</v>
      </c>
    </row>
    <row r="58" spans="2:29" ht="16">
      <c r="W58" s="1122" t="s">
        <v>2878</v>
      </c>
      <c r="X58" s="1119"/>
      <c r="Y58" s="1119"/>
      <c r="Z58" s="1119"/>
      <c r="AA58" s="1119"/>
      <c r="AB58" s="1119"/>
      <c r="AC58" s="1119"/>
    </row>
    <row r="59" spans="2:29" ht="15" thickBot="1">
      <c r="I59" s="1781"/>
      <c r="L59" s="1781"/>
      <c r="W59" s="2547" t="s">
        <v>2127</v>
      </c>
      <c r="X59" s="1023"/>
      <c r="Y59" s="1042" t="s">
        <v>141</v>
      </c>
      <c r="Z59" s="1042"/>
      <c r="AA59" s="1799"/>
      <c r="AB59" s="1025" t="s">
        <v>2512</v>
      </c>
      <c r="AC59" s="3284" t="s">
        <v>2876</v>
      </c>
    </row>
    <row r="60" spans="2:29" ht="4.25" customHeight="1" thickBot="1">
      <c r="B60" s="1792" t="s">
        <v>61</v>
      </c>
      <c r="C60" s="1792"/>
      <c r="D60" s="1761" t="s">
        <v>984</v>
      </c>
      <c r="E60" s="1762"/>
      <c r="F60" s="2496" t="s">
        <v>806</v>
      </c>
      <c r="G60" s="3313"/>
      <c r="H60" s="997">
        <v>2015</v>
      </c>
      <c r="I60" s="997"/>
      <c r="J60" s="997">
        <f>H60+4</f>
        <v>2019</v>
      </c>
      <c r="K60" s="997"/>
      <c r="L60" s="1795" t="s">
        <v>660</v>
      </c>
      <c r="M60" s="1795"/>
      <c r="N60" s="1776">
        <v>38547</v>
      </c>
      <c r="O60" s="1043"/>
      <c r="P60" s="1795">
        <v>18074</v>
      </c>
      <c r="Q60" s="1795"/>
      <c r="R60" s="1795">
        <v>14682</v>
      </c>
      <c r="S60" s="1795"/>
      <c r="T60" s="1777">
        <v>0.32100000000000001</v>
      </c>
    </row>
    <row r="61" spans="2:29" ht="4.5" customHeight="1" thickBot="1">
      <c r="I61" s="1162"/>
      <c r="L61" s="1162"/>
      <c r="AB61" s="1162"/>
      <c r="AC61" s="1162"/>
    </row>
    <row r="62" spans="2:29" ht="16" customHeight="1" thickBot="1">
      <c r="I62" s="1162"/>
      <c r="L62" s="1162"/>
      <c r="M62" s="948"/>
      <c r="N62" s="948"/>
      <c r="O62" s="948"/>
      <c r="P62" s="948"/>
      <c r="Q62" s="948"/>
      <c r="R62" s="948"/>
      <c r="S62" s="948"/>
      <c r="T62" s="948"/>
      <c r="W62" s="2492" t="s">
        <v>2432</v>
      </c>
      <c r="Y62" s="947" t="s">
        <v>2810</v>
      </c>
      <c r="AA62" s="3312" t="s">
        <v>699</v>
      </c>
      <c r="AB62" s="1162">
        <v>2021</v>
      </c>
      <c r="AC62" s="1162">
        <v>2025</v>
      </c>
    </row>
    <row r="63" spans="2:29" ht="16" customHeight="1" thickBot="1">
      <c r="I63" s="1162"/>
      <c r="L63" s="1162"/>
      <c r="M63" s="948"/>
      <c r="N63" s="948"/>
      <c r="O63" s="948"/>
      <c r="P63" s="948"/>
      <c r="Q63" s="948"/>
      <c r="R63" s="948"/>
      <c r="S63" s="948"/>
      <c r="T63" s="948"/>
      <c r="W63" s="1797" t="s">
        <v>2374</v>
      </c>
      <c r="Y63" s="947" t="s">
        <v>2122</v>
      </c>
      <c r="AA63" s="3312" t="s">
        <v>699</v>
      </c>
      <c r="AB63" s="1162">
        <v>2021</v>
      </c>
      <c r="AC63" s="1162">
        <v>2024</v>
      </c>
    </row>
    <row r="64" spans="2:29" ht="16" customHeight="1" thickBot="1">
      <c r="I64" s="1162"/>
      <c r="L64" s="1162"/>
      <c r="M64" s="948"/>
      <c r="N64" s="948"/>
      <c r="O64" s="948"/>
      <c r="P64" s="948"/>
      <c r="Q64" s="948"/>
      <c r="R64" s="948"/>
      <c r="S64" s="948"/>
      <c r="T64" s="948"/>
      <c r="W64" s="1797" t="s">
        <v>2375</v>
      </c>
      <c r="Y64" s="947" t="s">
        <v>2123</v>
      </c>
      <c r="AA64" s="3312" t="s">
        <v>699</v>
      </c>
      <c r="AB64" s="1162">
        <v>2021</v>
      </c>
      <c r="AC64" s="1162">
        <v>2024</v>
      </c>
    </row>
    <row r="65" spans="2:29" ht="16" customHeight="1" thickBot="1">
      <c r="I65" s="1162"/>
      <c r="L65" s="1162"/>
      <c r="M65" s="948"/>
      <c r="N65" s="948"/>
      <c r="O65" s="948"/>
      <c r="P65" s="948"/>
      <c r="Q65" s="948"/>
      <c r="R65" s="948"/>
      <c r="S65" s="948"/>
      <c r="T65" s="948"/>
      <c r="W65" s="1797" t="s">
        <v>2376</v>
      </c>
      <c r="Y65" s="947" t="s">
        <v>2124</v>
      </c>
      <c r="AA65" s="1804" t="s">
        <v>806</v>
      </c>
      <c r="AB65" s="1162">
        <v>2021</v>
      </c>
      <c r="AC65" s="1162">
        <v>2024</v>
      </c>
    </row>
    <row r="66" spans="2:29" ht="16" customHeight="1" thickBot="1">
      <c r="I66" s="1162"/>
      <c r="L66" s="1162"/>
      <c r="M66" s="948"/>
      <c r="N66" s="948"/>
      <c r="O66" s="948"/>
      <c r="P66" s="948"/>
      <c r="Q66" s="948"/>
      <c r="R66" s="948"/>
      <c r="S66" s="948"/>
      <c r="T66" s="948"/>
      <c r="W66" s="1797" t="s">
        <v>2377</v>
      </c>
      <c r="Y66" s="947" t="s">
        <v>2125</v>
      </c>
      <c r="AA66" s="1804" t="s">
        <v>806</v>
      </c>
      <c r="AB66" s="1162">
        <v>2021</v>
      </c>
      <c r="AC66" s="1162">
        <v>2024</v>
      </c>
    </row>
    <row r="67" spans="2:29" ht="16" customHeight="1" thickBot="1">
      <c r="I67" s="1162"/>
      <c r="L67" s="1162"/>
      <c r="M67" s="948"/>
      <c r="N67" s="948"/>
      <c r="O67" s="948"/>
      <c r="P67" s="948"/>
      <c r="Q67" s="948"/>
      <c r="R67" s="948"/>
      <c r="S67" s="948"/>
      <c r="T67" s="948"/>
      <c r="W67" s="1797" t="s">
        <v>2378</v>
      </c>
      <c r="Y67" s="947" t="s">
        <v>2813</v>
      </c>
      <c r="AA67" s="3312" t="s">
        <v>699</v>
      </c>
      <c r="AB67" s="1162">
        <v>2021</v>
      </c>
      <c r="AC67" s="1162">
        <v>2025</v>
      </c>
    </row>
    <row r="68" spans="2:29" ht="16" customHeight="1" thickBot="1">
      <c r="I68" s="1781"/>
      <c r="L68" s="1781"/>
      <c r="W68" s="1754" t="s">
        <v>2261</v>
      </c>
      <c r="X68" s="1750"/>
      <c r="Y68" s="1796" t="s">
        <v>2287</v>
      </c>
      <c r="Z68" s="1750"/>
      <c r="AA68" s="3312" t="s">
        <v>699</v>
      </c>
      <c r="AB68" s="1144">
        <v>2018</v>
      </c>
      <c r="AC68" s="1144">
        <v>2022</v>
      </c>
    </row>
    <row r="69" spans="2:29" ht="16" customHeight="1" thickBot="1">
      <c r="I69" s="1781"/>
      <c r="L69" s="1781"/>
      <c r="W69" s="1754" t="s">
        <v>2511</v>
      </c>
      <c r="X69" s="1754"/>
      <c r="Y69" s="1761" t="s">
        <v>2484</v>
      </c>
      <c r="Z69" s="1762"/>
      <c r="AA69" s="3312" t="s">
        <v>699</v>
      </c>
      <c r="AB69" s="1144">
        <v>2019</v>
      </c>
      <c r="AC69" s="1144">
        <v>2024</v>
      </c>
    </row>
    <row r="70" spans="2:29" ht="16" customHeight="1" thickBot="1">
      <c r="I70" s="1781"/>
      <c r="L70" s="1781"/>
      <c r="W70" s="3311" t="s">
        <v>2011</v>
      </c>
      <c r="X70" s="3288"/>
      <c r="Y70" s="1796" t="s">
        <v>2811</v>
      </c>
      <c r="Z70" s="3288"/>
      <c r="AA70" s="3312" t="s">
        <v>699</v>
      </c>
      <c r="AB70" s="1144">
        <v>2021</v>
      </c>
      <c r="AC70" s="1144">
        <v>2024</v>
      </c>
    </row>
    <row r="71" spans="2:29" ht="3" customHeight="1">
      <c r="I71" s="1781"/>
      <c r="L71" s="1781"/>
      <c r="W71" s="1754"/>
      <c r="X71" s="1750"/>
      <c r="Y71" s="1811"/>
      <c r="Z71" s="1750"/>
      <c r="AA71" s="1798"/>
      <c r="AB71" s="1798"/>
      <c r="AC71" s="1417"/>
    </row>
    <row r="72" spans="2:29" s="948" customFormat="1" ht="3.75" customHeight="1">
      <c r="I72" s="1162"/>
      <c r="J72" s="1162"/>
      <c r="K72" s="1162"/>
      <c r="L72" s="1162"/>
      <c r="M72" s="1041"/>
      <c r="N72" s="1041"/>
      <c r="O72" s="1041"/>
      <c r="P72" s="1041"/>
      <c r="Q72" s="1041"/>
      <c r="R72" s="1041"/>
      <c r="S72" s="1041"/>
      <c r="T72" s="1041"/>
      <c r="U72" s="1077"/>
      <c r="W72" s="1023"/>
      <c r="X72" s="1023"/>
      <c r="Y72" s="1812"/>
      <c r="Z72" s="1800"/>
      <c r="AA72" s="1799"/>
      <c r="AB72" s="1799"/>
      <c r="AC72" s="1022"/>
    </row>
    <row r="73" spans="2:29">
      <c r="L73" s="948"/>
      <c r="M73" s="948"/>
      <c r="N73" s="948"/>
      <c r="O73" s="948"/>
      <c r="P73" s="948"/>
      <c r="Q73" s="948"/>
      <c r="R73" s="948"/>
      <c r="S73" s="948"/>
      <c r="T73" s="948"/>
      <c r="W73" s="944" t="s">
        <v>2130</v>
      </c>
    </row>
    <row r="74" spans="2:29">
      <c r="L74" s="948"/>
      <c r="M74" s="948"/>
      <c r="N74" s="948"/>
      <c r="O74" s="948"/>
      <c r="P74" s="948"/>
      <c r="Q74" s="948"/>
      <c r="R74" s="948"/>
      <c r="S74" s="948"/>
      <c r="T74" s="948"/>
      <c r="W74" s="944" t="s">
        <v>2121</v>
      </c>
    </row>
    <row r="75" spans="2:29">
      <c r="W75" s="2584" t="s">
        <v>2812</v>
      </c>
    </row>
    <row r="76" spans="2:29">
      <c r="B76" s="947"/>
    </row>
  </sheetData>
  <sortState xmlns:xlrd2="http://schemas.microsoft.com/office/spreadsheetml/2017/richdata2" ref="B33:T47">
    <sortCondition ref="H33:H47"/>
  </sortState>
  <mergeCells count="4">
    <mergeCell ref="L4:T4"/>
    <mergeCell ref="B4:B5"/>
    <mergeCell ref="B29:B30"/>
    <mergeCell ref="L29:T29"/>
  </mergeCells>
  <pageMargins left="0.7" right="0.7" top="0.75" bottom="0.75" header="0.3" footer="0.3"/>
  <pageSetup paperSize="9" orientation="portrait"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4"/>
  </sheetPr>
  <dimension ref="A2:F71"/>
  <sheetViews>
    <sheetView showGridLines="0" zoomScale="130" zoomScaleNormal="130" workbookViewId="0">
      <selection sqref="A1:E17"/>
    </sheetView>
  </sheetViews>
  <sheetFormatPr baseColWidth="10" defaultColWidth="9.3984375" defaultRowHeight="13"/>
  <cols>
    <col min="1" max="1" width="6.3984375" style="113" customWidth="1"/>
    <col min="2" max="2" width="39.796875" style="113" customWidth="1"/>
    <col min="3" max="3" width="2.3984375" style="113" customWidth="1"/>
    <col min="4" max="4" width="8.19921875" style="113" customWidth="1"/>
    <col min="5" max="5" width="34" style="113" customWidth="1"/>
    <col min="6" max="16384" width="9.3984375" style="113"/>
  </cols>
  <sheetData>
    <row r="2" spans="1:5" s="101" customFormat="1" ht="11.25" customHeight="1">
      <c r="A2" s="101" t="s">
        <v>2257</v>
      </c>
      <c r="B2" s="101" t="s">
        <v>2275</v>
      </c>
      <c r="D2" s="763" t="s">
        <v>3</v>
      </c>
      <c r="E2" s="763" t="s">
        <v>901</v>
      </c>
    </row>
    <row r="3" spans="1:5" s="101" customFormat="1" ht="11.25" customHeight="1">
      <c r="A3" s="763" t="s">
        <v>1822</v>
      </c>
      <c r="B3" s="763" t="s">
        <v>1803</v>
      </c>
      <c r="D3" s="763" t="s">
        <v>1738</v>
      </c>
      <c r="E3" s="763" t="s">
        <v>2276</v>
      </c>
    </row>
    <row r="4" spans="1:5" s="101" customFormat="1" ht="11.25" customHeight="1">
      <c r="A4" s="763" t="s">
        <v>880</v>
      </c>
      <c r="B4" s="763" t="s">
        <v>6</v>
      </c>
      <c r="D4" s="763" t="s">
        <v>707</v>
      </c>
      <c r="E4" s="763" t="s">
        <v>711</v>
      </c>
    </row>
    <row r="5" spans="1:5" s="101" customFormat="1" ht="11.25" customHeight="1">
      <c r="A5" s="763" t="s">
        <v>1824</v>
      </c>
      <c r="B5" s="763" t="s">
        <v>1809</v>
      </c>
      <c r="D5" s="101" t="s">
        <v>2252</v>
      </c>
      <c r="E5" s="132" t="s">
        <v>2251</v>
      </c>
    </row>
    <row r="6" spans="1:5" s="101" customFormat="1" ht="11.25" customHeight="1">
      <c r="A6" s="763" t="s">
        <v>1262</v>
      </c>
      <c r="B6" s="763" t="s">
        <v>1790</v>
      </c>
      <c r="D6" s="101" t="s">
        <v>2238</v>
      </c>
      <c r="E6" s="101" t="s">
        <v>2274</v>
      </c>
    </row>
    <row r="7" spans="1:5" s="101" customFormat="1" ht="11.25" customHeight="1">
      <c r="A7" s="763" t="s">
        <v>823</v>
      </c>
      <c r="B7" s="763" t="s">
        <v>2277</v>
      </c>
      <c r="D7" s="763" t="s">
        <v>815</v>
      </c>
      <c r="E7" s="763" t="s">
        <v>144</v>
      </c>
    </row>
    <row r="8" spans="1:5" s="101" customFormat="1" ht="11.25" customHeight="1">
      <c r="A8" s="763" t="s">
        <v>172</v>
      </c>
      <c r="B8" s="763" t="s">
        <v>2278</v>
      </c>
      <c r="D8" s="763" t="s">
        <v>771</v>
      </c>
      <c r="E8" s="763" t="s">
        <v>712</v>
      </c>
    </row>
    <row r="9" spans="1:5" s="101" customFormat="1" ht="11.25" customHeight="1">
      <c r="A9" s="763" t="s">
        <v>917</v>
      </c>
      <c r="B9" s="763" t="s">
        <v>2279</v>
      </c>
      <c r="D9" s="101" t="s">
        <v>2272</v>
      </c>
      <c r="E9" s="101" t="s">
        <v>2271</v>
      </c>
    </row>
    <row r="10" spans="1:5" s="101" customFormat="1" ht="11.25" customHeight="1">
      <c r="A10" s="763" t="s">
        <v>2285</v>
      </c>
      <c r="B10" s="763" t="s">
        <v>2284</v>
      </c>
      <c r="D10" s="763" t="s">
        <v>2282</v>
      </c>
      <c r="E10" s="763" t="s">
        <v>2283</v>
      </c>
    </row>
    <row r="11" spans="1:5" s="101" customFormat="1" ht="11.25" customHeight="1">
      <c r="A11" s="101" t="s">
        <v>2239</v>
      </c>
      <c r="B11" s="101" t="s">
        <v>2248</v>
      </c>
      <c r="D11" s="763" t="s">
        <v>1825</v>
      </c>
      <c r="E11" s="763" t="s">
        <v>2280</v>
      </c>
    </row>
    <row r="12" spans="1:5" s="101" customFormat="1" ht="11.25" customHeight="1">
      <c r="A12" s="763" t="s">
        <v>926</v>
      </c>
      <c r="B12" s="763" t="s">
        <v>959</v>
      </c>
      <c r="D12" s="101" t="s">
        <v>1241</v>
      </c>
      <c r="E12" s="101" t="s">
        <v>1355</v>
      </c>
    </row>
    <row r="13" spans="1:5" s="101" customFormat="1" ht="11.25" customHeight="1">
      <c r="A13" s="763" t="s">
        <v>788</v>
      </c>
      <c r="B13" s="763" t="s">
        <v>2281</v>
      </c>
      <c r="D13" s="763" t="s">
        <v>1013</v>
      </c>
      <c r="E13" s="763" t="s">
        <v>1014</v>
      </c>
    </row>
    <row r="14" spans="1:5" s="101" customFormat="1" ht="11.25" customHeight="1">
      <c r="A14" s="763" t="s">
        <v>838</v>
      </c>
      <c r="B14" s="763" t="s">
        <v>878</v>
      </c>
      <c r="D14" s="763" t="s">
        <v>1000</v>
      </c>
      <c r="E14" s="763" t="s">
        <v>991</v>
      </c>
    </row>
    <row r="15" spans="1:5" s="101" customFormat="1" ht="11.25" customHeight="1">
      <c r="A15" s="763" t="s">
        <v>1247</v>
      </c>
      <c r="B15" s="763" t="s">
        <v>1263</v>
      </c>
      <c r="D15" s="101" t="s">
        <v>2229</v>
      </c>
      <c r="E15" s="101" t="s">
        <v>2273</v>
      </c>
    </row>
    <row r="16" spans="1:5" s="101" customFormat="1" ht="11.25" customHeight="1">
      <c r="A16" s="763" t="s">
        <v>763</v>
      </c>
      <c r="B16" s="763" t="s">
        <v>1234</v>
      </c>
      <c r="D16" s="101" t="s">
        <v>2268</v>
      </c>
      <c r="E16" s="101" t="s">
        <v>2269</v>
      </c>
    </row>
    <row r="17" spans="1:6" s="101" customFormat="1" ht="11.25" customHeight="1">
      <c r="A17" s="763" t="s">
        <v>1340</v>
      </c>
      <c r="B17" s="763" t="s">
        <v>1343</v>
      </c>
    </row>
    <row r="19" spans="1:6">
      <c r="F19" s="113" t="s">
        <v>2286</v>
      </c>
    </row>
    <row r="39" spans="1:3">
      <c r="A39" s="489"/>
      <c r="C39" s="178"/>
    </row>
    <row r="45" spans="1:3">
      <c r="A45" s="178"/>
      <c r="B45" s="178"/>
    </row>
    <row r="48" spans="1:3">
      <c r="A48" s="489"/>
    </row>
    <row r="49" spans="1:1">
      <c r="A49" s="489"/>
    </row>
    <row r="63" spans="1:1">
      <c r="A63" s="238"/>
    </row>
    <row r="70" spans="1:1">
      <c r="A70" s="238"/>
    </row>
    <row r="71" spans="1:1">
      <c r="A71" s="361"/>
    </row>
  </sheetData>
  <sortState xmlns:xlrd2="http://schemas.microsoft.com/office/spreadsheetml/2017/richdata2" ref="A1:B31">
    <sortCondition ref="A1:A31"/>
  </sortState>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0"/>
  </sheetPr>
  <dimension ref="A1:R56"/>
  <sheetViews>
    <sheetView showGridLines="0" topLeftCell="Q2" zoomScale="130" zoomScaleNormal="130" workbookViewId="0">
      <selection activeCell="Z31" sqref="Z31"/>
    </sheetView>
  </sheetViews>
  <sheetFormatPr baseColWidth="10" defaultColWidth="9" defaultRowHeight="13"/>
  <sheetData>
    <row r="1" spans="2:9">
      <c r="B1" s="132"/>
      <c r="C1" s="102" t="s">
        <v>55</v>
      </c>
      <c r="D1" s="103"/>
      <c r="E1" s="103"/>
      <c r="F1" s="103"/>
      <c r="G1" s="103"/>
      <c r="H1" s="103"/>
    </row>
    <row r="2" spans="2:9">
      <c r="B2" s="132"/>
      <c r="C2" s="104" t="s">
        <v>698</v>
      </c>
      <c r="D2" s="104" t="s">
        <v>699</v>
      </c>
      <c r="E2" s="104" t="s">
        <v>827</v>
      </c>
      <c r="F2" s="104" t="s">
        <v>95</v>
      </c>
      <c r="G2" s="104" t="s">
        <v>12</v>
      </c>
      <c r="H2" s="104" t="s">
        <v>16</v>
      </c>
    </row>
    <row r="3" spans="2:9">
      <c r="B3" s="174">
        <v>2019</v>
      </c>
      <c r="C3" s="415">
        <v>0.43625932440414555</v>
      </c>
      <c r="D3" s="415">
        <v>0.32076640581293686</v>
      </c>
      <c r="E3" s="415">
        <v>0.11546218214406086</v>
      </c>
      <c r="F3" s="415">
        <v>4.3594683719147591E-2</v>
      </c>
      <c r="G3" s="415">
        <v>8.3917403919709102E-2</v>
      </c>
      <c r="H3" s="415">
        <v>1</v>
      </c>
      <c r="I3" s="837">
        <f>SUM(C3:G3)</f>
        <v>1</v>
      </c>
    </row>
    <row r="4" spans="2:9">
      <c r="B4" s="174">
        <v>2017</v>
      </c>
      <c r="C4" s="836">
        <v>0.42344523333194944</v>
      </c>
      <c r="D4" s="836">
        <v>0.39988239400641057</v>
      </c>
      <c r="E4" s="836">
        <v>7.3650807826235759E-2</v>
      </c>
      <c r="F4" s="145">
        <v>3.5499999999999997E-2</v>
      </c>
      <c r="G4" s="145">
        <f>H4-SUM(C4:F4)</f>
        <v>6.7521564835404169E-2</v>
      </c>
      <c r="H4" s="142">
        <v>1</v>
      </c>
      <c r="I4" s="837">
        <f>SUM(C4:G4)</f>
        <v>1</v>
      </c>
    </row>
    <row r="5" spans="2:9">
      <c r="B5" s="134">
        <v>2015</v>
      </c>
      <c r="C5" s="142">
        <v>0.36799999999999999</v>
      </c>
      <c r="D5" s="142">
        <v>0.30399999999999999</v>
      </c>
      <c r="E5" s="835">
        <v>7.9000000000000001E-2</v>
      </c>
      <c r="F5" s="142">
        <v>5.2999999999999999E-2</v>
      </c>
      <c r="G5" s="142">
        <v>0.19600000000000006</v>
      </c>
      <c r="H5" s="142">
        <v>1</v>
      </c>
      <c r="I5" s="837">
        <f t="shared" ref="I5:I30" si="0">SUM(C5:G5)</f>
        <v>1</v>
      </c>
    </row>
    <row r="6" spans="2:9">
      <c r="B6" s="134">
        <v>2010</v>
      </c>
      <c r="C6" s="155">
        <v>0.36054287169823473</v>
      </c>
      <c r="D6" s="155">
        <v>0.28990271495133119</v>
      </c>
      <c r="E6" s="155">
        <v>0.23027281016009241</v>
      </c>
      <c r="F6" s="155">
        <v>2.2123038288977447E-2</v>
      </c>
      <c r="G6" s="155">
        <v>9.7158564901364139E-2</v>
      </c>
      <c r="H6" s="142">
        <v>0.99999999999999989</v>
      </c>
      <c r="I6" s="837">
        <f t="shared" si="0"/>
        <v>0.99999999999999989</v>
      </c>
    </row>
    <row r="7" spans="2:9">
      <c r="B7" s="134">
        <v>2005</v>
      </c>
      <c r="C7" s="155">
        <v>0.32358737182998254</v>
      </c>
      <c r="D7" s="155">
        <v>0.35185857345393906</v>
      </c>
      <c r="E7" s="155">
        <v>0.22047081036859847</v>
      </c>
      <c r="F7" s="155">
        <v>2.162568037803916E-2</v>
      </c>
      <c r="G7" s="155">
        <v>8.2457563969440734E-2</v>
      </c>
      <c r="H7" s="142">
        <v>1</v>
      </c>
      <c r="I7" s="837">
        <f t="shared" si="0"/>
        <v>1</v>
      </c>
    </row>
    <row r="8" spans="2:9">
      <c r="B8" s="134">
        <v>2001</v>
      </c>
      <c r="C8" s="155">
        <v>0.31620942434825633</v>
      </c>
      <c r="D8" s="155">
        <v>0.4067507571760155</v>
      </c>
      <c r="E8" s="155">
        <v>0.18258622784066206</v>
      </c>
      <c r="F8" s="155">
        <v>1.7609407805090099E-2</v>
      </c>
      <c r="G8" s="155">
        <v>7.684418282997596E-2</v>
      </c>
      <c r="H8" s="142">
        <v>1</v>
      </c>
      <c r="I8" s="837">
        <f t="shared" si="0"/>
        <v>1</v>
      </c>
    </row>
    <row r="9" spans="2:9">
      <c r="B9" s="134">
        <v>1997</v>
      </c>
      <c r="C9" s="155">
        <v>0.30687386843384784</v>
      </c>
      <c r="D9" s="155">
        <v>0.43207966148999993</v>
      </c>
      <c r="E9" s="155">
        <v>0.16757972918739727</v>
      </c>
      <c r="F9" s="155">
        <v>2.501351710545107E-2</v>
      </c>
      <c r="G9" s="155">
        <v>6.845322378330386E-2</v>
      </c>
      <c r="H9" s="142">
        <v>1</v>
      </c>
      <c r="I9" s="837">
        <f t="shared" si="0"/>
        <v>1</v>
      </c>
    </row>
    <row r="10" spans="2:9">
      <c r="B10" s="134">
        <v>1992</v>
      </c>
      <c r="C10" s="155">
        <v>0.41925911747561451</v>
      </c>
      <c r="D10" s="155">
        <v>0.34391796721813606</v>
      </c>
      <c r="E10" s="155">
        <v>0.17848494056388403</v>
      </c>
      <c r="F10" s="155">
        <v>2.3338765780071762E-2</v>
      </c>
      <c r="G10" s="155">
        <v>3.4999208962293527E-2</v>
      </c>
      <c r="H10" s="142">
        <v>1</v>
      </c>
      <c r="I10" s="837">
        <f t="shared" si="0"/>
        <v>1</v>
      </c>
    </row>
    <row r="11" spans="2:9">
      <c r="B11" s="134">
        <v>1987</v>
      </c>
      <c r="C11" s="155">
        <v>0.42227399937373916</v>
      </c>
      <c r="D11" s="155">
        <v>0.30832883844973336</v>
      </c>
      <c r="E11" s="155">
        <v>0.22569100035666001</v>
      </c>
      <c r="F11" s="155">
        <v>1.6602490201379189E-2</v>
      </c>
      <c r="G11" s="155">
        <v>2.7103671618488281E-2</v>
      </c>
      <c r="H11" s="142">
        <v>1</v>
      </c>
      <c r="I11" s="837">
        <f t="shared" si="0"/>
        <v>1</v>
      </c>
    </row>
    <row r="12" spans="2:9">
      <c r="B12" s="134">
        <v>1983</v>
      </c>
      <c r="C12" s="155">
        <v>0.42425280810424471</v>
      </c>
      <c r="D12" s="155">
        <v>0.27572939340331598</v>
      </c>
      <c r="E12" s="155">
        <v>0.25368961704941029</v>
      </c>
      <c r="F12" s="155">
        <v>1.4909261433640363E-2</v>
      </c>
      <c r="G12" s="155">
        <v>3.1418920009388569E-2</v>
      </c>
      <c r="H12" s="142">
        <v>1</v>
      </c>
      <c r="I12" s="837">
        <f t="shared" si="0"/>
        <v>1</v>
      </c>
    </row>
    <row r="13" spans="2:9">
      <c r="B13" s="134">
        <v>1979</v>
      </c>
      <c r="C13" s="155">
        <v>0.43873560032390641</v>
      </c>
      <c r="D13" s="155">
        <v>0.36850355855711869</v>
      </c>
      <c r="E13" s="155">
        <v>0.13816834768451167</v>
      </c>
      <c r="F13" s="155">
        <v>2.0396387575916771E-2</v>
      </c>
      <c r="G13" s="155">
        <v>3.4196105858546447E-2</v>
      </c>
      <c r="H13" s="142">
        <v>1</v>
      </c>
      <c r="I13" s="837">
        <f t="shared" si="0"/>
        <v>1</v>
      </c>
    </row>
    <row r="14" spans="2:9">
      <c r="B14" s="134">
        <v>1974</v>
      </c>
      <c r="C14" s="155">
        <v>0.37758987972046859</v>
      </c>
      <c r="D14" s="155">
        <v>0.37158761336332596</v>
      </c>
      <c r="E14" s="155">
        <v>0.19334676700139583</v>
      </c>
      <c r="F14" s="155">
        <v>2.5671660535768769E-2</v>
      </c>
      <c r="G14" s="155">
        <v>3.1804079379040881E-2</v>
      </c>
      <c r="H14" s="142">
        <v>1</v>
      </c>
      <c r="I14" s="837">
        <f t="shared" si="0"/>
        <v>1</v>
      </c>
    </row>
    <row r="15" spans="2:9">
      <c r="B15" s="134">
        <v>1974</v>
      </c>
      <c r="C15" s="155">
        <v>0.35721754254601307</v>
      </c>
      <c r="D15" s="155">
        <v>0.39251218536889654</v>
      </c>
      <c r="E15" s="155">
        <v>0.18317465311713577</v>
      </c>
      <c r="F15" s="155">
        <v>3.4462791321035413E-2</v>
      </c>
      <c r="G15" s="155">
        <v>3.2632827646919306E-2</v>
      </c>
      <c r="H15" s="142">
        <v>1</v>
      </c>
      <c r="I15" s="837">
        <f t="shared" si="0"/>
        <v>1</v>
      </c>
    </row>
    <row r="16" spans="2:9">
      <c r="B16" s="134">
        <v>1970</v>
      </c>
      <c r="C16" s="155">
        <v>0.46375786484701709</v>
      </c>
      <c r="D16" s="155">
        <v>0.42968522830891231</v>
      </c>
      <c r="E16" s="155">
        <v>7.4688660684757741E-2</v>
      </c>
      <c r="F16" s="155">
        <v>1.6998462998395684E-2</v>
      </c>
      <c r="G16" s="155">
        <v>1.4869783160917216E-2</v>
      </c>
      <c r="H16" s="142">
        <v>1</v>
      </c>
      <c r="I16" s="837">
        <f t="shared" si="0"/>
        <v>1</v>
      </c>
    </row>
    <row r="17" spans="2:9">
      <c r="B17" s="134">
        <v>1966</v>
      </c>
      <c r="C17" s="155">
        <v>0.41879922817548976</v>
      </c>
      <c r="D17" s="155">
        <v>0.47923298169610745</v>
      </c>
      <c r="E17" s="155">
        <v>8.5365068672744335E-2</v>
      </c>
      <c r="F17" s="155">
        <v>6.9520175631925E-3</v>
      </c>
      <c r="G17" s="155">
        <v>9.6507038924660195E-3</v>
      </c>
      <c r="H17" s="142">
        <v>1</v>
      </c>
      <c r="I17" s="837">
        <f t="shared" si="0"/>
        <v>1</v>
      </c>
    </row>
    <row r="18" spans="2:9">
      <c r="B18" s="134">
        <v>1964</v>
      </c>
      <c r="C18" s="155">
        <v>0.433199185975358</v>
      </c>
      <c r="D18" s="155">
        <v>0.44132562041465734</v>
      </c>
      <c r="E18" s="155">
        <v>0.11206083143496935</v>
      </c>
      <c r="F18" s="155">
        <v>4.8288059202633623E-3</v>
      </c>
      <c r="G18" s="155">
        <v>8.5855562547519759E-3</v>
      </c>
      <c r="H18" s="142">
        <v>1</v>
      </c>
      <c r="I18" s="837">
        <f t="shared" si="0"/>
        <v>1</v>
      </c>
    </row>
    <row r="19" spans="2:9">
      <c r="B19" s="134">
        <v>1959</v>
      </c>
      <c r="C19" s="155">
        <v>0.49352355260367892</v>
      </c>
      <c r="D19" s="155">
        <v>0.43844254308599195</v>
      </c>
      <c r="E19" s="155">
        <v>5.8887431103112509E-2</v>
      </c>
      <c r="F19" s="155">
        <v>3.5642335840823771E-3</v>
      </c>
      <c r="G19" s="155">
        <v>5.5822396231341468E-3</v>
      </c>
      <c r="H19" s="142">
        <v>1</v>
      </c>
      <c r="I19" s="837">
        <f t="shared" si="0"/>
        <v>1</v>
      </c>
    </row>
    <row r="20" spans="2:9">
      <c r="B20" s="134">
        <v>1955</v>
      </c>
      <c r="C20" s="155">
        <v>0.496474347703596</v>
      </c>
      <c r="D20" s="155">
        <v>0.4635792088925863</v>
      </c>
      <c r="E20" s="155">
        <v>2.6995863822088781E-2</v>
      </c>
      <c r="F20" s="155">
        <v>2.1386987887657607E-3</v>
      </c>
      <c r="G20" s="155">
        <v>1.081188079296317E-2</v>
      </c>
      <c r="H20" s="142">
        <v>0.99999999999999989</v>
      </c>
      <c r="I20" s="837">
        <f t="shared" si="0"/>
        <v>0.99999999999999989</v>
      </c>
    </row>
    <row r="21" spans="2:9">
      <c r="B21" s="134">
        <v>1951</v>
      </c>
      <c r="C21" s="155">
        <v>0.47971443732075225</v>
      </c>
      <c r="D21" s="155">
        <v>0.48778127213331773</v>
      </c>
      <c r="E21" s="155">
        <v>2.5546608802432907E-2</v>
      </c>
      <c r="F21" s="155">
        <v>6.371038453040946E-4</v>
      </c>
      <c r="G21" s="155">
        <v>6.3205778981930581E-3</v>
      </c>
      <c r="H21" s="142">
        <v>1</v>
      </c>
      <c r="I21" s="837">
        <f t="shared" si="0"/>
        <v>1</v>
      </c>
    </row>
    <row r="22" spans="2:9">
      <c r="B22" s="134">
        <v>1950</v>
      </c>
      <c r="C22" s="155">
        <v>0.43334076902939211</v>
      </c>
      <c r="D22" s="155">
        <v>0.46109331703551104</v>
      </c>
      <c r="E22" s="155">
        <v>9.1115209819400869E-2</v>
      </c>
      <c r="F22" s="155">
        <v>9.4845095381049412E-4</v>
      </c>
      <c r="G22" s="155">
        <v>1.3502253161885495E-2</v>
      </c>
      <c r="H22" s="142">
        <v>1</v>
      </c>
      <c r="I22" s="837">
        <f t="shared" si="0"/>
        <v>1</v>
      </c>
    </row>
    <row r="23" spans="2:9">
      <c r="B23" s="134">
        <v>1945</v>
      </c>
      <c r="C23" s="155">
        <v>0.3973673047768706</v>
      </c>
      <c r="D23" s="155">
        <v>0.47689392331878672</v>
      </c>
      <c r="E23" s="155">
        <v>8.9755429276401316E-2</v>
      </c>
      <c r="F23" s="155">
        <v>1.8574073642384529E-3</v>
      </c>
      <c r="G23" s="155">
        <v>3.4125935263702917E-2</v>
      </c>
      <c r="H23" s="142">
        <v>1</v>
      </c>
      <c r="I23" s="837">
        <f t="shared" si="0"/>
        <v>1</v>
      </c>
    </row>
    <row r="24" spans="2:9">
      <c r="B24" s="134">
        <v>1935</v>
      </c>
      <c r="C24" s="155">
        <v>0.53468113695767394</v>
      </c>
      <c r="D24" s="155">
        <v>0.37866740494496365</v>
      </c>
      <c r="E24" s="155">
        <v>6.5636042535418326E-2</v>
      </c>
      <c r="F24" s="155">
        <v>1.4577721597310034E-3</v>
      </c>
      <c r="G24" s="155">
        <v>1.9557643402213078E-2</v>
      </c>
      <c r="H24" s="142">
        <v>1.0004896233284297</v>
      </c>
      <c r="I24" s="837">
        <f t="shared" si="0"/>
        <v>1</v>
      </c>
    </row>
    <row r="25" spans="2:9">
      <c r="B25" s="134">
        <v>1931</v>
      </c>
      <c r="C25" s="155">
        <v>0.60752509203641814</v>
      </c>
      <c r="D25" s="155">
        <v>0.30705187798529332</v>
      </c>
      <c r="E25" s="155">
        <v>6.8161136677873074E-2</v>
      </c>
      <c r="F25" s="155">
        <v>1.0620430300124588E-3</v>
      </c>
      <c r="G25" s="155">
        <v>1.6199850270402844E-2</v>
      </c>
      <c r="H25" s="142">
        <v>1</v>
      </c>
      <c r="I25" s="837">
        <f t="shared" si="0"/>
        <v>0.99999999999999978</v>
      </c>
    </row>
    <row r="26" spans="2:9">
      <c r="B26" s="134">
        <v>1929</v>
      </c>
      <c r="C26" s="155">
        <v>0.38220070976394549</v>
      </c>
      <c r="D26" s="155">
        <v>0.36958134965532846</v>
      </c>
      <c r="E26" s="155">
        <v>0.23439818530026987</v>
      </c>
      <c r="F26" s="155">
        <v>1.7316915672757979E-4</v>
      </c>
      <c r="G26" s="155">
        <v>1.3646586123728589E-2</v>
      </c>
      <c r="H26" s="142">
        <v>1</v>
      </c>
      <c r="I26" s="837">
        <f t="shared" si="0"/>
        <v>1</v>
      </c>
    </row>
    <row r="27" spans="2:9">
      <c r="B27" s="134">
        <v>1924</v>
      </c>
      <c r="C27" s="155">
        <v>0.47201870834016668</v>
      </c>
      <c r="D27" s="155">
        <v>0.32986758815762646</v>
      </c>
      <c r="E27" s="155">
        <v>0.17600287831712438</v>
      </c>
      <c r="F27" s="155" t="s">
        <v>103</v>
      </c>
      <c r="G27" s="155">
        <v>2.2110825185082391E-2</v>
      </c>
      <c r="H27" s="142">
        <v>1</v>
      </c>
      <c r="I27" s="837">
        <f t="shared" si="0"/>
        <v>0.99999999999999978</v>
      </c>
    </row>
    <row r="28" spans="2:9">
      <c r="B28" s="134">
        <v>1923</v>
      </c>
      <c r="C28" s="155">
        <v>0.37906630569310124</v>
      </c>
      <c r="D28" s="155">
        <v>0.30518786653143332</v>
      </c>
      <c r="E28" s="155">
        <v>0.29568127459367277</v>
      </c>
      <c r="F28" s="155" t="s">
        <v>103</v>
      </c>
      <c r="G28" s="155">
        <v>2.0064553181792715E-2</v>
      </c>
      <c r="H28" s="142">
        <v>1</v>
      </c>
      <c r="I28" s="837">
        <f t="shared" si="0"/>
        <v>1</v>
      </c>
    </row>
    <row r="29" spans="2:9">
      <c r="B29" s="134">
        <v>1922</v>
      </c>
      <c r="C29" s="155">
        <v>0.38230765970485669</v>
      </c>
      <c r="D29" s="155">
        <v>0.29441716525399292</v>
      </c>
      <c r="E29" s="155">
        <v>0.28761569530437392</v>
      </c>
      <c r="F29" s="155" t="s">
        <v>103</v>
      </c>
      <c r="G29" s="155">
        <v>3.5659479736776467E-2</v>
      </c>
      <c r="H29" s="142">
        <v>1</v>
      </c>
      <c r="I29" s="837">
        <f t="shared" si="0"/>
        <v>1</v>
      </c>
    </row>
    <row r="30" spans="2:9">
      <c r="B30" s="134">
        <v>1918</v>
      </c>
      <c r="C30" s="155">
        <v>0.38419040721740183</v>
      </c>
      <c r="D30" s="155">
        <v>0.20819643012424979</v>
      </c>
      <c r="E30" s="155">
        <v>0.25822017206557113</v>
      </c>
      <c r="F30" s="155" t="s">
        <v>103</v>
      </c>
      <c r="G30" s="155">
        <v>0.14939299059277708</v>
      </c>
      <c r="H30" s="142">
        <v>1</v>
      </c>
      <c r="I30" s="837">
        <f t="shared" si="0"/>
        <v>0.99999999999999989</v>
      </c>
    </row>
    <row r="31" spans="2:9">
      <c r="B31" s="135"/>
      <c r="C31" s="137"/>
      <c r="D31" s="137"/>
      <c r="E31" s="137"/>
      <c r="F31" s="137"/>
      <c r="G31" s="137"/>
      <c r="H31" s="137"/>
    </row>
    <row r="32" spans="2:9">
      <c r="B32" s="132"/>
      <c r="C32" s="101"/>
      <c r="D32" s="101"/>
      <c r="E32" s="101"/>
      <c r="F32" s="101"/>
      <c r="G32" s="101"/>
      <c r="H32" s="101"/>
    </row>
    <row r="35" spans="1:18">
      <c r="B35" s="540"/>
      <c r="C35" s="540"/>
      <c r="D35" s="540"/>
      <c r="E35" s="540"/>
      <c r="F35" s="540"/>
      <c r="G35" s="540"/>
      <c r="H35" s="540"/>
      <c r="I35" s="540"/>
      <c r="J35" s="540"/>
      <c r="K35" s="540"/>
    </row>
    <row r="36" spans="1:18">
      <c r="B36" s="541"/>
      <c r="C36" s="541"/>
      <c r="D36" s="541"/>
      <c r="E36" s="541"/>
      <c r="F36" s="541"/>
      <c r="G36" s="541"/>
      <c r="H36" s="541"/>
      <c r="I36" s="541"/>
      <c r="J36" s="541"/>
      <c r="K36" s="541"/>
      <c r="R36" s="838">
        <f>20/650</f>
        <v>3.0769230769230771E-2</v>
      </c>
    </row>
    <row r="37" spans="1:18">
      <c r="B37" s="542"/>
      <c r="C37" s="542">
        <v>1979</v>
      </c>
      <c r="D37" s="542">
        <v>1983</v>
      </c>
      <c r="E37" s="542">
        <v>1987</v>
      </c>
      <c r="F37" s="542">
        <v>1992</v>
      </c>
      <c r="G37" s="542">
        <v>1997</v>
      </c>
      <c r="H37" s="542">
        <v>2001</v>
      </c>
      <c r="I37" s="542">
        <v>2005</v>
      </c>
      <c r="J37" s="542">
        <v>2010</v>
      </c>
      <c r="K37" s="542">
        <v>2015</v>
      </c>
    </row>
    <row r="38" spans="1:18">
      <c r="B38" s="542"/>
      <c r="C38" s="543"/>
      <c r="D38" s="543"/>
      <c r="E38" s="543"/>
      <c r="F38" s="543"/>
      <c r="G38" s="543"/>
      <c r="H38" s="543"/>
      <c r="I38" s="543"/>
      <c r="J38" s="543"/>
      <c r="K38" s="543"/>
    </row>
    <row r="39" spans="1:18">
      <c r="B39" s="542"/>
      <c r="C39" s="542"/>
      <c r="D39" s="542"/>
      <c r="E39" s="542"/>
      <c r="F39" s="542"/>
      <c r="G39" s="542"/>
      <c r="H39" s="542"/>
      <c r="I39" s="542"/>
      <c r="J39" s="542"/>
      <c r="K39" s="542"/>
    </row>
    <row r="40" spans="1:18">
      <c r="A40" s="548" t="s">
        <v>1620</v>
      </c>
      <c r="B40" s="542" t="s">
        <v>1618</v>
      </c>
      <c r="C40" s="544" t="s">
        <v>685</v>
      </c>
      <c r="D40" s="544" t="s">
        <v>685</v>
      </c>
      <c r="E40" s="544" t="s">
        <v>685</v>
      </c>
      <c r="F40" s="544" t="s">
        <v>685</v>
      </c>
      <c r="G40" s="545">
        <v>105.72199999999999</v>
      </c>
      <c r="H40" s="545">
        <v>390.56299999999999</v>
      </c>
      <c r="I40" s="545">
        <v>605.97299999999996</v>
      </c>
      <c r="J40" s="545">
        <v>919.471</v>
      </c>
      <c r="K40" s="545">
        <v>3881.0990000000002</v>
      </c>
    </row>
    <row r="41" spans="1:18">
      <c r="B41" s="542" t="s">
        <v>1197</v>
      </c>
      <c r="C41" s="546" t="s">
        <v>685</v>
      </c>
      <c r="D41" s="546" t="s">
        <v>685</v>
      </c>
      <c r="E41" s="546" t="s">
        <v>685</v>
      </c>
      <c r="F41" s="546" t="s">
        <v>685</v>
      </c>
      <c r="G41" s="547">
        <v>3.3791804741016862E-3</v>
      </c>
      <c r="H41" s="547">
        <v>1.4812353580937477E-2</v>
      </c>
      <c r="I41" s="547">
        <v>2.2320672478894792E-2</v>
      </c>
      <c r="J41" s="547">
        <v>3.0971546238625386E-2</v>
      </c>
      <c r="K41" s="547">
        <v>0.12643035554169268</v>
      </c>
    </row>
    <row r="42" spans="1:18">
      <c r="B42" s="542"/>
      <c r="C42" s="544"/>
      <c r="D42" s="544"/>
      <c r="E42" s="544"/>
      <c r="F42" s="544"/>
      <c r="G42" s="542"/>
      <c r="H42" s="542"/>
      <c r="I42" s="542"/>
      <c r="J42" s="542"/>
      <c r="K42" s="542"/>
    </row>
    <row r="43" spans="1:18">
      <c r="B43" s="542" t="s">
        <v>56</v>
      </c>
      <c r="C43" s="544" t="s">
        <v>685</v>
      </c>
      <c r="D43" s="544" t="s">
        <v>685</v>
      </c>
      <c r="E43" s="544" t="s">
        <v>685</v>
      </c>
      <c r="F43" s="544" t="s">
        <v>685</v>
      </c>
      <c r="G43" s="542">
        <v>0</v>
      </c>
      <c r="H43" s="542">
        <v>0</v>
      </c>
      <c r="I43" s="542">
        <v>0</v>
      </c>
      <c r="J43" s="542">
        <v>0</v>
      </c>
      <c r="K43" s="542">
        <v>1</v>
      </c>
    </row>
    <row r="44" spans="1:18">
      <c r="B44" s="542" t="s">
        <v>1619</v>
      </c>
      <c r="C44" s="546"/>
      <c r="D44" s="546"/>
      <c r="E44" s="546"/>
      <c r="F44" s="544" t="s">
        <v>685</v>
      </c>
      <c r="G44" s="547">
        <v>0</v>
      </c>
      <c r="H44" s="547">
        <v>0</v>
      </c>
      <c r="I44" s="547">
        <v>0</v>
      </c>
      <c r="J44" s="547">
        <v>0</v>
      </c>
      <c r="K44" s="547">
        <v>1.5384615384615385E-3</v>
      </c>
    </row>
    <row r="45" spans="1:18">
      <c r="B45" s="542"/>
      <c r="C45" s="544"/>
      <c r="D45" s="544"/>
      <c r="E45" s="544"/>
      <c r="F45" s="544"/>
      <c r="G45" s="542"/>
      <c r="H45" s="542"/>
      <c r="I45" s="542"/>
      <c r="J45" s="542"/>
      <c r="K45" s="542"/>
    </row>
    <row r="46" spans="1:18">
      <c r="A46" s="548" t="s">
        <v>115</v>
      </c>
      <c r="B46" s="542" t="s">
        <v>1618</v>
      </c>
      <c r="C46" s="544">
        <v>39.917999999999999</v>
      </c>
      <c r="D46" s="544">
        <v>53.847999999999999</v>
      </c>
      <c r="E46" s="544">
        <v>89.753</v>
      </c>
      <c r="F46" s="544">
        <v>171.92699999999999</v>
      </c>
      <c r="G46" s="542">
        <v>63.991</v>
      </c>
      <c r="H46" s="542">
        <v>166.477</v>
      </c>
      <c r="I46" s="542">
        <v>283.41399999999999</v>
      </c>
      <c r="J46" s="542">
        <v>285.61200000000002</v>
      </c>
      <c r="K46" s="542">
        <v>1157.6300000000001</v>
      </c>
    </row>
    <row r="47" spans="1:18">
      <c r="B47" s="542" t="s">
        <v>1197</v>
      </c>
      <c r="C47" s="544">
        <v>1.2785476815521373E-3</v>
      </c>
      <c r="D47" s="544">
        <v>1.7556571182868114E-3</v>
      </c>
      <c r="E47" s="544">
        <v>2.7591197156015979E-3</v>
      </c>
      <c r="F47" s="544">
        <v>5.1147325968283405E-3</v>
      </c>
      <c r="G47" s="542">
        <v>2.0453371835402376E-3</v>
      </c>
      <c r="H47" s="542">
        <v>6.3137475569721878E-3</v>
      </c>
      <c r="I47" s="542">
        <v>1.0439394279833406E-2</v>
      </c>
      <c r="J47" s="542">
        <v>9.6205810344277033E-3</v>
      </c>
      <c r="K47" s="542">
        <v>3.7710857797167686E-2</v>
      </c>
    </row>
    <row r="48" spans="1:18">
      <c r="B48" s="543"/>
      <c r="C48" s="543"/>
      <c r="D48" s="543"/>
      <c r="E48" s="543"/>
      <c r="F48" s="543"/>
      <c r="G48" s="543"/>
      <c r="H48" s="543"/>
      <c r="I48" s="543"/>
      <c r="J48" s="543"/>
      <c r="K48" s="543"/>
    </row>
    <row r="49" spans="1:11">
      <c r="B49" s="540" t="s">
        <v>56</v>
      </c>
      <c r="C49" s="540">
        <v>0</v>
      </c>
      <c r="D49" s="540">
        <v>0</v>
      </c>
      <c r="E49" s="540">
        <v>0</v>
      </c>
      <c r="F49" s="540">
        <v>0</v>
      </c>
      <c r="G49" s="540">
        <v>0</v>
      </c>
      <c r="H49" s="540">
        <v>0</v>
      </c>
      <c r="I49" s="540">
        <v>0</v>
      </c>
      <c r="J49" s="540">
        <v>1</v>
      </c>
      <c r="K49" s="540">
        <v>1</v>
      </c>
    </row>
    <row r="50" spans="1:11">
      <c r="B50" s="540" t="s">
        <v>1619</v>
      </c>
      <c r="C50" s="540">
        <v>0</v>
      </c>
      <c r="D50" s="540">
        <v>0</v>
      </c>
      <c r="E50" s="540">
        <v>0</v>
      </c>
      <c r="F50" s="540">
        <v>0</v>
      </c>
      <c r="G50" s="540">
        <v>0</v>
      </c>
      <c r="H50" s="540">
        <v>0</v>
      </c>
      <c r="I50" s="540">
        <v>0</v>
      </c>
      <c r="J50" s="540">
        <v>1.5384615384615385E-3</v>
      </c>
      <c r="K50" s="540">
        <v>1.5384615384615385E-3</v>
      </c>
    </row>
    <row r="52" spans="1:11">
      <c r="A52" s="548" t="s">
        <v>99</v>
      </c>
      <c r="B52" t="s">
        <v>1618</v>
      </c>
      <c r="C52">
        <v>132.54400000000001</v>
      </c>
      <c r="D52">
        <v>125.309</v>
      </c>
      <c r="E52">
        <v>123.599</v>
      </c>
      <c r="F52">
        <v>154.947</v>
      </c>
      <c r="G52">
        <v>161.03</v>
      </c>
      <c r="H52">
        <v>195.893</v>
      </c>
      <c r="I52">
        <v>174.83799999999999</v>
      </c>
      <c r="J52">
        <v>165.39400000000001</v>
      </c>
      <c r="K52">
        <v>181.70400000000001</v>
      </c>
    </row>
    <row r="53" spans="1:11">
      <c r="B53" t="s">
        <v>1197</v>
      </c>
      <c r="C53">
        <v>8.0988006755518191E-2</v>
      </c>
      <c r="D53">
        <v>7.7880727364936661E-2</v>
      </c>
      <c r="E53">
        <v>7.2786815350840001E-2</v>
      </c>
      <c r="F53">
        <v>8.8603063741117358E-2</v>
      </c>
      <c r="G53">
        <v>9.9397430468710468E-2</v>
      </c>
      <c r="H53">
        <v>0.14272235684632792</v>
      </c>
      <c r="I53">
        <v>0.12553716866072767</v>
      </c>
      <c r="J53">
        <v>0.1127672267733017</v>
      </c>
      <c r="K53">
        <v>0.12129262921519322</v>
      </c>
    </row>
    <row r="55" spans="1:11">
      <c r="B55" t="s">
        <v>56</v>
      </c>
      <c r="C55">
        <v>2</v>
      </c>
      <c r="D55">
        <v>2</v>
      </c>
      <c r="E55">
        <v>3</v>
      </c>
      <c r="F55">
        <v>4</v>
      </c>
      <c r="G55">
        <v>4</v>
      </c>
      <c r="H55">
        <v>4</v>
      </c>
      <c r="I55">
        <v>3</v>
      </c>
      <c r="J55">
        <v>3</v>
      </c>
      <c r="K55">
        <v>3</v>
      </c>
    </row>
    <row r="56" spans="1:11">
      <c r="B56" t="s">
        <v>1619</v>
      </c>
      <c r="C56">
        <v>5.5555555555555552E-2</v>
      </c>
      <c r="D56">
        <v>5.2631578947368418E-2</v>
      </c>
      <c r="E56">
        <v>7.8947368421052627E-2</v>
      </c>
      <c r="F56">
        <v>0.10526315789473684</v>
      </c>
      <c r="G56">
        <v>0.1</v>
      </c>
      <c r="H56">
        <v>0.1</v>
      </c>
      <c r="I56">
        <v>7.4999999999999997E-2</v>
      </c>
      <c r="J56">
        <v>7.4999999999999997E-2</v>
      </c>
      <c r="K56">
        <v>7.4999999999999997E-2</v>
      </c>
    </row>
  </sheetData>
  <pageMargins left="0.7" right="0.7" top="0.75" bottom="0.75" header="0.3" footer="0.3"/>
  <pageSetup paperSize="9" orientation="portrait" verticalDpi="0"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05">
    <tabColor theme="4"/>
  </sheetPr>
  <dimension ref="A1:V36"/>
  <sheetViews>
    <sheetView showGridLines="0" zoomScale="70" zoomScaleNormal="70" workbookViewId="0">
      <selection activeCell="M18" sqref="M18"/>
    </sheetView>
  </sheetViews>
  <sheetFormatPr baseColWidth="10" defaultColWidth="9.3984375" defaultRowHeight="14"/>
  <cols>
    <col min="1" max="1" width="19.796875" style="850" customWidth="1"/>
    <col min="2" max="8" width="6.59765625" style="896" customWidth="1"/>
    <col min="9" max="9" width="7.796875" style="896" customWidth="1"/>
    <col min="10" max="10" width="7.3984375" style="850" customWidth="1"/>
    <col min="11" max="16384" width="9.3984375" style="896"/>
  </cols>
  <sheetData>
    <row r="1" spans="1:22">
      <c r="A1" s="880" t="s">
        <v>2848</v>
      </c>
    </row>
    <row r="2" spans="1:22" ht="16">
      <c r="A2" s="1122" t="s">
        <v>2848</v>
      </c>
      <c r="B2" s="1218"/>
      <c r="C2" s="1218"/>
      <c r="D2" s="1218"/>
      <c r="E2" s="1218"/>
      <c r="F2" s="1218"/>
      <c r="G2" s="1218"/>
      <c r="H2" s="1218"/>
      <c r="I2" s="1218"/>
      <c r="J2" s="1218"/>
    </row>
    <row r="3" spans="1:22" ht="12.75" customHeight="1" thickBot="1">
      <c r="A3" s="871"/>
      <c r="B3" s="3496">
        <v>2012</v>
      </c>
      <c r="C3" s="3496"/>
      <c r="D3" s="3496"/>
      <c r="E3" s="3496"/>
      <c r="F3" s="3496"/>
      <c r="G3" s="3496"/>
      <c r="H3" s="3496"/>
      <c r="I3" s="3496"/>
      <c r="J3" s="871"/>
    </row>
    <row r="4" spans="1:22" ht="3" customHeight="1">
      <c r="A4" s="871"/>
      <c r="B4" s="2514"/>
      <c r="C4" s="2514"/>
      <c r="D4" s="2514"/>
      <c r="E4" s="2514"/>
      <c r="F4" s="2514"/>
      <c r="G4" s="2514"/>
      <c r="H4" s="2514"/>
      <c r="I4" s="2514"/>
      <c r="J4" s="871"/>
    </row>
    <row r="5" spans="1:22" s="850" customFormat="1">
      <c r="A5" s="871"/>
      <c r="B5" s="2243" t="s">
        <v>806</v>
      </c>
      <c r="C5" s="2244" t="s">
        <v>807</v>
      </c>
      <c r="D5" s="2263" t="s">
        <v>2388</v>
      </c>
      <c r="E5" s="2258" t="s">
        <v>2389</v>
      </c>
      <c r="F5" s="2245" t="s">
        <v>808</v>
      </c>
      <c r="G5" s="2261" t="s">
        <v>2390</v>
      </c>
      <c r="H5" s="2262" t="s">
        <v>2391</v>
      </c>
      <c r="I5" s="2246" t="s">
        <v>1972</v>
      </c>
      <c r="J5" s="1183" t="s">
        <v>16</v>
      </c>
    </row>
    <row r="6" spans="1:22" s="850" customFormat="1" ht="2" customHeight="1">
      <c r="A6" s="871"/>
      <c r="B6" s="2512"/>
      <c r="C6" s="2512"/>
      <c r="D6" s="2512"/>
      <c r="E6" s="2512"/>
      <c r="F6" s="1363"/>
      <c r="G6" s="1363"/>
      <c r="H6" s="1363"/>
      <c r="I6" s="2512"/>
      <c r="J6" s="1183"/>
    </row>
    <row r="7" spans="1:22" s="850" customFormat="1">
      <c r="A7" s="850" t="s">
        <v>2015</v>
      </c>
      <c r="B7" s="850">
        <v>16</v>
      </c>
      <c r="C7" s="850">
        <v>12</v>
      </c>
      <c r="D7" s="850">
        <v>0</v>
      </c>
      <c r="E7" s="850">
        <v>0</v>
      </c>
      <c r="F7" s="850">
        <v>0</v>
      </c>
      <c r="G7" s="850">
        <v>0</v>
      </c>
      <c r="H7" s="850">
        <v>12</v>
      </c>
      <c r="I7" s="850">
        <v>0</v>
      </c>
      <c r="J7" s="850">
        <f>SUM(B7:I7)</f>
        <v>40</v>
      </c>
      <c r="O7" s="2243" t="s">
        <v>806</v>
      </c>
      <c r="P7" s="2244" t="s">
        <v>807</v>
      </c>
      <c r="Q7" s="2263" t="s">
        <v>2388</v>
      </c>
      <c r="R7" s="2258" t="s">
        <v>2389</v>
      </c>
      <c r="S7" s="2245" t="s">
        <v>808</v>
      </c>
      <c r="T7" s="2261" t="s">
        <v>2390</v>
      </c>
      <c r="U7" s="2262" t="s">
        <v>2391</v>
      </c>
      <c r="V7" s="2246" t="s">
        <v>1972</v>
      </c>
    </row>
    <row r="8" spans="1:22" s="850" customFormat="1">
      <c r="A8" s="850" t="s">
        <v>17</v>
      </c>
      <c r="B8" s="850">
        <v>15</v>
      </c>
      <c r="C8" s="850">
        <v>11</v>
      </c>
      <c r="D8" s="850">
        <v>0</v>
      </c>
      <c r="E8" s="850">
        <v>0</v>
      </c>
      <c r="F8" s="850">
        <v>0</v>
      </c>
      <c r="G8" s="850">
        <v>0</v>
      </c>
      <c r="H8" s="850">
        <v>10</v>
      </c>
      <c r="I8" s="850">
        <v>0</v>
      </c>
      <c r="J8" s="850">
        <f>SUM(B8:I8)</f>
        <v>36</v>
      </c>
    </row>
    <row r="9" spans="1:22" s="850" customFormat="1">
      <c r="A9" s="850" t="s">
        <v>18</v>
      </c>
      <c r="B9" s="850">
        <v>1</v>
      </c>
      <c r="C9" s="850">
        <v>1</v>
      </c>
      <c r="D9" s="850">
        <v>0</v>
      </c>
      <c r="E9" s="850">
        <v>0</v>
      </c>
      <c r="F9" s="850">
        <v>0</v>
      </c>
      <c r="G9" s="850">
        <v>0</v>
      </c>
      <c r="H9" s="850">
        <v>2</v>
      </c>
      <c r="I9" s="850">
        <v>0</v>
      </c>
      <c r="J9" s="850">
        <f>SUM(B9:I9)</f>
        <v>4</v>
      </c>
    </row>
    <row r="10" spans="1:22" s="850" customFormat="1" ht="3.75" customHeight="1">
      <c r="A10" s="867"/>
    </row>
    <row r="11" spans="1:22" s="850" customFormat="1" ht="14.25" customHeight="1" thickBot="1">
      <c r="A11" s="871"/>
      <c r="B11" s="3497">
        <v>2016</v>
      </c>
      <c r="C11" s="3497"/>
      <c r="D11" s="3497"/>
      <c r="E11" s="3497"/>
      <c r="F11" s="3497"/>
      <c r="G11" s="3497"/>
      <c r="H11" s="3497"/>
      <c r="I11" s="3497"/>
      <c r="J11" s="871"/>
    </row>
    <row r="12" spans="1:22" s="850" customFormat="1" ht="3" customHeight="1">
      <c r="A12" s="871"/>
      <c r="B12" s="2513"/>
      <c r="C12" s="2513"/>
      <c r="D12" s="2513"/>
      <c r="E12" s="2513"/>
      <c r="F12" s="2513"/>
      <c r="G12" s="2513"/>
      <c r="H12" s="2513"/>
      <c r="I12" s="2513"/>
      <c r="J12" s="871"/>
    </row>
    <row r="13" spans="1:22" s="850" customFormat="1">
      <c r="A13" s="871"/>
      <c r="B13" s="2243" t="s">
        <v>806</v>
      </c>
      <c r="C13" s="2244" t="s">
        <v>807</v>
      </c>
      <c r="D13" s="2263" t="s">
        <v>2388</v>
      </c>
      <c r="E13" s="2258" t="s">
        <v>2389</v>
      </c>
      <c r="F13" s="2245" t="s">
        <v>808</v>
      </c>
      <c r="G13" s="2261" t="s">
        <v>2390</v>
      </c>
      <c r="H13" s="2262" t="s">
        <v>2391</v>
      </c>
      <c r="I13" s="2246" t="s">
        <v>1972</v>
      </c>
      <c r="J13" s="1183" t="s">
        <v>16</v>
      </c>
    </row>
    <row r="14" spans="1:22" s="850" customFormat="1" ht="2" customHeight="1">
      <c r="A14" s="871"/>
      <c r="B14" s="2512"/>
      <c r="C14" s="2512"/>
      <c r="D14" s="2512"/>
      <c r="E14" s="2512"/>
      <c r="F14" s="1363"/>
      <c r="G14" s="1363"/>
      <c r="H14" s="1363"/>
      <c r="I14" s="2512"/>
      <c r="J14" s="1183"/>
    </row>
    <row r="15" spans="1:22" s="850" customFormat="1">
      <c r="A15" s="850" t="s">
        <v>2015</v>
      </c>
      <c r="B15" s="850">
        <v>20</v>
      </c>
      <c r="C15" s="850">
        <v>15</v>
      </c>
      <c r="D15" s="850">
        <v>2</v>
      </c>
      <c r="E15" s="850">
        <v>0</v>
      </c>
      <c r="F15" s="850">
        <v>0</v>
      </c>
      <c r="G15" s="850">
        <v>0</v>
      </c>
      <c r="H15" s="850">
        <v>3</v>
      </c>
      <c r="I15" s="850">
        <v>0</v>
      </c>
      <c r="J15" s="850">
        <f>SUM(B15:I15)</f>
        <v>40</v>
      </c>
    </row>
    <row r="16" spans="1:22" s="850" customFormat="1">
      <c r="A16" s="850" t="s">
        <v>17</v>
      </c>
      <c r="B16" s="850">
        <v>20</v>
      </c>
      <c r="C16" s="850">
        <v>13</v>
      </c>
      <c r="D16" s="850">
        <v>0</v>
      </c>
      <c r="E16" s="850">
        <v>0</v>
      </c>
      <c r="F16" s="850">
        <v>0</v>
      </c>
      <c r="G16" s="850">
        <v>0</v>
      </c>
      <c r="H16" s="850">
        <v>3</v>
      </c>
      <c r="I16" s="850">
        <v>0</v>
      </c>
      <c r="J16" s="850">
        <f>SUM(B16:I16)</f>
        <v>36</v>
      </c>
    </row>
    <row r="17" spans="1:10" s="850" customFormat="1">
      <c r="A17" s="850" t="s">
        <v>18</v>
      </c>
      <c r="B17" s="850">
        <v>0</v>
      </c>
      <c r="C17" s="850">
        <v>2</v>
      </c>
      <c r="D17" s="850">
        <v>2</v>
      </c>
      <c r="E17" s="850">
        <v>0</v>
      </c>
      <c r="F17" s="850">
        <v>0</v>
      </c>
      <c r="G17" s="850">
        <v>0</v>
      </c>
      <c r="H17" s="850">
        <v>0</v>
      </c>
      <c r="I17" s="850">
        <v>0</v>
      </c>
      <c r="J17" s="850">
        <f>SUM(B17:I17)</f>
        <v>4</v>
      </c>
    </row>
    <row r="18" spans="1:10" s="850" customFormat="1" ht="3.75" customHeight="1">
      <c r="A18" s="867"/>
    </row>
    <row r="19" spans="1:10" s="850" customFormat="1" ht="14.25" customHeight="1" thickBot="1">
      <c r="A19" s="871"/>
      <c r="B19" s="3497">
        <v>2021</v>
      </c>
      <c r="C19" s="3497"/>
      <c r="D19" s="3497"/>
      <c r="E19" s="3497"/>
      <c r="F19" s="3497"/>
      <c r="G19" s="3497"/>
      <c r="H19" s="3497"/>
      <c r="I19" s="3497"/>
      <c r="J19" s="871"/>
    </row>
    <row r="20" spans="1:10" s="850" customFormat="1" ht="3" customHeight="1">
      <c r="A20" s="871"/>
      <c r="B20" s="2513"/>
      <c r="C20" s="2513"/>
      <c r="D20" s="2513"/>
      <c r="E20" s="2513"/>
      <c r="F20" s="2513"/>
      <c r="G20" s="2513"/>
      <c r="H20" s="2513"/>
      <c r="I20" s="2513"/>
      <c r="J20" s="871"/>
    </row>
    <row r="21" spans="1:10" s="850" customFormat="1">
      <c r="A21" s="871"/>
      <c r="B21" s="2243" t="s">
        <v>806</v>
      </c>
      <c r="C21" s="2244" t="s">
        <v>807</v>
      </c>
      <c r="D21" s="2263" t="s">
        <v>2388</v>
      </c>
      <c r="E21" s="2258" t="s">
        <v>2389</v>
      </c>
      <c r="F21" s="2245" t="s">
        <v>808</v>
      </c>
      <c r="G21" s="2261" t="s">
        <v>2390</v>
      </c>
      <c r="H21" s="2262" t="s">
        <v>2391</v>
      </c>
      <c r="I21" s="2246" t="s">
        <v>1972</v>
      </c>
      <c r="J21" s="1183" t="s">
        <v>16</v>
      </c>
    </row>
    <row r="22" spans="1:10" s="850" customFormat="1" ht="2" customHeight="1">
      <c r="A22" s="871"/>
      <c r="B22" s="2512"/>
      <c r="C22" s="2512"/>
      <c r="D22" s="2512"/>
      <c r="E22" s="2512"/>
      <c r="F22" s="1363"/>
      <c r="G22" s="1363"/>
      <c r="H22" s="1363"/>
      <c r="I22" s="2512"/>
      <c r="J22" s="1183"/>
    </row>
    <row r="23" spans="1:10" s="850" customFormat="1">
      <c r="A23" s="850" t="s">
        <v>2015</v>
      </c>
      <c r="B23" s="850">
        <v>30</v>
      </c>
      <c r="C23" s="850">
        <v>8</v>
      </c>
      <c r="D23" s="850">
        <v>1</v>
      </c>
      <c r="E23" s="850">
        <v>0</v>
      </c>
      <c r="F23" s="850">
        <v>0</v>
      </c>
      <c r="G23" s="850">
        <v>0</v>
      </c>
      <c r="H23" s="850">
        <v>0</v>
      </c>
      <c r="I23" s="850">
        <v>0</v>
      </c>
      <c r="J23" s="850">
        <f>SUM(B23:I23)</f>
        <v>39</v>
      </c>
    </row>
    <row r="24" spans="1:10" s="850" customFormat="1">
      <c r="A24" s="850" t="s">
        <v>17</v>
      </c>
      <c r="B24" s="850">
        <v>30</v>
      </c>
      <c r="C24" s="850">
        <v>5</v>
      </c>
      <c r="D24" s="850">
        <v>0</v>
      </c>
      <c r="E24" s="850">
        <v>0</v>
      </c>
      <c r="F24" s="850">
        <v>0</v>
      </c>
      <c r="G24" s="850">
        <v>0</v>
      </c>
      <c r="H24" s="850">
        <v>0</v>
      </c>
      <c r="I24" s="850">
        <v>0</v>
      </c>
      <c r="J24" s="850">
        <f>SUM(B24:I24)</f>
        <v>35</v>
      </c>
    </row>
    <row r="25" spans="1:10" s="850" customFormat="1">
      <c r="A25" s="850" t="s">
        <v>18</v>
      </c>
      <c r="B25" s="850">
        <v>0</v>
      </c>
      <c r="C25" s="850">
        <v>3</v>
      </c>
      <c r="D25" s="850">
        <v>1</v>
      </c>
      <c r="E25" s="850">
        <v>0</v>
      </c>
      <c r="F25" s="850">
        <v>0</v>
      </c>
      <c r="G25" s="850">
        <v>0</v>
      </c>
      <c r="H25" s="850">
        <v>0</v>
      </c>
      <c r="I25" s="850">
        <v>0</v>
      </c>
      <c r="J25" s="850">
        <f>SUM(B25:I25)</f>
        <v>4</v>
      </c>
    </row>
    <row r="26" spans="1:10" s="952" customFormat="1" ht="3.75" customHeight="1">
      <c r="A26" s="867"/>
      <c r="B26" s="867"/>
      <c r="C26" s="867"/>
      <c r="D26" s="867"/>
      <c r="E26" s="867"/>
      <c r="F26" s="867"/>
      <c r="G26" s="867"/>
      <c r="H26" s="867"/>
      <c r="I26" s="867"/>
      <c r="J26" s="867"/>
    </row>
    <row r="27" spans="1:10" s="850" customFormat="1" ht="15" customHeight="1" thickBot="1">
      <c r="A27" s="871"/>
      <c r="B27" s="3497" t="s">
        <v>2849</v>
      </c>
      <c r="C27" s="3497"/>
      <c r="D27" s="3497"/>
      <c r="E27" s="3497"/>
      <c r="F27" s="3497"/>
      <c r="G27" s="3497"/>
      <c r="H27" s="3497"/>
      <c r="I27" s="3497"/>
      <c r="J27" s="871"/>
    </row>
    <row r="28" spans="1:10" s="850" customFormat="1" ht="3" customHeight="1">
      <c r="A28" s="871"/>
      <c r="B28" s="2513"/>
      <c r="C28" s="2513"/>
      <c r="D28" s="2513"/>
      <c r="E28" s="2513"/>
      <c r="F28" s="2513"/>
      <c r="G28" s="2513"/>
      <c r="H28" s="2513"/>
      <c r="I28" s="2513"/>
      <c r="J28" s="871"/>
    </row>
    <row r="29" spans="1:10" s="850" customFormat="1" ht="16.5" customHeight="1">
      <c r="A29" s="871"/>
      <c r="B29" s="2243" t="s">
        <v>806</v>
      </c>
      <c r="C29" s="2244" t="s">
        <v>807</v>
      </c>
      <c r="D29" s="2263" t="s">
        <v>2388</v>
      </c>
      <c r="E29" s="2258" t="s">
        <v>2389</v>
      </c>
      <c r="F29" s="2245" t="s">
        <v>808</v>
      </c>
      <c r="G29" s="2261" t="s">
        <v>2390</v>
      </c>
      <c r="H29" s="2262" t="s">
        <v>2391</v>
      </c>
      <c r="I29" s="2246" t="s">
        <v>1972</v>
      </c>
      <c r="J29" s="1183"/>
    </row>
    <row r="30" spans="1:10" s="850" customFormat="1" ht="2" customHeight="1">
      <c r="A30" s="871"/>
      <c r="B30" s="2512"/>
      <c r="C30" s="2512"/>
      <c r="D30" s="2512"/>
      <c r="E30" s="2512"/>
      <c r="F30" s="1363"/>
      <c r="G30" s="1363"/>
      <c r="H30" s="1363"/>
      <c r="I30" s="2512"/>
      <c r="J30" s="1183"/>
    </row>
    <row r="31" spans="1:10" s="850" customFormat="1">
      <c r="A31" s="850" t="s">
        <v>2015</v>
      </c>
      <c r="B31" s="850">
        <f t="shared" ref="B31:H31" si="0">B23-B15</f>
        <v>10</v>
      </c>
      <c r="C31" s="850">
        <f t="shared" si="0"/>
        <v>-7</v>
      </c>
      <c r="D31" s="850">
        <f t="shared" si="0"/>
        <v>-1</v>
      </c>
      <c r="E31" s="850">
        <f t="shared" si="0"/>
        <v>0</v>
      </c>
      <c r="F31" s="850">
        <f t="shared" si="0"/>
        <v>0</v>
      </c>
      <c r="G31" s="850">
        <f t="shared" si="0"/>
        <v>0</v>
      </c>
      <c r="H31" s="850">
        <f t="shared" si="0"/>
        <v>-3</v>
      </c>
      <c r="I31" s="850">
        <f>I15-I7</f>
        <v>0</v>
      </c>
    </row>
    <row r="32" spans="1:10" s="850" customFormat="1">
      <c r="A32" s="850" t="s">
        <v>17</v>
      </c>
      <c r="B32" s="850">
        <f t="shared" ref="B32:H32" si="1">B24-B16</f>
        <v>10</v>
      </c>
      <c r="C32" s="850">
        <f t="shared" si="1"/>
        <v>-8</v>
      </c>
      <c r="D32" s="850">
        <f t="shared" si="1"/>
        <v>0</v>
      </c>
      <c r="E32" s="850">
        <f t="shared" si="1"/>
        <v>0</v>
      </c>
      <c r="F32" s="850">
        <f t="shared" si="1"/>
        <v>0</v>
      </c>
      <c r="G32" s="850">
        <f t="shared" si="1"/>
        <v>0</v>
      </c>
      <c r="H32" s="850">
        <f t="shared" si="1"/>
        <v>-3</v>
      </c>
      <c r="I32" s="850">
        <f>I16-I8</f>
        <v>0</v>
      </c>
    </row>
    <row r="33" spans="1:10">
      <c r="A33" s="850" t="s">
        <v>18</v>
      </c>
      <c r="B33" s="850">
        <f t="shared" ref="B33:H33" si="2">B25-B17</f>
        <v>0</v>
      </c>
      <c r="C33" s="850">
        <f t="shared" si="2"/>
        <v>1</v>
      </c>
      <c r="D33" s="850">
        <f t="shared" si="2"/>
        <v>-1</v>
      </c>
      <c r="E33" s="850">
        <f t="shared" si="2"/>
        <v>0</v>
      </c>
      <c r="F33" s="850">
        <f t="shared" si="2"/>
        <v>0</v>
      </c>
      <c r="G33" s="850">
        <f t="shared" si="2"/>
        <v>0</v>
      </c>
      <c r="H33" s="850">
        <f t="shared" si="2"/>
        <v>0</v>
      </c>
      <c r="I33" s="850">
        <f>I17-I9</f>
        <v>0</v>
      </c>
    </row>
    <row r="34" spans="1:10" ht="3.75" customHeight="1">
      <c r="A34" s="871"/>
      <c r="B34" s="871"/>
      <c r="C34" s="871"/>
      <c r="D34" s="871"/>
      <c r="E34" s="871"/>
      <c r="F34" s="871"/>
      <c r="G34" s="871"/>
      <c r="H34" s="871"/>
      <c r="I34" s="871"/>
      <c r="J34" s="871"/>
    </row>
    <row r="35" spans="1:10">
      <c r="A35" s="871" t="s">
        <v>2850</v>
      </c>
      <c r="B35" s="871"/>
      <c r="C35" s="871"/>
      <c r="D35" s="871"/>
      <c r="E35" s="871"/>
      <c r="F35" s="871"/>
      <c r="G35" s="871"/>
      <c r="H35" s="871"/>
      <c r="I35" s="871"/>
      <c r="J35" s="871"/>
    </row>
    <row r="36" spans="1:10">
      <c r="A36" s="2095" t="s">
        <v>2016</v>
      </c>
    </row>
  </sheetData>
  <mergeCells count="4">
    <mergeCell ref="B3:I3"/>
    <mergeCell ref="B11:I11"/>
    <mergeCell ref="B27:I27"/>
    <mergeCell ref="B19:I19"/>
  </mergeCells>
  <hyperlinks>
    <hyperlink ref="A36" r:id="rId1" display="http://researchbriefings.parliament.uk/ResearchBriefing/Summary/CBP-7595" xr:uid="{00000000-0004-0000-5000-000000000000}"/>
  </hyperlinks>
  <pageMargins left="0.7" right="0.7" top="0.75" bottom="0.75" header="0.3" footer="0.3"/>
  <pageSetup paperSize="9" orientation="portrait" horizontalDpi="1200" verticalDpi="1200"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0"/>
  </sheetPr>
  <dimension ref="A1:Y44"/>
  <sheetViews>
    <sheetView showGridLines="0" topLeftCell="A7" zoomScale="70" zoomScaleNormal="70" workbookViewId="0">
      <selection activeCell="S47" sqref="S47"/>
    </sheetView>
  </sheetViews>
  <sheetFormatPr baseColWidth="10" defaultColWidth="8.796875" defaultRowHeight="13"/>
  <cols>
    <col min="1" max="1" width="9.796875" style="2188" customWidth="1"/>
    <col min="2" max="2" width="1" style="2188" hidden="1" customWidth="1"/>
    <col min="3" max="3" width="9.796875" style="2188" customWidth="1"/>
    <col min="4" max="6" width="9.796875" style="1540" customWidth="1"/>
    <col min="7" max="7" width="1.19921875" style="1540" customWidth="1"/>
    <col min="8" max="10" width="7.796875" style="1540" customWidth="1"/>
    <col min="11" max="11" width="8.3984375" style="1540" bestFit="1" customWidth="1"/>
    <col min="12" max="12" width="1.19921875" style="1540" customWidth="1"/>
    <col min="13" max="16" width="7.796875" style="1540" customWidth="1"/>
    <col min="17" max="18" width="8.796875" style="2188"/>
    <col min="19" max="19" width="28" style="2188" customWidth="1"/>
    <col min="20" max="20" width="9.3984375" style="2188" bestFit="1" customWidth="1"/>
    <col min="21" max="24" width="7.796875" style="1540" customWidth="1"/>
    <col min="25" max="16384" width="8.796875" style="2188"/>
  </cols>
  <sheetData>
    <row r="1" spans="1:24">
      <c r="A1" s="2188" t="s">
        <v>443</v>
      </c>
    </row>
    <row r="3" spans="1:24" ht="14">
      <c r="A3" s="2189" t="s">
        <v>1410</v>
      </c>
      <c r="B3" s="2190"/>
      <c r="C3" s="2190"/>
    </row>
    <row r="4" spans="1:24" ht="6" customHeight="1"/>
    <row r="5" spans="1:24" ht="12" customHeight="1">
      <c r="C5" s="3462" t="s">
        <v>1120</v>
      </c>
      <c r="D5" s="3462"/>
      <c r="E5" s="3462"/>
      <c r="F5" s="3462"/>
      <c r="G5" s="2373"/>
      <c r="H5" s="3463" t="s">
        <v>1119</v>
      </c>
      <c r="I5" s="3463"/>
      <c r="J5" s="3463"/>
      <c r="K5" s="3463"/>
      <c r="L5" s="2192"/>
      <c r="M5" s="3463" t="s">
        <v>56</v>
      </c>
      <c r="N5" s="3463"/>
      <c r="O5" s="3463"/>
      <c r="P5" s="3463"/>
      <c r="Q5" s="2193"/>
      <c r="U5" s="2374"/>
      <c r="V5" s="2374"/>
      <c r="W5" s="2374"/>
      <c r="X5" s="2374" t="s">
        <v>56</v>
      </c>
    </row>
    <row r="6" spans="1:24">
      <c r="C6" s="2195">
        <v>1998</v>
      </c>
      <c r="D6" s="2195">
        <v>2003</v>
      </c>
      <c r="E6" s="2195">
        <v>2007</v>
      </c>
      <c r="F6" s="2195">
        <v>2011</v>
      </c>
      <c r="G6" s="2196"/>
      <c r="H6" s="2195">
        <v>1998</v>
      </c>
      <c r="I6" s="2195">
        <v>2003</v>
      </c>
      <c r="J6" s="2195">
        <v>2007</v>
      </c>
      <c r="K6" s="2195">
        <v>2011</v>
      </c>
      <c r="L6" s="2196"/>
      <c r="M6" s="2195">
        <v>1998</v>
      </c>
      <c r="N6" s="2195">
        <v>2003</v>
      </c>
      <c r="O6" s="2195">
        <v>2007</v>
      </c>
      <c r="P6" s="2195">
        <v>2011</v>
      </c>
      <c r="Q6" s="2193"/>
      <c r="U6" s="2195">
        <v>2011</v>
      </c>
      <c r="V6" s="2195">
        <v>2007</v>
      </c>
      <c r="W6" s="2195">
        <v>2003</v>
      </c>
      <c r="X6" s="2195">
        <v>1998</v>
      </c>
    </row>
    <row r="7" spans="1:24" ht="6" customHeight="1">
      <c r="A7" s="2190"/>
      <c r="L7" s="2193"/>
      <c r="M7" s="2193"/>
      <c r="X7" s="2193"/>
    </row>
    <row r="8" spans="1:24">
      <c r="A8" s="2188" t="s">
        <v>1092</v>
      </c>
      <c r="C8" s="2188">
        <v>146917</v>
      </c>
      <c r="D8" s="1540">
        <v>177944</v>
      </c>
      <c r="E8" s="1540">
        <v>207721</v>
      </c>
      <c r="F8" s="1540">
        <v>198436</v>
      </c>
      <c r="H8" s="2197">
        <f t="shared" ref="H8:J15" si="0">+C8/C$19</f>
        <v>0.18132416738147103</v>
      </c>
      <c r="I8" s="2197">
        <f t="shared" si="0"/>
        <v>0.25339160326323001</v>
      </c>
      <c r="J8" s="2197">
        <f t="shared" si="0"/>
        <v>0.30090842849547961</v>
      </c>
      <c r="K8" s="2197">
        <f>F8/$F$19</f>
        <v>0.29987275854044071</v>
      </c>
      <c r="L8" s="2198"/>
      <c r="M8" s="1540">
        <v>20</v>
      </c>
      <c r="N8" s="1540">
        <v>30</v>
      </c>
      <c r="O8" s="1540">
        <v>36</v>
      </c>
      <c r="P8" s="1540">
        <v>38</v>
      </c>
      <c r="S8" s="2188" t="s">
        <v>1092</v>
      </c>
      <c r="U8" s="1540">
        <v>38</v>
      </c>
      <c r="V8" s="1540">
        <v>36</v>
      </c>
      <c r="W8" s="1540">
        <v>30</v>
      </c>
      <c r="X8" s="1540">
        <v>20</v>
      </c>
    </row>
    <row r="9" spans="1:24">
      <c r="A9" s="2188" t="s">
        <v>151</v>
      </c>
      <c r="C9" s="2188">
        <v>142858</v>
      </c>
      <c r="D9" s="1540">
        <v>162758</v>
      </c>
      <c r="E9" s="1540">
        <v>180573</v>
      </c>
      <c r="F9" s="1540">
        <v>178222</v>
      </c>
      <c r="H9" s="2197">
        <f t="shared" si="0"/>
        <v>0.17631457151849131</v>
      </c>
      <c r="I9" s="2197">
        <f t="shared" si="0"/>
        <v>0.23176679496873617</v>
      </c>
      <c r="J9" s="2197">
        <f t="shared" si="0"/>
        <v>0.26158134063823224</v>
      </c>
      <c r="K9" s="2197">
        <f>F9/$F$19</f>
        <v>0.26932574115883423</v>
      </c>
      <c r="L9" s="2198"/>
      <c r="M9" s="1540">
        <v>18</v>
      </c>
      <c r="N9" s="1540">
        <v>24</v>
      </c>
      <c r="O9" s="1540">
        <v>28</v>
      </c>
      <c r="P9" s="1540">
        <v>29</v>
      </c>
      <c r="S9" s="2188" t="s">
        <v>151</v>
      </c>
      <c r="U9" s="1540">
        <v>29</v>
      </c>
      <c r="V9" s="1540">
        <v>28</v>
      </c>
      <c r="W9" s="1540">
        <v>24</v>
      </c>
      <c r="X9" s="1540">
        <v>18</v>
      </c>
    </row>
    <row r="10" spans="1:24">
      <c r="A10" s="2188" t="s">
        <v>1066</v>
      </c>
      <c r="C10" s="2188">
        <v>172225</v>
      </c>
      <c r="D10" s="1540">
        <v>156931</v>
      </c>
      <c r="E10" s="1540">
        <v>103145</v>
      </c>
      <c r="F10" s="1540">
        <v>87531</v>
      </c>
      <c r="H10" s="2197">
        <f t="shared" si="0"/>
        <v>0.21255916420341994</v>
      </c>
      <c r="I10" s="2197">
        <f t="shared" si="0"/>
        <v>0.22346916834342234</v>
      </c>
      <c r="J10" s="2197">
        <f t="shared" si="0"/>
        <v>0.14941772790024235</v>
      </c>
      <c r="K10" s="2197">
        <f>F10/$F$19</f>
        <v>0.13227520423614322</v>
      </c>
      <c r="L10" s="2198"/>
      <c r="M10" s="1540">
        <v>28</v>
      </c>
      <c r="N10" s="1540">
        <v>27</v>
      </c>
      <c r="O10" s="1540">
        <v>18</v>
      </c>
      <c r="P10" s="1540">
        <v>16</v>
      </c>
      <c r="S10" s="2188" t="s">
        <v>1066</v>
      </c>
      <c r="U10" s="1540">
        <v>16</v>
      </c>
      <c r="V10" s="1540">
        <v>18</v>
      </c>
      <c r="W10" s="1540">
        <v>27</v>
      </c>
      <c r="X10" s="1540">
        <v>28</v>
      </c>
    </row>
    <row r="11" spans="1:24">
      <c r="A11" s="2188" t="s">
        <v>113</v>
      </c>
      <c r="C11" s="2188">
        <v>177963</v>
      </c>
      <c r="D11" s="1540">
        <v>117547</v>
      </c>
      <c r="E11" s="1540">
        <v>105164</v>
      </c>
      <c r="F11" s="1540">
        <v>94286</v>
      </c>
      <c r="H11" s="2197">
        <f t="shared" si="0"/>
        <v>0.21964097279218014</v>
      </c>
      <c r="I11" s="2197">
        <f t="shared" si="0"/>
        <v>0.16738649681238421</v>
      </c>
      <c r="J11" s="2197">
        <f t="shared" si="0"/>
        <v>0.15234248811770892</v>
      </c>
      <c r="K11" s="2197">
        <f>F11/$F$19</f>
        <v>0.14248323344425404</v>
      </c>
      <c r="L11" s="2198"/>
      <c r="M11" s="1540">
        <v>24</v>
      </c>
      <c r="N11" s="1540">
        <v>18</v>
      </c>
      <c r="O11" s="1540">
        <v>16</v>
      </c>
      <c r="P11" s="1540">
        <v>14</v>
      </c>
      <c r="S11" s="2188" t="s">
        <v>113</v>
      </c>
      <c r="U11" s="1540">
        <v>14</v>
      </c>
      <c r="V11" s="1540">
        <v>16</v>
      </c>
      <c r="W11" s="1540">
        <v>18</v>
      </c>
      <c r="X11" s="1540">
        <v>24</v>
      </c>
    </row>
    <row r="12" spans="1:24">
      <c r="A12" s="2188" t="s">
        <v>71</v>
      </c>
      <c r="C12" s="2188">
        <v>52636</v>
      </c>
      <c r="D12" s="1540">
        <v>25372</v>
      </c>
      <c r="E12" s="1540">
        <v>36139</v>
      </c>
      <c r="F12" s="1540">
        <v>50875</v>
      </c>
      <c r="H12" s="2197">
        <f t="shared" si="0"/>
        <v>6.49630667267308E-2</v>
      </c>
      <c r="I12" s="2197">
        <f t="shared" si="0"/>
        <v>3.6129634930060418E-2</v>
      </c>
      <c r="J12" s="2197">
        <f t="shared" si="0"/>
        <v>5.2351614412592548E-2</v>
      </c>
      <c r="K12" s="2197">
        <f>F12/$F$19</f>
        <v>7.6881345072189133E-2</v>
      </c>
      <c r="L12" s="2198"/>
      <c r="M12" s="1540">
        <v>6</v>
      </c>
      <c r="N12" s="1540">
        <v>6</v>
      </c>
      <c r="O12" s="1540">
        <v>7</v>
      </c>
      <c r="P12" s="1540">
        <v>8</v>
      </c>
      <c r="S12" s="2188" t="s">
        <v>71</v>
      </c>
      <c r="U12" s="1540">
        <v>8</v>
      </c>
      <c r="V12" s="1540">
        <v>7</v>
      </c>
      <c r="W12" s="1540">
        <v>6</v>
      </c>
      <c r="X12" s="1540">
        <v>6</v>
      </c>
    </row>
    <row r="13" spans="1:24" ht="12" hidden="1" customHeight="1">
      <c r="A13" s="2188" t="s">
        <v>1122</v>
      </c>
      <c r="C13" s="2188">
        <v>36541</v>
      </c>
      <c r="D13" s="1540">
        <v>5700</v>
      </c>
      <c r="E13" s="1540">
        <v>10452</v>
      </c>
      <c r="F13" s="1540" t="s">
        <v>396</v>
      </c>
      <c r="H13" s="2197">
        <f t="shared" si="0"/>
        <v>4.509870471277206E-2</v>
      </c>
      <c r="I13" s="2197">
        <f t="shared" si="0"/>
        <v>8.1167790911770617E-3</v>
      </c>
      <c r="J13" s="2197">
        <f t="shared" si="0"/>
        <v>1.5140957797404946E-2</v>
      </c>
      <c r="K13" s="2197" t="s">
        <v>396</v>
      </c>
      <c r="L13" s="2198"/>
      <c r="M13" s="1540">
        <v>5</v>
      </c>
      <c r="N13" s="1540">
        <v>1</v>
      </c>
      <c r="O13" s="1540">
        <v>0</v>
      </c>
      <c r="P13" s="1540" t="s">
        <v>396</v>
      </c>
      <c r="U13" s="1540" t="s">
        <v>396</v>
      </c>
      <c r="V13" s="1540">
        <v>0</v>
      </c>
      <c r="W13" s="1540">
        <v>1</v>
      </c>
      <c r="X13" s="1540">
        <v>5</v>
      </c>
    </row>
    <row r="14" spans="1:24" ht="12" hidden="1" customHeight="1">
      <c r="A14" s="2188" t="s">
        <v>1123</v>
      </c>
      <c r="C14" s="2188">
        <v>20634</v>
      </c>
      <c r="D14" s="1540">
        <v>8032</v>
      </c>
      <c r="E14" s="1540">
        <v>3822</v>
      </c>
      <c r="F14" s="1540">
        <v>1493</v>
      </c>
      <c r="H14" s="2197">
        <f t="shared" si="0"/>
        <v>2.5466371282760154E-2</v>
      </c>
      <c r="I14" s="2197">
        <f t="shared" si="0"/>
        <v>1.1437538536900729E-2</v>
      </c>
      <c r="J14" s="2197">
        <f t="shared" si="0"/>
        <v>5.5366188960659871E-3</v>
      </c>
      <c r="K14" s="2197">
        <f>F14/$F$19</f>
        <v>2.256193576270828E-3</v>
      </c>
      <c r="L14" s="2198"/>
      <c r="M14" s="1540">
        <v>2</v>
      </c>
      <c r="N14" s="1540">
        <v>1</v>
      </c>
      <c r="O14" s="1540">
        <v>1</v>
      </c>
      <c r="P14" s="1540">
        <v>0</v>
      </c>
      <c r="U14" s="1540">
        <v>0</v>
      </c>
      <c r="V14" s="1540">
        <v>1</v>
      </c>
      <c r="W14" s="1540">
        <v>1</v>
      </c>
      <c r="X14" s="1540">
        <v>2</v>
      </c>
    </row>
    <row r="15" spans="1:24" ht="12" hidden="1" customHeight="1">
      <c r="A15" s="2188" t="s">
        <v>28</v>
      </c>
      <c r="C15" s="2188">
        <v>60471</v>
      </c>
      <c r="D15" s="1540">
        <v>47965</v>
      </c>
      <c r="E15" s="1540">
        <f>16249+11985+5744+3457+2045+1229+975+774+473+221+123+22</f>
        <v>43297</v>
      </c>
      <c r="F15" s="1540">
        <v>50891</v>
      </c>
      <c r="H15" s="2197">
        <f t="shared" si="0"/>
        <v>7.4632981382174529E-2</v>
      </c>
      <c r="I15" s="2197">
        <f t="shared" si="0"/>
        <v>6.8301984054089077E-2</v>
      </c>
      <c r="J15" s="2197">
        <f t="shared" si="0"/>
        <v>6.2720823742273432E-2</v>
      </c>
      <c r="K15" s="2197">
        <f>F15/$F$19</f>
        <v>7.6905523971867853E-2</v>
      </c>
      <c r="L15" s="2198"/>
      <c r="M15" s="1540">
        <v>5</v>
      </c>
      <c r="N15" s="1540">
        <v>1</v>
      </c>
      <c r="O15" s="1540">
        <v>2</v>
      </c>
      <c r="P15" s="1540">
        <v>3</v>
      </c>
      <c r="U15" s="1540">
        <v>3</v>
      </c>
      <c r="V15" s="1540">
        <v>2</v>
      </c>
      <c r="W15" s="1540">
        <v>1</v>
      </c>
      <c r="X15" s="1540">
        <v>5</v>
      </c>
    </row>
    <row r="16" spans="1:24" ht="3.75" hidden="1" customHeight="1">
      <c r="K16" s="2197"/>
      <c r="L16" s="2193"/>
      <c r="M16" s="2193"/>
      <c r="X16" s="2193"/>
    </row>
    <row r="17" spans="1:25" ht="12" customHeight="1">
      <c r="A17" s="2188" t="s">
        <v>12</v>
      </c>
      <c r="C17" s="2188">
        <f>C15+C14+C13</f>
        <v>117646</v>
      </c>
      <c r="D17" s="2188">
        <f>D15+D14+D13</f>
        <v>61697</v>
      </c>
      <c r="E17" s="2188">
        <f>E15+E14+E13</f>
        <v>57571</v>
      </c>
      <c r="F17" s="2188">
        <f>F15+F14</f>
        <v>52384</v>
      </c>
      <c r="H17" s="2197">
        <f>+C17/C$19</f>
        <v>0.14519805737770675</v>
      </c>
      <c r="I17" s="2197">
        <f>+D17/D$19</f>
        <v>8.7856301682166862E-2</v>
      </c>
      <c r="J17" s="2197">
        <f>+E17/E$19</f>
        <v>8.3398400435744369E-2</v>
      </c>
      <c r="K17" s="2197">
        <f>F17/$F$19</f>
        <v>7.916171754813868E-2</v>
      </c>
      <c r="L17" s="2193"/>
      <c r="M17" s="2188">
        <f>M15+M14+M13</f>
        <v>12</v>
      </c>
      <c r="N17" s="2188">
        <f>N15+N14+N13</f>
        <v>3</v>
      </c>
      <c r="O17" s="2188">
        <f>O15+O14+O13</f>
        <v>3</v>
      </c>
      <c r="P17" s="2188">
        <f>P15+P14</f>
        <v>3</v>
      </c>
      <c r="S17" s="2188" t="s">
        <v>12</v>
      </c>
      <c r="U17" s="2188">
        <f>U15+U14</f>
        <v>3</v>
      </c>
      <c r="V17" s="2188">
        <f>V15+V14+V13</f>
        <v>3</v>
      </c>
      <c r="W17" s="2188">
        <f>W15+W14+W13</f>
        <v>3</v>
      </c>
      <c r="X17" s="2188">
        <f>X15+X14+X13</f>
        <v>12</v>
      </c>
    </row>
    <row r="18" spans="1:25" ht="2.25" customHeight="1">
      <c r="K18" s="2197"/>
      <c r="L18" s="2193"/>
      <c r="M18" s="2193"/>
      <c r="X18" s="2193"/>
    </row>
    <row r="19" spans="1:25">
      <c r="A19" s="2188" t="s">
        <v>16</v>
      </c>
      <c r="C19" s="1540">
        <v>810245</v>
      </c>
      <c r="D19" s="1540">
        <v>702249</v>
      </c>
      <c r="E19" s="1540">
        <v>690313</v>
      </c>
      <c r="F19" s="1540">
        <v>661734</v>
      </c>
      <c r="H19" s="2199">
        <v>1</v>
      </c>
      <c r="I19" s="2199">
        <v>1</v>
      </c>
      <c r="J19" s="2199">
        <v>0.99999999999999989</v>
      </c>
      <c r="K19" s="2197">
        <v>1</v>
      </c>
      <c r="L19" s="2200"/>
      <c r="M19" s="1540">
        <v>108</v>
      </c>
      <c r="N19" s="1540">
        <v>108</v>
      </c>
      <c r="O19" s="1540">
        <v>108</v>
      </c>
      <c r="P19" s="1540">
        <v>108</v>
      </c>
      <c r="S19" s="2188" t="s">
        <v>16</v>
      </c>
      <c r="U19" s="1540">
        <v>108</v>
      </c>
      <c r="V19" s="1540">
        <v>108</v>
      </c>
      <c r="W19" s="1540">
        <v>108</v>
      </c>
      <c r="X19" s="1540">
        <v>108</v>
      </c>
    </row>
    <row r="20" spans="1:25" ht="6" customHeight="1">
      <c r="C20" s="1540"/>
      <c r="H20" s="2199"/>
      <c r="I20" s="2199"/>
      <c r="J20" s="2199"/>
      <c r="K20" s="2197"/>
      <c r="L20" s="2200"/>
    </row>
    <row r="21" spans="1:25">
      <c r="A21" s="2188" t="s">
        <v>219</v>
      </c>
      <c r="C21" s="2201">
        <v>0.7</v>
      </c>
      <c r="D21" s="2201">
        <v>0.64</v>
      </c>
      <c r="E21" s="2201">
        <v>0.62308015856969556</v>
      </c>
      <c r="F21" s="2201">
        <v>0.54688353557700808</v>
      </c>
      <c r="H21" s="2199"/>
      <c r="I21" s="2199"/>
      <c r="J21" s="2199"/>
      <c r="K21" s="2197"/>
      <c r="L21" s="2200"/>
    </row>
    <row r="22" spans="1:25" ht="4.5" customHeight="1">
      <c r="A22" s="2202"/>
      <c r="B22" s="2202"/>
      <c r="C22" s="2202"/>
      <c r="D22" s="2203"/>
      <c r="E22" s="2203"/>
      <c r="F22" s="2203"/>
      <c r="G22" s="2203"/>
      <c r="H22" s="2203"/>
      <c r="I22" s="2203"/>
      <c r="J22" s="2203"/>
      <c r="K22" s="2203"/>
      <c r="L22" s="2203"/>
      <c r="M22" s="2202"/>
      <c r="N22" s="2202"/>
      <c r="O22" s="2202"/>
      <c r="P22" s="2202"/>
      <c r="U22" s="2202"/>
      <c r="V22" s="2202"/>
      <c r="W22" s="2202"/>
      <c r="X22" s="2202"/>
    </row>
    <row r="23" spans="1:25" ht="3" customHeight="1"/>
    <row r="24" spans="1:25" s="2204" customFormat="1" ht="11.25" customHeight="1">
      <c r="A24" s="2204" t="s">
        <v>1114</v>
      </c>
      <c r="D24" s="2205"/>
      <c r="E24" s="2205"/>
      <c r="F24" s="2205"/>
      <c r="G24" s="2205"/>
      <c r="H24" s="2205"/>
      <c r="I24" s="2205"/>
      <c r="J24" s="2205"/>
      <c r="K24" s="2205"/>
      <c r="L24" s="2205"/>
      <c r="M24" s="2205"/>
      <c r="N24" s="2205"/>
      <c r="O24" s="2205"/>
      <c r="P24" s="2205"/>
      <c r="U24" s="2205"/>
      <c r="V24" s="2205"/>
      <c r="W24" s="2205"/>
      <c r="X24" s="2205"/>
    </row>
    <row r="25" spans="1:25" ht="11.25" customHeight="1">
      <c r="A25" s="2161" t="s">
        <v>2331</v>
      </c>
    </row>
    <row r="26" spans="1:25" ht="11.25" customHeight="1">
      <c r="A26" s="949" t="s">
        <v>1124</v>
      </c>
    </row>
    <row r="28" spans="1:25">
      <c r="A28" s="2188" t="s">
        <v>177</v>
      </c>
      <c r="E28" s="1540">
        <v>1107904</v>
      </c>
      <c r="F28" s="1540">
        <v>1210009</v>
      </c>
    </row>
    <row r="31" spans="1:25" ht="28">
      <c r="A31" s="2128" t="s">
        <v>21</v>
      </c>
      <c r="B31" s="1058" t="s">
        <v>196</v>
      </c>
      <c r="C31" s="1058"/>
      <c r="U31" s="2374"/>
      <c r="V31" s="2374"/>
      <c r="W31" s="2374"/>
      <c r="X31" s="2374" t="s">
        <v>56</v>
      </c>
    </row>
    <row r="32" spans="1:25" ht="14">
      <c r="B32" s="2206" t="s">
        <v>152</v>
      </c>
      <c r="C32" s="2206"/>
      <c r="T32" s="2207">
        <v>2012</v>
      </c>
      <c r="U32" s="883">
        <v>2016</v>
      </c>
      <c r="V32" s="2195">
        <v>2021</v>
      </c>
      <c r="W32" s="2195"/>
      <c r="X32" s="2195"/>
      <c r="Y32" s="2195"/>
    </row>
    <row r="33" spans="2:25">
      <c r="S33" s="2188" t="s">
        <v>2434</v>
      </c>
      <c r="T33" s="2521">
        <v>0.15110000000000001</v>
      </c>
      <c r="U33" s="2521">
        <v>0.26029999999999998</v>
      </c>
      <c r="V33" s="2521">
        <v>0.31569999999999998</v>
      </c>
      <c r="Y33" s="1540"/>
    </row>
    <row r="34" spans="2:25" ht="16">
      <c r="B34" s="1033" t="s">
        <v>981</v>
      </c>
      <c r="S34" s="2188" t="s">
        <v>2435</v>
      </c>
      <c r="T34" s="2521">
        <v>0.15359999999999999</v>
      </c>
      <c r="U34" s="2521">
        <v>0.4521</v>
      </c>
      <c r="V34" s="2521">
        <v>0.4521</v>
      </c>
      <c r="Y34" s="1540"/>
    </row>
    <row r="35" spans="2:25" ht="16">
      <c r="B35" s="1033"/>
      <c r="T35" s="2521"/>
      <c r="U35" s="2521"/>
      <c r="V35" s="2521"/>
      <c r="Y35" s="1540"/>
    </row>
    <row r="36" spans="2:25">
      <c r="S36" s="2188" t="s">
        <v>2436</v>
      </c>
      <c r="T36" s="2521">
        <v>0.15129999999999999</v>
      </c>
      <c r="U36" s="2521">
        <v>0.27310000000000001</v>
      </c>
      <c r="V36" s="2521">
        <v>0.33200000000000002</v>
      </c>
      <c r="Y36" s="1540"/>
    </row>
    <row r="37" spans="2:25">
      <c r="U37" s="2188"/>
      <c r="Y37" s="1540"/>
    </row>
    <row r="38" spans="2:25">
      <c r="U38" s="2188"/>
      <c r="Y38" s="1540"/>
    </row>
    <row r="39" spans="2:25">
      <c r="U39" s="2188"/>
      <c r="V39" s="2188"/>
      <c r="W39" s="2188"/>
      <c r="X39" s="2188"/>
    </row>
    <row r="40" spans="2:25">
      <c r="U40" s="2188"/>
      <c r="Y40" s="2193"/>
    </row>
    <row r="41" spans="2:25">
      <c r="T41" s="2188">
        <v>90</v>
      </c>
      <c r="U41" s="2188">
        <f>SUM(U33:U39)</f>
        <v>0.98549999999999993</v>
      </c>
      <c r="Y41" s="1540"/>
    </row>
    <row r="44" spans="2:25">
      <c r="D44" s="2188"/>
      <c r="E44" s="2188"/>
      <c r="F44" s="2188"/>
      <c r="G44" s="2188"/>
      <c r="H44" s="2188"/>
    </row>
  </sheetData>
  <mergeCells count="3">
    <mergeCell ref="C5:F5"/>
    <mergeCell ref="H5:K5"/>
    <mergeCell ref="M5:P5"/>
  </mergeCells>
  <pageMargins left="0.75" right="0.75" top="1" bottom="1" header="0.5" footer="0.5"/>
  <pageSetup paperSize="9" orientation="portrait" horizontalDpi="300"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106">
    <tabColor theme="4"/>
  </sheetPr>
  <dimension ref="A1:AH103"/>
  <sheetViews>
    <sheetView showGridLines="0" zoomScale="70" zoomScaleNormal="70" workbookViewId="0"/>
  </sheetViews>
  <sheetFormatPr baseColWidth="10" defaultColWidth="9.3984375" defaultRowHeight="14"/>
  <cols>
    <col min="1" max="1" width="17.3984375" style="850" customWidth="1"/>
    <col min="2" max="2" width="1.59765625" style="850" customWidth="1"/>
    <col min="3" max="9" width="8.3984375" style="850" customWidth="1"/>
    <col min="10" max="10" width="2" style="867" customWidth="1"/>
    <col min="11" max="11" width="9.19921875" style="850" customWidth="1"/>
    <col min="12" max="12" width="10.59765625" style="1312" customWidth="1"/>
    <col min="13" max="13" width="17.796875" style="850" customWidth="1"/>
    <col min="14" max="14" width="2.796875" style="850" customWidth="1"/>
    <col min="15" max="22" width="7.796875" style="850" customWidth="1"/>
    <col min="23" max="23" width="2.796875" style="867" customWidth="1"/>
    <col min="24" max="24" width="10.59765625" style="850" customWidth="1"/>
    <col min="25" max="16384" width="9.3984375" style="850"/>
  </cols>
  <sheetData>
    <row r="1" spans="1:34" ht="16">
      <c r="A1" s="2102" t="s">
        <v>2856</v>
      </c>
      <c r="M1" s="1496" t="s">
        <v>2852</v>
      </c>
    </row>
    <row r="2" spans="1:34" ht="18.75" customHeight="1">
      <c r="A2" s="2107" t="s">
        <v>2856</v>
      </c>
      <c r="B2" s="853"/>
      <c r="C2" s="853"/>
      <c r="D2" s="853"/>
      <c r="E2" s="853"/>
      <c r="F2" s="853"/>
      <c r="G2" s="853"/>
      <c r="H2" s="853"/>
      <c r="I2" s="853"/>
      <c r="J2" s="853"/>
      <c r="K2" s="853"/>
      <c r="M2" s="2107" t="s">
        <v>2852</v>
      </c>
      <c r="N2" s="853"/>
      <c r="O2" s="853"/>
      <c r="P2" s="853"/>
      <c r="Q2" s="853"/>
      <c r="R2" s="853"/>
      <c r="S2" s="853"/>
      <c r="T2" s="853"/>
      <c r="U2" s="853"/>
      <c r="V2" s="853"/>
      <c r="W2" s="853"/>
      <c r="X2" s="2107"/>
    </row>
    <row r="3" spans="1:34" ht="15" thickBot="1">
      <c r="A3" s="871"/>
      <c r="B3" s="871"/>
      <c r="C3" s="3416" t="s">
        <v>1973</v>
      </c>
      <c r="D3" s="3416"/>
      <c r="E3" s="3416"/>
      <c r="F3" s="3416"/>
      <c r="G3" s="3416"/>
      <c r="H3" s="3416"/>
      <c r="I3" s="3416"/>
      <c r="J3" s="2103"/>
      <c r="K3" s="2103"/>
      <c r="L3" s="2515"/>
      <c r="M3" s="871"/>
      <c r="N3" s="871"/>
      <c r="O3" s="3416" t="s">
        <v>1973</v>
      </c>
      <c r="P3" s="3416"/>
      <c r="Q3" s="3416"/>
      <c r="R3" s="3416"/>
      <c r="S3" s="3416"/>
      <c r="T3" s="3416"/>
      <c r="U3" s="3416"/>
      <c r="V3" s="3416"/>
      <c r="W3" s="2103"/>
      <c r="X3" s="871"/>
    </row>
    <row r="4" spans="1:34" ht="3" customHeight="1">
      <c r="A4" s="871"/>
      <c r="B4" s="871"/>
      <c r="C4" s="2103"/>
      <c r="D4" s="2103"/>
      <c r="E4" s="2103"/>
      <c r="F4" s="2103"/>
      <c r="G4" s="2103"/>
      <c r="H4" s="2103"/>
      <c r="I4" s="2103"/>
      <c r="J4" s="2103"/>
      <c r="K4" s="2103"/>
      <c r="L4" s="2515"/>
      <c r="M4" s="871"/>
      <c r="N4" s="871"/>
      <c r="O4" s="2103"/>
      <c r="P4" s="2103"/>
      <c r="Q4" s="2103"/>
      <c r="R4" s="2103"/>
      <c r="S4" s="2103"/>
      <c r="T4" s="2103"/>
      <c r="U4" s="2103"/>
      <c r="V4" s="2103"/>
      <c r="W4" s="2103"/>
      <c r="X4" s="871"/>
    </row>
    <row r="5" spans="1:34" s="880" customFormat="1">
      <c r="A5" s="2104" t="s">
        <v>2014</v>
      </c>
      <c r="B5" s="2104"/>
      <c r="C5" s="2243" t="s">
        <v>806</v>
      </c>
      <c r="D5" s="2244" t="s">
        <v>807</v>
      </c>
      <c r="E5" s="2258" t="s">
        <v>2389</v>
      </c>
      <c r="F5" s="2245" t="s">
        <v>808</v>
      </c>
      <c r="G5" s="2261" t="s">
        <v>2390</v>
      </c>
      <c r="H5" s="2262" t="s">
        <v>2391</v>
      </c>
      <c r="I5" s="2246" t="s">
        <v>1972</v>
      </c>
      <c r="J5" s="2105"/>
      <c r="K5" s="2106" t="s">
        <v>219</v>
      </c>
      <c r="L5" s="2516"/>
      <c r="M5" s="2104" t="s">
        <v>2014</v>
      </c>
      <c r="N5" s="2104"/>
      <c r="O5" s="2243" t="s">
        <v>806</v>
      </c>
      <c r="P5" s="2244" t="s">
        <v>807</v>
      </c>
      <c r="Q5" s="2263" t="s">
        <v>2388</v>
      </c>
      <c r="R5" s="2258" t="s">
        <v>2389</v>
      </c>
      <c r="S5" s="2245" t="s">
        <v>808</v>
      </c>
      <c r="T5" s="2261" t="s">
        <v>2390</v>
      </c>
      <c r="U5" s="2262" t="s">
        <v>2391</v>
      </c>
      <c r="V5" s="2246" t="s">
        <v>1972</v>
      </c>
      <c r="W5" s="2105"/>
      <c r="X5" s="2104" t="s">
        <v>219</v>
      </c>
    </row>
    <row r="6" spans="1:34" s="867" customFormat="1" ht="3" customHeight="1">
      <c r="A6" s="871"/>
      <c r="B6" s="871"/>
      <c r="C6" s="2260"/>
      <c r="D6" s="2260"/>
      <c r="E6" s="2260"/>
      <c r="F6" s="2260"/>
      <c r="G6" s="2260"/>
      <c r="H6" s="2260"/>
      <c r="I6" s="2260"/>
      <c r="J6" s="2260"/>
      <c r="K6" s="1183"/>
      <c r="L6" s="2517"/>
      <c r="M6" s="871"/>
      <c r="N6" s="871"/>
      <c r="O6" s="2260"/>
      <c r="P6" s="2260"/>
      <c r="Q6" s="2260"/>
      <c r="R6" s="2260"/>
      <c r="S6" s="2260"/>
      <c r="T6" s="2260"/>
      <c r="U6" s="2260"/>
      <c r="V6" s="2260"/>
      <c r="W6" s="2260"/>
      <c r="X6" s="871"/>
    </row>
    <row r="7" spans="1:34" ht="15" thickBot="1">
      <c r="A7" s="850" t="s">
        <v>1974</v>
      </c>
      <c r="C7" s="1321">
        <v>0.2434566806246109</v>
      </c>
      <c r="D7" s="1321">
        <v>0.21315998192005595</v>
      </c>
      <c r="E7" s="1321" t="s">
        <v>221</v>
      </c>
      <c r="F7" s="1321">
        <v>0.18525972863027368</v>
      </c>
      <c r="G7" s="1321" t="s">
        <v>221</v>
      </c>
      <c r="H7" s="1321">
        <v>0.3581236088250595</v>
      </c>
      <c r="I7" s="1321" t="s">
        <v>221</v>
      </c>
      <c r="J7" s="2097"/>
      <c r="K7" s="1321">
        <v>0.188</v>
      </c>
      <c r="L7" s="2518"/>
      <c r="M7" s="850" t="s">
        <v>1974</v>
      </c>
      <c r="O7" s="1275">
        <v>0.1934070993192045</v>
      </c>
      <c r="P7" s="1275">
        <v>0.23819329042755472</v>
      </c>
      <c r="Q7" s="1275"/>
      <c r="R7" s="1275">
        <v>8.8411971153694549E-2</v>
      </c>
      <c r="S7" s="1275">
        <v>7.3878453247731998E-2</v>
      </c>
      <c r="T7" s="1275">
        <v>7.3831153883750777E-2</v>
      </c>
      <c r="U7" s="1275">
        <v>0.33227803196806349</v>
      </c>
      <c r="V7" s="1275"/>
      <c r="W7" s="1278"/>
      <c r="X7" s="1217">
        <v>0.26</v>
      </c>
    </row>
    <row r="8" spans="1:34" ht="15" thickBot="1">
      <c r="A8" s="850" t="s">
        <v>1975</v>
      </c>
      <c r="C8" s="1321">
        <v>0.31932691254002848</v>
      </c>
      <c r="D8" s="1321">
        <v>0.34028175187814291</v>
      </c>
      <c r="E8" s="1321" t="s">
        <v>221</v>
      </c>
      <c r="F8" s="1321">
        <v>0.13643171108865321</v>
      </c>
      <c r="G8" s="1321" t="s">
        <v>221</v>
      </c>
      <c r="H8" s="1321">
        <v>9.8333110107270263E-2</v>
      </c>
      <c r="I8" s="1321">
        <v>0.1056265143859051</v>
      </c>
      <c r="J8" s="2097"/>
      <c r="K8" s="1321">
        <v>0.17699999999999999</v>
      </c>
      <c r="L8" s="2518"/>
      <c r="M8" s="850" t="s">
        <v>1975</v>
      </c>
      <c r="O8" s="1275">
        <v>0.36671489242544453</v>
      </c>
      <c r="P8" s="1275">
        <v>0.35332057684230178</v>
      </c>
      <c r="Q8" s="1275"/>
      <c r="R8" s="1275">
        <v>0.10278620432165025</v>
      </c>
      <c r="S8" s="1275">
        <v>0.11586316329864189</v>
      </c>
      <c r="T8" s="1275"/>
      <c r="U8" s="1275"/>
      <c r="V8" s="1275">
        <v>6.1315163111961543E-2</v>
      </c>
      <c r="W8" s="1278"/>
      <c r="X8" s="1217">
        <v>0.23200000000000001</v>
      </c>
      <c r="AA8" s="2094" t="s">
        <v>806</v>
      </c>
      <c r="AB8" s="1071" t="s">
        <v>807</v>
      </c>
      <c r="AC8" s="1702" t="s">
        <v>2389</v>
      </c>
      <c r="AD8" s="1072" t="s">
        <v>808</v>
      </c>
      <c r="AE8" s="2092" t="s">
        <v>2390</v>
      </c>
      <c r="AF8" s="2093" t="s">
        <v>2391</v>
      </c>
      <c r="AG8" s="2096" t="s">
        <v>1972</v>
      </c>
    </row>
    <row r="9" spans="1:34">
      <c r="A9" s="850" t="s">
        <v>1976</v>
      </c>
      <c r="C9" s="1321">
        <v>0.26783517488121172</v>
      </c>
      <c r="D9" s="1321">
        <v>0.19836800108348476</v>
      </c>
      <c r="E9" s="1321">
        <v>0.16369648883220658</v>
      </c>
      <c r="F9" s="1321">
        <v>8.4985835694050993E-2</v>
      </c>
      <c r="G9" s="1321" t="s">
        <v>221</v>
      </c>
      <c r="H9" s="1321">
        <v>0.20363870297845446</v>
      </c>
      <c r="I9" s="1321">
        <v>8.1475796530591518E-2</v>
      </c>
      <c r="J9" s="2097"/>
      <c r="K9" s="1321">
        <v>0.14800000000000002</v>
      </c>
      <c r="L9" s="2518"/>
      <c r="M9" s="850" t="s">
        <v>1976</v>
      </c>
      <c r="O9" s="1275">
        <v>0.3622211340264887</v>
      </c>
      <c r="P9" s="1275">
        <v>0.30990422612201207</v>
      </c>
      <c r="Q9" s="1275"/>
      <c r="R9" s="1275">
        <v>0.16910182095637222</v>
      </c>
      <c r="S9" s="1275">
        <v>0.15877281889512704</v>
      </c>
      <c r="T9" s="1275"/>
      <c r="U9" s="1275"/>
      <c r="V9" s="1275"/>
      <c r="W9" s="1278"/>
      <c r="X9" s="1217">
        <v>0.29299999999999998</v>
      </c>
    </row>
    <row r="10" spans="1:34" ht="15" thickBot="1">
      <c r="A10" s="850" t="s">
        <v>1977</v>
      </c>
      <c r="C10" s="1321">
        <v>0.36842298580375016</v>
      </c>
      <c r="D10" s="1321">
        <v>0.28442085544801748</v>
      </c>
      <c r="E10" s="1321">
        <v>7.857523277809407E-2</v>
      </c>
      <c r="F10" s="1321">
        <v>9.7821894914693938E-2</v>
      </c>
      <c r="G10" s="1321" t="s">
        <v>221</v>
      </c>
      <c r="H10" s="1321">
        <v>0.17075903105544435</v>
      </c>
      <c r="I10" s="1321" t="s">
        <v>221</v>
      </c>
      <c r="J10" s="2097"/>
      <c r="K10" s="1321">
        <v>0.14300000000000002</v>
      </c>
      <c r="L10" s="2518"/>
      <c r="M10" s="850" t="s">
        <v>1977</v>
      </c>
      <c r="O10" s="1275">
        <v>0.38017988373368433</v>
      </c>
      <c r="P10" s="1275">
        <v>0.39759240978392013</v>
      </c>
      <c r="Q10" s="1275"/>
      <c r="R10" s="1275">
        <v>0.12060436547109794</v>
      </c>
      <c r="S10" s="1275">
        <v>0.10162334101129758</v>
      </c>
      <c r="T10" s="1275"/>
      <c r="U10" s="1275"/>
      <c r="V10" s="1275"/>
      <c r="W10" s="1278"/>
      <c r="X10" s="1217">
        <v>0.23300000000000001</v>
      </c>
    </row>
    <row r="11" spans="1:34" ht="15" thickBot="1">
      <c r="A11" s="850" t="s">
        <v>348</v>
      </c>
      <c r="C11" s="1321">
        <v>0.25973164139002636</v>
      </c>
      <c r="D11" s="1321">
        <v>0.41582636000194229</v>
      </c>
      <c r="E11" s="1321" t="s">
        <v>221</v>
      </c>
      <c r="F11" s="1321" t="s">
        <v>221</v>
      </c>
      <c r="G11" s="1321">
        <v>0.13731932732305002</v>
      </c>
      <c r="H11" s="1321">
        <v>0.18712267128498131</v>
      </c>
      <c r="I11" s="1321" t="s">
        <v>221</v>
      </c>
      <c r="J11" s="2097"/>
      <c r="K11" s="1321">
        <v>0.14699999999999999</v>
      </c>
      <c r="L11" s="2518"/>
      <c r="M11" s="850" t="s">
        <v>348</v>
      </c>
      <c r="O11" s="1275">
        <v>0.22793721579876988</v>
      </c>
      <c r="P11" s="1275">
        <v>0.41003895827330922</v>
      </c>
      <c r="Q11" s="1275"/>
      <c r="R11" s="1275">
        <v>0.21301782560222476</v>
      </c>
      <c r="S11" s="1275"/>
      <c r="T11" s="1275"/>
      <c r="U11" s="1275">
        <v>0.14900600032569616</v>
      </c>
      <c r="V11" s="1275"/>
      <c r="W11" s="1278"/>
      <c r="X11" s="1217">
        <v>0.19700000000000001</v>
      </c>
      <c r="AA11" s="2094" t="s">
        <v>806</v>
      </c>
      <c r="AB11" s="1071" t="s">
        <v>807</v>
      </c>
      <c r="AC11" s="1082" t="s">
        <v>2388</v>
      </c>
      <c r="AD11" s="1702" t="s">
        <v>2389</v>
      </c>
      <c r="AE11" s="1072" t="s">
        <v>808</v>
      </c>
      <c r="AF11" s="2092" t="s">
        <v>2390</v>
      </c>
      <c r="AG11" s="2093" t="s">
        <v>2391</v>
      </c>
      <c r="AH11" s="2096" t="s">
        <v>1972</v>
      </c>
    </row>
    <row r="12" spans="1:34">
      <c r="A12" s="850" t="s">
        <v>1978</v>
      </c>
      <c r="C12" s="1321">
        <v>0.29044643287442368</v>
      </c>
      <c r="D12" s="1321">
        <v>0.24580314543205514</v>
      </c>
      <c r="E12" s="1321" t="s">
        <v>221</v>
      </c>
      <c r="F12" s="1321">
        <v>0.21884688910665231</v>
      </c>
      <c r="G12" s="1321" t="s">
        <v>221</v>
      </c>
      <c r="H12" s="1321">
        <v>0.24490353258686887</v>
      </c>
      <c r="I12" s="1321" t="s">
        <v>221</v>
      </c>
      <c r="J12" s="2097"/>
      <c r="K12" s="1321">
        <v>0.159</v>
      </c>
      <c r="L12" s="2518"/>
      <c r="M12" s="850" t="s">
        <v>1978</v>
      </c>
      <c r="O12" s="1275">
        <v>0.34431394107261792</v>
      </c>
      <c r="P12" s="1275">
        <v>0.24069943229271284</v>
      </c>
      <c r="Q12" s="1275"/>
      <c r="R12" s="1275">
        <v>9.9058049920182675E-2</v>
      </c>
      <c r="S12" s="1275">
        <v>0.16970959182163209</v>
      </c>
      <c r="T12" s="1275"/>
      <c r="U12" s="1275">
        <v>0.14621898489285451</v>
      </c>
      <c r="V12" s="1275"/>
      <c r="W12" s="1278"/>
      <c r="X12" s="1217">
        <v>0.249</v>
      </c>
    </row>
    <row r="13" spans="1:34">
      <c r="A13" s="850" t="s">
        <v>1979</v>
      </c>
      <c r="C13" s="1321">
        <v>0.24524391540014878</v>
      </c>
      <c r="D13" s="1321">
        <v>0.44308640663194815</v>
      </c>
      <c r="E13" s="1321">
        <v>0.16028093669181989</v>
      </c>
      <c r="F13" s="1321" t="s">
        <v>221</v>
      </c>
      <c r="G13" s="1321" t="s">
        <v>221</v>
      </c>
      <c r="H13" s="1321">
        <v>0.15138874127608318</v>
      </c>
      <c r="I13" s="1321" t="s">
        <v>221</v>
      </c>
      <c r="J13" s="2097"/>
      <c r="K13" s="1321">
        <v>0.14400000000000002</v>
      </c>
      <c r="L13" s="2518"/>
      <c r="M13" s="850" t="s">
        <v>1979</v>
      </c>
      <c r="O13" s="1275">
        <v>0.34581239953175497</v>
      </c>
      <c r="P13" s="1275">
        <v>0.37484807240994966</v>
      </c>
      <c r="Q13" s="1275"/>
      <c r="R13" s="1275">
        <v>0.17016450187354024</v>
      </c>
      <c r="S13" s="1275">
        <v>0.10917502618475515</v>
      </c>
      <c r="T13" s="1275"/>
      <c r="U13" s="1275"/>
      <c r="V13" s="1275"/>
      <c r="W13" s="1278"/>
      <c r="X13" s="1217">
        <v>0.23300000000000001</v>
      </c>
    </row>
    <row r="14" spans="1:34">
      <c r="A14" s="850" t="s">
        <v>1980</v>
      </c>
      <c r="C14" s="1321">
        <v>0.28981197388089058</v>
      </c>
      <c r="D14" s="1321">
        <v>0.12690320719586709</v>
      </c>
      <c r="E14" s="1321">
        <v>8.6187816327065792E-2</v>
      </c>
      <c r="F14" s="1321">
        <v>0.12560249652531927</v>
      </c>
      <c r="G14" s="1321" t="s">
        <v>221</v>
      </c>
      <c r="H14" s="1321">
        <v>0.37149450607085727</v>
      </c>
      <c r="I14" s="1321" t="s">
        <v>221</v>
      </c>
      <c r="J14" s="2097"/>
      <c r="K14" s="1321">
        <v>0.14699999999999999</v>
      </c>
      <c r="L14" s="2518"/>
      <c r="M14" s="850" t="s">
        <v>1980</v>
      </c>
      <c r="O14" s="1275">
        <v>0.24380675166893409</v>
      </c>
      <c r="P14" s="1275">
        <v>0.23384060492928782</v>
      </c>
      <c r="Q14" s="1275"/>
      <c r="R14" s="1275">
        <v>0.17457103384271416</v>
      </c>
      <c r="S14" s="1275">
        <v>0.12358021957161389</v>
      </c>
      <c r="T14" s="1275"/>
      <c r="U14" s="1275">
        <v>0.22420138998745004</v>
      </c>
      <c r="V14" s="1275"/>
      <c r="W14" s="1278"/>
      <c r="X14" s="1217">
        <v>0.221</v>
      </c>
    </row>
    <row r="15" spans="1:34">
      <c r="A15" s="850" t="s">
        <v>1981</v>
      </c>
      <c r="C15" s="1321">
        <v>0.32413233626974802</v>
      </c>
      <c r="D15" s="1321">
        <v>0.12060447846571468</v>
      </c>
      <c r="E15" s="1321" t="s">
        <v>221</v>
      </c>
      <c r="F15" s="1321">
        <v>0.10362042246929246</v>
      </c>
      <c r="G15" s="1321" t="s">
        <v>221</v>
      </c>
      <c r="H15" s="1321">
        <v>0.4516427627952449</v>
      </c>
      <c r="I15" s="1321" t="s">
        <v>221</v>
      </c>
      <c r="J15" s="2097"/>
      <c r="K15" s="1321">
        <v>0.16300000000000001</v>
      </c>
      <c r="L15" s="2518"/>
      <c r="M15" s="850" t="s">
        <v>1981</v>
      </c>
      <c r="O15" s="1275">
        <v>0.29416570168620421</v>
      </c>
      <c r="P15" s="1275">
        <v>0.15996732285338114</v>
      </c>
      <c r="Q15" s="1275"/>
      <c r="R15" s="1275">
        <v>0.16724036737995907</v>
      </c>
      <c r="S15" s="1275"/>
      <c r="T15" s="1275"/>
      <c r="U15" s="1275">
        <v>0.37862660808045556</v>
      </c>
      <c r="V15" s="1275"/>
      <c r="W15" s="1278"/>
      <c r="X15" s="1217">
        <v>0.22</v>
      </c>
    </row>
    <row r="16" spans="1:34">
      <c r="A16" s="850" t="s">
        <v>1982</v>
      </c>
      <c r="C16" s="1321">
        <v>9.8373276685533431E-2</v>
      </c>
      <c r="D16" s="1321">
        <v>0.51568982478151149</v>
      </c>
      <c r="E16" s="1321">
        <v>0.117720021100355</v>
      </c>
      <c r="F16" s="1321" t="s">
        <v>221</v>
      </c>
      <c r="G16" s="1321" t="s">
        <v>221</v>
      </c>
      <c r="H16" s="1321">
        <v>0.26821687743260003</v>
      </c>
      <c r="I16" s="1321" t="s">
        <v>221</v>
      </c>
      <c r="J16" s="2097"/>
      <c r="K16" s="1321">
        <v>0.14400000000000002</v>
      </c>
      <c r="L16" s="2518"/>
      <c r="M16" s="850" t="s">
        <v>1982</v>
      </c>
      <c r="O16" s="1275">
        <v>0.23563405706262849</v>
      </c>
      <c r="P16" s="1275">
        <v>0.63825653111367397</v>
      </c>
      <c r="Q16" s="1275"/>
      <c r="R16" s="1275"/>
      <c r="S16" s="1275">
        <v>0.12610941182369753</v>
      </c>
      <c r="T16" s="1275"/>
      <c r="U16" s="1275"/>
      <c r="V16" s="1275"/>
      <c r="W16" s="1278"/>
      <c r="X16" s="1217">
        <v>0.17399999999999999</v>
      </c>
    </row>
    <row r="17" spans="1:29">
      <c r="A17" s="850" t="s">
        <v>1983</v>
      </c>
      <c r="C17" s="1321">
        <v>0.50861429013300341</v>
      </c>
      <c r="D17" s="1321">
        <v>0.49138570986699659</v>
      </c>
      <c r="E17" s="1321" t="s">
        <v>221</v>
      </c>
      <c r="F17" s="1321" t="s">
        <v>221</v>
      </c>
      <c r="G17" s="1321" t="s">
        <v>221</v>
      </c>
      <c r="H17" s="1321" t="s">
        <v>221</v>
      </c>
      <c r="I17" s="1321" t="s">
        <v>221</v>
      </c>
      <c r="J17" s="2097"/>
      <c r="K17" s="1321">
        <v>0.16399999999999998</v>
      </c>
      <c r="L17" s="2518"/>
      <c r="M17" s="850" t="s">
        <v>1983</v>
      </c>
      <c r="O17" s="1275">
        <v>0.25113989664937048</v>
      </c>
      <c r="P17" s="1275">
        <v>0.18557784094242122</v>
      </c>
      <c r="Q17" s="1275">
        <v>0.27980929729037901</v>
      </c>
      <c r="R17" s="1275">
        <v>0.11129657577712954</v>
      </c>
      <c r="S17" s="1275">
        <v>0.11052331255299519</v>
      </c>
      <c r="T17" s="1275"/>
      <c r="U17" s="1275">
        <v>6.1653076787704597E-2</v>
      </c>
      <c r="V17" s="1275"/>
      <c r="W17" s="1278"/>
      <c r="X17" s="1217">
        <v>0.48899999999999999</v>
      </c>
    </row>
    <row r="18" spans="1:29">
      <c r="A18" s="850" t="s">
        <v>1984</v>
      </c>
      <c r="C18" s="1321">
        <v>0.30508101810573368</v>
      </c>
      <c r="D18" s="1321">
        <v>0.16599498317819228</v>
      </c>
      <c r="E18" s="1321">
        <v>8.9981811048896174E-2</v>
      </c>
      <c r="F18" s="1321" t="s">
        <v>221</v>
      </c>
      <c r="G18" s="1321" t="s">
        <v>221</v>
      </c>
      <c r="H18" s="1321">
        <v>0.37028781340276046</v>
      </c>
      <c r="I18" s="1321">
        <v>6.8654374264417423E-2</v>
      </c>
      <c r="J18" s="2097"/>
      <c r="K18" s="1321">
        <v>0.128</v>
      </c>
      <c r="L18" s="2518"/>
      <c r="M18" s="850" t="s">
        <v>1984</v>
      </c>
      <c r="O18" s="1275">
        <v>0.33497206501343113</v>
      </c>
      <c r="P18" s="1275">
        <v>0.19738810141805183</v>
      </c>
      <c r="Q18" s="1275"/>
      <c r="R18" s="1275">
        <v>0.24424454670989615</v>
      </c>
      <c r="S18" s="1275">
        <v>9.3078347892562863E-2</v>
      </c>
      <c r="T18" s="1275"/>
      <c r="U18" s="1275"/>
      <c r="V18" s="1275">
        <v>0.130316938966058</v>
      </c>
      <c r="W18" s="1278"/>
      <c r="X18" s="1217">
        <v>0.252</v>
      </c>
    </row>
    <row r="19" spans="1:29" s="867" customFormat="1">
      <c r="A19" s="867" t="s">
        <v>2013</v>
      </c>
      <c r="C19" s="2097">
        <v>0.15608132190348811</v>
      </c>
      <c r="D19" s="2097">
        <v>0.51234783375527737</v>
      </c>
      <c r="E19" s="2097">
        <v>8.5451933287525761E-2</v>
      </c>
      <c r="F19" s="2097">
        <v>0.14814460983343927</v>
      </c>
      <c r="G19" s="2097"/>
      <c r="H19" s="2097">
        <v>9.7974301220269483E-2</v>
      </c>
      <c r="I19" s="2097"/>
      <c r="J19" s="2097"/>
      <c r="K19" s="2097">
        <v>0.16</v>
      </c>
      <c r="L19" s="2518"/>
      <c r="M19" s="867" t="s">
        <v>1985</v>
      </c>
      <c r="O19" s="1278">
        <v>0.33974261594218624</v>
      </c>
      <c r="P19" s="1278">
        <v>0.24468846980186201</v>
      </c>
      <c r="Q19" s="1278"/>
      <c r="R19" s="1278"/>
      <c r="S19" s="1278"/>
      <c r="T19" s="1278"/>
      <c r="U19" s="1278">
        <v>0.41556891425595172</v>
      </c>
      <c r="V19" s="1278"/>
      <c r="W19" s="1278"/>
      <c r="X19" s="1308">
        <v>0.29399999999999998</v>
      </c>
      <c r="AB19" s="867" t="s">
        <v>219</v>
      </c>
    </row>
    <row r="20" spans="1:29">
      <c r="A20" s="850" t="s">
        <v>1985</v>
      </c>
      <c r="C20" s="1321">
        <v>0.36205446994981022</v>
      </c>
      <c r="D20" s="1321">
        <v>0.17504012636620722</v>
      </c>
      <c r="E20" s="1321" t="s">
        <v>221</v>
      </c>
      <c r="F20" s="1321">
        <v>0.1103538763343609</v>
      </c>
      <c r="G20" s="1321" t="s">
        <v>221</v>
      </c>
      <c r="H20" s="1321">
        <v>0.35255152734962164</v>
      </c>
      <c r="I20" s="1321" t="s">
        <v>221</v>
      </c>
      <c r="J20" s="2097"/>
      <c r="K20" s="1321">
        <v>0.13600000000000001</v>
      </c>
      <c r="L20" s="2518"/>
      <c r="M20" s="850" t="s">
        <v>1986</v>
      </c>
      <c r="O20" s="1275">
        <v>0.30752017563964923</v>
      </c>
      <c r="P20" s="1275">
        <v>0.4637863855145542</v>
      </c>
      <c r="Q20" s="1275">
        <v>0.2286934388457966</v>
      </c>
      <c r="R20" s="1275"/>
      <c r="S20" s="1275"/>
      <c r="T20" s="1275"/>
      <c r="U20" s="1275"/>
      <c r="V20" s="1275"/>
      <c r="W20" s="1278"/>
      <c r="X20" s="1217">
        <v>0.39400000000000002</v>
      </c>
      <c r="AA20" s="1163">
        <v>2012</v>
      </c>
      <c r="AB20" s="3330">
        <f>AVERAGE(K7:K47)</f>
        <v>0.15014634146341457</v>
      </c>
    </row>
    <row r="21" spans="1:29">
      <c r="A21" s="850" t="s">
        <v>1986</v>
      </c>
      <c r="C21" s="1321">
        <v>0.11168008624465182</v>
      </c>
      <c r="D21" s="1321">
        <v>0.3888926321463464</v>
      </c>
      <c r="E21" s="1321" t="s">
        <v>221</v>
      </c>
      <c r="F21" s="1321" t="s">
        <v>221</v>
      </c>
      <c r="G21" s="1321" t="s">
        <v>221</v>
      </c>
      <c r="H21" s="1321">
        <v>0.49942728160900179</v>
      </c>
      <c r="I21" s="1321" t="s">
        <v>221</v>
      </c>
      <c r="J21" s="2097"/>
      <c r="K21" s="1321">
        <v>0.14000000000000001</v>
      </c>
      <c r="L21" s="2518"/>
      <c r="M21" s="850" t="s">
        <v>1987</v>
      </c>
      <c r="O21" s="1275">
        <v>0.28701845780298385</v>
      </c>
      <c r="P21" s="1275">
        <v>0.16089560601815744</v>
      </c>
      <c r="Q21" s="1275"/>
      <c r="R21" s="1275">
        <v>0.13658471331470642</v>
      </c>
      <c r="S21" s="1275">
        <v>0.13948980441745479</v>
      </c>
      <c r="T21" s="1275"/>
      <c r="U21" s="1275">
        <v>0.19111259184100998</v>
      </c>
      <c r="V21" s="1275">
        <v>8.4898826605687511E-2</v>
      </c>
      <c r="W21" s="1278"/>
      <c r="X21" s="1217">
        <v>0.27800000000000002</v>
      </c>
      <c r="AA21" s="1163">
        <v>2016</v>
      </c>
      <c r="AB21" s="3330">
        <f>AVERAGE(X7:X46)</f>
        <v>0.26610000000000006</v>
      </c>
      <c r="AC21" s="3330"/>
    </row>
    <row r="22" spans="1:29">
      <c r="A22" s="850" t="s">
        <v>1987</v>
      </c>
      <c r="C22" s="1321">
        <v>0.24834565244069365</v>
      </c>
      <c r="D22" s="1321">
        <v>0.1831959823662126</v>
      </c>
      <c r="E22" s="1321">
        <v>9.9992448056790612E-2</v>
      </c>
      <c r="F22" s="1321">
        <v>0.1283688746660625</v>
      </c>
      <c r="G22" s="1321" t="s">
        <v>221</v>
      </c>
      <c r="H22" s="1321">
        <v>0.22472695005333559</v>
      </c>
      <c r="I22" s="1321">
        <v>0.11537009241690503</v>
      </c>
      <c r="J22" s="2097"/>
      <c r="K22" s="1321">
        <v>0.14599999999999999</v>
      </c>
      <c r="L22" s="2518"/>
      <c r="M22" s="850" t="s">
        <v>1988</v>
      </c>
      <c r="O22" s="1275">
        <v>0.42250624728722352</v>
      </c>
      <c r="P22" s="1275">
        <v>0.27381870435687705</v>
      </c>
      <c r="Q22" s="1275"/>
      <c r="R22" s="1275">
        <v>0.14148577978365212</v>
      </c>
      <c r="S22" s="1275">
        <v>0.1621892685722473</v>
      </c>
      <c r="T22" s="1275"/>
      <c r="U22" s="1275"/>
      <c r="V22" s="1275"/>
      <c r="W22" s="1278"/>
      <c r="X22" s="1217">
        <v>0.28100000000000003</v>
      </c>
      <c r="AA22" s="1163">
        <v>2021</v>
      </c>
      <c r="AB22" s="3330">
        <f>AVERAGE(L58:L95)</f>
        <v>0.33231509018542654</v>
      </c>
    </row>
    <row r="23" spans="1:29">
      <c r="A23" s="850" t="s">
        <v>1988</v>
      </c>
      <c r="C23" s="1321">
        <v>0.45893687373067693</v>
      </c>
      <c r="D23" s="1321">
        <v>0.28976652847479817</v>
      </c>
      <c r="E23" s="1321">
        <v>0.11039124523741586</v>
      </c>
      <c r="F23" s="1321">
        <v>0.14090535255710904</v>
      </c>
      <c r="G23" s="1321" t="s">
        <v>221</v>
      </c>
      <c r="H23" s="1321" t="s">
        <v>221</v>
      </c>
      <c r="I23" s="1321" t="s">
        <v>221</v>
      </c>
      <c r="J23" s="2097"/>
      <c r="K23" s="1321">
        <v>0.14099999999999999</v>
      </c>
      <c r="L23" s="2518"/>
      <c r="M23" s="850" t="s">
        <v>1989</v>
      </c>
      <c r="O23" s="1275">
        <v>0.269580396548317</v>
      </c>
      <c r="P23" s="1275">
        <v>0.40847111520980173</v>
      </c>
      <c r="Q23" s="1275"/>
      <c r="R23" s="1275">
        <v>0.18071273302154009</v>
      </c>
      <c r="S23" s="1275">
        <v>0.14123575522034121</v>
      </c>
      <c r="T23" s="1275"/>
      <c r="U23" s="1275"/>
      <c r="V23" s="1275"/>
      <c r="W23" s="1278"/>
      <c r="X23" s="1217">
        <v>0.221</v>
      </c>
    </row>
    <row r="24" spans="1:29">
      <c r="A24" s="850" t="s">
        <v>1989</v>
      </c>
      <c r="C24" s="1321">
        <v>0.22009240292459742</v>
      </c>
      <c r="D24" s="1321">
        <v>0.24881505958343925</v>
      </c>
      <c r="E24" s="1321">
        <v>0.16061362718858868</v>
      </c>
      <c r="F24" s="1321">
        <v>8.7132369432275231E-2</v>
      </c>
      <c r="G24" s="1321" t="s">
        <v>221</v>
      </c>
      <c r="H24" s="1321">
        <v>0.28334654087109939</v>
      </c>
      <c r="I24" s="1321" t="s">
        <v>221</v>
      </c>
      <c r="J24" s="2097"/>
      <c r="K24" s="1321">
        <v>0.191</v>
      </c>
      <c r="L24" s="2518"/>
      <c r="M24" s="850" t="s">
        <v>1990</v>
      </c>
      <c r="O24" s="1275">
        <v>0.33131188953771656</v>
      </c>
      <c r="P24" s="1275">
        <v>0.19106766714391729</v>
      </c>
      <c r="Q24" s="1275"/>
      <c r="R24" s="1275">
        <v>0.27472770477425545</v>
      </c>
      <c r="S24" s="1275">
        <v>7.3465364347128623E-2</v>
      </c>
      <c r="T24" s="1275"/>
      <c r="U24" s="1275">
        <v>9.8277400058469452E-2</v>
      </c>
      <c r="V24" s="1275">
        <v>3.1149974138512629E-2</v>
      </c>
      <c r="W24" s="1278"/>
      <c r="X24" s="1217">
        <v>0.21</v>
      </c>
    </row>
    <row r="25" spans="1:29">
      <c r="A25" s="850" t="s">
        <v>1990</v>
      </c>
      <c r="C25" s="1321">
        <v>0.25215575086498437</v>
      </c>
      <c r="D25" s="1321">
        <v>0.11226496581542771</v>
      </c>
      <c r="E25" s="1321">
        <v>7.7519190696721113E-2</v>
      </c>
      <c r="F25" s="1321" t="s">
        <v>221</v>
      </c>
      <c r="G25" s="1321" t="s">
        <v>221</v>
      </c>
      <c r="H25" s="1321">
        <v>0.50540950726391665</v>
      </c>
      <c r="I25" s="1321">
        <v>5.265058535895021E-2</v>
      </c>
      <c r="J25" s="2097"/>
      <c r="K25" s="1321">
        <v>0.16</v>
      </c>
      <c r="L25" s="2518"/>
      <c r="M25" s="850" t="s">
        <v>1991</v>
      </c>
      <c r="O25" s="1275">
        <v>0.32018348016600584</v>
      </c>
      <c r="P25" s="1275">
        <v>0.43772132460500796</v>
      </c>
      <c r="Q25" s="1275"/>
      <c r="R25" s="1275">
        <v>0.16543331634442907</v>
      </c>
      <c r="S25" s="1275">
        <v>7.6661878884557083E-2</v>
      </c>
      <c r="T25" s="1275"/>
      <c r="U25" s="1275"/>
      <c r="V25" s="1275"/>
      <c r="W25" s="1278"/>
      <c r="X25" s="1217">
        <v>0.28100000000000003</v>
      </c>
      <c r="AB25" s="3330">
        <f>AB22-AB21</f>
        <v>6.6215090185426484E-2</v>
      </c>
    </row>
    <row r="26" spans="1:29">
      <c r="A26" s="850" t="s">
        <v>1991</v>
      </c>
      <c r="C26" s="1321">
        <v>0.34764293236706351</v>
      </c>
      <c r="D26" s="1321">
        <v>0.39279700599158679</v>
      </c>
      <c r="E26" s="1321">
        <v>0.15010501639207707</v>
      </c>
      <c r="F26" s="1321">
        <v>0.10945504524927262</v>
      </c>
      <c r="G26" s="1321" t="s">
        <v>221</v>
      </c>
      <c r="H26" s="1321" t="s">
        <v>221</v>
      </c>
      <c r="I26" s="1321" t="s">
        <v>221</v>
      </c>
      <c r="J26" s="2097"/>
      <c r="K26" s="1321">
        <v>0.151</v>
      </c>
      <c r="L26" s="2518"/>
      <c r="M26" s="850" t="s">
        <v>1992</v>
      </c>
      <c r="O26" s="1275">
        <v>0.30868441984446798</v>
      </c>
      <c r="P26" s="1275">
        <v>0.4469475358755744</v>
      </c>
      <c r="Q26" s="1275"/>
      <c r="R26" s="1275">
        <v>0.11710918138611519</v>
      </c>
      <c r="S26" s="1275">
        <v>0.12725886289384247</v>
      </c>
      <c r="T26" s="1275"/>
      <c r="U26" s="1275"/>
      <c r="V26" s="1275"/>
      <c r="W26" s="1278"/>
      <c r="X26" s="1217">
        <v>0.19800000000000001</v>
      </c>
    </row>
    <row r="27" spans="1:29">
      <c r="A27" s="850" t="s">
        <v>1992</v>
      </c>
      <c r="C27" s="1321">
        <v>0.4843181634467707</v>
      </c>
      <c r="D27" s="1321">
        <v>0.34356963867108559</v>
      </c>
      <c r="E27" s="1321" t="s">
        <v>221</v>
      </c>
      <c r="F27" s="1321" t="s">
        <v>221</v>
      </c>
      <c r="G27" s="1321" t="s">
        <v>221</v>
      </c>
      <c r="H27" s="1321">
        <v>0.17211219788214371</v>
      </c>
      <c r="I27" s="1321" t="s">
        <v>221</v>
      </c>
      <c r="J27" s="2097"/>
      <c r="K27" s="1321">
        <v>0.159</v>
      </c>
      <c r="L27" s="2518"/>
      <c r="M27" s="850" t="s">
        <v>1993</v>
      </c>
      <c r="O27" s="1275">
        <v>0.35216436301296478</v>
      </c>
      <c r="P27" s="1275">
        <v>0.22746348083860138</v>
      </c>
      <c r="Q27" s="1275"/>
      <c r="R27" s="1275">
        <v>0.25521447194542662</v>
      </c>
      <c r="S27" s="1275"/>
      <c r="T27" s="1275"/>
      <c r="U27" s="1275"/>
      <c r="V27" s="1275">
        <v>0.16515768420300725</v>
      </c>
      <c r="W27" s="1278"/>
      <c r="X27" s="1217">
        <v>0.248</v>
      </c>
    </row>
    <row r="28" spans="1:29">
      <c r="A28" s="850" t="s">
        <v>1993</v>
      </c>
      <c r="C28" s="1321">
        <v>0.23731728288907997</v>
      </c>
      <c r="D28" s="1321">
        <v>0.12237269513709755</v>
      </c>
      <c r="E28" s="1321" t="s">
        <v>221</v>
      </c>
      <c r="F28" s="1321" t="s">
        <v>221</v>
      </c>
      <c r="G28" s="1321" t="s">
        <v>221</v>
      </c>
      <c r="H28" s="1321">
        <v>0.64031002197382247</v>
      </c>
      <c r="I28" s="1321" t="s">
        <v>221</v>
      </c>
      <c r="J28" s="2097"/>
      <c r="K28" s="1321">
        <v>0.153</v>
      </c>
      <c r="L28" s="2518"/>
      <c r="M28" s="850" t="s">
        <v>1994</v>
      </c>
      <c r="O28" s="1275">
        <v>0.17865827634465167</v>
      </c>
      <c r="P28" s="1275">
        <v>0.61756541705127821</v>
      </c>
      <c r="Q28" s="1275"/>
      <c r="R28" s="1275"/>
      <c r="S28" s="1275">
        <v>0.11455634848951045</v>
      </c>
      <c r="T28" s="1275">
        <v>8.9219958114559655E-2</v>
      </c>
      <c r="U28" s="1275"/>
      <c r="V28" s="1275"/>
      <c r="W28" s="1278"/>
      <c r="X28" s="1217">
        <v>0.30199999999999999</v>
      </c>
    </row>
    <row r="29" spans="1:29">
      <c r="A29" s="850" t="s">
        <v>1994</v>
      </c>
      <c r="C29" s="1321">
        <v>0.12578167724754499</v>
      </c>
      <c r="D29" s="1321">
        <v>0.56180897353591552</v>
      </c>
      <c r="E29" s="1321">
        <v>6.8985741572944653E-2</v>
      </c>
      <c r="F29" s="1321">
        <v>7.2853508333927758E-2</v>
      </c>
      <c r="G29" s="1321" t="s">
        <v>221</v>
      </c>
      <c r="H29" s="1321">
        <v>0.11396438167249209</v>
      </c>
      <c r="I29" s="1321">
        <v>5.6605717637174945E-2</v>
      </c>
      <c r="J29" s="2097"/>
      <c r="K29" s="1321">
        <v>0.124</v>
      </c>
      <c r="L29" s="2518"/>
      <c r="M29" s="850" t="s">
        <v>1995</v>
      </c>
      <c r="O29" s="1275">
        <v>0.27757984106148681</v>
      </c>
      <c r="P29" s="1275">
        <v>0.24016010242416796</v>
      </c>
      <c r="Q29" s="1275"/>
      <c r="R29" s="1275">
        <v>0.17478063510743544</v>
      </c>
      <c r="S29" s="1275">
        <v>8.3012718960756807E-2</v>
      </c>
      <c r="T29" s="1275">
        <v>5.9404724185423953E-2</v>
      </c>
      <c r="U29" s="1275">
        <v>0.16506197826072899</v>
      </c>
      <c r="V29" s="1275"/>
      <c r="W29" s="1278"/>
      <c r="X29" s="1217">
        <v>0.23200000000000001</v>
      </c>
    </row>
    <row r="30" spans="1:29">
      <c r="A30" s="850" t="s">
        <v>1995</v>
      </c>
      <c r="C30" s="1321">
        <v>0.31736261926572457</v>
      </c>
      <c r="D30" s="1321">
        <v>0.22083843675700154</v>
      </c>
      <c r="E30" s="1321">
        <v>9.9148800395236575E-2</v>
      </c>
      <c r="F30" s="1321">
        <v>7.6083040851405451E-2</v>
      </c>
      <c r="G30" s="1321" t="s">
        <v>221</v>
      </c>
      <c r="H30" s="1321">
        <v>0.28656710273063185</v>
      </c>
      <c r="I30" s="1321" t="s">
        <v>221</v>
      </c>
      <c r="J30" s="2097"/>
      <c r="K30" s="1321">
        <v>0.14499999999999999</v>
      </c>
      <c r="L30" s="2518"/>
      <c r="M30" s="850" t="s">
        <v>1996</v>
      </c>
      <c r="O30" s="1275">
        <v>0.19673920170861708</v>
      </c>
      <c r="P30" s="1275">
        <v>0.25709816117579831</v>
      </c>
      <c r="Q30" s="1275">
        <v>0.3146468951692224</v>
      </c>
      <c r="R30" s="1275">
        <v>0.12150946577613744</v>
      </c>
      <c r="S30" s="1275"/>
      <c r="T30" s="1275"/>
      <c r="U30" s="1275">
        <v>0.11000627617022472</v>
      </c>
      <c r="V30" s="1275"/>
      <c r="W30" s="1278"/>
      <c r="X30" s="1217">
        <v>0.41599999999999998</v>
      </c>
    </row>
    <row r="31" spans="1:29">
      <c r="A31" s="850" t="s">
        <v>1996</v>
      </c>
      <c r="C31" s="1321">
        <v>0.14771134232762723</v>
      </c>
      <c r="D31" s="1321">
        <v>0.29665736370300827</v>
      </c>
      <c r="E31" s="1321">
        <v>7.7604722647357655E-2</v>
      </c>
      <c r="F31" s="1321" t="s">
        <v>221</v>
      </c>
      <c r="G31" s="1321" t="s">
        <v>221</v>
      </c>
      <c r="H31" s="1321">
        <v>0.47802657132200688</v>
      </c>
      <c r="I31" s="1321" t="s">
        <v>221</v>
      </c>
      <c r="J31" s="2097"/>
      <c r="K31" s="1321">
        <v>0.14800000000000002</v>
      </c>
      <c r="L31" s="2518"/>
      <c r="M31" s="850" t="s">
        <v>1997</v>
      </c>
      <c r="O31" s="1275">
        <v>0.40128828372483349</v>
      </c>
      <c r="P31" s="1275">
        <v>0.25970559995161374</v>
      </c>
      <c r="Q31" s="1275"/>
      <c r="R31" s="1275"/>
      <c r="S31" s="1275">
        <v>0.10475621649819686</v>
      </c>
      <c r="T31" s="1275"/>
      <c r="U31" s="1275">
        <v>0.23424989982535591</v>
      </c>
      <c r="V31" s="1275"/>
      <c r="W31" s="1278"/>
      <c r="X31" s="1217">
        <v>0.219</v>
      </c>
    </row>
    <row r="32" spans="1:29">
      <c r="A32" s="850" t="s">
        <v>1997</v>
      </c>
      <c r="C32" s="1321">
        <v>0.58245046403853407</v>
      </c>
      <c r="D32" s="1321">
        <v>0.41754953596146593</v>
      </c>
      <c r="E32" s="1321" t="s">
        <v>221</v>
      </c>
      <c r="F32" s="1321" t="s">
        <v>221</v>
      </c>
      <c r="G32" s="1321" t="s">
        <v>221</v>
      </c>
      <c r="H32" s="1321" t="s">
        <v>221</v>
      </c>
      <c r="I32" s="1321" t="s">
        <v>221</v>
      </c>
      <c r="J32" s="2097"/>
      <c r="K32" s="1321">
        <v>0.13200000000000001</v>
      </c>
      <c r="L32" s="2518"/>
      <c r="M32" s="850" t="s">
        <v>1998</v>
      </c>
      <c r="O32" s="1275">
        <v>0.40503688056238529</v>
      </c>
      <c r="P32" s="1275">
        <v>0.3550836305710427</v>
      </c>
      <c r="Q32" s="1275"/>
      <c r="R32" s="1275">
        <v>0.23987948886657201</v>
      </c>
      <c r="S32" s="1275"/>
      <c r="T32" s="1275"/>
      <c r="U32" s="1275"/>
      <c r="V32" s="1275"/>
      <c r="W32" s="1278"/>
      <c r="X32" s="1217">
        <v>0.22</v>
      </c>
    </row>
    <row r="33" spans="1:25">
      <c r="A33" s="850" t="s">
        <v>1998</v>
      </c>
      <c r="C33" s="1321">
        <v>0.30084909110678382</v>
      </c>
      <c r="D33" s="1321">
        <v>0.24808484980280132</v>
      </c>
      <c r="E33" s="1321">
        <v>0.18744254549408404</v>
      </c>
      <c r="F33" s="1321">
        <v>7.3087073848191603E-2</v>
      </c>
      <c r="G33" s="1321" t="s">
        <v>221</v>
      </c>
      <c r="H33" s="1321">
        <v>0.19053643974813922</v>
      </c>
      <c r="I33" s="1321" t="s">
        <v>221</v>
      </c>
      <c r="J33" s="2097"/>
      <c r="K33" s="1321">
        <v>0.192</v>
      </c>
      <c r="L33" s="2518"/>
      <c r="M33" s="850" t="s">
        <v>1999</v>
      </c>
      <c r="O33" s="1275">
        <v>0.179967631390195</v>
      </c>
      <c r="P33" s="1275">
        <v>0.55320590236695455</v>
      </c>
      <c r="Q33" s="1275"/>
      <c r="R33" s="1275">
        <v>0.16028898792920593</v>
      </c>
      <c r="S33" s="1275">
        <v>0.10653747831364448</v>
      </c>
      <c r="T33" s="1275"/>
      <c r="U33" s="1275"/>
      <c r="V33" s="1275"/>
      <c r="W33" s="1278"/>
      <c r="X33" s="1217">
        <v>0.313</v>
      </c>
    </row>
    <row r="34" spans="1:25">
      <c r="A34" s="850" t="s">
        <v>1999</v>
      </c>
      <c r="C34" s="1321">
        <v>0.25639376534475722</v>
      </c>
      <c r="D34" s="1321">
        <v>0.56021296705386259</v>
      </c>
      <c r="E34" s="1321">
        <v>0.10556633688837685</v>
      </c>
      <c r="F34" s="1321">
        <v>7.7826930713003409E-2</v>
      </c>
      <c r="G34" s="1321" t="s">
        <v>221</v>
      </c>
      <c r="H34" s="1321" t="s">
        <v>221</v>
      </c>
      <c r="I34" s="1321" t="s">
        <v>221</v>
      </c>
      <c r="J34" s="2097"/>
      <c r="K34" s="1321">
        <v>0.16399999999999998</v>
      </c>
      <c r="L34" s="2518"/>
      <c r="M34" s="850" t="s">
        <v>2000</v>
      </c>
      <c r="O34" s="1275">
        <v>0.28137124292993038</v>
      </c>
      <c r="P34" s="1275">
        <v>0.47285326976113684</v>
      </c>
      <c r="Q34" s="1275"/>
      <c r="R34" s="1275">
        <v>0.11873042584022811</v>
      </c>
      <c r="S34" s="1275"/>
      <c r="T34" s="1275"/>
      <c r="U34" s="1275">
        <v>0.12704506146870473</v>
      </c>
      <c r="V34" s="1275"/>
      <c r="W34" s="1278"/>
      <c r="X34" s="1217">
        <v>0.214</v>
      </c>
    </row>
    <row r="35" spans="1:25">
      <c r="A35" s="850" t="s">
        <v>2000</v>
      </c>
      <c r="C35" s="1321">
        <v>0.19781459394012318</v>
      </c>
      <c r="D35" s="1321">
        <v>0.43133568468786898</v>
      </c>
      <c r="E35" s="1321" t="s">
        <v>221</v>
      </c>
      <c r="F35" s="1321" t="s">
        <v>221</v>
      </c>
      <c r="G35" s="1321" t="s">
        <v>221</v>
      </c>
      <c r="H35" s="1321">
        <v>0.37084972137200783</v>
      </c>
      <c r="I35" s="1321" t="s">
        <v>221</v>
      </c>
      <c r="J35" s="2097"/>
      <c r="K35" s="1321">
        <v>0.16399999999999998</v>
      </c>
      <c r="L35" s="2518"/>
      <c r="M35" s="850" t="s">
        <v>2001</v>
      </c>
      <c r="O35" s="1275">
        <v>0.1792425124686701</v>
      </c>
      <c r="P35" s="1275">
        <v>0.40894453024127192</v>
      </c>
      <c r="Q35" s="1275">
        <v>0.17916909288842756</v>
      </c>
      <c r="R35" s="1275"/>
      <c r="S35" s="1275">
        <v>6.1869920757487533E-2</v>
      </c>
      <c r="T35" s="1275"/>
      <c r="U35" s="1275">
        <v>0.17077394364414289</v>
      </c>
      <c r="V35" s="1275"/>
      <c r="W35" s="1278"/>
      <c r="X35" s="1217">
        <v>0.46600000000000003</v>
      </c>
    </row>
    <row r="36" spans="1:25">
      <c r="A36" s="850" t="s">
        <v>2001</v>
      </c>
      <c r="C36" s="1321">
        <v>0.14682589831079659</v>
      </c>
      <c r="D36" s="1321">
        <v>0.4695437887021357</v>
      </c>
      <c r="E36" s="1321" t="s">
        <v>221</v>
      </c>
      <c r="F36" s="1321" t="s">
        <v>221</v>
      </c>
      <c r="G36" s="1321" t="s">
        <v>221</v>
      </c>
      <c r="H36" s="1321">
        <v>0.38363031298706768</v>
      </c>
      <c r="I36" s="1321" t="s">
        <v>221</v>
      </c>
      <c r="J36" s="2097"/>
      <c r="K36" s="1321">
        <v>0.14699999999999999</v>
      </c>
      <c r="L36" s="2518"/>
      <c r="M36" s="850" t="s">
        <v>2002</v>
      </c>
      <c r="O36" s="1275">
        <v>0.10712596902001806</v>
      </c>
      <c r="P36" s="1275">
        <v>0.51935890638657634</v>
      </c>
      <c r="Q36" s="1275"/>
      <c r="R36" s="1275">
        <v>0.20441486236691647</v>
      </c>
      <c r="S36" s="1275">
        <v>0.10052015418344391</v>
      </c>
      <c r="T36" s="1275"/>
      <c r="U36" s="1275"/>
      <c r="V36" s="1275">
        <v>6.8580108043045263E-2</v>
      </c>
      <c r="W36" s="1278"/>
      <c r="X36" s="1217">
        <v>0.28399999999999997</v>
      </c>
    </row>
    <row r="37" spans="1:25">
      <c r="A37" s="850" t="s">
        <v>2002</v>
      </c>
      <c r="C37" s="1321">
        <v>0.14505072473742894</v>
      </c>
      <c r="D37" s="1321">
        <v>0.51354495023882607</v>
      </c>
      <c r="E37" s="1321">
        <v>0.11544179387999505</v>
      </c>
      <c r="F37" s="1321">
        <v>7.0360785717235405E-2</v>
      </c>
      <c r="G37" s="1321" t="s">
        <v>221</v>
      </c>
      <c r="H37" s="1321" t="s">
        <v>221</v>
      </c>
      <c r="I37" s="1321">
        <v>0.1556017454265145</v>
      </c>
      <c r="J37" s="2097"/>
      <c r="K37" s="1321">
        <v>0.14499999999999999</v>
      </c>
      <c r="L37" s="2518"/>
      <c r="M37" s="850" t="s">
        <v>2003</v>
      </c>
      <c r="O37" s="1275">
        <v>0.36255083051898823</v>
      </c>
      <c r="P37" s="1275">
        <v>0.31447722103521952</v>
      </c>
      <c r="Q37" s="1275"/>
      <c r="R37" s="1275">
        <v>0.15823511843223745</v>
      </c>
      <c r="S37" s="1275"/>
      <c r="T37" s="1275">
        <v>3.7488225698991427E-2</v>
      </c>
      <c r="U37" s="1275">
        <v>0.12724860431456336</v>
      </c>
      <c r="V37" s="1275"/>
      <c r="W37" s="1278"/>
      <c r="X37" s="1217">
        <v>0.21099999999999999</v>
      </c>
    </row>
    <row r="38" spans="1:25">
      <c r="A38" s="850" t="s">
        <v>2003</v>
      </c>
      <c r="C38" s="1321">
        <v>0.51845668144010681</v>
      </c>
      <c r="D38" s="1321">
        <v>0.48154331855989313</v>
      </c>
      <c r="E38" s="1321" t="s">
        <v>221</v>
      </c>
      <c r="F38" s="1321" t="s">
        <v>221</v>
      </c>
      <c r="G38" s="1321" t="s">
        <v>221</v>
      </c>
      <c r="H38" s="1321" t="s">
        <v>221</v>
      </c>
      <c r="I38" s="1321" t="s">
        <v>221</v>
      </c>
      <c r="J38" s="2097"/>
      <c r="K38" s="1321">
        <v>0.11599999999999999</v>
      </c>
      <c r="L38" s="2518"/>
      <c r="M38" s="850" t="s">
        <v>2004</v>
      </c>
      <c r="O38" s="1275">
        <v>0.43720364648658572</v>
      </c>
      <c r="P38" s="1275">
        <v>0.24678026247361498</v>
      </c>
      <c r="Q38" s="1275"/>
      <c r="R38" s="1275">
        <v>0.16897121355807765</v>
      </c>
      <c r="S38" s="1275">
        <v>8.9678485117317755E-2</v>
      </c>
      <c r="T38" s="1275">
        <v>5.7366392364403926E-2</v>
      </c>
      <c r="U38" s="1275"/>
      <c r="V38" s="1275"/>
      <c r="W38" s="1278"/>
      <c r="X38" s="1217">
        <v>0.24</v>
      </c>
    </row>
    <row r="39" spans="1:25">
      <c r="A39" s="850" t="s">
        <v>2004</v>
      </c>
      <c r="C39" s="1321">
        <v>0.34995538230321249</v>
      </c>
      <c r="D39" s="1321">
        <v>0.35185750516625963</v>
      </c>
      <c r="E39" s="1321">
        <v>0.13125821904940824</v>
      </c>
      <c r="F39" s="1321" t="s">
        <v>221</v>
      </c>
      <c r="G39" s="1321" t="s">
        <v>221</v>
      </c>
      <c r="H39" s="1321">
        <v>0.16692889348111967</v>
      </c>
      <c r="I39" s="1321" t="s">
        <v>221</v>
      </c>
      <c r="J39" s="2097"/>
      <c r="K39" s="1321">
        <v>0.154</v>
      </c>
      <c r="L39" s="2518"/>
      <c r="M39" s="850" t="s">
        <v>2005</v>
      </c>
      <c r="O39" s="1275">
        <v>0.35326531138966077</v>
      </c>
      <c r="P39" s="1275">
        <v>0.12046508426748798</v>
      </c>
      <c r="Q39" s="1275"/>
      <c r="R39" s="1275">
        <v>0.10347393687035969</v>
      </c>
      <c r="S39" s="1275">
        <v>0.12875848481980781</v>
      </c>
      <c r="T39" s="1275"/>
      <c r="U39" s="1275">
        <v>0.11507953577604377</v>
      </c>
      <c r="V39" s="1275">
        <v>0.17895764687663998</v>
      </c>
      <c r="W39" s="1278"/>
      <c r="X39" s="1217">
        <v>0.27200000000000002</v>
      </c>
    </row>
    <row r="40" spans="1:25">
      <c r="A40" s="850" t="s">
        <v>2005</v>
      </c>
      <c r="C40" s="1321">
        <v>0.26126625744499815</v>
      </c>
      <c r="D40" s="1321">
        <v>0.13206515133098334</v>
      </c>
      <c r="E40" s="1321">
        <v>8.1165674000243104E-2</v>
      </c>
      <c r="F40" s="1321">
        <v>6.4596754588549896E-2</v>
      </c>
      <c r="G40" s="1321" t="s">
        <v>221</v>
      </c>
      <c r="H40" s="1321">
        <v>0.46090616263522549</v>
      </c>
      <c r="I40" s="1321" t="s">
        <v>221</v>
      </c>
      <c r="J40" s="2097"/>
      <c r="K40" s="1321">
        <v>0.154</v>
      </c>
      <c r="L40" s="2518"/>
      <c r="M40" s="850" t="s">
        <v>2006</v>
      </c>
      <c r="O40" s="1275">
        <v>0.41775752051048315</v>
      </c>
      <c r="P40" s="1275">
        <v>0.22248678213309026</v>
      </c>
      <c r="Q40" s="1275"/>
      <c r="R40" s="1275">
        <v>0.15706472196900639</v>
      </c>
      <c r="S40" s="1275">
        <v>0.10774840474020055</v>
      </c>
      <c r="T40" s="1275">
        <v>9.4942570647219685E-2</v>
      </c>
      <c r="U40" s="1275"/>
      <c r="V40" s="1275"/>
      <c r="W40" s="1278"/>
      <c r="X40" s="1217">
        <v>0.22500000000000001</v>
      </c>
    </row>
    <row r="41" spans="1:25">
      <c r="A41" s="850" t="s">
        <v>2006</v>
      </c>
      <c r="C41" s="1321">
        <v>0.31513559787778223</v>
      </c>
      <c r="D41" s="1321">
        <v>0.21541884208078801</v>
      </c>
      <c r="E41" s="1321">
        <v>0.15497579741698198</v>
      </c>
      <c r="F41" s="1321">
        <v>0.10874780697118941</v>
      </c>
      <c r="G41" s="1321" t="s">
        <v>221</v>
      </c>
      <c r="H41" s="1321">
        <v>0.20572195565325838</v>
      </c>
      <c r="I41" s="1321" t="s">
        <v>221</v>
      </c>
      <c r="J41" s="2097"/>
      <c r="K41" s="1321">
        <v>0.153</v>
      </c>
      <c r="L41" s="2518"/>
      <c r="M41" s="850" t="s">
        <v>2007</v>
      </c>
      <c r="O41" s="1275">
        <v>0.39925270832575122</v>
      </c>
      <c r="P41" s="1275">
        <v>0.33502929723041092</v>
      </c>
      <c r="Q41" s="1275"/>
      <c r="R41" s="1275">
        <v>0.12117285972510342</v>
      </c>
      <c r="S41" s="1275">
        <v>0.14454513471873445</v>
      </c>
      <c r="T41" s="1275"/>
      <c r="U41" s="1275"/>
      <c r="V41" s="1275"/>
      <c r="W41" s="1278"/>
      <c r="X41" s="1217">
        <v>0.246</v>
      </c>
    </row>
    <row r="42" spans="1:25">
      <c r="A42" s="850" t="s">
        <v>2007</v>
      </c>
      <c r="C42" s="1321">
        <v>0.34696970388595477</v>
      </c>
      <c r="D42" s="1321">
        <v>0.25850523346312382</v>
      </c>
      <c r="E42" s="1321">
        <v>8.8208845534096247E-2</v>
      </c>
      <c r="F42" s="1321">
        <v>9.3627180229240742E-2</v>
      </c>
      <c r="G42" s="1321" t="s">
        <v>221</v>
      </c>
      <c r="H42" s="1321">
        <v>0.21268903688758439</v>
      </c>
      <c r="I42" s="1321" t="s">
        <v>221</v>
      </c>
      <c r="J42" s="2097"/>
      <c r="K42" s="1321">
        <v>0.129</v>
      </c>
      <c r="L42" s="2518"/>
      <c r="M42" s="850" t="s">
        <v>2008</v>
      </c>
      <c r="O42" s="1275">
        <v>0.3117039571090941</v>
      </c>
      <c r="P42" s="1275">
        <v>0.25496362917390863</v>
      </c>
      <c r="Q42" s="1275"/>
      <c r="R42" s="1275">
        <v>0.13383176538748034</v>
      </c>
      <c r="S42" s="1275">
        <v>0.1058386441176741</v>
      </c>
      <c r="T42" s="1275"/>
      <c r="U42" s="1275">
        <v>0.19366200421184282</v>
      </c>
      <c r="V42" s="1275"/>
      <c r="W42" s="1278"/>
      <c r="X42" s="1217">
        <v>0.26</v>
      </c>
    </row>
    <row r="43" spans="1:25">
      <c r="A43" s="850" t="s">
        <v>2008</v>
      </c>
      <c r="C43" s="1321">
        <v>0.31997697895440902</v>
      </c>
      <c r="D43" s="1321">
        <v>0.34699559800276875</v>
      </c>
      <c r="E43" s="1321" t="s">
        <v>221</v>
      </c>
      <c r="F43" s="1321" t="s">
        <v>221</v>
      </c>
      <c r="G43" s="1321" t="s">
        <v>221</v>
      </c>
      <c r="H43" s="1321">
        <v>0.33302742304282223</v>
      </c>
      <c r="I43" s="1321" t="s">
        <v>221</v>
      </c>
      <c r="J43" s="2097"/>
      <c r="K43" s="1321">
        <v>0.152</v>
      </c>
      <c r="L43" s="2518"/>
      <c r="M43" s="850" t="s">
        <v>2009</v>
      </c>
      <c r="O43" s="1275">
        <v>0.33370576125301304</v>
      </c>
      <c r="P43" s="1275">
        <v>0.21140457051819206</v>
      </c>
      <c r="Q43" s="1275"/>
      <c r="R43" s="1275">
        <v>0.16924262644445134</v>
      </c>
      <c r="S43" s="1275">
        <v>6.6799085482552784E-2</v>
      </c>
      <c r="T43" s="1275">
        <v>7.4087292966284926E-2</v>
      </c>
      <c r="U43" s="1275">
        <v>0.14476066333550583</v>
      </c>
      <c r="V43" s="1275"/>
      <c r="W43" s="1278"/>
      <c r="X43" s="1217">
        <v>0.20699999999999999</v>
      </c>
    </row>
    <row r="44" spans="1:25">
      <c r="A44" s="850" t="s">
        <v>2009</v>
      </c>
      <c r="C44" s="1321">
        <v>0.36557656655543197</v>
      </c>
      <c r="D44" s="1321">
        <v>0.25696700037078235</v>
      </c>
      <c r="E44" s="1321" t="s">
        <v>221</v>
      </c>
      <c r="F44" s="1321" t="s">
        <v>221</v>
      </c>
      <c r="G44" s="1321" t="s">
        <v>221</v>
      </c>
      <c r="H44" s="1321">
        <v>0.37745643307378568</v>
      </c>
      <c r="I44" s="1321" t="s">
        <v>221</v>
      </c>
      <c r="J44" s="2097"/>
      <c r="K44" s="1321">
        <v>0.14199999999999999</v>
      </c>
      <c r="L44" s="2518"/>
      <c r="M44" s="850" t="s">
        <v>2010</v>
      </c>
      <c r="O44" s="1275">
        <v>0.25812084277266706</v>
      </c>
      <c r="P44" s="1275">
        <v>0.49881661515745895</v>
      </c>
      <c r="Q44" s="1275"/>
      <c r="R44" s="1275">
        <v>0.16981934381853317</v>
      </c>
      <c r="S44" s="1275"/>
      <c r="T44" s="1275"/>
      <c r="U44" s="1275">
        <v>7.3243198251340805E-2</v>
      </c>
      <c r="V44" s="1275"/>
      <c r="W44" s="1278"/>
      <c r="X44" s="1217">
        <v>0.28599999999999998</v>
      </c>
    </row>
    <row r="45" spans="1:25">
      <c r="A45" s="850" t="s">
        <v>2010</v>
      </c>
      <c r="C45" s="1321">
        <v>0.18512148466340023</v>
      </c>
      <c r="D45" s="1321">
        <v>0.42003657963621721</v>
      </c>
      <c r="E45" s="1321">
        <v>7.3675246660849722E-2</v>
      </c>
      <c r="F45" s="1321">
        <v>6.4656184978857639E-2</v>
      </c>
      <c r="G45" s="1321" t="s">
        <v>221</v>
      </c>
      <c r="H45" s="1321">
        <v>0.25651050406067522</v>
      </c>
      <c r="I45" s="1321" t="s">
        <v>221</v>
      </c>
      <c r="J45" s="2097"/>
      <c r="K45" s="1321">
        <v>0.12</v>
      </c>
      <c r="L45" s="2518"/>
      <c r="M45" s="850" t="s">
        <v>2011</v>
      </c>
      <c r="O45" s="1275">
        <v>0.22775175867504877</v>
      </c>
      <c r="P45" s="1275">
        <v>0.49672502834110088</v>
      </c>
      <c r="Q45" s="1275"/>
      <c r="R45" s="1275">
        <v>0.14265593330966803</v>
      </c>
      <c r="S45" s="1275">
        <v>9.3445476302259273E-2</v>
      </c>
      <c r="T45" s="1275"/>
      <c r="U45" s="1275"/>
      <c r="V45" s="1275">
        <v>3.9421803371923032E-2</v>
      </c>
      <c r="W45" s="1278"/>
      <c r="X45" s="1217">
        <v>0.33300000000000002</v>
      </c>
    </row>
    <row r="46" spans="1:25" ht="15" thickBot="1">
      <c r="A46" s="850" t="s">
        <v>2011</v>
      </c>
      <c r="C46" s="1321">
        <v>0.21126727767221787</v>
      </c>
      <c r="D46" s="1321">
        <v>0.47882437316046345</v>
      </c>
      <c r="E46" s="1321" t="s">
        <v>221</v>
      </c>
      <c r="F46" s="1321">
        <v>8.0320219067843965E-2</v>
      </c>
      <c r="G46" s="1321" t="s">
        <v>221</v>
      </c>
      <c r="H46" s="1321">
        <v>0.22958813009947468</v>
      </c>
      <c r="I46" s="1321" t="s">
        <v>221</v>
      </c>
      <c r="J46" s="2097"/>
      <c r="K46" s="1321">
        <v>0.13300000000000001</v>
      </c>
      <c r="L46" s="2518"/>
      <c r="M46" s="2110" t="s">
        <v>2012</v>
      </c>
      <c r="N46" s="2110"/>
      <c r="O46" s="2111">
        <v>0.46208540477881455</v>
      </c>
      <c r="P46" s="2111">
        <v>0.22992840757883737</v>
      </c>
      <c r="Q46" s="2111"/>
      <c r="R46" s="2111">
        <v>0.15048286108458028</v>
      </c>
      <c r="S46" s="2111">
        <v>0.15750332655776783</v>
      </c>
      <c r="T46" s="2111"/>
      <c r="U46" s="2111"/>
      <c r="V46" s="2111"/>
      <c r="W46" s="2112"/>
      <c r="X46" s="2113">
        <v>0.24</v>
      </c>
    </row>
    <row r="47" spans="1:25" ht="15" thickTop="1">
      <c r="A47" s="850" t="s">
        <v>2012</v>
      </c>
      <c r="C47" s="1321">
        <v>0.36243876437292177</v>
      </c>
      <c r="D47" s="1321">
        <v>0.20557402847932585</v>
      </c>
      <c r="E47" s="1321">
        <v>9.2012082138233878E-2</v>
      </c>
      <c r="F47" s="1321">
        <v>0.12856308856004264</v>
      </c>
      <c r="G47" s="1321" t="s">
        <v>221</v>
      </c>
      <c r="H47" s="1321">
        <v>0.21141203644947584</v>
      </c>
      <c r="I47" s="1321"/>
      <c r="J47" s="2097"/>
      <c r="K47" s="1321">
        <v>0.153</v>
      </c>
      <c r="L47" s="2519"/>
      <c r="M47" s="867"/>
      <c r="N47" s="867"/>
      <c r="O47" s="867"/>
      <c r="P47" s="867"/>
      <c r="Q47" s="867"/>
      <c r="R47" s="867"/>
      <c r="S47" s="867"/>
      <c r="T47" s="867"/>
      <c r="U47" s="867"/>
      <c r="V47" s="867"/>
      <c r="X47" s="867"/>
      <c r="Y47" s="867"/>
    </row>
    <row r="48" spans="1:25" ht="3" customHeight="1">
      <c r="A48" s="871"/>
      <c r="B48" s="871"/>
      <c r="C48" s="2108"/>
      <c r="D48" s="2108"/>
      <c r="E48" s="2108"/>
      <c r="F48" s="2108"/>
      <c r="G48" s="2108"/>
      <c r="H48" s="2108"/>
      <c r="I48" s="2108"/>
      <c r="J48" s="2108"/>
      <c r="K48" s="2108"/>
      <c r="L48" s="2519"/>
      <c r="M48" s="867"/>
      <c r="O48" s="1275"/>
      <c r="P48" s="1275"/>
      <c r="Q48" s="1275"/>
      <c r="R48" s="1275"/>
      <c r="S48" s="1275"/>
      <c r="T48" s="1275"/>
      <c r="U48" s="1275"/>
      <c r="V48" s="1275"/>
      <c r="W48" s="1278"/>
    </row>
    <row r="49" spans="1:23">
      <c r="A49" s="2095" t="s">
        <v>2016</v>
      </c>
      <c r="J49" s="850"/>
      <c r="W49" s="850"/>
    </row>
    <row r="50" spans="1:23">
      <c r="C50" s="2100"/>
      <c r="D50" s="2100"/>
      <c r="E50" s="2100"/>
      <c r="F50" s="2100"/>
      <c r="G50" s="2100"/>
      <c r="H50" s="2100"/>
      <c r="I50" s="2100"/>
      <c r="J50" s="2099"/>
      <c r="K50" s="2100"/>
      <c r="L50" s="2519"/>
      <c r="O50" s="1275"/>
      <c r="P50" s="1275"/>
      <c r="Q50" s="1275"/>
      <c r="R50" s="1275"/>
      <c r="S50" s="1275"/>
      <c r="T50" s="1275"/>
      <c r="U50" s="1275"/>
      <c r="V50" s="1275"/>
      <c r="W50" s="1278"/>
    </row>
    <row r="51" spans="1:23">
      <c r="C51" s="1746"/>
      <c r="D51" s="1746"/>
      <c r="E51" s="1746"/>
      <c r="F51" s="1746"/>
      <c r="G51" s="1746"/>
      <c r="H51" s="1746"/>
      <c r="I51" s="1746"/>
      <c r="J51" s="2101"/>
      <c r="K51" s="1746"/>
      <c r="L51" s="2520"/>
      <c r="O51" s="1746"/>
    </row>
    <row r="52" spans="1:23">
      <c r="A52" s="1496" t="s">
        <v>2857</v>
      </c>
      <c r="J52" s="850"/>
      <c r="K52" s="867"/>
      <c r="L52" s="850"/>
    </row>
    <row r="53" spans="1:23" ht="16">
      <c r="A53" s="2107" t="s">
        <v>2857</v>
      </c>
      <c r="B53" s="853"/>
      <c r="C53" s="853"/>
      <c r="D53" s="853"/>
      <c r="E53" s="853"/>
      <c r="F53" s="853"/>
      <c r="G53" s="853"/>
      <c r="H53" s="853"/>
      <c r="I53" s="853"/>
      <c r="J53" s="853"/>
      <c r="K53" s="853"/>
      <c r="L53" s="2107"/>
    </row>
    <row r="54" spans="1:23" ht="15" thickBot="1">
      <c r="A54" s="871"/>
      <c r="B54" s="871"/>
      <c r="C54" s="3416" t="s">
        <v>1973</v>
      </c>
      <c r="D54" s="3416"/>
      <c r="E54" s="3416"/>
      <c r="F54" s="3416"/>
      <c r="G54" s="3416"/>
      <c r="H54" s="3416"/>
      <c r="I54" s="3416"/>
      <c r="J54" s="3416"/>
      <c r="K54" s="2103"/>
      <c r="L54" s="871"/>
    </row>
    <row r="55" spans="1:23">
      <c r="A55" s="871"/>
      <c r="B55" s="871"/>
      <c r="C55" s="2103"/>
      <c r="D55" s="2103"/>
      <c r="E55" s="2103"/>
      <c r="F55" s="2103"/>
      <c r="G55" s="2103"/>
      <c r="H55" s="2103"/>
      <c r="I55" s="2103"/>
      <c r="J55" s="2103"/>
      <c r="K55" s="2103"/>
      <c r="L55" s="871"/>
      <c r="S55" s="2109"/>
    </row>
    <row r="56" spans="1:23">
      <c r="A56" s="2104" t="s">
        <v>2014</v>
      </c>
      <c r="B56" s="2104"/>
      <c r="C56" s="2243" t="s">
        <v>806</v>
      </c>
      <c r="D56" s="2244" t="s">
        <v>807</v>
      </c>
      <c r="E56" s="2263" t="s">
        <v>2388</v>
      </c>
      <c r="F56" s="2245" t="s">
        <v>808</v>
      </c>
      <c r="G56" s="2261" t="s">
        <v>2390</v>
      </c>
      <c r="H56" s="2262" t="s">
        <v>2391</v>
      </c>
      <c r="I56" s="2246" t="s">
        <v>1972</v>
      </c>
      <c r="J56" s="2246"/>
      <c r="K56" s="2105"/>
      <c r="L56" s="2104" t="s">
        <v>219</v>
      </c>
    </row>
    <row r="57" spans="1:23">
      <c r="A57" s="871"/>
      <c r="B57" s="871"/>
      <c r="C57" s="2260"/>
      <c r="D57" s="2260"/>
      <c r="E57" s="2260"/>
      <c r="F57" s="2260"/>
      <c r="G57" s="2260"/>
      <c r="H57" s="2260"/>
      <c r="I57" s="2260"/>
      <c r="J57" s="2260"/>
      <c r="K57" s="2260"/>
      <c r="L57" s="871"/>
    </row>
    <row r="58" spans="1:23">
      <c r="A58" s="850" t="s">
        <v>1974</v>
      </c>
      <c r="C58" s="1275">
        <v>0.3472525355458046</v>
      </c>
      <c r="D58" s="1275">
        <v>0.23700160459934447</v>
      </c>
      <c r="E58" s="1275"/>
      <c r="F58" s="1275">
        <v>0.13394221921412655</v>
      </c>
      <c r="G58" s="1275">
        <v>0.1642369534412699</v>
      </c>
      <c r="H58" s="1275">
        <v>0.11756668719945448</v>
      </c>
      <c r="I58" s="1275"/>
      <c r="J58" s="1275"/>
      <c r="K58" s="1278"/>
      <c r="L58" s="1217">
        <v>0.30225674863923896</v>
      </c>
    </row>
    <row r="59" spans="1:23">
      <c r="A59" s="850" t="s">
        <v>1975</v>
      </c>
      <c r="C59" s="1275">
        <v>0.42357259313271667</v>
      </c>
      <c r="D59" s="1275">
        <v>0.34990209492286389</v>
      </c>
      <c r="E59" s="1275"/>
      <c r="F59" s="1275">
        <v>0.13094701655783772</v>
      </c>
      <c r="G59" s="1275"/>
      <c r="H59" s="1275">
        <v>6.7828965155624019E-2</v>
      </c>
      <c r="I59" s="1275">
        <v>2.77493302309577E-2</v>
      </c>
      <c r="J59" s="1275"/>
      <c r="K59" s="1278"/>
      <c r="L59" s="1217">
        <v>0.26108281658085619</v>
      </c>
    </row>
    <row r="60" spans="1:23">
      <c r="A60" s="850" t="s">
        <v>1976</v>
      </c>
      <c r="C60" s="1275">
        <v>0.42896373685395983</v>
      </c>
      <c r="D60" s="1275">
        <v>0.31322227419997573</v>
      </c>
      <c r="E60" s="1275"/>
      <c r="F60" s="1275">
        <v>0.22302787740180535</v>
      </c>
      <c r="G60" s="1275"/>
      <c r="H60" s="1275"/>
      <c r="I60" s="1275">
        <v>3.4786111544259056E-2</v>
      </c>
      <c r="J60" s="1275"/>
      <c r="K60" s="1278"/>
      <c r="L60" s="1217">
        <v>0.36189496850810887</v>
      </c>
    </row>
    <row r="61" spans="1:23">
      <c r="A61" s="850" t="s">
        <v>1977</v>
      </c>
      <c r="C61" s="1275">
        <v>0.44548098434004474</v>
      </c>
      <c r="D61" s="1275">
        <v>0.3728366890380313</v>
      </c>
      <c r="E61" s="1275"/>
      <c r="F61" s="1275">
        <v>0.1447337807606264</v>
      </c>
      <c r="G61" s="1275"/>
      <c r="H61" s="1275"/>
      <c r="I61" s="1275">
        <v>3.694854586129754E-2</v>
      </c>
      <c r="J61" s="1275"/>
      <c r="K61" s="1278"/>
      <c r="L61" s="3327"/>
    </row>
    <row r="62" spans="1:23">
      <c r="A62" s="850" t="s">
        <v>348</v>
      </c>
      <c r="C62" s="1275">
        <v>0.54151151817523424</v>
      </c>
      <c r="D62" s="1275">
        <v>0.28871884532945125</v>
      </c>
      <c r="E62" s="1275"/>
      <c r="F62" s="1275">
        <v>4.7843039715575325E-2</v>
      </c>
      <c r="G62" s="1275"/>
      <c r="H62" s="1275">
        <v>0.12192659677973913</v>
      </c>
      <c r="I62" s="1275"/>
      <c r="J62" s="1275"/>
      <c r="K62" s="1278"/>
      <c r="L62" s="1217">
        <v>0.32755290802438369</v>
      </c>
    </row>
    <row r="63" spans="1:23">
      <c r="A63" s="850" t="s">
        <v>1978</v>
      </c>
      <c r="C63" s="1275">
        <v>0.53567855322522795</v>
      </c>
      <c r="D63" s="1275">
        <v>0.26133124421875292</v>
      </c>
      <c r="E63" s="1275"/>
      <c r="F63" s="1275">
        <v>0.2029902025560191</v>
      </c>
      <c r="G63" s="1275"/>
      <c r="H63" s="1275"/>
      <c r="I63" s="1275"/>
      <c r="J63" s="1275"/>
      <c r="K63" s="1278"/>
      <c r="L63" s="1217">
        <v>0.27138502523117908</v>
      </c>
    </row>
    <row r="64" spans="1:23">
      <c r="A64" s="850" t="s">
        <v>1979</v>
      </c>
      <c r="C64" s="1275">
        <v>0.4940024935868958</v>
      </c>
      <c r="D64" s="1275">
        <v>0.37511285630347241</v>
      </c>
      <c r="E64" s="1275"/>
      <c r="F64" s="1275">
        <v>9.2474096791298241E-2</v>
      </c>
      <c r="G64" s="1275"/>
      <c r="H64" s="1275"/>
      <c r="I64" s="1275">
        <v>3.8410553318333596E-2</v>
      </c>
      <c r="J64" s="1275"/>
      <c r="K64" s="1278"/>
      <c r="L64" s="1217">
        <v>0.34726113635345701</v>
      </c>
    </row>
    <row r="65" spans="1:12">
      <c r="A65" s="850" t="s">
        <v>1980</v>
      </c>
      <c r="C65" s="1275">
        <v>0.49971594757261534</v>
      </c>
      <c r="D65" s="1275">
        <v>0.20195824328231171</v>
      </c>
      <c r="E65" s="1275"/>
      <c r="F65" s="1275">
        <v>0.17855474933636861</v>
      </c>
      <c r="G65" s="1275">
        <v>0.11977105980870434</v>
      </c>
      <c r="H65" s="1275"/>
      <c r="I65" s="1275"/>
      <c r="J65" s="1275"/>
      <c r="K65" s="1278"/>
      <c r="L65" s="1217">
        <v>0.3607532665497285</v>
      </c>
    </row>
    <row r="66" spans="1:12">
      <c r="A66" s="850" t="s">
        <v>1981</v>
      </c>
      <c r="C66" s="1275">
        <v>0.42520672674904764</v>
      </c>
      <c r="D66" s="1275">
        <v>0.10869911469186765</v>
      </c>
      <c r="E66" s="1275"/>
      <c r="F66" s="1275">
        <v>0.11837512111599262</v>
      </c>
      <c r="G66" s="1275">
        <v>0.14124447511978869</v>
      </c>
      <c r="H66" s="1275">
        <v>0.20647456232330338</v>
      </c>
      <c r="I66" s="1275"/>
      <c r="J66" s="1275"/>
      <c r="K66" s="1278"/>
      <c r="L66" s="1217">
        <v>0.25133522149164506</v>
      </c>
    </row>
    <row r="67" spans="1:12">
      <c r="A67" s="850" t="s">
        <v>1982</v>
      </c>
      <c r="C67" s="1275">
        <v>0.23563405706262849</v>
      </c>
      <c r="D67" s="1275">
        <v>0.63825653111367397</v>
      </c>
      <c r="E67" s="1275"/>
      <c r="F67" s="1275">
        <v>0.12610941182369753</v>
      </c>
      <c r="G67" s="1275"/>
      <c r="H67" s="1275"/>
      <c r="I67" s="1275"/>
      <c r="J67" s="1275"/>
      <c r="K67" s="1278"/>
      <c r="L67" s="1217">
        <v>0.16888753392697603</v>
      </c>
    </row>
    <row r="68" spans="1:12">
      <c r="A68" s="850" t="s">
        <v>1983</v>
      </c>
      <c r="C68" s="1275">
        <v>0.3404498477847509</v>
      </c>
      <c r="D68" s="1275">
        <v>0.23661343237997656</v>
      </c>
      <c r="E68" s="1275">
        <v>0.33599668968778634</v>
      </c>
      <c r="F68" s="1275">
        <v>8.6940030147486233E-2</v>
      </c>
      <c r="G68" s="1275"/>
      <c r="H68" s="1275"/>
      <c r="I68" s="1275"/>
      <c r="J68" s="1275"/>
      <c r="K68" s="1278"/>
      <c r="L68" s="1217">
        <v>0.50563163479309159</v>
      </c>
    </row>
    <row r="69" spans="1:12">
      <c r="A69" s="850" t="s">
        <v>1984</v>
      </c>
      <c r="C69" s="1275">
        <v>0.53975964405302512</v>
      </c>
      <c r="D69" s="1275">
        <v>0.22868675748818862</v>
      </c>
      <c r="E69" s="1275"/>
      <c r="F69" s="1275">
        <v>0.13332186596945095</v>
      </c>
      <c r="G69" s="1275"/>
      <c r="H69" s="1275"/>
      <c r="I69" s="1275">
        <v>9.8231732489335352E-2</v>
      </c>
      <c r="J69" s="1275"/>
      <c r="K69" s="1278"/>
      <c r="L69" s="3327"/>
    </row>
    <row r="70" spans="1:12">
      <c r="A70" s="867" t="s">
        <v>1985</v>
      </c>
      <c r="B70" s="867"/>
      <c r="C70" s="1278">
        <v>0.4058314603282121</v>
      </c>
      <c r="D70" s="1278">
        <v>0.1608577850303273</v>
      </c>
      <c r="E70" s="1278"/>
      <c r="F70" s="1278">
        <v>0.18998942906698688</v>
      </c>
      <c r="G70" s="1278"/>
      <c r="H70" s="1278">
        <v>0.175939324897113</v>
      </c>
      <c r="I70" s="1278"/>
      <c r="J70" s="1278"/>
      <c r="K70" s="1278"/>
      <c r="L70" s="1308">
        <v>0.39733794951157003</v>
      </c>
    </row>
    <row r="71" spans="1:12">
      <c r="A71" s="850" t="s">
        <v>1986</v>
      </c>
      <c r="C71" s="1275">
        <v>0.28848656637402392</v>
      </c>
      <c r="D71" s="1275">
        <v>0.41787069307804298</v>
      </c>
      <c r="E71" s="1275">
        <v>0.16208585167865178</v>
      </c>
      <c r="F71" s="1275">
        <v>4.2131733356862398E-2</v>
      </c>
      <c r="G71" s="1275"/>
      <c r="H71" s="1275">
        <v>7.5004411699827939E-2</v>
      </c>
      <c r="I71" s="1275">
        <v>1.4420743812590991E-2</v>
      </c>
      <c r="J71" s="1275"/>
      <c r="K71" s="1278"/>
      <c r="L71" s="1217">
        <v>0.41001476483662586</v>
      </c>
    </row>
    <row r="72" spans="1:12">
      <c r="A72" s="850" t="s">
        <v>1987</v>
      </c>
      <c r="C72" s="1275">
        <v>0.49844300014232173</v>
      </c>
      <c r="D72" s="1275">
        <v>0.19323876844252574</v>
      </c>
      <c r="E72" s="1275"/>
      <c r="F72" s="1275">
        <v>0.17758147919730538</v>
      </c>
      <c r="G72" s="1275"/>
      <c r="H72" s="1275"/>
      <c r="I72" s="1275">
        <v>0.13073675221784714</v>
      </c>
      <c r="J72" s="1275"/>
      <c r="K72" s="1278"/>
      <c r="L72" s="1217">
        <v>0.35221481444349756</v>
      </c>
    </row>
    <row r="73" spans="1:12">
      <c r="A73" s="850" t="s">
        <v>1988</v>
      </c>
      <c r="C73" s="1275">
        <v>0.48536981466241524</v>
      </c>
      <c r="D73" s="1275">
        <v>0.2407573714167702</v>
      </c>
      <c r="E73" s="1275"/>
      <c r="F73" s="1275">
        <v>0.27387281392081458</v>
      </c>
      <c r="G73" s="1275"/>
      <c r="H73" s="1275"/>
      <c r="I73" s="1275"/>
      <c r="J73" s="1275"/>
      <c r="K73" s="1278"/>
      <c r="L73" s="1217">
        <v>0.36316331945812835</v>
      </c>
    </row>
    <row r="74" spans="1:12">
      <c r="A74" s="850" t="s">
        <v>1989</v>
      </c>
      <c r="C74" s="1275">
        <v>0.45560415910552488</v>
      </c>
      <c r="D74" s="1275">
        <v>0.39387340579294888</v>
      </c>
      <c r="E74" s="1275"/>
      <c r="F74" s="1275">
        <v>0.15052243510152624</v>
      </c>
      <c r="G74" s="1275"/>
      <c r="H74" s="1275"/>
      <c r="I74" s="1275"/>
      <c r="J74" s="1275"/>
      <c r="K74" s="1278"/>
      <c r="L74" s="1217">
        <v>0.22392477525967222</v>
      </c>
    </row>
    <row r="75" spans="1:12">
      <c r="A75" s="850" t="s">
        <v>1990</v>
      </c>
      <c r="C75" s="1275">
        <v>0.57795293619032073</v>
      </c>
      <c r="D75" s="1275">
        <v>0.252849233587221</v>
      </c>
      <c r="E75" s="1275"/>
      <c r="F75" s="1275">
        <v>0.16919783022245821</v>
      </c>
      <c r="G75" s="1275"/>
      <c r="H75" s="1275"/>
      <c r="I75" s="1275"/>
      <c r="J75" s="1275"/>
      <c r="K75" s="1278"/>
      <c r="L75" s="1217">
        <v>0.31017134827216269</v>
      </c>
    </row>
    <row r="76" spans="1:12">
      <c r="A76" s="850" t="s">
        <v>1991</v>
      </c>
      <c r="C76" s="1275">
        <v>0.44781966718399724</v>
      </c>
      <c r="D76" s="1275">
        <v>0.41546764528366958</v>
      </c>
      <c r="E76" s="1275"/>
      <c r="F76" s="1275">
        <v>8.8412334023107428E-2</v>
      </c>
      <c r="G76" s="1275"/>
      <c r="H76" s="1275"/>
      <c r="I76" s="1275">
        <v>4.8300353509225728E-2</v>
      </c>
      <c r="J76" s="1275"/>
      <c r="K76" s="1278"/>
      <c r="L76" s="3327"/>
    </row>
    <row r="77" spans="1:12">
      <c r="A77" s="850" t="s">
        <v>1992</v>
      </c>
      <c r="C77" s="1275">
        <v>0.49269202481907837</v>
      </c>
      <c r="D77" s="1275">
        <v>0.33278206915047076</v>
      </c>
      <c r="E77" s="1275"/>
      <c r="F77" s="1275">
        <v>0.1745259060304509</v>
      </c>
      <c r="G77" s="1275"/>
      <c r="H77" s="1275"/>
      <c r="I77" s="1275"/>
      <c r="J77" s="1275"/>
      <c r="K77" s="1278"/>
      <c r="L77" s="1217">
        <v>0.30201815046848823</v>
      </c>
    </row>
    <row r="78" spans="1:12">
      <c r="A78" s="850" t="s">
        <v>1993</v>
      </c>
      <c r="C78" s="1275">
        <v>0.59854690256213217</v>
      </c>
      <c r="D78" s="1275">
        <v>0.19974268066204423</v>
      </c>
      <c r="E78" s="1275"/>
      <c r="F78" s="1275">
        <v>5.9218377956698161E-2</v>
      </c>
      <c r="G78" s="1275"/>
      <c r="H78" s="1275"/>
      <c r="I78" s="1275">
        <v>3.5518219024165895E-2</v>
      </c>
      <c r="J78" s="1275"/>
      <c r="K78" s="1278"/>
      <c r="L78" s="1217">
        <v>0.30164316157140825</v>
      </c>
    </row>
    <row r="79" spans="1:12">
      <c r="A79" s="850" t="s">
        <v>1994</v>
      </c>
      <c r="C79" s="1275">
        <v>0.22882754541667594</v>
      </c>
      <c r="D79" s="1275">
        <v>0.56880153397545763</v>
      </c>
      <c r="E79" s="1275"/>
      <c r="F79" s="1275">
        <v>0.16528712751647975</v>
      </c>
      <c r="G79" s="1275"/>
      <c r="H79" s="1275"/>
      <c r="I79" s="1275">
        <v>3.7083793091386652E-2</v>
      </c>
      <c r="J79" s="1275"/>
      <c r="K79" s="1278"/>
      <c r="L79" s="1217">
        <v>0.29722909296437056</v>
      </c>
    </row>
    <row r="80" spans="1:12">
      <c r="A80" s="850" t="s">
        <v>1995</v>
      </c>
      <c r="C80" s="1275">
        <v>0.4508246475087147</v>
      </c>
      <c r="D80" s="1275">
        <v>0.22136279287560048</v>
      </c>
      <c r="E80" s="1275"/>
      <c r="F80" s="1275">
        <v>0.13729383812282131</v>
      </c>
      <c r="G80" s="1275">
        <v>0.10175421862263923</v>
      </c>
      <c r="H80" s="1275">
        <v>8.8764502870224235E-2</v>
      </c>
      <c r="I80" s="1275"/>
      <c r="J80" s="1275"/>
      <c r="K80" s="1278"/>
      <c r="L80" s="1217">
        <v>0.32948578024376723</v>
      </c>
    </row>
    <row r="81" spans="1:12">
      <c r="A81" s="850" t="s">
        <v>1996</v>
      </c>
      <c r="C81" s="1275">
        <v>0.31623362202975797</v>
      </c>
      <c r="D81" s="1275">
        <v>0.29103867861677118</v>
      </c>
      <c r="E81" s="1275">
        <v>0.28355519800217044</v>
      </c>
      <c r="F81" s="1275">
        <v>4.2525109046798987E-2</v>
      </c>
      <c r="G81" s="1275"/>
      <c r="H81" s="1275">
        <v>6.6647392304501396E-2</v>
      </c>
      <c r="I81" s="1275"/>
      <c r="J81" s="1275"/>
      <c r="K81" s="1278"/>
      <c r="L81" s="1217">
        <v>0.45354412410278044</v>
      </c>
    </row>
    <row r="82" spans="1:12">
      <c r="A82" s="850" t="s">
        <v>1997</v>
      </c>
      <c r="C82" s="1275">
        <v>0.47043833149178327</v>
      </c>
      <c r="D82" s="1275">
        <v>0.26060381552139283</v>
      </c>
      <c r="E82" s="1275"/>
      <c r="F82" s="1275">
        <v>0.12628775443728404</v>
      </c>
      <c r="G82" s="1275"/>
      <c r="H82" s="1275">
        <v>0.14267009854953999</v>
      </c>
      <c r="I82" s="1275"/>
      <c r="J82" s="1275"/>
      <c r="K82" s="1278"/>
      <c r="L82" s="1217">
        <v>0.24922798237571311</v>
      </c>
    </row>
    <row r="83" spans="1:12">
      <c r="A83" s="850" t="s">
        <v>1998</v>
      </c>
      <c r="C83" s="1275">
        <v>0.53169403996812481</v>
      </c>
      <c r="D83" s="1275">
        <v>0.27510944146046135</v>
      </c>
      <c r="E83" s="1275"/>
      <c r="F83" s="1275">
        <v>0.15327496455442061</v>
      </c>
      <c r="G83" s="1275"/>
      <c r="H83" s="1275"/>
      <c r="I83" s="1275">
        <v>3.9921554016993183E-2</v>
      </c>
      <c r="J83" s="1275"/>
      <c r="K83" s="1278"/>
      <c r="L83" s="3327"/>
    </row>
    <row r="84" spans="1:12">
      <c r="A84" s="850" t="s">
        <v>1999</v>
      </c>
      <c r="C84" s="1275">
        <v>0.30863660742646176</v>
      </c>
      <c r="D84" s="1275">
        <v>0.46609613471982836</v>
      </c>
      <c r="E84" s="1275"/>
      <c r="F84" s="1275">
        <v>0.10662976520883344</v>
      </c>
      <c r="G84" s="1275"/>
      <c r="H84" s="1275">
        <v>0.11863749264487641</v>
      </c>
      <c r="I84" s="1275"/>
      <c r="J84" s="1275"/>
      <c r="K84" s="1278"/>
      <c r="L84" s="1217">
        <v>0.35947490977702573</v>
      </c>
    </row>
    <row r="85" spans="1:12">
      <c r="A85" s="850" t="s">
        <v>2000</v>
      </c>
      <c r="C85" s="1275">
        <v>0.47859379043162292</v>
      </c>
      <c r="D85" s="1275">
        <v>0.43468800909677346</v>
      </c>
      <c r="E85" s="1275"/>
      <c r="F85" s="1275">
        <v>8.6718200471603557E-2</v>
      </c>
      <c r="G85" s="1275"/>
      <c r="H85" s="1275"/>
      <c r="I85" s="1275"/>
      <c r="J85" s="1275"/>
      <c r="K85" s="1278"/>
      <c r="L85" s="1217">
        <v>0.33184935234570589</v>
      </c>
    </row>
    <row r="86" spans="1:12">
      <c r="A86" s="850" t="s">
        <v>2001</v>
      </c>
      <c r="C86" s="1275">
        <v>0.23713205940277851</v>
      </c>
      <c r="D86" s="1275">
        <v>0.40988102318670866</v>
      </c>
      <c r="E86" s="1275">
        <v>0.19033975852867732</v>
      </c>
      <c r="F86" s="1275">
        <v>4.6070247465291682E-2</v>
      </c>
      <c r="G86" s="1275"/>
      <c r="H86" s="1275">
        <v>8.5882698720900902E-2</v>
      </c>
      <c r="I86" s="1275">
        <v>3.0694212695642917E-2</v>
      </c>
      <c r="J86" s="1275"/>
      <c r="K86" s="1278"/>
      <c r="L86" s="1217">
        <v>0.43915336387039466</v>
      </c>
    </row>
    <row r="87" spans="1:12">
      <c r="A87" s="850" t="s">
        <v>2002</v>
      </c>
      <c r="C87" s="1275">
        <v>0.32224739613046244</v>
      </c>
      <c r="D87" s="1275">
        <v>0.53932943228309238</v>
      </c>
      <c r="E87" s="1275"/>
      <c r="F87" s="1275">
        <v>0.13842317158644521</v>
      </c>
      <c r="G87" s="1275"/>
      <c r="H87" s="1275"/>
      <c r="I87" s="1275"/>
      <c r="J87" s="1275"/>
      <c r="K87" s="1278"/>
      <c r="L87" s="1217">
        <v>0.30153957157012318</v>
      </c>
    </row>
    <row r="88" spans="1:12">
      <c r="A88" s="850" t="s">
        <v>2003</v>
      </c>
      <c r="C88" s="1275">
        <v>0.57064227881025298</v>
      </c>
      <c r="D88" s="1275">
        <v>0.28128539665226326</v>
      </c>
      <c r="E88" s="1275"/>
      <c r="F88" s="1275">
        <v>4.4846247430465246E-2</v>
      </c>
      <c r="G88" s="1275"/>
      <c r="H88" s="1275">
        <v>8.0135923144691021E-2</v>
      </c>
      <c r="I88" s="1275">
        <v>2.3090153962327473E-2</v>
      </c>
      <c r="J88" s="1275"/>
      <c r="K88" s="1278"/>
      <c r="L88" s="1217">
        <v>0.28214843301504783</v>
      </c>
    </row>
    <row r="89" spans="1:12">
      <c r="A89" s="850" t="s">
        <v>2004</v>
      </c>
      <c r="C89" s="1275">
        <v>0.54684878867085396</v>
      </c>
      <c r="D89" s="1275">
        <v>0.22997210626926229</v>
      </c>
      <c r="E89" s="1275"/>
      <c r="F89" s="1275">
        <v>8.6807045605274455E-2</v>
      </c>
      <c r="G89" s="1275">
        <v>0.13637205945460928</v>
      </c>
      <c r="H89" s="1275"/>
      <c r="I89" s="1275"/>
      <c r="J89" s="1275"/>
      <c r="K89" s="1278"/>
      <c r="L89" s="1217">
        <v>0.35808718884513635</v>
      </c>
    </row>
    <row r="90" spans="1:12">
      <c r="A90" s="850" t="s">
        <v>2005</v>
      </c>
      <c r="C90" s="1275">
        <v>0.33517851704555635</v>
      </c>
      <c r="D90" s="1275">
        <v>0.12121184978174283</v>
      </c>
      <c r="E90" s="1275"/>
      <c r="F90" s="1275">
        <v>0.20724577966476176</v>
      </c>
      <c r="G90" s="1275"/>
      <c r="H90" s="1275">
        <v>0.15855144121388007</v>
      </c>
      <c r="I90" s="1275">
        <v>0.17781241229405897</v>
      </c>
      <c r="J90" s="1275"/>
      <c r="K90" s="1278"/>
      <c r="L90" s="1217">
        <v>0.37853428526543376</v>
      </c>
    </row>
    <row r="91" spans="1:12">
      <c r="A91" s="850" t="s">
        <v>2006</v>
      </c>
      <c r="C91" s="1275">
        <v>0.47281026362131628</v>
      </c>
      <c r="D91" s="1275">
        <v>0.18675876478613415</v>
      </c>
      <c r="E91" s="1275"/>
      <c r="F91" s="1275">
        <v>0.13944974753096079</v>
      </c>
      <c r="G91" s="1275">
        <v>0.13396176928892112</v>
      </c>
      <c r="H91" s="1275">
        <v>6.7019454772667658E-2</v>
      </c>
      <c r="I91" s="1275"/>
      <c r="J91" s="1275"/>
      <c r="K91" s="1278"/>
      <c r="L91" s="1217">
        <v>0.3493916896465955</v>
      </c>
    </row>
    <row r="92" spans="1:12">
      <c r="A92" s="850" t="s">
        <v>2007</v>
      </c>
      <c r="C92" s="1275">
        <v>0.4245795153768841</v>
      </c>
      <c r="D92" s="1275">
        <v>0.27805731578939014</v>
      </c>
      <c r="E92" s="1275"/>
      <c r="F92" s="1275">
        <v>0.17477044627815735</v>
      </c>
      <c r="G92" s="1275"/>
      <c r="H92" s="1275">
        <v>0.12259272255556844</v>
      </c>
      <c r="I92" s="1275"/>
      <c r="J92" s="1275"/>
      <c r="K92" s="1278"/>
      <c r="L92" s="1217">
        <v>0.34929736660835886</v>
      </c>
    </row>
    <row r="93" spans="1:12">
      <c r="A93" s="850" t="s">
        <v>2008</v>
      </c>
      <c r="C93" s="1275">
        <v>0.52072593786156052</v>
      </c>
      <c r="D93" s="1275">
        <v>0.27724235687502652</v>
      </c>
      <c r="E93" s="1275"/>
      <c r="F93" s="1275">
        <v>0.16149452093795241</v>
      </c>
      <c r="G93" s="1275"/>
      <c r="H93" s="1275"/>
      <c r="I93" s="1275">
        <v>4.0537184325460524E-2</v>
      </c>
      <c r="J93" s="1275"/>
      <c r="K93" s="1278"/>
      <c r="L93" s="1217">
        <v>0.36922811969501435</v>
      </c>
    </row>
    <row r="94" spans="1:12">
      <c r="A94" s="850" t="s">
        <v>2009</v>
      </c>
      <c r="C94" s="1275">
        <v>0.55323735017407094</v>
      </c>
      <c r="D94" s="1275">
        <v>0.23948713046535078</v>
      </c>
      <c r="E94" s="1275"/>
      <c r="F94" s="1275">
        <v>0.15633701621681628</v>
      </c>
      <c r="G94" s="1275"/>
      <c r="H94" s="1275"/>
      <c r="I94" s="1275">
        <v>5.0938503143761971E-2</v>
      </c>
      <c r="J94" s="1275"/>
      <c r="K94" s="1278"/>
      <c r="L94" s="1217">
        <v>0.3295084599033502</v>
      </c>
    </row>
    <row r="95" spans="1:12">
      <c r="A95" s="850" t="s">
        <v>2010</v>
      </c>
      <c r="C95" s="1275">
        <v>0.39354248761586486</v>
      </c>
      <c r="D95" s="1275">
        <v>0.4551424586702103</v>
      </c>
      <c r="E95" s="1275"/>
      <c r="F95" s="1275">
        <v>6.3473215401719629E-2</v>
      </c>
      <c r="G95" s="1275"/>
      <c r="H95" s="1275">
        <v>4.5497306080561017E-2</v>
      </c>
      <c r="I95" s="1275">
        <v>2.960679959739226E-2</v>
      </c>
      <c r="J95" s="1275"/>
      <c r="K95" s="1278"/>
      <c r="L95" s="1217">
        <v>0.3024838021554675</v>
      </c>
    </row>
    <row r="96" spans="1:12" ht="15" thickBot="1">
      <c r="A96" s="2110" t="s">
        <v>2012</v>
      </c>
      <c r="B96" s="2110"/>
      <c r="C96" s="2112">
        <v>0.4106259160898022</v>
      </c>
      <c r="D96" s="2112">
        <v>0.16518399195050334</v>
      </c>
      <c r="E96" s="2112"/>
      <c r="F96" s="2112">
        <v>0.16937321317137591</v>
      </c>
      <c r="G96" s="2112">
        <v>8.0330493757286389E-2</v>
      </c>
      <c r="H96" s="2112">
        <v>0.15345320504448023</v>
      </c>
      <c r="I96" s="2112">
        <v>2.1033179986551923E-2</v>
      </c>
      <c r="J96" s="2112"/>
      <c r="K96" s="2112"/>
      <c r="L96" s="3328"/>
    </row>
    <row r="97" spans="1:9" ht="15" thickTop="1">
      <c r="A97" s="850" t="s">
        <v>2851</v>
      </c>
    </row>
    <row r="103" spans="1:9">
      <c r="C103" s="1275"/>
      <c r="D103" s="1275"/>
      <c r="E103" s="1275"/>
      <c r="F103" s="1275"/>
      <c r="G103" s="1275"/>
      <c r="H103" s="1275"/>
      <c r="I103" s="1275"/>
    </row>
  </sheetData>
  <mergeCells count="3">
    <mergeCell ref="C3:I3"/>
    <mergeCell ref="O3:V3"/>
    <mergeCell ref="C54:J54"/>
  </mergeCells>
  <hyperlinks>
    <hyperlink ref="A49" r:id="rId1" display="http://researchbriefings.parliament.uk/ResearchBriefing/Summary/CBP-7595" xr:uid="{00000000-0004-0000-5200-000000000000}"/>
  </hyperlinks>
  <pageMargins left="0.7" right="0.7" top="0.75" bottom="0.75" header="0.3" footer="0.3"/>
  <pageSetup paperSize="9" orientation="portrait" horizontalDpi="1200" verticalDpi="1200"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107">
    <tabColor theme="4"/>
  </sheetPr>
  <dimension ref="A1:U49"/>
  <sheetViews>
    <sheetView showGridLines="0" zoomScale="85" zoomScaleNormal="85" workbookViewId="0">
      <selection activeCell="L23" sqref="L23"/>
    </sheetView>
  </sheetViews>
  <sheetFormatPr baseColWidth="10" defaultColWidth="10.59765625" defaultRowHeight="13"/>
  <cols>
    <col min="1" max="1" width="16.3984375" style="1497" customWidth="1"/>
    <col min="2" max="2" width="12.19921875" style="2115" customWidth="1"/>
    <col min="3" max="3" width="7.3984375" style="2115" customWidth="1"/>
    <col min="4" max="4" width="1.19921875" style="2115" customWidth="1"/>
    <col min="5" max="5" width="11.796875" style="2115" customWidth="1"/>
    <col min="6" max="6" width="7.3984375" style="2115" customWidth="1"/>
    <col min="7" max="7" width="9.3984375" style="2115" customWidth="1"/>
    <col min="8" max="8" width="12.19921875" style="2115" customWidth="1"/>
    <col min="9" max="9" width="10.3984375" style="2115" customWidth="1"/>
    <col min="10" max="10" width="11.59765625" style="2115" customWidth="1"/>
    <col min="11" max="11" width="11.3984375" style="2115" customWidth="1"/>
    <col min="12" max="14" width="10.59765625" style="1497"/>
    <col min="15" max="15" width="13.796875" style="1497" customWidth="1"/>
    <col min="16" max="20" width="10.59765625" style="1497"/>
    <col min="21" max="21" width="10.59765625" style="2126"/>
    <col min="22" max="16384" width="10.59765625" style="1497"/>
  </cols>
  <sheetData>
    <row r="1" spans="1:21" ht="18.5" customHeight="1">
      <c r="A1" s="1537" t="s">
        <v>2029</v>
      </c>
    </row>
    <row r="2" spans="1:21" ht="15">
      <c r="A2" s="129" t="s">
        <v>2392</v>
      </c>
    </row>
    <row r="3" spans="1:21" ht="20">
      <c r="A3" s="2239" t="s">
        <v>2720</v>
      </c>
      <c r="B3" s="3115"/>
      <c r="C3" s="3115"/>
      <c r="D3" s="3115"/>
      <c r="E3" s="3115"/>
      <c r="F3" s="3115"/>
      <c r="G3" s="3115"/>
      <c r="H3" s="3115"/>
      <c r="I3" s="3115"/>
      <c r="J3" s="3115"/>
      <c r="K3" s="3115"/>
    </row>
    <row r="4" spans="1:21" ht="14">
      <c r="A4" s="901" t="s">
        <v>2395</v>
      </c>
      <c r="B4" s="3115"/>
      <c r="C4" s="3115"/>
      <c r="D4" s="3115"/>
      <c r="E4" s="3115"/>
      <c r="F4" s="3115"/>
      <c r="G4" s="3115"/>
      <c r="H4" s="3115"/>
      <c r="I4" s="3115"/>
      <c r="J4" s="3115"/>
      <c r="K4" s="3115"/>
    </row>
    <row r="5" spans="1:21" ht="17" customHeight="1" thickBot="1">
      <c r="A5" s="3116"/>
      <c r="B5" s="3416" t="s">
        <v>2031</v>
      </c>
      <c r="C5" s="3416"/>
      <c r="D5" s="2260"/>
      <c r="E5" s="3416" t="s">
        <v>2032</v>
      </c>
      <c r="F5" s="3416"/>
      <c r="G5" s="3499" t="s">
        <v>2033</v>
      </c>
      <c r="H5" s="3499" t="s">
        <v>2034</v>
      </c>
      <c r="I5" s="3499" t="s">
        <v>2035</v>
      </c>
      <c r="J5" s="3499" t="s">
        <v>2036</v>
      </c>
      <c r="K5" s="3498" t="s">
        <v>2037</v>
      </c>
    </row>
    <row r="6" spans="1:21" ht="44" customHeight="1">
      <c r="A6" s="1500" t="s">
        <v>2030</v>
      </c>
      <c r="B6" s="3117" t="s">
        <v>1895</v>
      </c>
      <c r="C6" s="3118" t="s">
        <v>2719</v>
      </c>
      <c r="D6" s="3118"/>
      <c r="E6" s="3117" t="s">
        <v>111</v>
      </c>
      <c r="F6" s="3118" t="s">
        <v>2719</v>
      </c>
      <c r="G6" s="3499"/>
      <c r="H6" s="3499"/>
      <c r="I6" s="3499"/>
      <c r="J6" s="3499"/>
      <c r="K6" s="3498"/>
    </row>
    <row r="7" spans="1:21" ht="4.5" customHeight="1">
      <c r="A7" s="1496"/>
      <c r="B7" s="3119"/>
      <c r="C7" s="3119"/>
      <c r="D7" s="3119"/>
      <c r="E7" s="3119"/>
      <c r="F7" s="3120"/>
      <c r="G7" s="3120"/>
      <c r="H7" s="3120"/>
      <c r="I7" s="3120"/>
      <c r="J7" s="3120"/>
      <c r="K7" s="3119"/>
    </row>
    <row r="8" spans="1:21" s="3125" customFormat="1" ht="27.5" customHeight="1">
      <c r="A8" s="3127" t="s">
        <v>1050</v>
      </c>
      <c r="B8" s="3381">
        <v>1207175</v>
      </c>
      <c r="C8" s="3382">
        <f t="shared" ref="C8:C19" si="0">B8/(B8+E8)</f>
        <v>0.40743544586281777</v>
      </c>
      <c r="D8" s="3382"/>
      <c r="E8" s="3381">
        <v>1755687</v>
      </c>
      <c r="F8" s="3382">
        <f t="shared" ref="F8:F19" si="1">E8/(B8+E8)</f>
        <v>0.59256455413718223</v>
      </c>
      <c r="G8" s="3383">
        <v>2507</v>
      </c>
      <c r="H8" s="3384">
        <f t="shared" ref="H8:H19" si="2">SUM(B8:G8)</f>
        <v>2965370</v>
      </c>
      <c r="I8" s="3382">
        <f t="shared" ref="I8:I19" si="3">(B8+E8)/K8</f>
        <v>0.71974011386172765</v>
      </c>
      <c r="J8" s="3382">
        <f t="shared" ref="J8:J19" si="4">H8/K8</f>
        <v>0.72034935864112182</v>
      </c>
      <c r="K8" s="3383">
        <v>4116572</v>
      </c>
      <c r="U8" s="3126"/>
    </row>
    <row r="9" spans="1:21" s="3125" customFormat="1" ht="27.5" customHeight="1">
      <c r="A9" s="3127" t="s">
        <v>1051</v>
      </c>
      <c r="B9" s="3381">
        <v>1033036</v>
      </c>
      <c r="C9" s="3382">
        <f t="shared" si="0"/>
        <v>0.41181176911439638</v>
      </c>
      <c r="D9" s="3382"/>
      <c r="E9" s="3381">
        <v>1475479</v>
      </c>
      <c r="F9" s="3382">
        <f t="shared" si="1"/>
        <v>0.58818823088560368</v>
      </c>
      <c r="G9" s="3383">
        <v>1981</v>
      </c>
      <c r="H9" s="3384">
        <f t="shared" si="2"/>
        <v>2510497</v>
      </c>
      <c r="I9" s="3382">
        <f t="shared" si="3"/>
        <v>0.74122144645021026</v>
      </c>
      <c r="J9" s="3382">
        <f t="shared" si="4"/>
        <v>0.74180709210385964</v>
      </c>
      <c r="K9" s="3383">
        <v>3384299</v>
      </c>
      <c r="U9" s="3126"/>
    </row>
    <row r="10" spans="1:21" s="3125" customFormat="1" ht="27.5" customHeight="1">
      <c r="A10" s="3127" t="s">
        <v>1049</v>
      </c>
      <c r="B10" s="3381">
        <v>562595</v>
      </c>
      <c r="C10" s="3382">
        <f t="shared" si="0"/>
        <v>0.41962843235389324</v>
      </c>
      <c r="D10" s="3382"/>
      <c r="E10" s="3381">
        <v>778103</v>
      </c>
      <c r="F10" s="3382">
        <f t="shared" si="1"/>
        <v>0.58037156764610676</v>
      </c>
      <c r="G10" s="3385">
        <v>689</v>
      </c>
      <c r="H10" s="3384">
        <f t="shared" si="2"/>
        <v>1341388.0000000002</v>
      </c>
      <c r="I10" s="3382">
        <f t="shared" si="3"/>
        <v>0.69310323257378093</v>
      </c>
      <c r="J10" s="3382">
        <f t="shared" si="4"/>
        <v>0.69345994320546389</v>
      </c>
      <c r="K10" s="3383">
        <v>1934341</v>
      </c>
      <c r="U10" s="3126"/>
    </row>
    <row r="11" spans="1:21" s="3128" customFormat="1" ht="27.5" customHeight="1">
      <c r="A11" s="3127" t="s">
        <v>2061</v>
      </c>
      <c r="B11" s="3381">
        <v>1158298</v>
      </c>
      <c r="C11" s="3382">
        <f t="shared" si="0"/>
        <v>0.42285455610781841</v>
      </c>
      <c r="D11" s="3382"/>
      <c r="E11" s="3381">
        <v>1580937</v>
      </c>
      <c r="F11" s="3382">
        <f t="shared" si="1"/>
        <v>0.57714544389218159</v>
      </c>
      <c r="G11" s="3383">
        <v>1937</v>
      </c>
      <c r="H11" s="3384">
        <f t="shared" si="2"/>
        <v>2741172.9999999995</v>
      </c>
      <c r="I11" s="3382">
        <f t="shared" si="3"/>
        <v>0.70639257513319476</v>
      </c>
      <c r="J11" s="3382">
        <f t="shared" si="4"/>
        <v>0.70689234562043224</v>
      </c>
      <c r="K11" s="3383">
        <v>3877780</v>
      </c>
      <c r="U11" s="3129"/>
    </row>
    <row r="12" spans="1:21" s="3125" customFormat="1" ht="27.5" customHeight="1">
      <c r="A12" s="3127" t="s">
        <v>2038</v>
      </c>
      <c r="B12" s="3381">
        <v>1448616</v>
      </c>
      <c r="C12" s="3382">
        <f t="shared" si="0"/>
        <v>0.43515271781201648</v>
      </c>
      <c r="D12" s="3382"/>
      <c r="E12" s="3381">
        <v>1880367</v>
      </c>
      <c r="F12" s="3382">
        <f t="shared" si="1"/>
        <v>0.56484728218798352</v>
      </c>
      <c r="G12" s="3383">
        <v>2329</v>
      </c>
      <c r="H12" s="3384">
        <f t="shared" si="2"/>
        <v>3331313</v>
      </c>
      <c r="I12" s="3382">
        <f t="shared" si="3"/>
        <v>0.75679413184880595</v>
      </c>
      <c r="J12" s="3382">
        <f t="shared" si="4"/>
        <v>0.75732382224590544</v>
      </c>
      <c r="K12" s="3383">
        <v>4398796</v>
      </c>
      <c r="U12" s="3126"/>
    </row>
    <row r="13" spans="1:21" s="3125" customFormat="1" ht="27.5" customHeight="1">
      <c r="A13" s="3127" t="s">
        <v>1054</v>
      </c>
      <c r="B13" s="3381">
        <v>1699020</v>
      </c>
      <c r="C13" s="3382">
        <f t="shared" si="0"/>
        <v>0.46346030832432017</v>
      </c>
      <c r="D13" s="3382"/>
      <c r="E13" s="3381">
        <v>1966925</v>
      </c>
      <c r="F13" s="3382">
        <f t="shared" si="1"/>
        <v>0.53653969167567983</v>
      </c>
      <c r="G13" s="3383">
        <v>2682</v>
      </c>
      <c r="H13" s="3384">
        <f t="shared" si="2"/>
        <v>3668628</v>
      </c>
      <c r="I13" s="3382">
        <f t="shared" si="3"/>
        <v>0.69939853875786784</v>
      </c>
      <c r="J13" s="3382">
        <f t="shared" si="4"/>
        <v>0.69991040848845232</v>
      </c>
      <c r="K13" s="3383">
        <v>5241568</v>
      </c>
      <c r="U13" s="3126"/>
    </row>
    <row r="14" spans="1:21" s="3130" customFormat="1" ht="27.5" customHeight="1">
      <c r="A14" s="3127" t="s">
        <v>2039</v>
      </c>
      <c r="B14" s="3381">
        <v>1503019</v>
      </c>
      <c r="C14" s="3382">
        <f t="shared" si="0"/>
        <v>0.47373050968724095</v>
      </c>
      <c r="D14" s="3382"/>
      <c r="E14" s="3381">
        <v>1669711</v>
      </c>
      <c r="F14" s="3382">
        <f t="shared" si="1"/>
        <v>0.52626949031275905</v>
      </c>
      <c r="G14" s="3383">
        <v>2179</v>
      </c>
      <c r="H14" s="3384">
        <f t="shared" si="2"/>
        <v>3174910</v>
      </c>
      <c r="I14" s="3382">
        <f t="shared" si="3"/>
        <v>0.76670547642971443</v>
      </c>
      <c r="J14" s="3382">
        <f t="shared" si="4"/>
        <v>0.76723228392314025</v>
      </c>
      <c r="K14" s="3383">
        <v>4138134</v>
      </c>
      <c r="U14" s="3131"/>
    </row>
    <row r="15" spans="1:21" s="3125" customFormat="1" ht="27.5" customHeight="1">
      <c r="A15" s="3127" t="s">
        <v>18</v>
      </c>
      <c r="B15" s="3381">
        <v>772347</v>
      </c>
      <c r="C15" s="3382">
        <f t="shared" si="0"/>
        <v>0.47472984211260671</v>
      </c>
      <c r="D15" s="3382"/>
      <c r="E15" s="3381">
        <v>854572</v>
      </c>
      <c r="F15" s="3382">
        <f t="shared" si="1"/>
        <v>0.52527015788739329</v>
      </c>
      <c r="G15" s="3383">
        <v>1135</v>
      </c>
      <c r="H15" s="3384">
        <f t="shared" si="2"/>
        <v>1628055</v>
      </c>
      <c r="I15" s="3382">
        <f t="shared" si="3"/>
        <v>0.71661853733825731</v>
      </c>
      <c r="J15" s="3382">
        <f t="shared" si="4"/>
        <v>0.71711891790939586</v>
      </c>
      <c r="K15" s="3383">
        <v>2270272</v>
      </c>
      <c r="U15" s="3126"/>
    </row>
    <row r="16" spans="1:21" s="3125" customFormat="1" ht="27.5" customHeight="1">
      <c r="A16" s="3127" t="s">
        <v>1053</v>
      </c>
      <c r="B16" s="3381">
        <v>2391718</v>
      </c>
      <c r="C16" s="3382">
        <f t="shared" si="0"/>
        <v>0.48223202974867546</v>
      </c>
      <c r="D16" s="3382"/>
      <c r="E16" s="3381">
        <v>2567965</v>
      </c>
      <c r="F16" s="3382">
        <f t="shared" si="1"/>
        <v>0.51776797025132448</v>
      </c>
      <c r="G16" s="3383">
        <v>3427</v>
      </c>
      <c r="H16" s="3384">
        <f t="shared" si="2"/>
        <v>4963111</v>
      </c>
      <c r="I16" s="3382">
        <f t="shared" si="3"/>
        <v>0.76711107302807369</v>
      </c>
      <c r="J16" s="3382">
        <f t="shared" si="4"/>
        <v>0.76764127964779927</v>
      </c>
      <c r="K16" s="3383">
        <v>6465404</v>
      </c>
      <c r="U16" s="3126"/>
    </row>
    <row r="17" spans="1:21" s="3125" customFormat="1" ht="27.5" customHeight="1">
      <c r="A17" s="3378" t="s">
        <v>20</v>
      </c>
      <c r="B17" s="3383">
        <v>440707</v>
      </c>
      <c r="C17" s="3382">
        <f t="shared" si="0"/>
        <v>0.55775176580619601</v>
      </c>
      <c r="D17" s="3382"/>
      <c r="E17" s="3383">
        <v>349442</v>
      </c>
      <c r="F17" s="3382">
        <f t="shared" si="1"/>
        <v>0.44224823419380394</v>
      </c>
      <c r="G17" s="3385">
        <v>374</v>
      </c>
      <c r="H17" s="3384">
        <f t="shared" si="2"/>
        <v>790524</v>
      </c>
      <c r="I17" s="3382">
        <f t="shared" si="3"/>
        <v>0.62662743714089719</v>
      </c>
      <c r="J17" s="3382">
        <f t="shared" si="4"/>
        <v>0.62692483078301764</v>
      </c>
      <c r="K17" s="3383">
        <v>1260955</v>
      </c>
      <c r="U17" s="3126"/>
    </row>
    <row r="18" spans="1:21" s="3125" customFormat="1" ht="27.5" customHeight="1">
      <c r="A18" s="3127" t="s">
        <v>683</v>
      </c>
      <c r="B18" s="3381">
        <v>2263519</v>
      </c>
      <c r="C18" s="3382">
        <f t="shared" si="0"/>
        <v>0.59932968840148582</v>
      </c>
      <c r="D18" s="3382"/>
      <c r="E18" s="3381">
        <v>1513232</v>
      </c>
      <c r="F18" s="3382">
        <f t="shared" si="1"/>
        <v>0.40067031159851418</v>
      </c>
      <c r="G18" s="3383">
        <v>4453</v>
      </c>
      <c r="H18" s="3384">
        <f t="shared" si="2"/>
        <v>3781205</v>
      </c>
      <c r="I18" s="3382">
        <f t="shared" si="3"/>
        <v>0.69620507273306431</v>
      </c>
      <c r="J18" s="3382">
        <f t="shared" si="4"/>
        <v>0.69702612167008804</v>
      </c>
      <c r="K18" s="3383">
        <v>5424768</v>
      </c>
      <c r="U18" s="3126"/>
    </row>
    <row r="19" spans="1:21" s="3125" customFormat="1" ht="27.5" customHeight="1">
      <c r="A19" s="3127" t="s">
        <v>19</v>
      </c>
      <c r="B19" s="3381">
        <v>1661191</v>
      </c>
      <c r="C19" s="3382">
        <f t="shared" si="0"/>
        <v>0.61996004497832258</v>
      </c>
      <c r="D19" s="3382"/>
      <c r="E19" s="3381">
        <v>1018322</v>
      </c>
      <c r="F19" s="3382">
        <f t="shared" si="1"/>
        <v>0.38003995502167742</v>
      </c>
      <c r="G19" s="3383">
        <v>1666</v>
      </c>
      <c r="H19" s="3384">
        <f t="shared" si="2"/>
        <v>2681180</v>
      </c>
      <c r="I19" s="3382">
        <f t="shared" si="3"/>
        <v>0.67204357439670614</v>
      </c>
      <c r="J19" s="3382">
        <f t="shared" si="4"/>
        <v>0.672461671505591</v>
      </c>
      <c r="K19" s="3383">
        <v>3987112</v>
      </c>
      <c r="U19" s="3126"/>
    </row>
    <row r="20" spans="1:21" ht="6" customHeight="1">
      <c r="A20" s="3379"/>
      <c r="B20" s="3386"/>
      <c r="C20" s="3386"/>
      <c r="D20" s="3386"/>
      <c r="E20" s="3386"/>
      <c r="F20" s="3386"/>
      <c r="G20" s="3386"/>
      <c r="H20" s="3386"/>
      <c r="I20" s="3386"/>
      <c r="J20" s="3386"/>
      <c r="K20" s="3386"/>
    </row>
    <row r="21" spans="1:21" ht="14">
      <c r="A21" s="3380" t="s">
        <v>46</v>
      </c>
      <c r="B21" s="3387">
        <f>SUM(B8:B19)</f>
        <v>16141241</v>
      </c>
      <c r="C21" s="3388">
        <f>B21/(B21+E21)</f>
        <v>0.48108158018558844</v>
      </c>
      <c r="D21" s="3388"/>
      <c r="E21" s="3387">
        <f>SUM(E8:E19)</f>
        <v>17410742</v>
      </c>
      <c r="F21" s="3388">
        <f>E21/(B21+E21)</f>
        <v>0.51891841981441156</v>
      </c>
      <c r="G21" s="3387">
        <f>SUM(G8:G19)</f>
        <v>25359</v>
      </c>
      <c r="H21" s="3387">
        <f>SUM(B21:G21)</f>
        <v>33577343</v>
      </c>
      <c r="I21" s="3388">
        <f>(B21+E21)/K21</f>
        <v>0.72154800598821489</v>
      </c>
      <c r="J21" s="3388">
        <f>H21/K21</f>
        <v>0.72209338232057241</v>
      </c>
      <c r="K21" s="3389">
        <v>46500001</v>
      </c>
    </row>
    <row r="22" spans="1:21" ht="3" customHeight="1">
      <c r="A22" s="3121"/>
      <c r="B22" s="3122"/>
      <c r="C22" s="3123"/>
      <c r="D22" s="3123"/>
      <c r="E22" s="3122"/>
      <c r="F22" s="3123"/>
      <c r="G22" s="3122"/>
      <c r="H22" s="3122"/>
      <c r="I22" s="3123"/>
      <c r="J22" s="3123"/>
      <c r="K22" s="3124"/>
    </row>
    <row r="24" spans="1:21">
      <c r="A24" s="1497" t="s">
        <v>17</v>
      </c>
      <c r="B24" s="2114">
        <f>SUM(B8:B12,B14,B17,B18,B25)</f>
        <v>10369990</v>
      </c>
      <c r="C24" s="2115">
        <f>B24/(B24+E24)</f>
        <v>0.466555602031197</v>
      </c>
      <c r="E24" s="2114">
        <f>SUM(E8:E12,E14,E17,E18,E25)</f>
        <v>11856707</v>
      </c>
      <c r="F24" s="2115">
        <f>E24/(B24+E24)</f>
        <v>0.53344439796880305</v>
      </c>
      <c r="G24" s="2114">
        <f>SUM(G8:G12,G14,G17,G18,G25)</f>
        <v>17557</v>
      </c>
      <c r="I24" s="2117">
        <f>(B24+E24)/K24</f>
        <v>0.7220727327234101</v>
      </c>
      <c r="K24" s="2114">
        <f>SUM(K8:K12,K14,K17,K18,K25)</f>
        <v>30781798</v>
      </c>
    </row>
    <row r="25" spans="1:21">
      <c r="A25" s="1497" t="s">
        <v>2040</v>
      </c>
      <c r="B25" s="2114">
        <f>B15-B26</f>
        <v>753025</v>
      </c>
      <c r="E25" s="2114">
        <f>E15-E26</f>
        <v>853749</v>
      </c>
      <c r="G25" s="2114">
        <f>G15-G26</f>
        <v>1108</v>
      </c>
      <c r="K25" s="2114">
        <f>K15-K26</f>
        <v>2246153</v>
      </c>
    </row>
    <row r="26" spans="1:21" ht="14">
      <c r="A26" s="1497" t="s">
        <v>2041</v>
      </c>
      <c r="B26" s="1497">
        <v>19322</v>
      </c>
      <c r="E26" s="1497">
        <v>823</v>
      </c>
      <c r="G26" s="1497">
        <v>27</v>
      </c>
      <c r="K26" s="850">
        <v>24119</v>
      </c>
      <c r="M26" s="2118"/>
    </row>
    <row r="29" spans="1:21">
      <c r="A29" s="1497" t="s">
        <v>2042</v>
      </c>
      <c r="B29" s="1497" t="s">
        <v>1056</v>
      </c>
      <c r="C29" s="1497">
        <v>20172</v>
      </c>
      <c r="D29" s="1497"/>
      <c r="E29" s="1497" t="s">
        <v>2043</v>
      </c>
      <c r="F29" s="1497">
        <v>20172</v>
      </c>
      <c r="G29" s="1497" t="s">
        <v>2044</v>
      </c>
      <c r="H29" s="1497">
        <v>24119</v>
      </c>
      <c r="I29" s="1497">
        <v>83.64</v>
      </c>
      <c r="J29" s="1497">
        <v>20172</v>
      </c>
      <c r="K29" s="1497">
        <v>20145</v>
      </c>
      <c r="L29" s="1497">
        <v>19322</v>
      </c>
      <c r="M29" s="1497">
        <v>823</v>
      </c>
      <c r="N29" s="1497">
        <v>27</v>
      </c>
      <c r="O29" s="1497">
        <v>0</v>
      </c>
      <c r="P29" s="1497">
        <v>8</v>
      </c>
      <c r="Q29" s="1497">
        <v>0</v>
      </c>
      <c r="R29" s="1497">
        <v>19</v>
      </c>
      <c r="S29" s="1497">
        <v>95.91</v>
      </c>
      <c r="T29" s="1497">
        <v>4.09</v>
      </c>
      <c r="U29" s="2126">
        <v>0.13</v>
      </c>
    </row>
    <row r="30" spans="1:21">
      <c r="B30" s="1497"/>
      <c r="C30" s="1497"/>
      <c r="D30" s="1497"/>
      <c r="E30" s="1497"/>
      <c r="F30" s="1497"/>
      <c r="G30" s="1497"/>
      <c r="H30" s="1497"/>
      <c r="I30" s="1497"/>
      <c r="J30" s="1497"/>
      <c r="K30" s="1497"/>
    </row>
    <row r="31" spans="1:21">
      <c r="A31" s="1497" t="s">
        <v>2045</v>
      </c>
      <c r="E31" s="2119" t="s">
        <v>2046</v>
      </c>
    </row>
    <row r="32" spans="1:21" ht="14">
      <c r="A32" s="2116" t="str">
        <f t="shared" ref="A32:A43" si="5">A8</f>
        <v>West Midlands</v>
      </c>
      <c r="B32" s="2120">
        <f t="shared" ref="B32:B43" si="6">F8-C8</f>
        <v>0.18512910827436446</v>
      </c>
      <c r="E32" s="2119">
        <f>-1*B32</f>
        <v>-0.18512910827436446</v>
      </c>
      <c r="G32" s="1497">
        <v>0</v>
      </c>
      <c r="H32" s="2121">
        <f>F21-C21</f>
        <v>3.7836839628823116E-2</v>
      </c>
    </row>
    <row r="33" spans="1:7" ht="14">
      <c r="A33" s="2116" t="str">
        <f t="shared" si="5"/>
        <v>East Midlands</v>
      </c>
      <c r="B33" s="2120">
        <f t="shared" si="6"/>
        <v>0.1763764617712073</v>
      </c>
      <c r="E33" s="2119">
        <f t="shared" ref="E33:E43" si="7">-1*B33</f>
        <v>-0.1763764617712073</v>
      </c>
      <c r="G33" s="1497">
        <v>0</v>
      </c>
    </row>
    <row r="34" spans="1:7" ht="14">
      <c r="A34" s="2116" t="str">
        <f t="shared" si="5"/>
        <v>North East</v>
      </c>
      <c r="B34" s="2120">
        <f t="shared" si="6"/>
        <v>0.16074313529221351</v>
      </c>
      <c r="E34" s="2119">
        <f t="shared" si="7"/>
        <v>-0.16074313529221351</v>
      </c>
      <c r="G34" s="1497">
        <v>0</v>
      </c>
    </row>
    <row r="35" spans="1:7" ht="28">
      <c r="A35" s="2116" t="str">
        <f t="shared" si="5"/>
        <v>Yorkshire and the Humber (Y/H)</v>
      </c>
      <c r="B35" s="2120">
        <f t="shared" si="6"/>
        <v>0.15429088778436317</v>
      </c>
      <c r="E35" s="2119">
        <f t="shared" si="7"/>
        <v>-0.15429088778436317</v>
      </c>
      <c r="G35" s="1497">
        <v>0</v>
      </c>
    </row>
    <row r="36" spans="1:7" ht="14">
      <c r="A36" s="2116" t="str">
        <f t="shared" si="5"/>
        <v>East of England</v>
      </c>
      <c r="B36" s="2120">
        <f t="shared" si="6"/>
        <v>0.12969456437596705</v>
      </c>
      <c r="E36" s="2119">
        <f t="shared" si="7"/>
        <v>-0.12969456437596705</v>
      </c>
      <c r="G36" s="1497">
        <v>0</v>
      </c>
    </row>
    <row r="37" spans="1:7" ht="14">
      <c r="A37" s="2116" t="str">
        <f t="shared" si="5"/>
        <v>North West</v>
      </c>
      <c r="B37" s="2120">
        <f t="shared" si="6"/>
        <v>7.3079383351359661E-2</v>
      </c>
      <c r="E37" s="2119">
        <f t="shared" si="7"/>
        <v>-7.3079383351359661E-2</v>
      </c>
      <c r="G37" s="1497">
        <v>0</v>
      </c>
    </row>
    <row r="38" spans="1:7" ht="28">
      <c r="A38" s="2116" t="str">
        <f t="shared" si="5"/>
        <v>South West and Gibraltar</v>
      </c>
      <c r="B38" s="2120">
        <f t="shared" si="6"/>
        <v>5.2538980625518095E-2</v>
      </c>
      <c r="E38" s="2119">
        <f t="shared" si="7"/>
        <v>-5.2538980625518095E-2</v>
      </c>
      <c r="G38" s="1497">
        <v>0</v>
      </c>
    </row>
    <row r="39" spans="1:7" ht="14">
      <c r="A39" s="2116" t="str">
        <f t="shared" si="5"/>
        <v>Wales</v>
      </c>
      <c r="B39" s="2120">
        <f t="shared" si="6"/>
        <v>5.0540315774786571E-2</v>
      </c>
      <c r="E39" s="2119">
        <f t="shared" si="7"/>
        <v>-5.0540315774786571E-2</v>
      </c>
      <c r="G39" s="1497">
        <v>0</v>
      </c>
    </row>
    <row r="40" spans="1:7" ht="14">
      <c r="A40" s="2116" t="str">
        <f t="shared" si="5"/>
        <v>South East</v>
      </c>
      <c r="B40" s="2120">
        <f t="shared" si="6"/>
        <v>3.5535940502649022E-2</v>
      </c>
      <c r="E40" s="2119">
        <f t="shared" si="7"/>
        <v>-3.5535940502649022E-2</v>
      </c>
      <c r="G40" s="1497">
        <v>0</v>
      </c>
    </row>
    <row r="41" spans="1:7" ht="14">
      <c r="A41" s="2116" t="str">
        <f t="shared" si="5"/>
        <v>Northern Ireland</v>
      </c>
      <c r="B41" s="2120">
        <f t="shared" si="6"/>
        <v>-0.11550353161239207</v>
      </c>
      <c r="E41" s="2119">
        <f>-1*B41</f>
        <v>0.11550353161239207</v>
      </c>
      <c r="G41" s="1503">
        <f>B41</f>
        <v>-0.11550353161239207</v>
      </c>
    </row>
    <row r="42" spans="1:7" ht="14">
      <c r="A42" s="2116" t="str">
        <f t="shared" si="5"/>
        <v>London</v>
      </c>
      <c r="B42" s="2120">
        <f t="shared" si="6"/>
        <v>-0.19865937680297163</v>
      </c>
      <c r="E42" s="2119">
        <f t="shared" si="7"/>
        <v>0.19865937680297163</v>
      </c>
      <c r="G42" s="1503">
        <f>B42</f>
        <v>-0.19865937680297163</v>
      </c>
    </row>
    <row r="43" spans="1:7" ht="14">
      <c r="A43" s="2116" t="str">
        <f t="shared" si="5"/>
        <v>Scotland</v>
      </c>
      <c r="B43" s="2120">
        <f t="shared" si="6"/>
        <v>-0.23992008995664516</v>
      </c>
      <c r="E43" s="2119">
        <f t="shared" si="7"/>
        <v>0.23992008995664516</v>
      </c>
      <c r="G43" s="1503">
        <f>B43</f>
        <v>-0.23992008995664516</v>
      </c>
    </row>
    <row r="47" spans="1:7">
      <c r="A47" s="1497" t="s">
        <v>2047</v>
      </c>
    </row>
    <row r="48" spans="1:7">
      <c r="A48" s="1497" t="s">
        <v>2048</v>
      </c>
    </row>
    <row r="49" spans="1:1">
      <c r="A49" s="1497" t="s">
        <v>2049</v>
      </c>
    </row>
  </sheetData>
  <mergeCells count="7">
    <mergeCell ref="K5:K6"/>
    <mergeCell ref="B5:C5"/>
    <mergeCell ref="E5:F5"/>
    <mergeCell ref="G5:G6"/>
    <mergeCell ref="H5:H6"/>
    <mergeCell ref="I5:I6"/>
    <mergeCell ref="J5:J6"/>
  </mergeCells>
  <pageMargins left="0.7" right="0.7" top="0.75" bottom="0.75" header="0.3" footer="0.3"/>
  <pageSetup paperSize="9" orientation="portrait" horizontalDpi="1200" verticalDpi="1200" r:id="rId1"/>
  <ignoredErrors>
    <ignoredError sqref="F21" formula="1"/>
  </ignoredErrors>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108">
    <tabColor theme="0"/>
  </sheetPr>
  <dimension ref="A1:W44"/>
  <sheetViews>
    <sheetView showGridLines="0" topLeftCell="H1" zoomScale="85" zoomScaleNormal="85" workbookViewId="0">
      <selection activeCell="M55" sqref="M55"/>
    </sheetView>
  </sheetViews>
  <sheetFormatPr baseColWidth="10" defaultColWidth="10.59765625" defaultRowHeight="12"/>
  <cols>
    <col min="1" max="1" width="10.59765625" style="423"/>
    <col min="2" max="2" width="15.796875" style="423" customWidth="1"/>
    <col min="3" max="3" width="13.3984375" style="718" customWidth="1"/>
    <col min="4" max="4" width="12.796875" style="718" bestFit="1" customWidth="1"/>
    <col min="5" max="5" width="8.796875" style="718" customWidth="1"/>
    <col min="6" max="6" width="12.796875" style="718" bestFit="1" customWidth="1"/>
    <col min="7" max="8" width="15.796875" style="423" customWidth="1"/>
    <col min="9" max="12" width="9.59765625" style="718" customWidth="1"/>
    <col min="13" max="13" width="11.3984375" style="718" customWidth="1"/>
    <col min="14" max="16" width="10.59765625" style="423"/>
    <col min="17" max="17" width="13.796875" style="423" customWidth="1"/>
    <col min="18" max="16384" width="10.59765625" style="423"/>
  </cols>
  <sheetData>
    <row r="1" spans="1:23" ht="18.5" customHeight="1" thickBot="1">
      <c r="B1" s="806" t="s">
        <v>2029</v>
      </c>
      <c r="C1" s="807"/>
      <c r="D1" s="807"/>
      <c r="E1" s="807"/>
      <c r="F1" s="807"/>
      <c r="G1" s="806" t="s">
        <v>2029</v>
      </c>
      <c r="H1" s="806" t="s">
        <v>2029</v>
      </c>
      <c r="I1" s="807"/>
      <c r="J1" s="807"/>
      <c r="K1" s="807"/>
      <c r="L1" s="807"/>
      <c r="M1" s="807"/>
    </row>
    <row r="2" spans="1:23" ht="5.25" customHeight="1"/>
    <row r="3" spans="1:23" ht="59" customHeight="1">
      <c r="B3" s="715" t="s">
        <v>2030</v>
      </c>
      <c r="C3" s="716" t="s">
        <v>2031</v>
      </c>
      <c r="D3" s="716" t="s">
        <v>2032</v>
      </c>
      <c r="E3" s="717" t="s">
        <v>2033</v>
      </c>
      <c r="F3" s="717" t="s">
        <v>2034</v>
      </c>
      <c r="G3" s="715" t="s">
        <v>2030</v>
      </c>
      <c r="H3" s="715" t="s">
        <v>2030</v>
      </c>
      <c r="I3" s="717" t="s">
        <v>2051</v>
      </c>
      <c r="J3" s="717" t="s">
        <v>2050</v>
      </c>
      <c r="K3" s="717" t="s">
        <v>2035</v>
      </c>
      <c r="L3" s="717" t="s">
        <v>2036</v>
      </c>
      <c r="M3" s="716" t="s">
        <v>2037</v>
      </c>
    </row>
    <row r="4" spans="1:23">
      <c r="A4" s="423">
        <v>14</v>
      </c>
      <c r="B4" s="731" t="s">
        <v>46</v>
      </c>
      <c r="C4" s="821">
        <v>16141241</v>
      </c>
      <c r="D4" s="821">
        <v>17410742</v>
      </c>
      <c r="E4" s="821">
        <v>25359</v>
      </c>
      <c r="F4" s="821">
        <v>33577342</v>
      </c>
      <c r="G4" s="731" t="s">
        <v>46</v>
      </c>
      <c r="H4" s="731" t="s">
        <v>46</v>
      </c>
      <c r="I4" s="825">
        <v>0.48108158018558844</v>
      </c>
      <c r="J4" s="825">
        <v>0.51891841981441156</v>
      </c>
      <c r="K4" s="825">
        <v>0.72154800598821489</v>
      </c>
      <c r="L4" s="825">
        <v>0.72209336081519659</v>
      </c>
      <c r="M4" s="827">
        <v>46500001</v>
      </c>
    </row>
    <row r="5" spans="1:23">
      <c r="A5" s="423">
        <v>13</v>
      </c>
    </row>
    <row r="6" spans="1:23" ht="13">
      <c r="A6" s="423">
        <v>12</v>
      </c>
      <c r="B6" s="796" t="s">
        <v>19</v>
      </c>
      <c r="C6" s="797">
        <v>1661191</v>
      </c>
      <c r="D6" s="797">
        <v>1018322</v>
      </c>
      <c r="E6" s="798">
        <v>1666</v>
      </c>
      <c r="F6" s="799">
        <v>2681179</v>
      </c>
      <c r="G6" s="796" t="s">
        <v>19</v>
      </c>
      <c r="H6" s="796" t="s">
        <v>19</v>
      </c>
      <c r="I6" s="173">
        <v>0.61996004497832258</v>
      </c>
      <c r="J6" s="173">
        <v>0.38003995502167742</v>
      </c>
      <c r="K6" s="173">
        <v>0.67204357439670614</v>
      </c>
      <c r="L6" s="173">
        <v>0.67246142069748727</v>
      </c>
      <c r="M6" s="800">
        <v>3987112</v>
      </c>
    </row>
    <row r="7" spans="1:23" s="813" customFormat="1" ht="15" customHeight="1">
      <c r="A7" s="423">
        <v>11</v>
      </c>
      <c r="B7" s="796" t="s">
        <v>683</v>
      </c>
      <c r="C7" s="797">
        <v>2263519</v>
      </c>
      <c r="D7" s="797">
        <v>1513232</v>
      </c>
      <c r="E7" s="798">
        <v>4453</v>
      </c>
      <c r="F7" s="799">
        <v>3781204</v>
      </c>
      <c r="G7" s="796" t="s">
        <v>683</v>
      </c>
      <c r="H7" s="796" t="s">
        <v>683</v>
      </c>
      <c r="I7" s="173">
        <v>0.59932968840148582</v>
      </c>
      <c r="J7" s="173">
        <v>0.40067031159851418</v>
      </c>
      <c r="K7" s="173">
        <v>0.69620507273306431</v>
      </c>
      <c r="L7" s="173">
        <v>0.69702593733040752</v>
      </c>
      <c r="M7" s="800">
        <v>5424768</v>
      </c>
      <c r="N7" s="423"/>
      <c r="O7" s="423"/>
      <c r="P7" s="423"/>
      <c r="Q7" s="423"/>
      <c r="R7" s="423"/>
      <c r="S7" s="423"/>
      <c r="T7" s="423"/>
      <c r="U7" s="423"/>
      <c r="V7" s="423"/>
      <c r="W7" s="423"/>
    </row>
    <row r="8" spans="1:23">
      <c r="A8" s="423">
        <v>10</v>
      </c>
      <c r="B8" s="802" t="s">
        <v>20</v>
      </c>
      <c r="C8" s="798">
        <v>440707</v>
      </c>
      <c r="D8" s="798">
        <v>349442</v>
      </c>
      <c r="E8" s="801">
        <v>374</v>
      </c>
      <c r="F8" s="799">
        <v>790523</v>
      </c>
      <c r="G8" s="802" t="s">
        <v>20</v>
      </c>
      <c r="H8" s="802" t="s">
        <v>20</v>
      </c>
      <c r="I8" s="177">
        <v>0.55775176580619601</v>
      </c>
      <c r="J8" s="177">
        <v>0.44224823419380394</v>
      </c>
      <c r="K8" s="177">
        <v>0.62662743714089719</v>
      </c>
      <c r="L8" s="177">
        <v>0.62692403773330529</v>
      </c>
      <c r="M8" s="800">
        <v>1260955</v>
      </c>
    </row>
    <row r="9" spans="1:23" ht="13">
      <c r="A9" s="423">
        <v>9</v>
      </c>
      <c r="B9" s="796" t="s">
        <v>1053</v>
      </c>
      <c r="C9" s="797">
        <v>2391718</v>
      </c>
      <c r="D9" s="797">
        <v>2567965</v>
      </c>
      <c r="E9" s="798">
        <v>3427</v>
      </c>
      <c r="F9" s="799">
        <v>4963110</v>
      </c>
      <c r="G9" s="796" t="s">
        <v>1053</v>
      </c>
      <c r="H9" s="796" t="s">
        <v>1053</v>
      </c>
      <c r="I9" s="173">
        <v>0.48223202974867546</v>
      </c>
      <c r="J9" s="173">
        <v>0.51776797025132448</v>
      </c>
      <c r="K9" s="173">
        <v>0.76711107302807369</v>
      </c>
      <c r="L9" s="173">
        <v>0.76764112497842363</v>
      </c>
      <c r="M9" s="800">
        <v>6465404</v>
      </c>
    </row>
    <row r="10" spans="1:23" s="819" customFormat="1" ht="13">
      <c r="A10" s="423">
        <v>8</v>
      </c>
      <c r="B10" s="796" t="s">
        <v>18</v>
      </c>
      <c r="C10" s="797">
        <v>772347</v>
      </c>
      <c r="D10" s="797">
        <v>854572</v>
      </c>
      <c r="E10" s="798">
        <v>1135</v>
      </c>
      <c r="F10" s="799">
        <v>1628054</v>
      </c>
      <c r="G10" s="796" t="s">
        <v>18</v>
      </c>
      <c r="H10" s="796" t="s">
        <v>18</v>
      </c>
      <c r="I10" s="173">
        <v>0.47472984211260671</v>
      </c>
      <c r="J10" s="173">
        <v>0.52527015788739329</v>
      </c>
      <c r="K10" s="173">
        <v>0.71661853733825731</v>
      </c>
      <c r="L10" s="173">
        <v>0.71711847743354096</v>
      </c>
      <c r="M10" s="800">
        <v>2270272</v>
      </c>
      <c r="N10" s="423"/>
      <c r="O10" s="423"/>
      <c r="P10" s="423"/>
      <c r="Q10" s="423"/>
      <c r="R10" s="423"/>
      <c r="S10" s="423"/>
      <c r="T10" s="423"/>
      <c r="U10" s="423"/>
      <c r="V10" s="423"/>
      <c r="W10" s="423"/>
    </row>
    <row r="11" spans="1:23" ht="26">
      <c r="A11" s="423">
        <v>7</v>
      </c>
      <c r="B11" s="804" t="s">
        <v>2039</v>
      </c>
      <c r="C11" s="814">
        <v>1503019</v>
      </c>
      <c r="D11" s="814">
        <v>1669711</v>
      </c>
      <c r="E11" s="815">
        <v>2179</v>
      </c>
      <c r="F11" s="816">
        <v>3174909</v>
      </c>
      <c r="G11" s="804" t="s">
        <v>2039</v>
      </c>
      <c r="H11" s="804" t="s">
        <v>1056</v>
      </c>
      <c r="I11" s="817">
        <v>0.47373050968724095</v>
      </c>
      <c r="J11" s="817">
        <v>0.52626949031275905</v>
      </c>
      <c r="K11" s="817">
        <v>0.76670547642971443</v>
      </c>
      <c r="L11" s="817">
        <v>0.76723204226832675</v>
      </c>
      <c r="M11" s="818">
        <v>4138134</v>
      </c>
      <c r="N11" s="819"/>
      <c r="O11" s="819"/>
      <c r="P11" s="819"/>
      <c r="Q11" s="819"/>
      <c r="R11" s="819"/>
      <c r="S11" s="819"/>
      <c r="T11" s="819"/>
      <c r="U11" s="819"/>
      <c r="V11" s="819"/>
      <c r="W11" s="819"/>
    </row>
    <row r="12" spans="1:23" ht="13">
      <c r="A12" s="423">
        <v>6</v>
      </c>
      <c r="B12" s="796" t="s">
        <v>1054</v>
      </c>
      <c r="C12" s="797">
        <v>1699020</v>
      </c>
      <c r="D12" s="797">
        <v>1966925</v>
      </c>
      <c r="E12" s="798">
        <v>2682</v>
      </c>
      <c r="F12" s="799">
        <v>3668627</v>
      </c>
      <c r="G12" s="796" t="s">
        <v>1054</v>
      </c>
      <c r="H12" s="796" t="s">
        <v>1054</v>
      </c>
      <c r="I12" s="173">
        <v>0.46346030832432017</v>
      </c>
      <c r="J12" s="173">
        <v>0.53653969167567983</v>
      </c>
      <c r="K12" s="173">
        <v>0.69939853875786784</v>
      </c>
      <c r="L12" s="173">
        <v>0.69991021770584683</v>
      </c>
      <c r="M12" s="800">
        <v>5241568</v>
      </c>
    </row>
    <row r="13" spans="1:23" ht="13">
      <c r="A13" s="423">
        <v>5</v>
      </c>
      <c r="B13" s="796" t="s">
        <v>2038</v>
      </c>
      <c r="C13" s="797">
        <v>1448616</v>
      </c>
      <c r="D13" s="797">
        <v>1880367</v>
      </c>
      <c r="E13" s="798">
        <v>2329</v>
      </c>
      <c r="F13" s="799">
        <v>3331312</v>
      </c>
      <c r="G13" s="796" t="s">
        <v>2038</v>
      </c>
      <c r="H13" s="796" t="s">
        <v>2038</v>
      </c>
      <c r="I13" s="173">
        <v>0.43515271781201648</v>
      </c>
      <c r="J13" s="173">
        <v>0.56484728218798352</v>
      </c>
      <c r="K13" s="173">
        <v>0.75679413184880595</v>
      </c>
      <c r="L13" s="173">
        <v>0.75732359491097112</v>
      </c>
      <c r="M13" s="800">
        <v>4398796</v>
      </c>
    </row>
    <row r="14" spans="1:23" ht="26">
      <c r="A14" s="423">
        <v>4</v>
      </c>
      <c r="B14" s="804" t="s">
        <v>1055</v>
      </c>
      <c r="C14" s="808">
        <v>1158298</v>
      </c>
      <c r="D14" s="808">
        <v>1580937</v>
      </c>
      <c r="E14" s="809">
        <v>1937</v>
      </c>
      <c r="F14" s="810">
        <v>2741172</v>
      </c>
      <c r="G14" s="804" t="s">
        <v>1055</v>
      </c>
      <c r="H14" s="804" t="s">
        <v>2060</v>
      </c>
      <c r="I14" s="811">
        <v>0.42285455610781841</v>
      </c>
      <c r="J14" s="811">
        <v>0.57714544389218159</v>
      </c>
      <c r="K14" s="811">
        <v>0.70639257513319476</v>
      </c>
      <c r="L14" s="811">
        <v>0.70689208774092394</v>
      </c>
      <c r="M14" s="812">
        <v>3877780</v>
      </c>
      <c r="N14" s="813"/>
      <c r="O14" s="813"/>
      <c r="P14" s="813"/>
      <c r="Q14" s="813"/>
      <c r="R14" s="813"/>
      <c r="S14" s="813"/>
      <c r="T14" s="813"/>
      <c r="U14" s="813"/>
      <c r="V14" s="813"/>
      <c r="W14" s="813"/>
    </row>
    <row r="15" spans="1:23" ht="13">
      <c r="A15" s="423">
        <v>3</v>
      </c>
      <c r="B15" s="796" t="s">
        <v>1049</v>
      </c>
      <c r="C15" s="797">
        <v>562595</v>
      </c>
      <c r="D15" s="797">
        <v>778103</v>
      </c>
      <c r="E15" s="801">
        <v>689</v>
      </c>
      <c r="F15" s="799">
        <v>1341387</v>
      </c>
      <c r="G15" s="796" t="s">
        <v>1049</v>
      </c>
      <c r="H15" s="796" t="s">
        <v>1049</v>
      </c>
      <c r="I15" s="173">
        <v>0.41962843235389324</v>
      </c>
      <c r="J15" s="173">
        <v>0.58037156764610676</v>
      </c>
      <c r="K15" s="173">
        <v>0.69310323257378093</v>
      </c>
      <c r="L15" s="173">
        <v>0.69345942623353385</v>
      </c>
      <c r="M15" s="800">
        <v>1934341</v>
      </c>
    </row>
    <row r="16" spans="1:23" ht="13">
      <c r="A16" s="423">
        <v>2</v>
      </c>
      <c r="B16" s="796" t="s">
        <v>1051</v>
      </c>
      <c r="C16" s="797">
        <v>1033036</v>
      </c>
      <c r="D16" s="797">
        <v>1475479</v>
      </c>
      <c r="E16" s="798">
        <v>1981</v>
      </c>
      <c r="F16" s="799">
        <v>2510496</v>
      </c>
      <c r="G16" s="796" t="s">
        <v>1051</v>
      </c>
      <c r="H16" s="796" t="s">
        <v>1051</v>
      </c>
      <c r="I16" s="173">
        <v>0.41181176911439638</v>
      </c>
      <c r="J16" s="173">
        <v>0.58818823088560368</v>
      </c>
      <c r="K16" s="173">
        <v>0.74122144645021026</v>
      </c>
      <c r="L16" s="173">
        <v>0.74180679662169324</v>
      </c>
      <c r="M16" s="800">
        <v>3384299</v>
      </c>
    </row>
    <row r="17" spans="1:23" ht="14" thickBot="1">
      <c r="A17" s="423">
        <v>1</v>
      </c>
      <c r="B17" s="820" t="s">
        <v>1050</v>
      </c>
      <c r="C17" s="822">
        <v>1207175</v>
      </c>
      <c r="D17" s="822">
        <v>1755687</v>
      </c>
      <c r="E17" s="823">
        <v>2507</v>
      </c>
      <c r="F17" s="824">
        <v>2965369</v>
      </c>
      <c r="G17" s="820" t="s">
        <v>1050</v>
      </c>
      <c r="H17" s="820" t="s">
        <v>1050</v>
      </c>
      <c r="I17" s="826">
        <v>0.40743544586281777</v>
      </c>
      <c r="J17" s="826">
        <v>0.59256455413718223</v>
      </c>
      <c r="K17" s="826">
        <v>0.71974011386172765</v>
      </c>
      <c r="L17" s="826">
        <v>0.72034911572055582</v>
      </c>
      <c r="M17" s="823">
        <v>4116572</v>
      </c>
    </row>
    <row r="19" spans="1:23">
      <c r="B19" s="423" t="s">
        <v>17</v>
      </c>
      <c r="C19" s="800">
        <f>SUM(C4:C8,C10,C13,C14,C20)</f>
        <v>25369616</v>
      </c>
      <c r="D19" s="800">
        <f>SUM(D4:D8,D10,D13,D14,D20)</f>
        <v>26276502</v>
      </c>
      <c r="E19" s="800">
        <f>SUM(E4:E8,E10,E13,E14,E20)</f>
        <v>39405</v>
      </c>
      <c r="G19" s="423" t="s">
        <v>17</v>
      </c>
      <c r="H19" s="423" t="s">
        <v>17</v>
      </c>
      <c r="I19" s="718">
        <f>C19/(C19+D19)</f>
        <v>0.49122019199971623</v>
      </c>
      <c r="J19" s="718">
        <f>D19/(C19+D19)</f>
        <v>0.50877980800028377</v>
      </c>
      <c r="K19" s="173">
        <f>(C19+D19)/M19</f>
        <v>0.71896782038190743</v>
      </c>
      <c r="M19" s="800">
        <f>SUM(M4:M8,M10,M13,M14,M20)</f>
        <v>71833699</v>
      </c>
    </row>
    <row r="20" spans="1:23">
      <c r="B20" s="423" t="s">
        <v>2040</v>
      </c>
      <c r="C20" s="800">
        <f>C11-C21</f>
        <v>1483697</v>
      </c>
      <c r="D20" s="800">
        <f>D11-D21</f>
        <v>1668888</v>
      </c>
      <c r="E20" s="800">
        <f>E11-E21</f>
        <v>2152</v>
      </c>
      <c r="G20" s="423" t="s">
        <v>2040</v>
      </c>
      <c r="H20" s="423" t="s">
        <v>2040</v>
      </c>
      <c r="M20" s="800">
        <f>M11-M21</f>
        <v>4114015</v>
      </c>
    </row>
    <row r="21" spans="1:23" ht="13">
      <c r="B21" s="423" t="s">
        <v>2041</v>
      </c>
      <c r="C21" s="423">
        <v>19322</v>
      </c>
      <c r="D21" s="423">
        <v>823</v>
      </c>
      <c r="E21" s="423">
        <v>27</v>
      </c>
      <c r="G21" s="423" t="s">
        <v>2041</v>
      </c>
      <c r="H21" s="423" t="s">
        <v>2041</v>
      </c>
      <c r="M21">
        <v>24119</v>
      </c>
      <c r="O21" s="730"/>
    </row>
    <row r="24" spans="1:23">
      <c r="B24" s="423" t="s">
        <v>2042</v>
      </c>
      <c r="C24" s="423" t="s">
        <v>1056</v>
      </c>
      <c r="D24" s="423" t="s">
        <v>2043</v>
      </c>
      <c r="E24" s="423" t="s">
        <v>2044</v>
      </c>
      <c r="F24" s="423">
        <v>24119</v>
      </c>
      <c r="G24" s="423" t="s">
        <v>2042</v>
      </c>
      <c r="H24" s="423" t="s">
        <v>2042</v>
      </c>
      <c r="I24" s="423">
        <v>20172</v>
      </c>
      <c r="J24" s="423">
        <v>20172</v>
      </c>
      <c r="K24" s="423">
        <v>83.64</v>
      </c>
      <c r="L24" s="423">
        <v>20172</v>
      </c>
      <c r="M24" s="423">
        <v>20145</v>
      </c>
      <c r="N24" s="423">
        <v>19322</v>
      </c>
      <c r="O24" s="423">
        <v>823</v>
      </c>
      <c r="P24" s="423">
        <v>27</v>
      </c>
      <c r="Q24" s="423">
        <v>0</v>
      </c>
      <c r="R24" s="423">
        <v>8</v>
      </c>
      <c r="S24" s="423">
        <v>0</v>
      </c>
      <c r="T24" s="423">
        <v>19</v>
      </c>
      <c r="U24" s="423">
        <v>95.91</v>
      </c>
      <c r="V24" s="423">
        <v>4.09</v>
      </c>
      <c r="W24" s="423">
        <v>0.13</v>
      </c>
    </row>
    <row r="25" spans="1:23">
      <c r="C25" s="423"/>
      <c r="D25" s="423"/>
      <c r="E25" s="423"/>
      <c r="F25" s="423"/>
      <c r="I25" s="423"/>
      <c r="J25" s="423"/>
      <c r="K25" s="423"/>
      <c r="L25" s="423"/>
      <c r="M25" s="423"/>
    </row>
    <row r="26" spans="1:23">
      <c r="B26" s="423" t="s">
        <v>2045</v>
      </c>
      <c r="D26" s="803" t="s">
        <v>2046</v>
      </c>
      <c r="G26" s="423" t="s">
        <v>2045</v>
      </c>
      <c r="H26" s="423" t="s">
        <v>2045</v>
      </c>
    </row>
    <row r="27" spans="1:23" ht="13">
      <c r="B27" s="804" t="str">
        <f>B4</f>
        <v>United Kingdom</v>
      </c>
      <c r="C27" s="160">
        <f t="shared" ref="C27:C38" si="0">J4-I4</f>
        <v>3.7836839628823116E-2</v>
      </c>
      <c r="D27" s="803">
        <f>-1*C27</f>
        <v>-3.7836839628823116E-2</v>
      </c>
      <c r="E27" s="423">
        <v>0</v>
      </c>
      <c r="F27" s="805">
        <f>J17-I17</f>
        <v>0.18512910827436446</v>
      </c>
      <c r="G27" s="804" t="str">
        <f>G4</f>
        <v>United Kingdom</v>
      </c>
      <c r="H27" s="804" t="str">
        <f>H4</f>
        <v>United Kingdom</v>
      </c>
    </row>
    <row r="28" spans="1:23">
      <c r="B28" s="804">
        <f t="shared" ref="B28:B38" si="1">B5</f>
        <v>0</v>
      </c>
      <c r="C28" s="160">
        <f t="shared" si="0"/>
        <v>0</v>
      </c>
      <c r="D28" s="803">
        <f t="shared" ref="D28:D38" si="2">-1*C28</f>
        <v>0</v>
      </c>
      <c r="E28" s="423">
        <v>0</v>
      </c>
      <c r="G28" s="804">
        <f t="shared" ref="G28:H38" si="3">G5</f>
        <v>0</v>
      </c>
      <c r="H28" s="804">
        <f t="shared" si="3"/>
        <v>0</v>
      </c>
    </row>
    <row r="29" spans="1:23" ht="13">
      <c r="B29" s="804" t="str">
        <f t="shared" si="1"/>
        <v>Scotland</v>
      </c>
      <c r="C29" s="160">
        <f t="shared" si="0"/>
        <v>-0.23992008995664516</v>
      </c>
      <c r="D29" s="803">
        <f t="shared" si="2"/>
        <v>0.23992008995664516</v>
      </c>
      <c r="E29" s="423">
        <v>0</v>
      </c>
      <c r="G29" s="804" t="str">
        <f t="shared" si="3"/>
        <v>Scotland</v>
      </c>
      <c r="H29" s="804" t="str">
        <f t="shared" si="3"/>
        <v>Scotland</v>
      </c>
    </row>
    <row r="30" spans="1:23" ht="13">
      <c r="B30" s="804" t="str">
        <f t="shared" si="1"/>
        <v>London</v>
      </c>
      <c r="C30" s="160">
        <f t="shared" si="0"/>
        <v>-0.19865937680297163</v>
      </c>
      <c r="D30" s="803">
        <f t="shared" si="2"/>
        <v>0.19865937680297163</v>
      </c>
      <c r="E30" s="423">
        <v>0</v>
      </c>
      <c r="G30" s="804" t="str">
        <f t="shared" si="3"/>
        <v>London</v>
      </c>
      <c r="H30" s="804" t="str">
        <f t="shared" si="3"/>
        <v>London</v>
      </c>
    </row>
    <row r="31" spans="1:23" ht="13">
      <c r="B31" s="804" t="str">
        <f t="shared" si="1"/>
        <v>Northern Ireland</v>
      </c>
      <c r="C31" s="160">
        <f t="shared" si="0"/>
        <v>-0.11550353161239207</v>
      </c>
      <c r="D31" s="803">
        <f t="shared" si="2"/>
        <v>0.11550353161239207</v>
      </c>
      <c r="E31" s="423">
        <v>0</v>
      </c>
      <c r="G31" s="804" t="str">
        <f t="shared" si="3"/>
        <v>Northern Ireland</v>
      </c>
      <c r="H31" s="804" t="str">
        <f t="shared" si="3"/>
        <v>Northern Ireland</v>
      </c>
    </row>
    <row r="32" spans="1:23" s="718" customFormat="1" ht="13">
      <c r="A32" s="423"/>
      <c r="B32" s="804" t="str">
        <f t="shared" si="1"/>
        <v>South East</v>
      </c>
      <c r="C32" s="160">
        <f t="shared" si="0"/>
        <v>3.5535940502649022E-2</v>
      </c>
      <c r="D32" s="803">
        <f t="shared" si="2"/>
        <v>-3.5535940502649022E-2</v>
      </c>
      <c r="E32" s="423">
        <v>0</v>
      </c>
      <c r="G32" s="804" t="str">
        <f t="shared" si="3"/>
        <v>South East</v>
      </c>
      <c r="H32" s="804" t="str">
        <f t="shared" si="3"/>
        <v>South East</v>
      </c>
      <c r="N32" s="423"/>
      <c r="O32" s="423"/>
      <c r="P32" s="423"/>
      <c r="Q32" s="423"/>
      <c r="R32" s="423"/>
      <c r="S32" s="423"/>
      <c r="T32" s="423"/>
      <c r="U32" s="423"/>
      <c r="V32" s="423"/>
      <c r="W32" s="423"/>
    </row>
    <row r="33" spans="1:23" s="718" customFormat="1" ht="13">
      <c r="A33" s="423"/>
      <c r="B33" s="804" t="str">
        <f t="shared" si="1"/>
        <v>Wales</v>
      </c>
      <c r="C33" s="160">
        <f t="shared" si="0"/>
        <v>5.0540315774786571E-2</v>
      </c>
      <c r="D33" s="803">
        <f t="shared" si="2"/>
        <v>-5.0540315774786571E-2</v>
      </c>
      <c r="E33" s="423">
        <v>0</v>
      </c>
      <c r="G33" s="804" t="str">
        <f t="shared" si="3"/>
        <v>Wales</v>
      </c>
      <c r="H33" s="804" t="str">
        <f t="shared" si="3"/>
        <v>Wales</v>
      </c>
      <c r="N33" s="423"/>
      <c r="O33" s="423"/>
      <c r="P33" s="423"/>
      <c r="Q33" s="423"/>
      <c r="R33" s="423"/>
      <c r="S33" s="423"/>
      <c r="T33" s="423"/>
      <c r="U33" s="423"/>
      <c r="V33" s="423"/>
      <c r="W33" s="423"/>
    </row>
    <row r="34" spans="1:23" s="718" customFormat="1" ht="26">
      <c r="A34" s="423"/>
      <c r="B34" s="804" t="str">
        <f t="shared" si="1"/>
        <v>South West and Gibraltar</v>
      </c>
      <c r="C34" s="160">
        <f t="shared" si="0"/>
        <v>5.2538980625518095E-2</v>
      </c>
      <c r="D34" s="803">
        <f t="shared" si="2"/>
        <v>-5.2538980625518095E-2</v>
      </c>
      <c r="E34" s="423">
        <v>0</v>
      </c>
      <c r="G34" s="804" t="str">
        <f t="shared" si="3"/>
        <v>South West and Gibraltar</v>
      </c>
      <c r="H34" s="804" t="str">
        <f t="shared" si="3"/>
        <v>South West</v>
      </c>
      <c r="N34" s="423"/>
      <c r="O34" s="423"/>
      <c r="P34" s="423"/>
      <c r="Q34" s="423"/>
      <c r="R34" s="423"/>
      <c r="S34" s="423"/>
      <c r="T34" s="423"/>
      <c r="U34" s="423"/>
      <c r="V34" s="423"/>
      <c r="W34" s="423"/>
    </row>
    <row r="35" spans="1:23" s="718" customFormat="1" ht="13">
      <c r="A35" s="423"/>
      <c r="B35" s="804" t="str">
        <f t="shared" si="1"/>
        <v>North West</v>
      </c>
      <c r="C35" s="160">
        <f t="shared" si="0"/>
        <v>7.3079383351359661E-2</v>
      </c>
      <c r="D35" s="803">
        <f t="shared" si="2"/>
        <v>-7.3079383351359661E-2</v>
      </c>
      <c r="E35" s="423">
        <v>0</v>
      </c>
      <c r="G35" s="804" t="str">
        <f t="shared" si="3"/>
        <v>North West</v>
      </c>
      <c r="H35" s="804" t="str">
        <f t="shared" si="3"/>
        <v>North West</v>
      </c>
      <c r="N35" s="423"/>
      <c r="O35" s="423"/>
      <c r="P35" s="423"/>
      <c r="Q35" s="423"/>
      <c r="R35" s="423"/>
      <c r="S35" s="423"/>
      <c r="T35" s="423"/>
      <c r="U35" s="423"/>
      <c r="V35" s="423"/>
      <c r="W35" s="423"/>
    </row>
    <row r="36" spans="1:23" s="718" customFormat="1" ht="13">
      <c r="A36" s="423"/>
      <c r="B36" s="804" t="str">
        <f t="shared" si="1"/>
        <v>East of England</v>
      </c>
      <c r="C36" s="160">
        <f t="shared" si="0"/>
        <v>0.12969456437596705</v>
      </c>
      <c r="D36" s="803">
        <f>-1*C36</f>
        <v>-0.12969456437596705</v>
      </c>
      <c r="E36" s="421">
        <f>C36</f>
        <v>0.12969456437596705</v>
      </c>
      <c r="G36" s="804" t="str">
        <f t="shared" si="3"/>
        <v>East of England</v>
      </c>
      <c r="H36" s="804" t="str">
        <f t="shared" si="3"/>
        <v>East of England</v>
      </c>
      <c r="N36" s="423"/>
      <c r="O36" s="423"/>
      <c r="P36" s="423"/>
      <c r="Q36" s="423"/>
      <c r="R36" s="423"/>
      <c r="S36" s="423"/>
      <c r="T36" s="423"/>
      <c r="U36" s="423"/>
      <c r="V36" s="423"/>
      <c r="W36" s="423"/>
    </row>
    <row r="37" spans="1:23" s="718" customFormat="1" ht="26">
      <c r="A37" s="423"/>
      <c r="B37" s="804" t="str">
        <f t="shared" si="1"/>
        <v>Yorkshire and the Humber</v>
      </c>
      <c r="C37" s="160">
        <f t="shared" si="0"/>
        <v>0.15429088778436317</v>
      </c>
      <c r="D37" s="803">
        <f t="shared" si="2"/>
        <v>-0.15429088778436317</v>
      </c>
      <c r="E37" s="421">
        <f>C37</f>
        <v>0.15429088778436317</v>
      </c>
      <c r="G37" s="804" t="str">
        <f t="shared" si="3"/>
        <v>Yorkshire and the Humber</v>
      </c>
      <c r="H37" s="804" t="str">
        <f t="shared" si="3"/>
        <v xml:space="preserve">Y / H </v>
      </c>
      <c r="N37" s="423"/>
      <c r="O37" s="423"/>
      <c r="P37" s="423"/>
      <c r="Q37" s="423"/>
      <c r="R37" s="423"/>
      <c r="S37" s="423"/>
      <c r="T37" s="423"/>
      <c r="U37" s="423"/>
      <c r="V37" s="423"/>
      <c r="W37" s="423"/>
    </row>
    <row r="38" spans="1:23" s="718" customFormat="1" ht="13">
      <c r="A38" s="423"/>
      <c r="B38" s="804" t="str">
        <f t="shared" si="1"/>
        <v>North East</v>
      </c>
      <c r="C38" s="160">
        <f t="shared" si="0"/>
        <v>0.16074313529221351</v>
      </c>
      <c r="D38" s="803">
        <f t="shared" si="2"/>
        <v>-0.16074313529221351</v>
      </c>
      <c r="E38" s="421">
        <f>C38</f>
        <v>0.16074313529221351</v>
      </c>
      <c r="G38" s="804" t="str">
        <f t="shared" si="3"/>
        <v>North East</v>
      </c>
      <c r="H38" s="804" t="str">
        <f t="shared" si="3"/>
        <v>North East</v>
      </c>
      <c r="N38" s="423"/>
      <c r="O38" s="423"/>
      <c r="P38" s="423"/>
      <c r="Q38" s="423"/>
      <c r="R38" s="423"/>
      <c r="S38" s="423"/>
      <c r="T38" s="423"/>
      <c r="U38" s="423"/>
      <c r="V38" s="423"/>
      <c r="W38" s="423"/>
    </row>
    <row r="42" spans="1:23" s="718" customFormat="1">
      <c r="A42" s="423"/>
      <c r="B42" s="423" t="s">
        <v>2047</v>
      </c>
      <c r="G42" s="423" t="s">
        <v>2047</v>
      </c>
      <c r="H42" s="423" t="s">
        <v>2047</v>
      </c>
      <c r="N42" s="423"/>
      <c r="O42" s="423"/>
      <c r="P42" s="423"/>
      <c r="Q42" s="423"/>
      <c r="R42" s="423"/>
      <c r="S42" s="423"/>
      <c r="T42" s="423"/>
      <c r="U42" s="423"/>
      <c r="V42" s="423"/>
      <c r="W42" s="423"/>
    </row>
    <row r="43" spans="1:23" s="718" customFormat="1">
      <c r="A43" s="423"/>
      <c r="B43" s="423" t="s">
        <v>2048</v>
      </c>
      <c r="G43" s="423" t="s">
        <v>2048</v>
      </c>
      <c r="H43" s="423" t="s">
        <v>2048</v>
      </c>
      <c r="N43" s="423"/>
      <c r="O43" s="423"/>
      <c r="P43" s="423"/>
      <c r="Q43" s="423"/>
      <c r="R43" s="423"/>
      <c r="S43" s="423"/>
      <c r="T43" s="423"/>
      <c r="U43" s="423"/>
      <c r="V43" s="423"/>
      <c r="W43" s="423"/>
    </row>
    <row r="44" spans="1:23" s="718" customFormat="1">
      <c r="A44" s="423"/>
      <c r="B44" s="423" t="s">
        <v>2049</v>
      </c>
      <c r="G44" s="423" t="s">
        <v>2049</v>
      </c>
      <c r="H44" s="423" t="s">
        <v>2049</v>
      </c>
      <c r="N44" s="423"/>
      <c r="O44" s="423"/>
      <c r="P44" s="423"/>
      <c r="Q44" s="423"/>
      <c r="R44" s="423"/>
      <c r="S44" s="423"/>
      <c r="T44" s="423"/>
      <c r="U44" s="423"/>
      <c r="V44" s="423"/>
      <c r="W44" s="423"/>
    </row>
  </sheetData>
  <pageMargins left="0.7" right="0.7" top="0.75" bottom="0.75" header="0.3" footer="0.3"/>
  <pageSetup paperSize="9" orientation="portrait" horizontalDpi="1200" verticalDpi="120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77">
    <tabColor theme="4"/>
  </sheetPr>
  <dimension ref="A3:N18"/>
  <sheetViews>
    <sheetView showGridLines="0" zoomScale="70" zoomScaleNormal="70" workbookViewId="0">
      <selection activeCell="P40" sqref="P40"/>
    </sheetView>
  </sheetViews>
  <sheetFormatPr baseColWidth="10" defaultColWidth="9.3984375" defaultRowHeight="14"/>
  <cols>
    <col min="1" max="1" width="17" style="850" customWidth="1"/>
    <col min="2" max="2" width="1.19921875" style="850" customWidth="1"/>
    <col min="3" max="3" width="11.796875" style="850" customWidth="1"/>
    <col min="4" max="4" width="9.19921875" style="850" customWidth="1"/>
    <col min="5" max="5" width="1.19921875" style="850" customWidth="1"/>
    <col min="6" max="6" width="11.796875" style="850" customWidth="1"/>
    <col min="7" max="7" width="9.19921875" style="850" customWidth="1"/>
    <col min="8" max="8" width="1.19921875" style="850" customWidth="1"/>
    <col min="9" max="9" width="11.796875" style="850" customWidth="1"/>
    <col min="10" max="10" width="1.19921875" style="850" customWidth="1"/>
    <col min="11" max="11" width="11.796875" style="850" hidden="1" customWidth="1"/>
    <col min="12" max="12" width="12" style="850" customWidth="1"/>
    <col min="13" max="16384" width="9.3984375" style="850"/>
  </cols>
  <sheetData>
    <row r="3" spans="1:14">
      <c r="A3" s="880"/>
    </row>
    <row r="4" spans="1:14" ht="16">
      <c r="A4" s="1159" t="s">
        <v>2052</v>
      </c>
      <c r="B4" s="853"/>
      <c r="C4" s="853"/>
      <c r="D4" s="853"/>
      <c r="E4" s="853"/>
      <c r="F4" s="853"/>
      <c r="G4" s="853"/>
      <c r="H4" s="853"/>
      <c r="I4" s="853"/>
      <c r="J4" s="853"/>
      <c r="K4" s="853"/>
      <c r="L4" s="853"/>
    </row>
    <row r="5" spans="1:14" ht="15" thickBot="1">
      <c r="A5" s="871"/>
      <c r="B5" s="871"/>
      <c r="C5" s="3416" t="s">
        <v>175</v>
      </c>
      <c r="D5" s="3416"/>
      <c r="E5" s="871"/>
      <c r="F5" s="3416" t="s">
        <v>176</v>
      </c>
      <c r="G5" s="3416"/>
      <c r="H5" s="871"/>
      <c r="I5" s="1183"/>
      <c r="J5" s="1183"/>
      <c r="K5" s="1183"/>
      <c r="L5" s="1183"/>
    </row>
    <row r="6" spans="1:14" ht="16">
      <c r="A6" s="871"/>
      <c r="B6" s="871"/>
      <c r="C6" s="1183" t="s">
        <v>111</v>
      </c>
      <c r="D6" s="1183" t="s">
        <v>1197</v>
      </c>
      <c r="E6" s="1183"/>
      <c r="F6" s="1183" t="s">
        <v>111</v>
      </c>
      <c r="G6" s="1183" t="s">
        <v>1197</v>
      </c>
      <c r="H6" s="1183"/>
      <c r="I6" s="1183" t="s">
        <v>1200</v>
      </c>
      <c r="J6" s="1183"/>
      <c r="K6" s="1183" t="s">
        <v>2393</v>
      </c>
      <c r="L6" s="1183" t="s">
        <v>2394</v>
      </c>
      <c r="N6" s="850" t="s">
        <v>1399</v>
      </c>
    </row>
    <row r="7" spans="1:14" ht="5.25" customHeight="1">
      <c r="C7" s="861"/>
      <c r="D7" s="861"/>
      <c r="E7" s="861"/>
      <c r="F7" s="861"/>
      <c r="G7" s="861"/>
      <c r="H7" s="861"/>
      <c r="I7" s="861"/>
      <c r="J7" s="861"/>
      <c r="K7" s="861"/>
    </row>
    <row r="8" spans="1:14">
      <c r="A8" s="850" t="s">
        <v>17</v>
      </c>
      <c r="C8" s="861">
        <v>14918009</v>
      </c>
      <c r="D8" s="1289">
        <f>C8/$I8</f>
        <v>0.68651482386542773</v>
      </c>
      <c r="E8" s="861"/>
      <c r="F8" s="861">
        <v>6812052</v>
      </c>
      <c r="G8" s="1289">
        <f>F8/$I8</f>
        <v>0.31348517613457227</v>
      </c>
      <c r="H8" s="2122"/>
      <c r="I8" s="861">
        <v>21730061</v>
      </c>
      <c r="J8" s="2122"/>
      <c r="K8" s="861">
        <v>33356208</v>
      </c>
      <c r="L8" s="1275">
        <f>(I8-N8)/K8</f>
        <v>0.64523509386918321</v>
      </c>
      <c r="N8" s="850">
        <v>207465</v>
      </c>
    </row>
    <row r="9" spans="1:14">
      <c r="A9" s="850" t="s">
        <v>18</v>
      </c>
      <c r="C9" s="861">
        <v>869135</v>
      </c>
      <c r="D9" s="1289">
        <f>C9/$I9</f>
        <v>0.64802498646740325</v>
      </c>
      <c r="E9" s="861"/>
      <c r="F9" s="861">
        <v>472071</v>
      </c>
      <c r="G9" s="1289">
        <f>F9/$I9</f>
        <v>0.3519750135325968</v>
      </c>
      <c r="H9" s="2122"/>
      <c r="I9" s="861">
        <v>1341206</v>
      </c>
      <c r="J9" s="2122"/>
      <c r="K9" s="861">
        <v>2011136</v>
      </c>
      <c r="L9" s="1275">
        <f>(I9-N9)/K9</f>
        <v>0.66497293072174135</v>
      </c>
      <c r="N9" s="850">
        <v>3855</v>
      </c>
    </row>
    <row r="10" spans="1:14">
      <c r="A10" s="850" t="s">
        <v>19</v>
      </c>
      <c r="C10" s="861">
        <v>1332186</v>
      </c>
      <c r="D10" s="1289">
        <f>C10/$I10</f>
        <v>0.58423445054764334</v>
      </c>
      <c r="E10" s="861"/>
      <c r="F10" s="861">
        <v>948039</v>
      </c>
      <c r="G10" s="1289">
        <f>F10/$I10</f>
        <v>0.41576554945235666</v>
      </c>
      <c r="H10" s="2122"/>
      <c r="I10" s="861">
        <v>2280225</v>
      </c>
      <c r="J10" s="2122"/>
      <c r="K10" s="861">
        <v>3688799</v>
      </c>
      <c r="L10" s="1275">
        <f>(I10-N10)/K10</f>
        <v>0.61562855552715123</v>
      </c>
      <c r="N10" s="850">
        <v>9295</v>
      </c>
    </row>
    <row r="11" spans="1:14">
      <c r="A11" s="850" t="s">
        <v>20</v>
      </c>
      <c r="C11" s="861">
        <v>259251</v>
      </c>
      <c r="D11" s="1289">
        <f>C11/$I11</f>
        <v>0.52146181727485208</v>
      </c>
      <c r="E11" s="861"/>
      <c r="F11" s="861">
        <v>237911</v>
      </c>
      <c r="G11" s="1289">
        <f>F11/$I11</f>
        <v>0.47853818272514792</v>
      </c>
      <c r="H11" s="2122"/>
      <c r="I11" s="861">
        <v>497162</v>
      </c>
      <c r="J11" s="2122"/>
      <c r="K11" s="861">
        <v>1028451</v>
      </c>
      <c r="L11" s="1275">
        <f>(I11-N11)/K11</f>
        <v>0.47312220027983831</v>
      </c>
      <c r="N11" s="850">
        <v>10579</v>
      </c>
    </row>
    <row r="12" spans="1:14" ht="6" customHeight="1">
      <c r="C12" s="861"/>
      <c r="D12" s="1289"/>
      <c r="E12" s="861"/>
      <c r="F12" s="861"/>
      <c r="G12" s="1289"/>
      <c r="H12" s="2122"/>
      <c r="I12" s="861"/>
      <c r="J12" s="2122"/>
      <c r="K12" s="861"/>
      <c r="L12" s="1275"/>
    </row>
    <row r="13" spans="1:14" s="880" customFormat="1">
      <c r="A13" s="1733" t="s">
        <v>1199</v>
      </c>
      <c r="C13" s="858">
        <v>17378581</v>
      </c>
      <c r="D13" s="2123">
        <f>C13/$I13</f>
        <v>0.67232053939829906</v>
      </c>
      <c r="E13" s="858"/>
      <c r="F13" s="858">
        <v>8470073</v>
      </c>
      <c r="G13" s="2123">
        <f>F13/$I13</f>
        <v>0.32767946060170094</v>
      </c>
      <c r="H13" s="2124"/>
      <c r="I13" s="858">
        <v>25848654</v>
      </c>
      <c r="J13" s="2124"/>
      <c r="K13" s="858">
        <v>40084594</v>
      </c>
      <c r="L13" s="2125">
        <f>(I13-N13)/K13</f>
        <v>0.63908493123318155</v>
      </c>
      <c r="N13" s="880">
        <v>231194</v>
      </c>
    </row>
    <row r="14" spans="1:14" ht="3" customHeight="1">
      <c r="A14" s="871"/>
      <c r="B14" s="871"/>
      <c r="C14" s="871"/>
      <c r="D14" s="871"/>
      <c r="E14" s="871"/>
      <c r="F14" s="871"/>
      <c r="G14" s="871"/>
      <c r="H14" s="871"/>
      <c r="I14" s="871"/>
      <c r="J14" s="871"/>
      <c r="K14" s="871"/>
      <c r="L14" s="871"/>
    </row>
    <row r="16" spans="1:14">
      <c r="A16" s="3491" t="s">
        <v>1613</v>
      </c>
      <c r="B16" s="3491"/>
      <c r="C16" s="3491"/>
      <c r="D16" s="3491"/>
      <c r="E16" s="3491"/>
      <c r="F16" s="3491"/>
      <c r="G16" s="3491"/>
      <c r="H16" s="3491"/>
      <c r="I16" s="3491"/>
      <c r="J16" s="3491"/>
      <c r="K16" s="3491"/>
      <c r="L16" s="3491"/>
    </row>
    <row r="18" spans="1:10">
      <c r="A18" s="1376" t="s">
        <v>1614</v>
      </c>
      <c r="B18" s="1376"/>
      <c r="C18" s="1376"/>
      <c r="D18" s="1376"/>
      <c r="E18" s="1376"/>
      <c r="F18" s="1376"/>
      <c r="G18" s="1376"/>
      <c r="H18" s="1376"/>
      <c r="I18" s="1376"/>
      <c r="J18" s="1376"/>
    </row>
  </sheetData>
  <mergeCells count="3">
    <mergeCell ref="C5:D5"/>
    <mergeCell ref="F5:G5"/>
    <mergeCell ref="A16:L16"/>
  </mergeCells>
  <phoneticPr fontId="10" type="noConversion"/>
  <pageMargins left="0.75" right="0.75" top="1" bottom="1" header="0.5" footer="0.5"/>
  <pageSetup paperSize="9" orientation="portrait"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78">
    <tabColor theme="0"/>
  </sheetPr>
  <dimension ref="A2:D16"/>
  <sheetViews>
    <sheetView showGridLines="0" workbookViewId="0">
      <selection activeCell="O68" sqref="O68"/>
    </sheetView>
  </sheetViews>
  <sheetFormatPr baseColWidth="10" defaultColWidth="9.3984375" defaultRowHeight="13"/>
  <cols>
    <col min="1" max="1" width="9.3984375" style="113"/>
    <col min="2" max="2" width="17" style="113" customWidth="1"/>
    <col min="3" max="3" width="12" style="113" bestFit="1" customWidth="1"/>
    <col min="4" max="4" width="11.3984375" style="153" bestFit="1" customWidth="1"/>
    <col min="5" max="16384" width="9.3984375" style="113"/>
  </cols>
  <sheetData>
    <row r="2" spans="1:4">
      <c r="B2" s="153"/>
      <c r="C2" s="153"/>
    </row>
    <row r="3" spans="1:4">
      <c r="B3" s="490" t="s">
        <v>2052</v>
      </c>
      <c r="C3" s="153"/>
    </row>
    <row r="4" spans="1:4" ht="4.5" customHeight="1">
      <c r="B4" s="490"/>
      <c r="C4" s="360"/>
    </row>
    <row r="5" spans="1:4">
      <c r="B5" s="153"/>
      <c r="C5" s="525"/>
      <c r="D5" s="525"/>
    </row>
    <row r="6" spans="1:4">
      <c r="C6" s="115" t="s">
        <v>1185</v>
      </c>
      <c r="D6" s="115" t="s">
        <v>1186</v>
      </c>
    </row>
    <row r="7" spans="1:4">
      <c r="A7" s="113">
        <v>5</v>
      </c>
      <c r="B7" s="526" t="s">
        <v>1199</v>
      </c>
      <c r="C7" s="527">
        <v>0.67232053939829906</v>
      </c>
      <c r="D7" s="527">
        <v>0.32767946060170094</v>
      </c>
    </row>
    <row r="8" spans="1:4">
      <c r="A8" s="113">
        <v>4</v>
      </c>
      <c r="B8" s="153" t="s">
        <v>1611</v>
      </c>
      <c r="C8" s="368">
        <v>0.52146181727485208</v>
      </c>
      <c r="D8" s="368">
        <v>0.47853818272514792</v>
      </c>
    </row>
    <row r="9" spans="1:4">
      <c r="A9" s="113">
        <v>3</v>
      </c>
      <c r="B9" s="153" t="s">
        <v>19</v>
      </c>
      <c r="C9" s="368">
        <v>0.58423445054764334</v>
      </c>
      <c r="D9" s="368">
        <v>0.41576554945235666</v>
      </c>
    </row>
    <row r="10" spans="1:4">
      <c r="A10" s="113">
        <v>2</v>
      </c>
      <c r="B10" s="153" t="s">
        <v>18</v>
      </c>
      <c r="C10" s="368">
        <v>0.64802498646740325</v>
      </c>
      <c r="D10" s="368">
        <v>0.3519750135325968</v>
      </c>
    </row>
    <row r="11" spans="1:4" s="178" customFormat="1">
      <c r="A11" s="113">
        <v>1</v>
      </c>
      <c r="B11" s="153" t="s">
        <v>17</v>
      </c>
      <c r="C11" s="368">
        <v>0.68651482386542773</v>
      </c>
      <c r="D11" s="368">
        <v>0.31348517613457227</v>
      </c>
    </row>
    <row r="12" spans="1:4" ht="3" customHeight="1">
      <c r="B12" s="360"/>
      <c r="C12" s="360"/>
      <c r="D12" s="360"/>
    </row>
    <row r="13" spans="1:4" ht="4.5" customHeight="1"/>
    <row r="14" spans="1:4" ht="22.5" customHeight="1">
      <c r="B14" s="3500" t="s">
        <v>1483</v>
      </c>
      <c r="C14" s="3500"/>
      <c r="D14" s="3500"/>
    </row>
    <row r="15" spans="1:4" ht="3" customHeight="1"/>
    <row r="16" spans="1:4">
      <c r="B16" s="113" t="s">
        <v>1610</v>
      </c>
    </row>
  </sheetData>
  <mergeCells count="1">
    <mergeCell ref="B14:D14"/>
  </mergeCells>
  <pageMargins left="0.75" right="0.75" top="1" bottom="1" header="0.5" footer="0.5"/>
  <pageSetup paperSize="9" orientation="portrait"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71">
    <tabColor theme="4"/>
  </sheetPr>
  <dimension ref="A1:Y39"/>
  <sheetViews>
    <sheetView showGridLines="0" topLeftCell="O1" zoomScale="85" zoomScaleNormal="85" workbookViewId="0">
      <selection activeCell="V27" sqref="V27"/>
    </sheetView>
  </sheetViews>
  <sheetFormatPr baseColWidth="10" defaultColWidth="9.3984375" defaultRowHeight="13"/>
  <cols>
    <col min="1" max="1" width="19.3984375" style="944" customWidth="1"/>
    <col min="2" max="2" width="1.19921875" style="944" customWidth="1"/>
    <col min="3" max="4" width="8.3984375" style="944" customWidth="1"/>
    <col min="5" max="5" width="1.19921875" style="944" customWidth="1"/>
    <col min="6" max="7" width="8.3984375" style="944" customWidth="1"/>
    <col min="8" max="8" width="1.59765625" style="944" customWidth="1"/>
    <col min="9" max="9" width="12.19921875" style="944" customWidth="1"/>
    <col min="10" max="10" width="9.3984375" style="944"/>
    <col min="11" max="11" width="10.796875" style="944" customWidth="1"/>
    <col min="12" max="12" width="11.59765625" style="944" bestFit="1" customWidth="1"/>
    <col min="13" max="13" width="11" style="944" bestFit="1" customWidth="1"/>
    <col min="14" max="14" width="10.3984375" style="944" bestFit="1" customWidth="1"/>
    <col min="15" max="15" width="9.3984375" style="944"/>
    <col min="16" max="16" width="10.19921875" style="944" customWidth="1"/>
    <col min="17" max="17" width="9.3984375" style="944"/>
    <col min="18" max="19" width="10.3984375" style="944" customWidth="1"/>
    <col min="20" max="16384" width="9.3984375" style="944"/>
  </cols>
  <sheetData>
    <row r="1" spans="1:25">
      <c r="A1" s="944" t="s">
        <v>1504</v>
      </c>
    </row>
    <row r="3" spans="1:25" ht="26.25" customHeight="1">
      <c r="A3" s="3502" t="s">
        <v>2398</v>
      </c>
      <c r="B3" s="3502"/>
      <c r="C3" s="3502"/>
      <c r="D3" s="3502"/>
      <c r="E3" s="3502"/>
      <c r="F3" s="3502"/>
      <c r="G3" s="3502"/>
      <c r="H3" s="3502"/>
      <c r="I3" s="3502"/>
      <c r="J3" s="3502"/>
    </row>
    <row r="4" spans="1:25" ht="18.75" customHeight="1">
      <c r="A4" s="1122" t="s">
        <v>2721</v>
      </c>
      <c r="B4" s="1123"/>
      <c r="C4" s="1123"/>
      <c r="D4" s="1123"/>
      <c r="E4" s="1123"/>
      <c r="F4" s="1123"/>
      <c r="G4" s="1123"/>
      <c r="H4" s="1123"/>
      <c r="I4" s="1123"/>
    </row>
    <row r="5" spans="1:25" ht="16.5" customHeight="1">
      <c r="A5" s="853" t="s">
        <v>2399</v>
      </c>
      <c r="B5" s="1123"/>
      <c r="C5" s="1123"/>
      <c r="D5" s="1123"/>
      <c r="E5" s="1123"/>
      <c r="F5" s="1123"/>
      <c r="G5" s="1123"/>
      <c r="H5" s="1123"/>
      <c r="I5" s="1123"/>
    </row>
    <row r="6" spans="1:25" ht="17" customHeight="1" thickBot="1">
      <c r="A6" s="1023"/>
      <c r="B6" s="1023"/>
      <c r="C6" s="3431" t="s">
        <v>1185</v>
      </c>
      <c r="D6" s="3431"/>
      <c r="E6" s="1270"/>
      <c r="F6" s="3431" t="s">
        <v>1186</v>
      </c>
      <c r="G6" s="3501"/>
      <c r="H6" s="1549"/>
      <c r="I6" s="3503" t="s">
        <v>2722</v>
      </c>
      <c r="J6" s="1256"/>
      <c r="K6" s="1256"/>
      <c r="L6" s="1043" t="s">
        <v>1184</v>
      </c>
      <c r="M6" s="1256"/>
      <c r="N6" s="2127"/>
      <c r="O6" s="2127"/>
      <c r="P6" s="2127"/>
      <c r="Q6" s="2127"/>
      <c r="R6" s="2127"/>
      <c r="S6" s="2127"/>
      <c r="T6" s="2127"/>
      <c r="U6" s="2127"/>
      <c r="W6" s="1043"/>
      <c r="X6" s="1043"/>
      <c r="Y6" s="1043"/>
    </row>
    <row r="7" spans="1:25">
      <c r="A7" s="2136" t="s">
        <v>1188</v>
      </c>
      <c r="B7" s="1023"/>
      <c r="C7" s="2137">
        <v>1979</v>
      </c>
      <c r="D7" s="2137">
        <v>1997</v>
      </c>
      <c r="E7" s="1158"/>
      <c r="F7" s="2137">
        <v>1979</v>
      </c>
      <c r="G7" s="2137">
        <v>1997</v>
      </c>
      <c r="H7" s="2138"/>
      <c r="I7" s="3503"/>
      <c r="J7" s="1115"/>
      <c r="K7" s="1115"/>
      <c r="L7" s="1043" t="s">
        <v>175</v>
      </c>
      <c r="M7" s="1043" t="s">
        <v>176</v>
      </c>
    </row>
    <row r="8" spans="1:25" ht="4.5" customHeight="1">
      <c r="I8" s="1117"/>
    </row>
    <row r="9" spans="1:25">
      <c r="A9" s="944" t="s">
        <v>178</v>
      </c>
      <c r="C9" s="1079">
        <v>40.26316810930404</v>
      </c>
      <c r="D9" s="1079">
        <f t="shared" ref="D9:D22" si="0">+P9/R9*100</f>
        <v>62.793285727534077</v>
      </c>
      <c r="E9" s="2129"/>
      <c r="F9" s="1079">
        <v>59.73683189069596</v>
      </c>
      <c r="G9" s="1079">
        <f t="shared" ref="G9:G22" si="1">+Q9/R9*100</f>
        <v>37.206714272465916</v>
      </c>
      <c r="H9" s="1079"/>
      <c r="I9" s="2130">
        <f>D9-C9</f>
        <v>22.530117618230037</v>
      </c>
      <c r="J9" s="2129"/>
      <c r="K9" s="1152"/>
      <c r="L9" s="1061">
        <v>20746</v>
      </c>
      <c r="M9" s="1061">
        <v>30780</v>
      </c>
      <c r="P9" s="944">
        <v>33855</v>
      </c>
      <c r="Q9" s="944">
        <v>20060</v>
      </c>
      <c r="R9" s="944">
        <f t="shared" ref="R9:R22" si="2">+Q9+P9</f>
        <v>53915</v>
      </c>
      <c r="S9" s="944">
        <v>83674</v>
      </c>
    </row>
    <row r="10" spans="1:25">
      <c r="A10" s="944" t="s">
        <v>179</v>
      </c>
      <c r="C10" s="1079">
        <v>54.674427343348597</v>
      </c>
      <c r="D10" s="1079">
        <f t="shared" si="0"/>
        <v>76.3492753516405</v>
      </c>
      <c r="E10" s="2129"/>
      <c r="F10" s="1079">
        <v>45.32557265665141</v>
      </c>
      <c r="G10" s="1079">
        <f t="shared" si="1"/>
        <v>23.650724648359503</v>
      </c>
      <c r="H10" s="1079"/>
      <c r="I10" s="2130">
        <f t="shared" ref="I10:I22" si="3">D10-C10</f>
        <v>21.674848008291903</v>
      </c>
      <c r="J10" s="2129"/>
      <c r="K10" s="1152"/>
      <c r="L10" s="1061">
        <v>71296</v>
      </c>
      <c r="M10" s="1061">
        <v>59105</v>
      </c>
      <c r="P10" s="944">
        <v>103622</v>
      </c>
      <c r="Q10" s="944">
        <v>32099</v>
      </c>
      <c r="R10" s="944">
        <f t="shared" si="2"/>
        <v>135721</v>
      </c>
      <c r="S10" s="944">
        <v>210523</v>
      </c>
    </row>
    <row r="11" spans="1:25">
      <c r="A11" s="944" t="s">
        <v>180</v>
      </c>
      <c r="C11" s="1079">
        <v>40.299105354519966</v>
      </c>
      <c r="D11" s="1079">
        <f t="shared" si="0"/>
        <v>60.720992896219485</v>
      </c>
      <c r="E11" s="2129"/>
      <c r="F11" s="1079">
        <v>59.700894645480041</v>
      </c>
      <c r="G11" s="1079">
        <f t="shared" si="1"/>
        <v>39.279007103780515</v>
      </c>
      <c r="H11" s="1079"/>
      <c r="I11" s="2130">
        <f t="shared" si="3"/>
        <v>20.421887541699519</v>
      </c>
      <c r="J11" s="2129"/>
      <c r="K11" s="1152"/>
      <c r="L11" s="1061">
        <v>27162</v>
      </c>
      <c r="M11" s="1061">
        <v>40239</v>
      </c>
      <c r="P11" s="944">
        <v>44619</v>
      </c>
      <c r="Q11" s="944">
        <v>28863</v>
      </c>
      <c r="R11" s="944">
        <f t="shared" si="2"/>
        <v>73482</v>
      </c>
      <c r="S11" s="944">
        <v>116411</v>
      </c>
    </row>
    <row r="12" spans="1:25">
      <c r="A12" s="944" t="s">
        <v>181</v>
      </c>
      <c r="C12" s="1079">
        <v>53.676690232002386</v>
      </c>
      <c r="D12" s="1079">
        <f t="shared" si="0"/>
        <v>76.077125647001836</v>
      </c>
      <c r="E12" s="2129"/>
      <c r="F12" s="1079">
        <v>46.323309767997614</v>
      </c>
      <c r="G12" s="1079">
        <f t="shared" si="1"/>
        <v>23.922874352998154</v>
      </c>
      <c r="H12" s="1079"/>
      <c r="I12" s="2130">
        <f t="shared" si="3"/>
        <v>22.40043541499945</v>
      </c>
      <c r="J12" s="2129"/>
      <c r="K12" s="1152"/>
      <c r="L12" s="1061">
        <v>86252</v>
      </c>
      <c r="M12" s="1061">
        <v>74436</v>
      </c>
      <c r="P12" s="944">
        <v>125668</v>
      </c>
      <c r="Q12" s="944">
        <v>39517</v>
      </c>
      <c r="R12" s="944">
        <f t="shared" si="2"/>
        <v>165185</v>
      </c>
      <c r="S12" s="944">
        <v>274384</v>
      </c>
    </row>
    <row r="13" spans="1:25">
      <c r="A13" s="944" t="s">
        <v>182</v>
      </c>
      <c r="C13" s="1079">
        <v>48.335021814497857</v>
      </c>
      <c r="D13" s="1079">
        <f t="shared" si="0"/>
        <v>67.606601862017868</v>
      </c>
      <c r="E13" s="2129"/>
      <c r="F13" s="1079">
        <v>51.664978185502143</v>
      </c>
      <c r="G13" s="1079">
        <f t="shared" si="1"/>
        <v>32.393398137982132</v>
      </c>
      <c r="H13" s="1079"/>
      <c r="I13" s="2130">
        <f t="shared" si="3"/>
        <v>19.271580047520011</v>
      </c>
      <c r="J13" s="2129"/>
      <c r="K13" s="1152"/>
      <c r="L13" s="1061">
        <v>94944</v>
      </c>
      <c r="M13" s="1061">
        <v>101485</v>
      </c>
      <c r="P13" s="944">
        <v>151478</v>
      </c>
      <c r="Q13" s="944">
        <v>72580</v>
      </c>
      <c r="R13" s="944">
        <f t="shared" si="2"/>
        <v>224058</v>
      </c>
      <c r="S13" s="944">
        <v>404228</v>
      </c>
    </row>
    <row r="14" spans="1:25">
      <c r="A14" s="944" t="s">
        <v>183</v>
      </c>
      <c r="C14" s="1079">
        <v>50.962638956565101</v>
      </c>
      <c r="D14" s="1079">
        <f t="shared" si="0"/>
        <v>72.564061531075595</v>
      </c>
      <c r="E14" s="2129"/>
      <c r="F14" s="1079">
        <v>49.037361043434899</v>
      </c>
      <c r="G14" s="1079">
        <f t="shared" si="1"/>
        <v>27.435938468924409</v>
      </c>
      <c r="H14" s="1079"/>
      <c r="I14" s="2130">
        <f t="shared" si="3"/>
        <v>21.601422574510494</v>
      </c>
      <c r="J14" s="2129"/>
      <c r="K14" s="1152"/>
      <c r="L14" s="1061">
        <v>44973</v>
      </c>
      <c r="M14" s="1061">
        <v>43274</v>
      </c>
      <c r="P14" s="944">
        <v>72551</v>
      </c>
      <c r="Q14" s="944">
        <v>27431</v>
      </c>
      <c r="R14" s="944">
        <f t="shared" si="2"/>
        <v>99982</v>
      </c>
      <c r="S14" s="944">
        <v>165751</v>
      </c>
    </row>
    <row r="15" spans="1:25">
      <c r="A15" s="944" t="s">
        <v>184</v>
      </c>
      <c r="C15" s="1079">
        <v>50.10705434613881</v>
      </c>
      <c r="D15" s="1079">
        <f t="shared" si="0"/>
        <v>74.514833069342487</v>
      </c>
      <c r="E15" s="2129"/>
      <c r="F15" s="1079">
        <v>49.892945653861183</v>
      </c>
      <c r="G15" s="1079">
        <f t="shared" si="1"/>
        <v>25.48516693065751</v>
      </c>
      <c r="H15" s="1079"/>
      <c r="I15" s="2130">
        <f t="shared" si="3"/>
        <v>24.407778723203677</v>
      </c>
      <c r="J15" s="2129"/>
      <c r="K15" s="1152"/>
      <c r="L15" s="1061">
        <v>187221</v>
      </c>
      <c r="M15" s="1061">
        <v>186421</v>
      </c>
      <c r="P15" s="944">
        <v>278029</v>
      </c>
      <c r="Q15" s="944">
        <v>95090</v>
      </c>
      <c r="R15" s="944">
        <f t="shared" si="2"/>
        <v>373119</v>
      </c>
      <c r="S15" s="944">
        <v>607831</v>
      </c>
    </row>
    <row r="16" spans="1:25">
      <c r="A16" s="944" t="s">
        <v>185</v>
      </c>
      <c r="C16" s="1079">
        <v>27.893411109638077</v>
      </c>
      <c r="D16" s="1079">
        <f t="shared" si="0"/>
        <v>57.28588661037395</v>
      </c>
      <c r="E16" s="2129"/>
      <c r="F16" s="1079">
        <v>72.10658889036192</v>
      </c>
      <c r="G16" s="1079">
        <f>+Q16/R16*100</f>
        <v>42.714113389626057</v>
      </c>
      <c r="H16" s="1079"/>
      <c r="I16" s="2130">
        <f t="shared" si="3"/>
        <v>29.392475500735873</v>
      </c>
      <c r="J16" s="2129"/>
      <c r="K16" s="1152"/>
      <c r="L16" s="1061">
        <v>2104</v>
      </c>
      <c r="M16" s="1061">
        <v>5439</v>
      </c>
      <c r="P16" s="944">
        <v>4749</v>
      </c>
      <c r="Q16" s="944">
        <v>3541</v>
      </c>
      <c r="R16" s="944">
        <f t="shared" si="2"/>
        <v>8290</v>
      </c>
      <c r="S16" s="944">
        <v>15579</v>
      </c>
    </row>
    <row r="17" spans="1:19">
      <c r="A17" s="944" t="s">
        <v>186</v>
      </c>
      <c r="C17" s="1079">
        <v>26.983702912102594</v>
      </c>
      <c r="D17" s="1079">
        <f t="shared" si="0"/>
        <v>62.377943710511197</v>
      </c>
      <c r="E17" s="2129"/>
      <c r="F17" s="1079">
        <v>73.016297087897414</v>
      </c>
      <c r="G17" s="1079">
        <f t="shared" si="1"/>
        <v>37.622056289488796</v>
      </c>
      <c r="H17" s="1079"/>
      <c r="I17" s="2130">
        <f t="shared" si="3"/>
        <v>35.394240798408603</v>
      </c>
      <c r="J17" s="2129"/>
      <c r="K17" s="1152"/>
      <c r="L17" s="1061">
        <v>2020</v>
      </c>
      <c r="M17" s="1061">
        <v>5466</v>
      </c>
      <c r="P17" s="944">
        <v>5430</v>
      </c>
      <c r="Q17" s="944">
        <v>3275</v>
      </c>
      <c r="R17" s="944">
        <f t="shared" si="2"/>
        <v>8705</v>
      </c>
      <c r="S17" s="944">
        <v>16954</v>
      </c>
    </row>
    <row r="18" spans="1:19">
      <c r="A18" s="944" t="s">
        <v>187</v>
      </c>
      <c r="C18" s="1079">
        <v>53.977855758389602</v>
      </c>
      <c r="D18" s="1079">
        <f t="shared" si="0"/>
        <v>78.101095258819754</v>
      </c>
      <c r="E18" s="2129"/>
      <c r="F18" s="1079">
        <v>46.022144241610398</v>
      </c>
      <c r="G18" s="1079">
        <f t="shared" si="1"/>
        <v>21.89890474118025</v>
      </c>
      <c r="H18" s="1079"/>
      <c r="I18" s="2130">
        <f t="shared" si="3"/>
        <v>24.123239500430152</v>
      </c>
      <c r="J18" s="2129"/>
      <c r="K18" s="1152"/>
      <c r="L18" s="1061">
        <v>596519</v>
      </c>
      <c r="M18" s="1061">
        <v>508599</v>
      </c>
      <c r="P18" s="944">
        <v>821900</v>
      </c>
      <c r="Q18" s="944">
        <v>230454</v>
      </c>
      <c r="R18" s="944">
        <f t="shared" si="2"/>
        <v>1052354</v>
      </c>
      <c r="S18" s="944">
        <v>1747784</v>
      </c>
    </row>
    <row r="19" spans="1:19">
      <c r="A19" s="944" t="s">
        <v>188</v>
      </c>
      <c r="C19" s="1079">
        <v>49.50137170128837</v>
      </c>
      <c r="D19" s="1079">
        <f t="shared" si="0"/>
        <v>67.648900410835509</v>
      </c>
      <c r="E19" s="2129"/>
      <c r="F19" s="1079">
        <v>50.498628298711637</v>
      </c>
      <c r="G19" s="1079">
        <f t="shared" si="1"/>
        <v>32.351099589164491</v>
      </c>
      <c r="H19" s="1079"/>
      <c r="I19" s="2130">
        <f t="shared" si="3"/>
        <v>18.147528709547139</v>
      </c>
      <c r="J19" s="2129"/>
      <c r="K19" s="1152"/>
      <c r="L19" s="1061">
        <v>91482</v>
      </c>
      <c r="M19" s="1061">
        <v>93325</v>
      </c>
      <c r="P19" s="944">
        <v>123167</v>
      </c>
      <c r="Q19" s="944">
        <v>58901</v>
      </c>
      <c r="R19" s="944">
        <f t="shared" si="2"/>
        <v>182068</v>
      </c>
      <c r="S19" s="944">
        <v>307821</v>
      </c>
    </row>
    <row r="20" spans="1:19">
      <c r="A20" s="944" t="s">
        <v>189</v>
      </c>
      <c r="C20" s="1079">
        <v>55.761815083848987</v>
      </c>
      <c r="D20" s="1079">
        <f t="shared" si="0"/>
        <v>79.396784975330263</v>
      </c>
      <c r="E20" s="2129"/>
      <c r="F20" s="1079">
        <v>44.23818491615102</v>
      </c>
      <c r="G20" s="1079">
        <f t="shared" si="1"/>
        <v>20.603215024669744</v>
      </c>
      <c r="H20" s="1079"/>
      <c r="I20" s="2130">
        <f t="shared" si="3"/>
        <v>23.634969891481276</v>
      </c>
      <c r="J20" s="2129"/>
      <c r="K20" s="1152"/>
      <c r="L20" s="1061">
        <v>6218</v>
      </c>
      <c r="M20" s="1061">
        <v>4933</v>
      </c>
      <c r="P20" s="944">
        <v>9977</v>
      </c>
      <c r="Q20" s="944">
        <v>2589</v>
      </c>
      <c r="R20" s="944">
        <f t="shared" si="2"/>
        <v>12566</v>
      </c>
      <c r="S20" s="944">
        <v>22733</v>
      </c>
    </row>
    <row r="21" spans="1:19" ht="3" customHeight="1">
      <c r="C21" s="1079"/>
      <c r="D21" s="1079"/>
      <c r="E21" s="2129"/>
      <c r="F21" s="1079"/>
      <c r="G21" s="1079"/>
      <c r="H21" s="1079"/>
      <c r="I21" s="2130"/>
      <c r="J21" s="2129"/>
      <c r="K21" s="1152"/>
      <c r="L21" s="1061"/>
      <c r="M21" s="1061"/>
    </row>
    <row r="22" spans="1:19" s="947" customFormat="1">
      <c r="A22" s="947" t="s">
        <v>19</v>
      </c>
      <c r="C22" s="2131">
        <v>51.62375720242791</v>
      </c>
      <c r="D22" s="2131">
        <f t="shared" si="0"/>
        <v>74.286915999322019</v>
      </c>
      <c r="E22" s="2132"/>
      <c r="F22" s="2131">
        <v>48.37624279757209</v>
      </c>
      <c r="G22" s="2131">
        <f t="shared" si="1"/>
        <v>25.713084000677984</v>
      </c>
      <c r="H22" s="2131"/>
      <c r="I22" s="2133">
        <f t="shared" si="3"/>
        <v>22.663158796894109</v>
      </c>
      <c r="J22" s="2132"/>
      <c r="K22" s="1152"/>
      <c r="L22" s="1061">
        <v>1230937</v>
      </c>
      <c r="M22" s="1061">
        <v>1153502</v>
      </c>
      <c r="P22" s="947">
        <f>SUM(P9:P20)</f>
        <v>1775045</v>
      </c>
      <c r="Q22" s="947">
        <f>SUM(Q9:Q20)</f>
        <v>614400</v>
      </c>
      <c r="R22" s="947">
        <f t="shared" si="2"/>
        <v>2389445</v>
      </c>
      <c r="S22" s="947">
        <f>SUM(S9:S20)</f>
        <v>3973673</v>
      </c>
    </row>
    <row r="23" spans="1:19" ht="3" customHeight="1">
      <c r="C23" s="1079"/>
      <c r="D23" s="1079"/>
      <c r="E23" s="2129"/>
      <c r="F23" s="1079"/>
      <c r="G23" s="1079"/>
      <c r="H23" s="1079"/>
      <c r="I23" s="2130"/>
      <c r="J23" s="2129"/>
      <c r="K23" s="2129"/>
      <c r="L23" s="2129"/>
      <c r="M23" s="2129"/>
    </row>
    <row r="24" spans="1:19" ht="4" customHeight="1">
      <c r="A24" s="1023"/>
      <c r="B24" s="1023"/>
      <c r="C24" s="1023"/>
      <c r="D24" s="1023"/>
      <c r="E24" s="1023"/>
      <c r="F24" s="1023"/>
      <c r="G24" s="1023"/>
      <c r="H24" s="1023"/>
      <c r="I24" s="1023"/>
    </row>
    <row r="25" spans="1:19" s="1009" customFormat="1" ht="12.75" customHeight="1">
      <c r="A25" s="2134" t="s">
        <v>1187</v>
      </c>
    </row>
    <row r="26" spans="1:19" ht="3" customHeight="1">
      <c r="A26" s="2135"/>
    </row>
    <row r="27" spans="1:19" s="1009" customFormat="1" ht="67.5" customHeight="1">
      <c r="A27" s="3398" t="s">
        <v>789</v>
      </c>
      <c r="B27" s="3398"/>
      <c r="C27" s="3398"/>
      <c r="D27" s="3398"/>
      <c r="E27" s="3398"/>
      <c r="F27" s="3398"/>
      <c r="G27" s="3398"/>
      <c r="H27" s="3398"/>
      <c r="I27" s="3398"/>
      <c r="J27" s="3398"/>
      <c r="K27" s="3398"/>
    </row>
    <row r="28" spans="1:19" s="1009" customFormat="1" ht="3" customHeight="1">
      <c r="A28" s="1349"/>
      <c r="B28" s="1349"/>
      <c r="C28" s="1349"/>
      <c r="D28" s="1349"/>
      <c r="E28" s="1349"/>
      <c r="F28" s="1349"/>
      <c r="G28" s="1349"/>
      <c r="H28" s="1349"/>
      <c r="I28" s="1349"/>
    </row>
    <row r="29" spans="1:19" s="1009" customFormat="1" ht="11">
      <c r="A29" s="1009" t="s">
        <v>2396</v>
      </c>
    </row>
    <row r="31" spans="1:19">
      <c r="A31" s="944" t="s">
        <v>758</v>
      </c>
    </row>
    <row r="32" spans="1:19">
      <c r="A32" s="1137"/>
      <c r="B32" s="1256"/>
      <c r="C32" s="1256"/>
      <c r="D32" s="1256"/>
      <c r="E32" s="1256"/>
      <c r="F32" s="1256"/>
      <c r="G32" s="1256"/>
      <c r="H32" s="1256"/>
      <c r="I32" s="1256"/>
    </row>
    <row r="33" spans="1:9">
      <c r="A33" s="1256"/>
      <c r="B33" s="1256"/>
      <c r="C33" s="1256"/>
      <c r="D33" s="1256"/>
      <c r="E33" s="1256"/>
      <c r="F33" s="1256"/>
      <c r="G33" s="1256"/>
      <c r="H33" s="1256"/>
      <c r="I33" s="1256"/>
    </row>
    <row r="34" spans="1:9">
      <c r="A34" s="1009" t="s">
        <v>2397</v>
      </c>
      <c r="B34" s="1256"/>
      <c r="C34" s="1256"/>
      <c r="D34" s="1256"/>
      <c r="E34" s="1256"/>
      <c r="F34" s="1256"/>
      <c r="G34" s="1256"/>
      <c r="H34" s="1256"/>
      <c r="I34" s="1256"/>
    </row>
    <row r="35" spans="1:9">
      <c r="A35" s="1256"/>
      <c r="B35" s="1256"/>
      <c r="C35" s="1256"/>
      <c r="D35" s="1256"/>
      <c r="E35" s="1256"/>
      <c r="F35" s="1256"/>
      <c r="G35" s="1256"/>
      <c r="H35" s="1256"/>
      <c r="I35" s="1256"/>
    </row>
    <row r="36" spans="1:9">
      <c r="A36" s="1256"/>
      <c r="B36" s="1256"/>
      <c r="C36" s="1256"/>
      <c r="D36" s="1256"/>
      <c r="E36" s="1256"/>
      <c r="F36" s="1256"/>
      <c r="G36" s="1256"/>
      <c r="H36" s="1256"/>
      <c r="I36" s="1256"/>
    </row>
    <row r="37" spans="1:9">
      <c r="A37" s="1256"/>
      <c r="B37" s="1256"/>
      <c r="C37" s="1256"/>
      <c r="D37" s="1256"/>
      <c r="E37" s="1256"/>
      <c r="F37" s="1256"/>
      <c r="G37" s="1256"/>
      <c r="H37" s="1256"/>
      <c r="I37" s="1256"/>
    </row>
    <row r="38" spans="1:9">
      <c r="A38" s="1256"/>
      <c r="B38" s="1256"/>
      <c r="C38" s="1256"/>
      <c r="D38" s="1256"/>
      <c r="E38" s="1256"/>
      <c r="F38" s="1256"/>
      <c r="G38" s="1256"/>
      <c r="H38" s="1256"/>
      <c r="I38" s="1256"/>
    </row>
    <row r="39" spans="1:9">
      <c r="A39" s="1256"/>
      <c r="B39" s="1256"/>
      <c r="C39" s="1256"/>
      <c r="D39" s="1256"/>
      <c r="E39" s="1256"/>
      <c r="F39" s="1256"/>
      <c r="G39" s="1256"/>
      <c r="H39" s="1256"/>
      <c r="I39" s="1256"/>
    </row>
  </sheetData>
  <mergeCells count="5">
    <mergeCell ref="C6:D6"/>
    <mergeCell ref="F6:G6"/>
    <mergeCell ref="A27:K27"/>
    <mergeCell ref="A3:J3"/>
    <mergeCell ref="I6:I7"/>
  </mergeCells>
  <phoneticPr fontId="10" type="noConversion"/>
  <pageMargins left="0.75" right="0.75" top="1" bottom="1" header="0.5" footer="0.5"/>
  <pageSetup paperSize="9" orientation="portrait"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09">
    <tabColor theme="4"/>
  </sheetPr>
  <dimension ref="A1:K42"/>
  <sheetViews>
    <sheetView showGridLines="0" zoomScaleNormal="100" workbookViewId="0"/>
  </sheetViews>
  <sheetFormatPr baseColWidth="10" defaultColWidth="9.3984375" defaultRowHeight="14"/>
  <cols>
    <col min="1" max="1" width="18.19921875" style="896" customWidth="1"/>
    <col min="2" max="2" width="8.19921875" style="896" customWidth="1"/>
    <col min="3" max="3" width="8.59765625" style="896" customWidth="1"/>
    <col min="4" max="4" width="9.3984375" style="896"/>
    <col min="5" max="5" width="11.3984375" style="896" customWidth="1"/>
    <col min="6" max="7" width="7.3984375" style="2098" customWidth="1"/>
    <col min="8" max="8" width="11.59765625" style="2098" customWidth="1"/>
    <col min="9" max="9" width="9.3984375" style="896" customWidth="1"/>
    <col min="10" max="16384" width="9.3984375" style="896"/>
  </cols>
  <sheetData>
    <row r="1" spans="1:11" ht="20.5" customHeight="1">
      <c r="A1" s="880"/>
      <c r="B1" s="850"/>
      <c r="C1" s="850"/>
      <c r="D1" s="850"/>
      <c r="E1" s="850"/>
      <c r="F1" s="1217"/>
      <c r="G1" s="1217"/>
      <c r="H1" s="1217"/>
      <c r="I1" s="850"/>
      <c r="J1" s="850"/>
      <c r="K1" s="850"/>
    </row>
    <row r="2" spans="1:11" ht="16">
      <c r="A2" s="1122" t="s">
        <v>2053</v>
      </c>
      <c r="B2" s="853"/>
      <c r="C2" s="853"/>
      <c r="D2" s="853"/>
      <c r="E2" s="853"/>
      <c r="F2" s="2159"/>
      <c r="G2" s="2159"/>
      <c r="H2" s="2159"/>
      <c r="I2" s="853"/>
      <c r="J2" s="850"/>
      <c r="K2" s="850"/>
    </row>
    <row r="3" spans="1:11" ht="34.5" customHeight="1">
      <c r="A3" s="3507" t="s">
        <v>1837</v>
      </c>
      <c r="B3" s="3504" t="s">
        <v>175</v>
      </c>
      <c r="C3" s="3504" t="s">
        <v>176</v>
      </c>
      <c r="D3" s="3505" t="s">
        <v>2439</v>
      </c>
      <c r="E3" s="3504" t="s">
        <v>2437</v>
      </c>
      <c r="F3" s="3506" t="s">
        <v>1867</v>
      </c>
      <c r="G3" s="3506" t="s">
        <v>1868</v>
      </c>
      <c r="H3" s="3506" t="s">
        <v>2438</v>
      </c>
      <c r="I3" s="3504" t="s">
        <v>1838</v>
      </c>
      <c r="J3" s="850"/>
      <c r="K3" s="850"/>
    </row>
    <row r="4" spans="1:11" ht="3.75" customHeight="1">
      <c r="A4" s="3507"/>
      <c r="B4" s="3504"/>
      <c r="C4" s="3504"/>
      <c r="D4" s="3505"/>
      <c r="E4" s="3504"/>
      <c r="F4" s="3506"/>
      <c r="G4" s="3506"/>
      <c r="H4" s="3506"/>
      <c r="I4" s="3504"/>
      <c r="J4" s="850"/>
      <c r="K4" s="850"/>
    </row>
    <row r="5" spans="1:11" ht="3" customHeight="1" thickBot="1">
      <c r="A5" s="2140"/>
      <c r="B5" s="2141"/>
      <c r="C5" s="2141"/>
      <c r="D5" s="2141"/>
      <c r="E5" s="2142"/>
      <c r="F5" s="2143"/>
      <c r="G5" s="2143"/>
      <c r="H5" s="2144"/>
      <c r="I5" s="2142"/>
    </row>
    <row r="6" spans="1:11" ht="16" thickTop="1" thickBot="1">
      <c r="A6" s="2145" t="s">
        <v>1839</v>
      </c>
      <c r="B6" s="2146">
        <v>59390</v>
      </c>
      <c r="C6" s="2146">
        <v>84094</v>
      </c>
      <c r="D6" s="2146">
        <v>180</v>
      </c>
      <c r="E6" s="2146">
        <v>143664</v>
      </c>
      <c r="F6" s="2147">
        <v>0.41399999999999998</v>
      </c>
      <c r="G6" s="2148">
        <v>0.58599999999999997</v>
      </c>
      <c r="H6" s="2149">
        <v>0.81699999999999995</v>
      </c>
      <c r="I6" s="2146">
        <v>175751</v>
      </c>
    </row>
    <row r="7" spans="1:11" ht="16" thickTop="1" thickBot="1">
      <c r="A7" s="2145" t="s">
        <v>1840</v>
      </c>
      <c r="B7" s="2146">
        <v>71337</v>
      </c>
      <c r="C7" s="2146">
        <v>108606</v>
      </c>
      <c r="D7" s="2146">
        <v>102</v>
      </c>
      <c r="E7" s="2146">
        <v>180045</v>
      </c>
      <c r="F7" s="2147">
        <v>0.39600000000000002</v>
      </c>
      <c r="G7" s="2148">
        <v>0.60399999999999998</v>
      </c>
      <c r="H7" s="2149">
        <v>0.872</v>
      </c>
      <c r="I7" s="2146">
        <v>206490</v>
      </c>
    </row>
    <row r="8" spans="1:11" ht="16" thickTop="1" thickBot="1">
      <c r="A8" s="2145" t="s">
        <v>1841</v>
      </c>
      <c r="B8" s="2146">
        <v>35044</v>
      </c>
      <c r="C8" s="2146">
        <v>45192</v>
      </c>
      <c r="D8" s="2146">
        <v>66</v>
      </c>
      <c r="E8" s="2146">
        <v>80302</v>
      </c>
      <c r="F8" s="2147">
        <v>0.437</v>
      </c>
      <c r="G8" s="2148">
        <v>0.56299999999999994</v>
      </c>
      <c r="H8" s="2149">
        <v>0.85699999999999998</v>
      </c>
      <c r="I8" s="2146">
        <v>93656</v>
      </c>
    </row>
    <row r="9" spans="1:11" ht="16" thickTop="1" thickBot="1">
      <c r="A9" s="2145" t="s">
        <v>1842</v>
      </c>
      <c r="B9" s="2146">
        <v>26324</v>
      </c>
      <c r="C9" s="2146">
        <v>37143</v>
      </c>
      <c r="D9" s="2146">
        <v>49</v>
      </c>
      <c r="E9" s="2146">
        <v>63516</v>
      </c>
      <c r="F9" s="2147">
        <v>0.41499999999999998</v>
      </c>
      <c r="G9" s="2148">
        <v>0.58499999999999996</v>
      </c>
      <c r="H9" s="2149">
        <v>0.88200000000000001</v>
      </c>
      <c r="I9" s="2146">
        <v>72014</v>
      </c>
    </row>
    <row r="10" spans="1:11" ht="16" thickTop="1" thickBot="1">
      <c r="A10" s="2145" t="s">
        <v>1843</v>
      </c>
      <c r="B10" s="2146">
        <v>16350</v>
      </c>
      <c r="C10" s="2146">
        <v>19036</v>
      </c>
      <c r="D10" s="2146">
        <v>24</v>
      </c>
      <c r="E10" s="2146">
        <v>35410</v>
      </c>
      <c r="F10" s="2147">
        <v>0.46200000000000002</v>
      </c>
      <c r="G10" s="2148">
        <v>0.53800000000000003</v>
      </c>
      <c r="H10" s="2149">
        <v>0.88600000000000001</v>
      </c>
      <c r="I10" s="2146">
        <v>39974</v>
      </c>
    </row>
    <row r="11" spans="1:11" ht="16" thickTop="1" thickBot="1">
      <c r="A11" s="2145" t="s">
        <v>180</v>
      </c>
      <c r="B11" s="2146">
        <v>36614</v>
      </c>
      <c r="C11" s="2146">
        <v>70039</v>
      </c>
      <c r="D11" s="2146">
        <v>122</v>
      </c>
      <c r="E11" s="2146">
        <v>106775</v>
      </c>
      <c r="F11" s="2147">
        <v>0.34300000000000003</v>
      </c>
      <c r="G11" s="2148">
        <v>0.65700000000000003</v>
      </c>
      <c r="H11" s="2149">
        <v>0.875</v>
      </c>
      <c r="I11" s="2146">
        <v>122052</v>
      </c>
    </row>
    <row r="12" spans="1:11" ht="16" thickTop="1" thickBot="1">
      <c r="A12" s="2145" t="s">
        <v>1844</v>
      </c>
      <c r="B12" s="2146">
        <v>53620</v>
      </c>
      <c r="C12" s="2146">
        <v>39880</v>
      </c>
      <c r="D12" s="2146">
        <v>92</v>
      </c>
      <c r="E12" s="2146">
        <v>93592</v>
      </c>
      <c r="F12" s="2148">
        <v>0.57299999999999995</v>
      </c>
      <c r="G12" s="2147">
        <v>0.42699999999999999</v>
      </c>
      <c r="H12" s="2149">
        <v>0.78800000000000003</v>
      </c>
      <c r="I12" s="2146">
        <v>118764</v>
      </c>
    </row>
    <row r="13" spans="1:11" ht="16" thickTop="1" thickBot="1">
      <c r="A13" s="2145" t="s">
        <v>1845</v>
      </c>
      <c r="B13" s="2146">
        <v>39762</v>
      </c>
      <c r="C13" s="2146">
        <v>44442</v>
      </c>
      <c r="D13" s="2146">
        <v>58</v>
      </c>
      <c r="E13" s="2146">
        <v>84262</v>
      </c>
      <c r="F13" s="2147">
        <v>0.47199999999999998</v>
      </c>
      <c r="G13" s="2148">
        <v>0.52800000000000002</v>
      </c>
      <c r="H13" s="2149">
        <v>0.84499999999999997</v>
      </c>
      <c r="I13" s="2146">
        <v>99682</v>
      </c>
    </row>
    <row r="14" spans="1:11" ht="16" thickTop="1" thickBot="1">
      <c r="A14" s="2145" t="s">
        <v>1846</v>
      </c>
      <c r="B14" s="2146">
        <v>30624</v>
      </c>
      <c r="C14" s="2146">
        <v>48314</v>
      </c>
      <c r="D14" s="2146">
        <v>73</v>
      </c>
      <c r="E14" s="2146">
        <v>79011</v>
      </c>
      <c r="F14" s="2147">
        <v>0.38800000000000001</v>
      </c>
      <c r="G14" s="2148">
        <v>0.61199999999999999</v>
      </c>
      <c r="H14" s="2149">
        <v>0.91</v>
      </c>
      <c r="I14" s="2146">
        <v>86844</v>
      </c>
    </row>
    <row r="15" spans="1:11" ht="16" thickTop="1" thickBot="1">
      <c r="A15" s="2145" t="s">
        <v>1847</v>
      </c>
      <c r="B15" s="2146">
        <v>27467</v>
      </c>
      <c r="C15" s="2146">
        <v>44283</v>
      </c>
      <c r="D15" s="2146">
        <v>48</v>
      </c>
      <c r="E15" s="2146">
        <v>71798</v>
      </c>
      <c r="F15" s="2147">
        <v>0.38300000000000001</v>
      </c>
      <c r="G15" s="2148">
        <v>0.61699999999999999</v>
      </c>
      <c r="H15" s="2149">
        <v>0.876</v>
      </c>
      <c r="I15" s="2146">
        <v>81947</v>
      </c>
    </row>
    <row r="16" spans="1:11" ht="16" thickTop="1" thickBot="1">
      <c r="A16" s="2145" t="s">
        <v>1848</v>
      </c>
      <c r="B16" s="2146">
        <v>24287</v>
      </c>
      <c r="C16" s="2146">
        <v>41690</v>
      </c>
      <c r="D16" s="2146">
        <v>44</v>
      </c>
      <c r="E16" s="2146">
        <v>66021</v>
      </c>
      <c r="F16" s="2147">
        <v>0.36799999999999999</v>
      </c>
      <c r="G16" s="2148">
        <v>0.63200000000000001</v>
      </c>
      <c r="H16" s="2149">
        <v>0.90400000000000003</v>
      </c>
      <c r="I16" s="2146">
        <v>72993</v>
      </c>
    </row>
    <row r="17" spans="1:9" ht="16" thickTop="1" thickBot="1">
      <c r="A17" s="2145" t="s">
        <v>1849</v>
      </c>
      <c r="B17" s="2146">
        <v>123927</v>
      </c>
      <c r="C17" s="2146">
        <v>194638</v>
      </c>
      <c r="D17" s="2146">
        <v>460</v>
      </c>
      <c r="E17" s="2146">
        <v>319025</v>
      </c>
      <c r="F17" s="2147">
        <v>0.38900000000000001</v>
      </c>
      <c r="G17" s="2148">
        <v>0.61099999999999999</v>
      </c>
      <c r="H17" s="2149">
        <v>0.84399999999999997</v>
      </c>
      <c r="I17" s="2146">
        <v>378039</v>
      </c>
    </row>
    <row r="18" spans="1:9" ht="16" thickTop="1" thickBot="1">
      <c r="A18" s="2145" t="s">
        <v>1850</v>
      </c>
      <c r="B18" s="2146">
        <v>9195</v>
      </c>
      <c r="C18" s="2146">
        <v>10544</v>
      </c>
      <c r="D18" s="2146">
        <v>19</v>
      </c>
      <c r="E18" s="2146">
        <v>19758</v>
      </c>
      <c r="F18" s="2147">
        <v>0.46600000000000003</v>
      </c>
      <c r="G18" s="2148">
        <v>0.53400000000000003</v>
      </c>
      <c r="H18" s="2149">
        <v>0.86199999999999999</v>
      </c>
      <c r="I18" s="2146">
        <v>22908</v>
      </c>
    </row>
    <row r="19" spans="1:9" ht="16" thickTop="1" thickBot="1">
      <c r="A19" s="2145" t="s">
        <v>1851</v>
      </c>
      <c r="B19" s="2146">
        <v>50489</v>
      </c>
      <c r="C19" s="2146">
        <v>58030</v>
      </c>
      <c r="D19" s="2146">
        <v>107</v>
      </c>
      <c r="E19" s="2146">
        <v>108626</v>
      </c>
      <c r="F19" s="2147">
        <v>0.46500000000000002</v>
      </c>
      <c r="G19" s="2148">
        <v>0.53500000000000003</v>
      </c>
      <c r="H19" s="2149">
        <v>0.88700000000000001</v>
      </c>
      <c r="I19" s="2146">
        <v>122460</v>
      </c>
    </row>
    <row r="20" spans="1:9" ht="16" thickTop="1" thickBot="1">
      <c r="A20" s="2145" t="s">
        <v>181</v>
      </c>
      <c r="B20" s="2146">
        <v>114148</v>
      </c>
      <c r="C20" s="2146">
        <v>139788</v>
      </c>
      <c r="D20" s="2146">
        <v>226</v>
      </c>
      <c r="E20" s="2146">
        <v>254162</v>
      </c>
      <c r="F20" s="2147">
        <v>0.45</v>
      </c>
      <c r="G20" s="2148">
        <v>0.55000000000000004</v>
      </c>
      <c r="H20" s="2149">
        <v>0.84099999999999997</v>
      </c>
      <c r="I20" s="2146">
        <v>302165</v>
      </c>
    </row>
    <row r="21" spans="1:9" ht="16" thickTop="1" thickBot="1">
      <c r="A21" s="2145" t="s">
        <v>1852</v>
      </c>
      <c r="B21" s="2146">
        <v>194779</v>
      </c>
      <c r="C21" s="2146">
        <v>169347</v>
      </c>
      <c r="D21" s="2146">
        <v>538</v>
      </c>
      <c r="E21" s="2146">
        <v>364664</v>
      </c>
      <c r="F21" s="2148">
        <v>0.53500000000000003</v>
      </c>
      <c r="G21" s="2147">
        <v>0.46500000000000002</v>
      </c>
      <c r="H21" s="2149">
        <v>0.75</v>
      </c>
      <c r="I21" s="2146">
        <v>486296</v>
      </c>
    </row>
    <row r="22" spans="1:9" ht="16" thickTop="1" thickBot="1">
      <c r="A22" s="2145" t="s">
        <v>183</v>
      </c>
      <c r="B22" s="2146">
        <v>78069</v>
      </c>
      <c r="C22" s="2146">
        <v>87739</v>
      </c>
      <c r="D22" s="2146">
        <v>168</v>
      </c>
      <c r="E22" s="2146">
        <v>165976</v>
      </c>
      <c r="F22" s="2147">
        <v>0.47099999999999997</v>
      </c>
      <c r="G22" s="2148">
        <v>0.52900000000000003</v>
      </c>
      <c r="H22" s="2149">
        <v>0.87</v>
      </c>
      <c r="I22" s="2146">
        <v>190787</v>
      </c>
    </row>
    <row r="23" spans="1:9" ht="16" thickTop="1" thickBot="1">
      <c r="A23" s="2145" t="s">
        <v>1064</v>
      </c>
      <c r="B23" s="2146">
        <v>27243</v>
      </c>
      <c r="C23" s="2146">
        <v>27329</v>
      </c>
      <c r="D23" s="2146">
        <v>29</v>
      </c>
      <c r="E23" s="2146">
        <v>54601</v>
      </c>
      <c r="F23" s="2147">
        <v>0.499</v>
      </c>
      <c r="G23" s="2148">
        <v>0.501</v>
      </c>
      <c r="H23" s="2149">
        <v>0.874</v>
      </c>
      <c r="I23" s="2146">
        <v>62486</v>
      </c>
    </row>
    <row r="24" spans="1:9" ht="16" thickTop="1" thickBot="1">
      <c r="A24" s="2145" t="s">
        <v>1853</v>
      </c>
      <c r="B24" s="2146">
        <v>26370</v>
      </c>
      <c r="C24" s="2146">
        <v>33972</v>
      </c>
      <c r="D24" s="2146">
        <v>53</v>
      </c>
      <c r="E24" s="2146">
        <v>60395</v>
      </c>
      <c r="F24" s="2147">
        <v>0.437</v>
      </c>
      <c r="G24" s="2148">
        <v>0.56299999999999994</v>
      </c>
      <c r="H24" s="2149">
        <v>0.86699999999999999</v>
      </c>
      <c r="I24" s="2146">
        <v>69620</v>
      </c>
    </row>
    <row r="25" spans="1:9" ht="16" thickTop="1" thickBot="1">
      <c r="A25" s="2145" t="s">
        <v>1854</v>
      </c>
      <c r="B25" s="2146">
        <v>27232</v>
      </c>
      <c r="C25" s="2146">
        <v>36935</v>
      </c>
      <c r="D25" s="2146">
        <v>38</v>
      </c>
      <c r="E25" s="2146">
        <v>64205</v>
      </c>
      <c r="F25" s="2147">
        <v>0.42399999999999999</v>
      </c>
      <c r="G25" s="2148">
        <v>0.57599999999999996</v>
      </c>
      <c r="H25" s="2149">
        <v>0.85399999999999998</v>
      </c>
      <c r="I25" s="2146">
        <v>75173</v>
      </c>
    </row>
    <row r="26" spans="1:9" ht="16" thickTop="1" thickBot="1">
      <c r="A26" s="2145" t="s">
        <v>1855</v>
      </c>
      <c r="B26" s="2146">
        <v>47072</v>
      </c>
      <c r="C26" s="2146">
        <v>49016</v>
      </c>
      <c r="D26" s="2146">
        <v>85</v>
      </c>
      <c r="E26" s="2146">
        <v>96173</v>
      </c>
      <c r="F26" s="2147">
        <v>0.49</v>
      </c>
      <c r="G26" s="2148">
        <v>0.51</v>
      </c>
      <c r="H26" s="2149">
        <v>0.84399999999999997</v>
      </c>
      <c r="I26" s="2146">
        <v>113941</v>
      </c>
    </row>
    <row r="27" spans="1:9" ht="16" thickTop="1" thickBot="1">
      <c r="A27" s="2145" t="s">
        <v>1856</v>
      </c>
      <c r="B27" s="2146">
        <v>115783</v>
      </c>
      <c r="C27" s="2146">
        <v>110922</v>
      </c>
      <c r="D27" s="2146">
        <v>178</v>
      </c>
      <c r="E27" s="2146">
        <v>226883</v>
      </c>
      <c r="F27" s="2148">
        <v>0.51100000000000001</v>
      </c>
      <c r="G27" s="2147">
        <v>0.48899999999999999</v>
      </c>
      <c r="H27" s="2149">
        <v>0.84399999999999997</v>
      </c>
      <c r="I27" s="2146">
        <v>268738</v>
      </c>
    </row>
    <row r="28" spans="1:9" ht="16" thickTop="1" thickBot="1">
      <c r="A28" s="2145" t="s">
        <v>1857</v>
      </c>
      <c r="B28" s="2146">
        <v>4883</v>
      </c>
      <c r="C28" s="2146">
        <v>10004</v>
      </c>
      <c r="D28" s="2146">
        <v>20</v>
      </c>
      <c r="E28" s="2146">
        <v>14907</v>
      </c>
      <c r="F28" s="2147">
        <v>0.32800000000000001</v>
      </c>
      <c r="G28" s="2148">
        <v>0.67200000000000004</v>
      </c>
      <c r="H28" s="2149">
        <v>0.83699999999999997</v>
      </c>
      <c r="I28" s="2146">
        <v>17806</v>
      </c>
    </row>
    <row r="29" spans="1:9" ht="16" thickTop="1" thickBot="1">
      <c r="A29" s="2145" t="s">
        <v>636</v>
      </c>
      <c r="B29" s="2146">
        <v>41475</v>
      </c>
      <c r="C29" s="2146">
        <v>62714</v>
      </c>
      <c r="D29" s="2146">
        <v>96</v>
      </c>
      <c r="E29" s="2146">
        <v>104285</v>
      </c>
      <c r="F29" s="2147">
        <v>0.39800000000000002</v>
      </c>
      <c r="G29" s="2148">
        <v>0.60199999999999998</v>
      </c>
      <c r="H29" s="2149">
        <v>0.86899999999999999</v>
      </c>
      <c r="I29" s="2146">
        <v>120052</v>
      </c>
    </row>
    <row r="30" spans="1:9" ht="16" thickTop="1" thickBot="1">
      <c r="A30" s="2145" t="s">
        <v>1858</v>
      </c>
      <c r="B30" s="2146">
        <v>55466</v>
      </c>
      <c r="C30" s="2146">
        <v>62067</v>
      </c>
      <c r="D30" s="2146">
        <v>79</v>
      </c>
      <c r="E30" s="2146">
        <v>117612</v>
      </c>
      <c r="F30" s="2147">
        <v>0.47199999999999998</v>
      </c>
      <c r="G30" s="2148">
        <v>0.52800000000000002</v>
      </c>
      <c r="H30" s="2149">
        <v>0.873</v>
      </c>
      <c r="I30" s="2146">
        <v>134745</v>
      </c>
    </row>
    <row r="31" spans="1:9" ht="16" thickTop="1" thickBot="1">
      <c r="A31" s="2145" t="s">
        <v>1859</v>
      </c>
      <c r="B31" s="2146">
        <v>27906</v>
      </c>
      <c r="C31" s="2146">
        <v>55553</v>
      </c>
      <c r="D31" s="2146">
        <v>67</v>
      </c>
      <c r="E31" s="2146">
        <v>83526</v>
      </c>
      <c r="F31" s="2147">
        <v>0.33400000000000002</v>
      </c>
      <c r="G31" s="2148">
        <v>0.66600000000000004</v>
      </c>
      <c r="H31" s="2149">
        <v>0.874</v>
      </c>
      <c r="I31" s="2146">
        <v>95542</v>
      </c>
    </row>
    <row r="32" spans="1:9" ht="16" thickTop="1" thickBot="1">
      <c r="A32" s="2145" t="s">
        <v>1860</v>
      </c>
      <c r="B32" s="2146">
        <v>5669</v>
      </c>
      <c r="C32" s="2146">
        <v>9951</v>
      </c>
      <c r="D32" s="2146">
        <v>15</v>
      </c>
      <c r="E32" s="2146">
        <v>15635</v>
      </c>
      <c r="F32" s="2147">
        <v>0.36299999999999999</v>
      </c>
      <c r="G32" s="2148">
        <v>0.63700000000000001</v>
      </c>
      <c r="H32" s="2149">
        <v>0.84399999999999997</v>
      </c>
      <c r="I32" s="2146">
        <v>18516</v>
      </c>
    </row>
    <row r="33" spans="1:10" ht="16" thickTop="1" thickBot="1">
      <c r="A33" s="2145" t="s">
        <v>1861</v>
      </c>
      <c r="B33" s="2146">
        <v>34402</v>
      </c>
      <c r="C33" s="2146">
        <v>47247</v>
      </c>
      <c r="D33" s="2146">
        <v>67</v>
      </c>
      <c r="E33" s="2146">
        <v>81716</v>
      </c>
      <c r="F33" s="2147">
        <v>0.42099999999999999</v>
      </c>
      <c r="G33" s="2148">
        <v>0.57899999999999996</v>
      </c>
      <c r="H33" s="2149">
        <v>0.86099999999999999</v>
      </c>
      <c r="I33" s="2146">
        <v>94895</v>
      </c>
    </row>
    <row r="34" spans="1:10" ht="16" thickTop="1" thickBot="1">
      <c r="A34" s="2145" t="s">
        <v>1862</v>
      </c>
      <c r="B34" s="2146">
        <v>100990</v>
      </c>
      <c r="C34" s="2146">
        <v>121800</v>
      </c>
      <c r="D34" s="2146">
        <v>137</v>
      </c>
      <c r="E34" s="2146">
        <v>222927</v>
      </c>
      <c r="F34" s="2147">
        <v>0.45300000000000001</v>
      </c>
      <c r="G34" s="2148">
        <v>0.54700000000000004</v>
      </c>
      <c r="H34" s="2149">
        <v>0.85299999999999998</v>
      </c>
      <c r="I34" s="2146">
        <v>261193</v>
      </c>
    </row>
    <row r="35" spans="1:10" ht="16" thickTop="1" thickBot="1">
      <c r="A35" s="2145" t="s">
        <v>1863</v>
      </c>
      <c r="B35" s="2146">
        <v>25010</v>
      </c>
      <c r="C35" s="2146">
        <v>37153</v>
      </c>
      <c r="D35" s="2146">
        <v>62</v>
      </c>
      <c r="E35" s="2146">
        <v>62225</v>
      </c>
      <c r="F35" s="2147">
        <v>0.40200000000000002</v>
      </c>
      <c r="G35" s="2148">
        <v>0.59799999999999998</v>
      </c>
      <c r="H35" s="2149">
        <v>0.90100000000000002</v>
      </c>
      <c r="I35" s="2146">
        <v>69043</v>
      </c>
    </row>
    <row r="36" spans="1:10" ht="16" thickTop="1" thickBot="1">
      <c r="A36" s="2145" t="s">
        <v>1864</v>
      </c>
      <c r="B36" s="2146">
        <v>33720</v>
      </c>
      <c r="C36" s="2146">
        <v>28776</v>
      </c>
      <c r="D36" s="2146">
        <v>36</v>
      </c>
      <c r="E36" s="2146">
        <v>62532</v>
      </c>
      <c r="F36" s="2148">
        <v>0.54</v>
      </c>
      <c r="G36" s="2147">
        <v>0.46</v>
      </c>
      <c r="H36" s="2149">
        <v>0.879</v>
      </c>
      <c r="I36" s="2146">
        <v>71128</v>
      </c>
    </row>
    <row r="37" spans="1:10" ht="16" thickTop="1" thickBot="1">
      <c r="A37" s="2145" t="s">
        <v>471</v>
      </c>
      <c r="B37" s="2146">
        <v>53342</v>
      </c>
      <c r="C37" s="2146">
        <v>65682</v>
      </c>
      <c r="D37" s="2146">
        <v>91</v>
      </c>
      <c r="E37" s="2146">
        <v>119115</v>
      </c>
      <c r="F37" s="2147">
        <v>0.44800000000000001</v>
      </c>
      <c r="G37" s="2148">
        <v>0.55200000000000005</v>
      </c>
      <c r="H37" s="2149">
        <v>0.86199999999999999</v>
      </c>
      <c r="I37" s="2146">
        <v>138238</v>
      </c>
    </row>
    <row r="38" spans="1:10" ht="2.25" customHeight="1" thickTop="1">
      <c r="A38" s="2150"/>
      <c r="E38" s="917"/>
      <c r="F38" s="2151"/>
      <c r="G38" s="2151"/>
      <c r="H38" s="2151"/>
    </row>
    <row r="39" spans="1:10" s="895" customFormat="1">
      <c r="A39" s="2154" t="s">
        <v>19</v>
      </c>
      <c r="B39" s="3132">
        <v>1617989</v>
      </c>
      <c r="C39" s="3132">
        <v>2001926</v>
      </c>
      <c r="D39" s="3132">
        <v>3429</v>
      </c>
      <c r="E39" s="3132">
        <v>3623344</v>
      </c>
      <c r="F39" s="3133">
        <v>0.44700000000000001</v>
      </c>
      <c r="G39" s="2155">
        <v>0.55300000000000005</v>
      </c>
      <c r="H39" s="3134">
        <v>0.84599999999999997</v>
      </c>
      <c r="I39" s="3132">
        <v>4283938</v>
      </c>
      <c r="J39" s="880"/>
    </row>
    <row r="40" spans="1:10" ht="3.75" customHeight="1">
      <c r="A40" s="2154"/>
      <c r="B40" s="2153"/>
      <c r="C40" s="2153"/>
      <c r="D40" s="2153"/>
      <c r="E40" s="2153"/>
      <c r="F40" s="2153"/>
      <c r="G40" s="2153"/>
      <c r="H40" s="2153"/>
      <c r="I40" s="2153"/>
      <c r="J40" s="850"/>
    </row>
    <row r="41" spans="1:10" ht="3" customHeight="1">
      <c r="A41" s="2156"/>
      <c r="B41" s="2157"/>
      <c r="C41" s="2157"/>
      <c r="D41" s="2157"/>
      <c r="E41" s="2158"/>
      <c r="F41" s="2158"/>
      <c r="G41" s="2158"/>
      <c r="H41" s="2158"/>
      <c r="I41" s="2157"/>
      <c r="J41" s="850"/>
    </row>
    <row r="42" spans="1:10">
      <c r="A42" s="2152" t="s">
        <v>1866</v>
      </c>
      <c r="B42" s="850"/>
      <c r="C42" s="850"/>
      <c r="D42" s="850"/>
      <c r="E42" s="850"/>
      <c r="F42" s="1217"/>
      <c r="G42" s="1217"/>
      <c r="H42" s="1217"/>
      <c r="I42" s="850"/>
      <c r="J42" s="850"/>
    </row>
  </sheetData>
  <mergeCells count="9">
    <mergeCell ref="I3:I4"/>
    <mergeCell ref="D3:D4"/>
    <mergeCell ref="H3:H4"/>
    <mergeCell ref="E3:E4"/>
    <mergeCell ref="A3:A4"/>
    <mergeCell ref="B3:B4"/>
    <mergeCell ref="C3:C4"/>
    <mergeCell ref="F3:F4"/>
    <mergeCell ref="G3:G4"/>
  </mergeCells>
  <conditionalFormatting sqref="F6:G37 F39:G39">
    <cfRule type="expression" dxfId="134" priority="1" stopIfTrue="1">
      <formula>F6&lt;0.5</formula>
    </cfRule>
    <cfRule type="expression" dxfId="133" priority="2" stopIfTrue="1">
      <formula>F6&gt;0.5</formula>
    </cfRule>
  </conditionalFormatting>
  <pageMargins left="0.7" right="0.7" top="0.75" bottom="0.75" header="0.3" footer="0.3"/>
  <pageSetup paperSize="9" orientation="portrait" horizontalDpi="1200" verticalDpi="120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73">
    <tabColor theme="4"/>
  </sheetPr>
  <dimension ref="A1:S30"/>
  <sheetViews>
    <sheetView showGridLines="0" zoomScale="70" zoomScaleNormal="70" workbookViewId="0">
      <selection activeCell="I34" sqref="I34"/>
    </sheetView>
  </sheetViews>
  <sheetFormatPr baseColWidth="10" defaultColWidth="9.3984375" defaultRowHeight="13"/>
  <cols>
    <col min="1" max="1" width="20.19921875" style="944" customWidth="1"/>
    <col min="2" max="2" width="1.19921875" style="944" customWidth="1"/>
    <col min="3" max="4" width="7" style="944" customWidth="1"/>
    <col min="5" max="5" width="1.19921875" style="944" customWidth="1"/>
    <col min="6" max="7" width="7" style="944" customWidth="1"/>
    <col min="8" max="8" width="1.19921875" style="944" customWidth="1"/>
    <col min="9" max="9" width="12.3984375" style="944" customWidth="1"/>
    <col min="10" max="10" width="2.796875" style="944" customWidth="1"/>
    <col min="11" max="11" width="10" style="944" customWidth="1"/>
    <col min="12" max="16" width="9.3984375" style="944"/>
    <col min="17" max="17" width="11" style="944" customWidth="1"/>
    <col min="18" max="16384" width="9.3984375" style="944"/>
  </cols>
  <sheetData>
    <row r="1" spans="1:19">
      <c r="A1" s="944" t="s">
        <v>2055</v>
      </c>
    </row>
    <row r="3" spans="1:19" ht="14">
      <c r="A3" s="880" t="s">
        <v>2054</v>
      </c>
    </row>
    <row r="4" spans="1:19" ht="16">
      <c r="A4" s="1122" t="s">
        <v>2707</v>
      </c>
      <c r="B4" s="2167"/>
      <c r="C4" s="2167"/>
      <c r="D4" s="2167"/>
      <c r="E4" s="2167"/>
      <c r="F4" s="2167"/>
      <c r="G4" s="2167"/>
      <c r="H4" s="2167"/>
      <c r="I4" s="2167"/>
    </row>
    <row r="5" spans="1:19" ht="14.25" customHeight="1">
      <c r="A5" s="2139" t="s">
        <v>2401</v>
      </c>
      <c r="B5" s="2167"/>
      <c r="C5" s="2167"/>
      <c r="D5" s="2167"/>
      <c r="E5" s="2167"/>
      <c r="F5" s="2167"/>
      <c r="G5" s="2167"/>
      <c r="H5" s="2167"/>
      <c r="I5" s="2167"/>
    </row>
    <row r="6" spans="1:19" ht="14" thickBot="1">
      <c r="A6" s="1023"/>
      <c r="B6" s="1023"/>
      <c r="C6" s="3431" t="s">
        <v>1185</v>
      </c>
      <c r="D6" s="3431"/>
      <c r="E6" s="2375"/>
      <c r="F6" s="3431" t="s">
        <v>1186</v>
      </c>
      <c r="G6" s="3501"/>
      <c r="H6" s="1549"/>
      <c r="I6" s="3509" t="s">
        <v>2722</v>
      </c>
      <c r="J6" s="1095"/>
      <c r="K6" s="2372"/>
      <c r="L6" s="2372"/>
      <c r="M6" s="2372"/>
      <c r="N6" s="2372"/>
      <c r="O6" s="2372"/>
      <c r="P6" s="2372"/>
      <c r="Q6" s="2372"/>
    </row>
    <row r="7" spans="1:19">
      <c r="A7" s="1023" t="s">
        <v>1188</v>
      </c>
      <c r="B7" s="1023"/>
      <c r="C7" s="2137">
        <v>1979</v>
      </c>
      <c r="D7" s="2137">
        <v>1997</v>
      </c>
      <c r="E7" s="2138"/>
      <c r="F7" s="2137">
        <v>1979</v>
      </c>
      <c r="G7" s="2137">
        <v>1997</v>
      </c>
      <c r="H7" s="1023"/>
      <c r="I7" s="3509"/>
      <c r="J7" s="1115"/>
      <c r="K7" s="1115"/>
      <c r="L7" s="1115"/>
      <c r="M7" s="1115"/>
      <c r="N7" s="1115"/>
      <c r="O7" s="1115"/>
      <c r="P7" s="1115"/>
    </row>
    <row r="8" spans="1:19" ht="4.5" customHeight="1">
      <c r="A8" s="2162"/>
      <c r="I8" s="1117"/>
      <c r="J8" s="1117"/>
    </row>
    <row r="9" spans="1:19">
      <c r="A9" s="944" t="s">
        <v>190</v>
      </c>
      <c r="C9" s="1079">
        <v>27.063297417950345</v>
      </c>
      <c r="D9" s="1079">
        <v>47.369937292075278</v>
      </c>
      <c r="E9" s="1079"/>
      <c r="F9" s="1079">
        <v>72.936702582049662</v>
      </c>
      <c r="G9" s="1079">
        <v>52.630062707924722</v>
      </c>
      <c r="I9" s="2163">
        <f>D9-C9</f>
        <v>20.306639874124933</v>
      </c>
      <c r="J9" s="2163"/>
      <c r="K9" s="2129"/>
      <c r="L9" s="2129"/>
      <c r="M9" s="2129"/>
      <c r="N9" s="2129"/>
      <c r="O9" s="2129"/>
      <c r="Q9" s="2164"/>
      <c r="R9" s="2164"/>
      <c r="S9" s="2164"/>
    </row>
    <row r="10" spans="1:19">
      <c r="A10" s="944" t="s">
        <v>191</v>
      </c>
      <c r="C10" s="1079">
        <v>28.06640967233222</v>
      </c>
      <c r="D10" s="1079">
        <v>57.181552311849416</v>
      </c>
      <c r="E10" s="1079"/>
      <c r="F10" s="1079">
        <v>71.933590327667773</v>
      </c>
      <c r="G10" s="1079">
        <v>42.818447688150584</v>
      </c>
      <c r="I10" s="2163">
        <f t="shared" ref="I10:I16" si="0">D10-C10</f>
        <v>29.115142639517195</v>
      </c>
      <c r="J10" s="2163"/>
      <c r="K10" s="2129"/>
      <c r="L10" s="2129"/>
      <c r="M10" s="2129"/>
      <c r="N10" s="2129"/>
      <c r="O10" s="2129"/>
      <c r="Q10" s="2164"/>
      <c r="R10" s="2164"/>
      <c r="S10" s="2164"/>
    </row>
    <row r="11" spans="1:19">
      <c r="A11" s="944" t="s">
        <v>192</v>
      </c>
      <c r="C11" s="1079">
        <v>18.451588714968601</v>
      </c>
      <c r="D11" s="1079">
        <v>42.65980297755722</v>
      </c>
      <c r="E11" s="1079"/>
      <c r="F11" s="1079">
        <v>81.548411285031392</v>
      </c>
      <c r="G11" s="1079">
        <v>57.340197022442787</v>
      </c>
      <c r="I11" s="2163">
        <f t="shared" si="0"/>
        <v>24.208214262588619</v>
      </c>
      <c r="J11" s="2163"/>
      <c r="K11" s="2129"/>
      <c r="L11" s="2129"/>
      <c r="M11" s="2129"/>
      <c r="N11" s="2129"/>
      <c r="O11" s="2129"/>
      <c r="Q11" s="2164"/>
      <c r="R11" s="2164"/>
      <c r="S11" s="2164"/>
    </row>
    <row r="12" spans="1:19">
      <c r="A12" s="944" t="s">
        <v>193</v>
      </c>
      <c r="C12" s="1079">
        <v>16.707341900068922</v>
      </c>
      <c r="D12" s="1079">
        <v>51.313871664460386</v>
      </c>
      <c r="E12" s="1079"/>
      <c r="F12" s="1079">
        <v>83.292658099931074</v>
      </c>
      <c r="G12" s="1079">
        <v>48.686128335539607</v>
      </c>
      <c r="I12" s="2163">
        <f t="shared" si="0"/>
        <v>34.606529764391468</v>
      </c>
      <c r="J12" s="2163"/>
      <c r="K12" s="2129"/>
      <c r="L12" s="2129"/>
      <c r="M12" s="2129"/>
      <c r="N12" s="2129"/>
      <c r="O12" s="2129"/>
      <c r="Q12" s="2164"/>
      <c r="R12" s="2164"/>
      <c r="S12" s="2164"/>
    </row>
    <row r="13" spans="1:19">
      <c r="A13" s="944" t="s">
        <v>194</v>
      </c>
      <c r="C13" s="1079">
        <v>13.14933500385505</v>
      </c>
      <c r="D13" s="1079">
        <v>41.994148098131895</v>
      </c>
      <c r="E13" s="1079"/>
      <c r="F13" s="1079">
        <v>86.850664996144957</v>
      </c>
      <c r="G13" s="1079">
        <v>58.005851901868112</v>
      </c>
      <c r="I13" s="2163">
        <f t="shared" si="0"/>
        <v>28.844813094276844</v>
      </c>
      <c r="J13" s="2163"/>
      <c r="K13" s="2129"/>
      <c r="L13" s="2129"/>
      <c r="M13" s="2129"/>
      <c r="N13" s="2129"/>
      <c r="O13" s="2129"/>
      <c r="Q13" s="2164"/>
      <c r="R13" s="2164"/>
      <c r="S13" s="2164"/>
    </row>
    <row r="14" spans="1:19">
      <c r="A14" s="944" t="s">
        <v>195</v>
      </c>
      <c r="C14" s="1079">
        <v>18.71518072897279</v>
      </c>
      <c r="D14" s="1079">
        <v>57.813920010469452</v>
      </c>
      <c r="E14" s="1079"/>
      <c r="F14" s="1079">
        <v>81.284819271027203</v>
      </c>
      <c r="G14" s="1079">
        <v>42.186079989530548</v>
      </c>
      <c r="I14" s="2163">
        <f t="shared" si="0"/>
        <v>39.098739281496663</v>
      </c>
      <c r="J14" s="2163"/>
      <c r="K14" s="2129"/>
      <c r="L14" s="2129"/>
      <c r="M14" s="2129"/>
      <c r="N14" s="2129"/>
      <c r="O14" s="2129"/>
      <c r="Q14" s="2164"/>
      <c r="R14" s="2164"/>
      <c r="S14" s="2164"/>
    </row>
    <row r="15" spans="1:19" ht="3" customHeight="1">
      <c r="A15" s="947"/>
      <c r="B15" s="947"/>
      <c r="C15" s="2131"/>
      <c r="D15" s="2131"/>
      <c r="E15" s="2131"/>
      <c r="F15" s="2131"/>
      <c r="G15" s="2131"/>
      <c r="H15" s="947"/>
      <c r="I15" s="2160"/>
      <c r="J15" s="2160"/>
      <c r="Q15" s="2164"/>
      <c r="R15" s="2164"/>
      <c r="S15" s="2164"/>
    </row>
    <row r="16" spans="1:19">
      <c r="A16" s="947" t="s">
        <v>18</v>
      </c>
      <c r="B16" s="947"/>
      <c r="C16" s="2131">
        <v>20.264503767786302</v>
      </c>
      <c r="D16" s="2131">
        <v>50.302171444191565</v>
      </c>
      <c r="E16" s="2131"/>
      <c r="F16" s="2131">
        <v>79.735496232213706</v>
      </c>
      <c r="G16" s="2131">
        <v>49.697828555808428</v>
      </c>
      <c r="H16" s="947"/>
      <c r="I16" s="2160">
        <f t="shared" si="0"/>
        <v>30.037667676405263</v>
      </c>
      <c r="J16" s="2160"/>
      <c r="K16" s="2129"/>
      <c r="L16" s="2129"/>
      <c r="M16" s="2129"/>
      <c r="N16" s="2129"/>
      <c r="O16" s="2129"/>
      <c r="Q16" s="2164"/>
      <c r="R16" s="2164"/>
      <c r="S16" s="2164"/>
    </row>
    <row r="17" spans="1:19" ht="2" customHeight="1">
      <c r="A17" s="1023"/>
      <c r="B17" s="1023"/>
      <c r="C17" s="1023"/>
      <c r="D17" s="1023"/>
      <c r="E17" s="1023"/>
      <c r="F17" s="1023"/>
      <c r="G17" s="1023"/>
      <c r="H17" s="1023"/>
      <c r="I17" s="1023"/>
      <c r="Q17" s="2164"/>
      <c r="R17" s="2164"/>
      <c r="S17" s="2164"/>
    </row>
    <row r="18" spans="1:19" s="1009" customFormat="1" ht="11">
      <c r="A18" s="2134" t="s">
        <v>1194</v>
      </c>
      <c r="K18" s="2165"/>
      <c r="L18" s="2165"/>
      <c r="M18" s="2165"/>
      <c r="N18" s="2165"/>
      <c r="O18" s="2165"/>
    </row>
    <row r="19" spans="1:19" s="1009" customFormat="1" ht="3" customHeight="1">
      <c r="A19" s="2134"/>
    </row>
    <row r="20" spans="1:19" s="1009" customFormat="1" ht="22.5" customHeight="1">
      <c r="A20" s="3508" t="s">
        <v>2400</v>
      </c>
      <c r="B20" s="3508"/>
      <c r="C20" s="3508"/>
      <c r="D20" s="3508"/>
      <c r="E20" s="3508"/>
      <c r="F20" s="3508"/>
      <c r="G20" s="3508"/>
      <c r="H20" s="3508"/>
      <c r="I20" s="3508"/>
      <c r="J20" s="3508"/>
      <c r="K20" s="3508"/>
    </row>
    <row r="21" spans="1:19" s="1009" customFormat="1" ht="11.25" customHeight="1">
      <c r="A21" s="3508" t="s">
        <v>1189</v>
      </c>
      <c r="B21" s="3508"/>
      <c r="C21" s="3508"/>
      <c r="D21" s="3508"/>
      <c r="E21" s="3508"/>
      <c r="F21" s="3508"/>
      <c r="G21" s="3508"/>
      <c r="H21" s="3508"/>
      <c r="I21" s="3508"/>
      <c r="J21" s="3508"/>
      <c r="K21" s="3508"/>
    </row>
    <row r="22" spans="1:19" s="1009" customFormat="1" ht="45" customHeight="1">
      <c r="A22" s="3508" t="s">
        <v>1190</v>
      </c>
      <c r="B22" s="3508"/>
      <c r="C22" s="3508"/>
      <c r="D22" s="3508"/>
      <c r="E22" s="3508"/>
      <c r="F22" s="3508"/>
      <c r="G22" s="3508"/>
      <c r="H22" s="3508"/>
      <c r="I22" s="3508"/>
      <c r="J22" s="3508"/>
      <c r="K22" s="3508"/>
    </row>
    <row r="23" spans="1:19" s="1009" customFormat="1" ht="22.5" customHeight="1">
      <c r="A23" s="3508" t="s">
        <v>1191</v>
      </c>
      <c r="B23" s="3508"/>
      <c r="C23" s="3508"/>
      <c r="D23" s="3508"/>
      <c r="E23" s="3508"/>
      <c r="F23" s="3508"/>
      <c r="G23" s="3508"/>
      <c r="H23" s="3508"/>
      <c r="I23" s="3508"/>
      <c r="J23" s="3508"/>
      <c r="K23" s="3508"/>
    </row>
    <row r="24" spans="1:19" s="1009" customFormat="1" ht="33.75" customHeight="1">
      <c r="A24" s="3508" t="s">
        <v>1192</v>
      </c>
      <c r="B24" s="3508"/>
      <c r="C24" s="3508"/>
      <c r="D24" s="3508"/>
      <c r="E24" s="3508"/>
      <c r="F24" s="3508"/>
      <c r="G24" s="3508"/>
      <c r="H24" s="3508"/>
      <c r="I24" s="3508"/>
      <c r="J24" s="3508"/>
      <c r="K24" s="3508"/>
    </row>
    <row r="25" spans="1:19" s="1009" customFormat="1" ht="11.25" customHeight="1">
      <c r="A25" s="3398" t="s">
        <v>1193</v>
      </c>
      <c r="B25" s="3398"/>
      <c r="C25" s="3398"/>
      <c r="D25" s="3398"/>
      <c r="E25" s="3398"/>
      <c r="F25" s="3398"/>
      <c r="G25" s="3398"/>
      <c r="H25" s="3398"/>
      <c r="I25" s="3398"/>
      <c r="J25" s="3398"/>
      <c r="K25" s="3398"/>
    </row>
    <row r="26" spans="1:19" s="1009" customFormat="1" ht="3" customHeight="1">
      <c r="A26" s="2166"/>
      <c r="B26" s="2166"/>
      <c r="C26" s="2166"/>
      <c r="D26" s="2166"/>
      <c r="E26" s="2166"/>
      <c r="F26" s="2166"/>
      <c r="G26" s="2166"/>
      <c r="H26" s="2166"/>
      <c r="I26" s="2166"/>
      <c r="J26" s="2166"/>
    </row>
    <row r="27" spans="1:19" s="1009" customFormat="1" ht="11">
      <c r="A27" s="1009" t="s">
        <v>2396</v>
      </c>
    </row>
    <row r="30" spans="1:19">
      <c r="A30" s="1069" t="s">
        <v>713</v>
      </c>
    </row>
  </sheetData>
  <mergeCells count="9">
    <mergeCell ref="C6:D6"/>
    <mergeCell ref="F6:G6"/>
    <mergeCell ref="A20:K20"/>
    <mergeCell ref="A25:K25"/>
    <mergeCell ref="A24:K24"/>
    <mergeCell ref="A23:K23"/>
    <mergeCell ref="A22:K22"/>
    <mergeCell ref="A21:K21"/>
    <mergeCell ref="I6:I7"/>
  </mergeCells>
  <phoneticPr fontId="10" type="noConversion"/>
  <pageMargins left="0.75" right="0.75" top="1" bottom="1" header="0.5" footer="0.5"/>
  <pageSetup paperSize="9" scale="89" orientation="portrait" r:id="rId1"/>
  <headerFooter alignWithMargins="0"/>
  <colBreaks count="1" manualBreakCount="1">
    <brk id="10"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sheetPr>
  <dimension ref="B1:H75"/>
  <sheetViews>
    <sheetView showGridLines="0" zoomScaleNormal="100" workbookViewId="0">
      <selection activeCell="I37" sqref="I37"/>
    </sheetView>
  </sheetViews>
  <sheetFormatPr baseColWidth="10" defaultColWidth="9.3984375" defaultRowHeight="13"/>
  <cols>
    <col min="1" max="1" width="9.3984375" style="919"/>
    <col min="2" max="2" width="14.59765625" style="919" bestFit="1" customWidth="1"/>
    <col min="3" max="3" width="3.3984375" style="919" customWidth="1"/>
    <col min="4" max="4" width="25.796875" style="986" customWidth="1"/>
    <col min="5" max="5" width="27" style="986" customWidth="1"/>
    <col min="6" max="6" width="11.796875" style="919" customWidth="1"/>
    <col min="7" max="8" width="12.796875" style="919" customWidth="1"/>
    <col min="9" max="9" width="16" style="919" customWidth="1"/>
    <col min="10" max="10" width="21.19921875" style="919" customWidth="1"/>
    <col min="11" max="16384" width="9.3984375" style="919"/>
  </cols>
  <sheetData>
    <row r="1" spans="2:6" ht="8.25" customHeight="1"/>
    <row r="2" spans="2:6" ht="6.75" hidden="1" customHeight="1"/>
    <row r="3" spans="2:6" ht="38.25" customHeight="1">
      <c r="B3" s="1019"/>
      <c r="C3" s="1019"/>
      <c r="D3" s="1019"/>
      <c r="E3" s="1019"/>
      <c r="F3" s="1019"/>
    </row>
    <row r="4" spans="2:6" ht="19.5" customHeight="1">
      <c r="B4" s="2800" t="s">
        <v>2701</v>
      </c>
      <c r="C4" s="2799"/>
      <c r="D4" s="2799"/>
      <c r="E4" s="2799"/>
      <c r="F4" s="2799"/>
    </row>
    <row r="5" spans="2:6" ht="28.5" customHeight="1">
      <c r="B5" s="3031" t="s">
        <v>268</v>
      </c>
      <c r="C5" s="1023"/>
      <c r="D5" s="1024" t="s">
        <v>1637</v>
      </c>
      <c r="E5" s="1022" t="s">
        <v>1173</v>
      </c>
      <c r="F5" s="1025" t="s">
        <v>2293</v>
      </c>
    </row>
    <row r="6" spans="2:6" ht="3" customHeight="1" thickBot="1">
      <c r="D6" s="987"/>
      <c r="F6" s="986"/>
    </row>
    <row r="7" spans="2:6" ht="14.25" customHeight="1" thickTop="1" thickBot="1">
      <c r="B7" s="988">
        <v>6923</v>
      </c>
      <c r="C7" s="989">
        <v>2</v>
      </c>
      <c r="D7" s="990" t="s">
        <v>1271</v>
      </c>
      <c r="E7" s="986" t="s">
        <v>197</v>
      </c>
      <c r="F7" s="991">
        <v>283</v>
      </c>
    </row>
    <row r="8" spans="2:6" ht="14.25" customHeight="1" thickTop="1" thickBot="1">
      <c r="B8" s="992">
        <v>8355</v>
      </c>
      <c r="C8" s="993"/>
      <c r="D8" s="994" t="s">
        <v>13</v>
      </c>
      <c r="E8" s="986" t="s">
        <v>198</v>
      </c>
      <c r="F8" s="991">
        <v>74</v>
      </c>
    </row>
    <row r="9" spans="2:6" ht="14.25" customHeight="1" thickTop="1" thickBot="1">
      <c r="B9" s="992">
        <v>8741</v>
      </c>
      <c r="C9" s="995">
        <v>3</v>
      </c>
      <c r="D9" s="994" t="s">
        <v>14</v>
      </c>
      <c r="E9" s="986" t="s">
        <v>201</v>
      </c>
      <c r="F9" s="991" t="s">
        <v>199</v>
      </c>
    </row>
    <row r="10" spans="2:6" ht="14.25" customHeight="1" thickTop="1" thickBot="1">
      <c r="B10" s="992">
        <v>9069</v>
      </c>
      <c r="C10" s="995"/>
      <c r="D10" s="994" t="s">
        <v>13</v>
      </c>
      <c r="E10" s="986" t="s">
        <v>200</v>
      </c>
      <c r="F10" s="991">
        <v>210</v>
      </c>
    </row>
    <row r="11" spans="2:6" ht="14.25" customHeight="1" thickTop="1" thickBot="1">
      <c r="B11" s="992">
        <v>10743</v>
      </c>
      <c r="C11" s="995"/>
      <c r="D11" s="994" t="s">
        <v>14</v>
      </c>
      <c r="E11" s="986" t="s">
        <v>201</v>
      </c>
      <c r="F11" s="991" t="s">
        <v>199</v>
      </c>
    </row>
    <row r="12" spans="2:6" ht="14.25" customHeight="1" thickTop="1" thickBot="1">
      <c r="B12" s="992">
        <v>11623</v>
      </c>
      <c r="C12" s="995">
        <v>4</v>
      </c>
      <c r="D12" s="990" t="s">
        <v>38</v>
      </c>
      <c r="E12" s="986" t="s">
        <v>201</v>
      </c>
      <c r="F12" s="991">
        <v>492</v>
      </c>
    </row>
    <row r="13" spans="2:6" ht="14.25" customHeight="1" thickTop="1" thickBot="1">
      <c r="B13" s="992">
        <v>13102</v>
      </c>
      <c r="C13" s="995">
        <v>5</v>
      </c>
      <c r="D13" s="994" t="s">
        <v>38</v>
      </c>
      <c r="E13" s="986" t="s">
        <v>200</v>
      </c>
      <c r="F13" s="991">
        <v>242</v>
      </c>
    </row>
    <row r="14" spans="2:6" ht="14.25" customHeight="1" thickTop="1" thickBot="1">
      <c r="B14" s="992">
        <v>16623</v>
      </c>
      <c r="C14" s="995"/>
      <c r="D14" s="996" t="s">
        <v>14</v>
      </c>
      <c r="E14" s="986" t="s">
        <v>202</v>
      </c>
      <c r="F14" s="991">
        <v>147</v>
      </c>
    </row>
    <row r="15" spans="2:6" ht="14.25" customHeight="1" thickTop="1" thickBot="1">
      <c r="B15" s="992">
        <v>18317</v>
      </c>
      <c r="C15" s="995"/>
      <c r="D15" s="990" t="s">
        <v>14</v>
      </c>
      <c r="E15" s="986" t="s">
        <v>202</v>
      </c>
      <c r="F15" s="991">
        <v>6</v>
      </c>
    </row>
    <row r="16" spans="2:6" ht="14.25" customHeight="1" thickTop="1" thickBot="1">
      <c r="B16" s="992">
        <v>18926</v>
      </c>
      <c r="C16" s="995"/>
      <c r="D16" s="994" t="s">
        <v>13</v>
      </c>
      <c r="E16" s="986" t="s">
        <v>203</v>
      </c>
      <c r="F16" s="991">
        <v>16</v>
      </c>
    </row>
    <row r="17" spans="2:8" ht="14.25" customHeight="1" thickTop="1" thickBot="1">
      <c r="B17" s="992">
        <v>20235</v>
      </c>
      <c r="C17" s="995"/>
      <c r="D17" s="996" t="s">
        <v>13</v>
      </c>
      <c r="E17" s="986" t="s">
        <v>204</v>
      </c>
      <c r="F17" s="991">
        <v>59</v>
      </c>
    </row>
    <row r="18" spans="2:8" ht="14.25" customHeight="1" thickTop="1" thickBot="1">
      <c r="B18" s="992">
        <v>21831</v>
      </c>
      <c r="C18" s="995"/>
      <c r="D18" s="990" t="s">
        <v>13</v>
      </c>
      <c r="E18" s="986" t="s">
        <v>727</v>
      </c>
      <c r="F18" s="991">
        <v>99</v>
      </c>
    </row>
    <row r="19" spans="2:8" ht="14.25" customHeight="1" thickTop="1" thickBot="1">
      <c r="B19" s="992">
        <v>23665</v>
      </c>
      <c r="C19" s="995"/>
      <c r="D19" s="994" t="s">
        <v>14</v>
      </c>
      <c r="E19" s="986" t="s">
        <v>205</v>
      </c>
      <c r="F19" s="991">
        <v>5</v>
      </c>
    </row>
    <row r="20" spans="2:8" ht="14.25" customHeight="1" thickTop="1" thickBot="1">
      <c r="B20" s="992">
        <v>24197</v>
      </c>
      <c r="C20" s="995"/>
      <c r="D20" s="994" t="s">
        <v>14</v>
      </c>
      <c r="E20" s="997" t="s">
        <v>205</v>
      </c>
      <c r="F20" s="991">
        <v>97</v>
      </c>
      <c r="H20" s="919">
        <f>650/2</f>
        <v>325</v>
      </c>
    </row>
    <row r="21" spans="2:8" ht="14.25" customHeight="1" thickTop="1" thickBot="1">
      <c r="B21" s="992">
        <v>25737</v>
      </c>
      <c r="C21" s="995"/>
      <c r="D21" s="994" t="s">
        <v>13</v>
      </c>
      <c r="E21" s="986" t="s">
        <v>206</v>
      </c>
      <c r="F21" s="991">
        <v>31</v>
      </c>
      <c r="H21" s="2635">
        <f>365-(650-365)</f>
        <v>80</v>
      </c>
    </row>
    <row r="22" spans="2:8" ht="14.25" customHeight="1" thickTop="1" thickBot="1">
      <c r="B22" s="992">
        <v>27088</v>
      </c>
      <c r="C22" s="995"/>
      <c r="D22" s="994" t="s">
        <v>14</v>
      </c>
      <c r="E22" s="986" t="s">
        <v>205</v>
      </c>
      <c r="F22" s="991" t="s">
        <v>199</v>
      </c>
    </row>
    <row r="23" spans="2:8" ht="14.25" customHeight="1" thickTop="1" thickBot="1">
      <c r="B23" s="998">
        <v>27312</v>
      </c>
      <c r="C23" s="999"/>
      <c r="D23" s="990" t="s">
        <v>14</v>
      </c>
      <c r="E23" s="1000" t="s">
        <v>205</v>
      </c>
      <c r="F23" s="1001">
        <v>4</v>
      </c>
      <c r="G23" s="1002"/>
      <c r="H23" s="1003"/>
    </row>
    <row r="24" spans="2:8" ht="14.25" customHeight="1" thickBot="1">
      <c r="B24" s="1004">
        <v>28978</v>
      </c>
      <c r="C24" s="989"/>
      <c r="D24" s="2296" t="s">
        <v>13</v>
      </c>
      <c r="E24" s="997" t="s">
        <v>207</v>
      </c>
      <c r="F24" s="1005">
        <v>44</v>
      </c>
      <c r="G24" s="944"/>
      <c r="H24" s="1006"/>
    </row>
    <row r="25" spans="2:8" ht="14.25" customHeight="1" thickBot="1">
      <c r="B25" s="1004">
        <v>30476</v>
      </c>
      <c r="C25" s="995"/>
      <c r="D25" s="2295" t="s">
        <v>13</v>
      </c>
      <c r="E25" s="997" t="s">
        <v>207</v>
      </c>
      <c r="F25" s="1005">
        <v>144</v>
      </c>
      <c r="G25" s="944"/>
      <c r="H25" s="1006"/>
    </row>
    <row r="26" spans="2:8" ht="14.25" customHeight="1" thickTop="1" thickBot="1">
      <c r="B26" s="1004">
        <v>31939</v>
      </c>
      <c r="C26" s="995"/>
      <c r="D26" s="994" t="s">
        <v>13</v>
      </c>
      <c r="E26" s="997" t="s">
        <v>207</v>
      </c>
      <c r="F26" s="1005">
        <v>101</v>
      </c>
      <c r="G26" s="944"/>
      <c r="H26" s="1006"/>
    </row>
    <row r="27" spans="2:8" ht="14.25" customHeight="1" thickTop="1" thickBot="1">
      <c r="B27" s="1004">
        <v>33703</v>
      </c>
      <c r="C27" s="995"/>
      <c r="D27" s="994" t="s">
        <v>13</v>
      </c>
      <c r="E27" s="997" t="s">
        <v>208</v>
      </c>
      <c r="F27" s="1005">
        <v>21</v>
      </c>
      <c r="G27" s="944"/>
      <c r="H27" s="1006"/>
    </row>
    <row r="28" spans="2:8" ht="14.25" customHeight="1" thickTop="1" thickBot="1">
      <c r="B28" s="1004">
        <v>35551</v>
      </c>
      <c r="C28" s="995"/>
      <c r="D28" s="990" t="s">
        <v>14</v>
      </c>
      <c r="E28" s="997" t="s">
        <v>209</v>
      </c>
      <c r="F28" s="1005">
        <v>178</v>
      </c>
      <c r="G28" s="944"/>
      <c r="H28" s="1006"/>
    </row>
    <row r="29" spans="2:8" ht="14.25" customHeight="1" thickTop="1" thickBot="1">
      <c r="B29" s="1004">
        <v>37049</v>
      </c>
      <c r="C29" s="995"/>
      <c r="D29" s="994" t="s">
        <v>14</v>
      </c>
      <c r="E29" s="997" t="s">
        <v>209</v>
      </c>
      <c r="F29" s="1005">
        <v>166</v>
      </c>
      <c r="G29" s="944"/>
      <c r="H29" s="1006"/>
    </row>
    <row r="30" spans="2:8" ht="14.25" customHeight="1" thickTop="1" thickBot="1">
      <c r="B30" s="1004">
        <v>38477</v>
      </c>
      <c r="C30" s="995"/>
      <c r="D30" s="994" t="s">
        <v>14</v>
      </c>
      <c r="E30" s="997" t="s">
        <v>209</v>
      </c>
      <c r="F30" s="1005">
        <v>65</v>
      </c>
      <c r="G30" s="944">
        <f>355-(645-355)</f>
        <v>65</v>
      </c>
      <c r="H30" s="1006"/>
    </row>
    <row r="31" spans="2:8" ht="14.25" customHeight="1" thickTop="1" thickBot="1">
      <c r="B31" s="1004">
        <v>40304</v>
      </c>
      <c r="C31" s="995">
        <v>6</v>
      </c>
      <c r="D31" s="994" t="s">
        <v>1271</v>
      </c>
      <c r="E31" s="997" t="s">
        <v>975</v>
      </c>
      <c r="F31" s="1005">
        <v>77</v>
      </c>
      <c r="G31" s="944"/>
      <c r="H31" s="1006"/>
    </row>
    <row r="32" spans="2:8" ht="14.25" customHeight="1" thickTop="1" thickBot="1">
      <c r="B32" s="1004">
        <v>42131</v>
      </c>
      <c r="C32" s="995"/>
      <c r="D32" s="994" t="s">
        <v>13</v>
      </c>
      <c r="E32" s="1007" t="s">
        <v>975</v>
      </c>
      <c r="F32" s="944">
        <v>11</v>
      </c>
      <c r="G32" s="944">
        <f>330-(649-330)</f>
        <v>11</v>
      </c>
      <c r="H32" s="1006"/>
    </row>
    <row r="33" spans="2:8" ht="14.25" customHeight="1" thickTop="1" thickBot="1">
      <c r="B33" s="1004">
        <v>42894</v>
      </c>
      <c r="C33" s="989"/>
      <c r="D33" s="990" t="s">
        <v>13</v>
      </c>
      <c r="E33" s="1007" t="s">
        <v>2075</v>
      </c>
      <c r="F33" s="991" t="s">
        <v>199</v>
      </c>
      <c r="G33" s="944"/>
      <c r="H33" s="1006"/>
    </row>
    <row r="34" spans="2:8" ht="14.25" customHeight="1" thickBot="1">
      <c r="B34" s="1004">
        <v>43670</v>
      </c>
      <c r="C34" s="989"/>
      <c r="D34" s="2296" t="s">
        <v>13</v>
      </c>
      <c r="E34" s="2581" t="s">
        <v>968</v>
      </c>
      <c r="F34" s="2582" t="s">
        <v>199</v>
      </c>
      <c r="G34" s="944"/>
      <c r="H34" s="1006"/>
    </row>
    <row r="35" spans="2:8" ht="14.25" customHeight="1" thickBot="1">
      <c r="B35" s="1004">
        <v>43811</v>
      </c>
      <c r="C35" s="989"/>
      <c r="D35" s="2296" t="s">
        <v>13</v>
      </c>
      <c r="E35" s="2581" t="s">
        <v>968</v>
      </c>
      <c r="F35" s="2582">
        <f>365-(649-365)</f>
        <v>81</v>
      </c>
      <c r="G35" s="2584" t="s">
        <v>2731</v>
      </c>
      <c r="H35" s="1006"/>
    </row>
    <row r="36" spans="2:8" ht="6" customHeight="1" thickTop="1">
      <c r="B36" s="1004"/>
      <c r="C36" s="989"/>
      <c r="D36" s="1000"/>
      <c r="E36" s="997"/>
      <c r="F36" s="1005"/>
      <c r="G36" s="944"/>
      <c r="H36" s="1006"/>
    </row>
    <row r="37" spans="2:8" ht="3" customHeight="1">
      <c r="B37" s="1020"/>
      <c r="C37" s="1021"/>
      <c r="D37" s="1022"/>
      <c r="E37" s="1022"/>
      <c r="F37" s="1023"/>
      <c r="G37" s="944"/>
      <c r="H37" s="1006"/>
    </row>
    <row r="38" spans="2:8" s="949" customFormat="1" ht="11.25" customHeight="1">
      <c r="B38" s="1009" t="s">
        <v>1113</v>
      </c>
      <c r="C38" s="1009"/>
      <c r="D38" s="1010"/>
      <c r="E38" s="1010"/>
      <c r="F38" s="1009"/>
      <c r="G38" s="1009"/>
      <c r="H38" s="1011"/>
    </row>
    <row r="39" spans="2:8" s="949" customFormat="1" ht="22.5" customHeight="1">
      <c r="B39" s="3397" t="s">
        <v>1420</v>
      </c>
      <c r="C39" s="3398"/>
      <c r="D39" s="3398"/>
      <c r="E39" s="3398"/>
      <c r="F39" s="3398"/>
      <c r="G39" s="3398"/>
      <c r="H39" s="3399"/>
    </row>
    <row r="40" spans="2:8" s="949" customFormat="1" ht="33.75" customHeight="1">
      <c r="B40" s="3397" t="s">
        <v>2702</v>
      </c>
      <c r="C40" s="3398"/>
      <c r="D40" s="3398"/>
      <c r="E40" s="3398"/>
      <c r="F40" s="3398"/>
      <c r="G40" s="3398"/>
      <c r="H40" s="3399"/>
    </row>
    <row r="41" spans="2:8" s="949" customFormat="1" ht="11.25" customHeight="1">
      <c r="B41" s="1008" t="s">
        <v>1276</v>
      </c>
      <c r="C41" s="1012"/>
      <c r="D41" s="1012"/>
      <c r="E41" s="1012"/>
      <c r="F41" s="1012"/>
      <c r="G41" s="1012"/>
      <c r="H41" s="1013"/>
    </row>
    <row r="42" spans="2:8" s="949" customFormat="1" ht="11.25" customHeight="1">
      <c r="B42" s="3397" t="s">
        <v>1272</v>
      </c>
      <c r="C42" s="3398"/>
      <c r="D42" s="3398"/>
      <c r="E42" s="3398"/>
      <c r="F42" s="3398"/>
      <c r="G42" s="3398"/>
      <c r="H42" s="3399"/>
    </row>
    <row r="43" spans="2:8" s="949" customFormat="1" ht="33.75" customHeight="1">
      <c r="B43" s="3397" t="s">
        <v>1273</v>
      </c>
      <c r="C43" s="3398"/>
      <c r="D43" s="3398"/>
      <c r="E43" s="3398"/>
      <c r="F43" s="3398"/>
      <c r="G43" s="3398"/>
      <c r="H43" s="3399"/>
    </row>
    <row r="44" spans="2:8" s="949" customFormat="1" ht="33.75" customHeight="1">
      <c r="B44" s="3397" t="s">
        <v>1274</v>
      </c>
      <c r="C44" s="3398"/>
      <c r="D44" s="3398"/>
      <c r="E44" s="3398"/>
      <c r="F44" s="3398"/>
      <c r="G44" s="3398"/>
      <c r="H44" s="3399"/>
    </row>
    <row r="45" spans="2:8" s="949" customFormat="1" ht="22.5" customHeight="1">
      <c r="B45" s="3397" t="s">
        <v>1275</v>
      </c>
      <c r="C45" s="3398"/>
      <c r="D45" s="3398"/>
      <c r="E45" s="3398"/>
      <c r="F45" s="3398"/>
      <c r="G45" s="3398"/>
      <c r="H45" s="3399"/>
    </row>
    <row r="46" spans="2:8" s="949" customFormat="1" ht="4.5" customHeight="1">
      <c r="B46" s="1008"/>
      <c r="C46" s="1009"/>
      <c r="D46" s="1010"/>
      <c r="E46" s="1010"/>
      <c r="F46" s="1009"/>
      <c r="G46" s="1009"/>
      <c r="H46" s="1011"/>
    </row>
    <row r="47" spans="2:8" s="949" customFormat="1" ht="11">
      <c r="B47" s="1008" t="s">
        <v>21</v>
      </c>
      <c r="C47" s="1009"/>
      <c r="D47" s="1010"/>
      <c r="E47" s="1010"/>
      <c r="F47" s="1009"/>
      <c r="G47" s="1009"/>
      <c r="H47" s="1011"/>
    </row>
    <row r="48" spans="2:8" s="949" customFormat="1" ht="11">
      <c r="B48" s="1008" t="s">
        <v>2294</v>
      </c>
      <c r="C48" s="1009"/>
      <c r="D48" s="1010"/>
      <c r="E48" s="1010"/>
      <c r="F48" s="1009"/>
      <c r="G48" s="1009"/>
      <c r="H48" s="1011"/>
    </row>
    <row r="49" spans="2:8" s="949" customFormat="1" ht="11">
      <c r="B49" s="1008" t="s">
        <v>2295</v>
      </c>
      <c r="C49" s="1009"/>
      <c r="D49" s="1010"/>
      <c r="E49" s="1010"/>
      <c r="F49" s="1009"/>
      <c r="G49" s="1009"/>
      <c r="H49" s="1011"/>
    </row>
    <row r="50" spans="2:8">
      <c r="B50" s="1014"/>
      <c r="C50" s="944"/>
      <c r="D50" s="997"/>
      <c r="E50" s="997"/>
      <c r="F50" s="944"/>
      <c r="G50" s="944"/>
      <c r="H50" s="1006"/>
    </row>
    <row r="51" spans="2:8">
      <c r="B51" s="1014"/>
      <c r="C51" s="944"/>
      <c r="D51" s="997"/>
      <c r="E51" s="997"/>
      <c r="F51" s="944"/>
      <c r="G51" s="944"/>
      <c r="H51" s="1006"/>
    </row>
    <row r="52" spans="2:8">
      <c r="B52" s="1014"/>
      <c r="C52" s="944"/>
      <c r="D52" s="997"/>
      <c r="E52" s="997"/>
      <c r="F52" s="944"/>
      <c r="G52" s="944"/>
      <c r="H52" s="1006"/>
    </row>
    <row r="53" spans="2:8">
      <c r="B53" s="1014"/>
      <c r="C53" s="944"/>
      <c r="D53" s="997"/>
      <c r="E53" s="997"/>
      <c r="F53" s="944"/>
      <c r="G53" s="944"/>
      <c r="H53" s="1006"/>
    </row>
    <row r="54" spans="2:8">
      <c r="B54" s="1014"/>
      <c r="C54" s="944"/>
      <c r="D54" s="997"/>
      <c r="E54" s="997"/>
      <c r="F54" s="944"/>
      <c r="G54" s="944"/>
      <c r="H54" s="1006"/>
    </row>
    <row r="55" spans="2:8">
      <c r="B55" s="1014"/>
      <c r="C55" s="944"/>
      <c r="D55" s="997"/>
      <c r="E55" s="997"/>
      <c r="F55" s="944"/>
      <c r="G55" s="944"/>
      <c r="H55" s="1006"/>
    </row>
    <row r="56" spans="2:8">
      <c r="B56" s="1014"/>
      <c r="C56" s="944"/>
      <c r="D56" s="997"/>
      <c r="E56" s="997"/>
      <c r="F56" s="944"/>
      <c r="G56" s="944"/>
      <c r="H56" s="1006"/>
    </row>
    <row r="57" spans="2:8">
      <c r="B57" s="1014"/>
      <c r="C57" s="944"/>
      <c r="D57" s="997"/>
      <c r="E57" s="997"/>
      <c r="F57" s="944"/>
      <c r="G57" s="944"/>
      <c r="H57" s="1006"/>
    </row>
    <row r="58" spans="2:8">
      <c r="B58" s="1014"/>
      <c r="C58" s="944"/>
      <c r="D58" s="997"/>
      <c r="E58" s="997"/>
      <c r="F58" s="944"/>
      <c r="G58" s="944"/>
      <c r="H58" s="1006"/>
    </row>
    <row r="59" spans="2:8">
      <c r="B59" s="1014"/>
      <c r="C59" s="944"/>
      <c r="D59" s="997"/>
      <c r="E59" s="997"/>
      <c r="F59" s="944"/>
      <c r="G59" s="944"/>
      <c r="H59" s="1006"/>
    </row>
    <row r="60" spans="2:8">
      <c r="B60" s="1014"/>
      <c r="C60" s="944"/>
      <c r="D60" s="997"/>
      <c r="E60" s="997"/>
      <c r="F60" s="944"/>
      <c r="G60" s="944"/>
      <c r="H60" s="1006"/>
    </row>
    <row r="61" spans="2:8">
      <c r="B61" s="1014"/>
      <c r="C61" s="944"/>
      <c r="D61" s="997"/>
      <c r="E61" s="997"/>
      <c r="F61" s="944"/>
      <c r="G61" s="944"/>
      <c r="H61" s="1006"/>
    </row>
    <row r="62" spans="2:8">
      <c r="B62" s="1014"/>
      <c r="C62" s="944"/>
      <c r="D62" s="997"/>
      <c r="E62" s="997"/>
      <c r="F62" s="944"/>
      <c r="G62" s="944"/>
      <c r="H62" s="1006"/>
    </row>
    <row r="63" spans="2:8">
      <c r="B63" s="1014"/>
      <c r="C63" s="944"/>
      <c r="D63" s="997"/>
      <c r="E63" s="997"/>
      <c r="F63" s="944"/>
      <c r="G63" s="944"/>
      <c r="H63" s="1006"/>
    </row>
    <row r="64" spans="2:8">
      <c r="B64" s="1014"/>
      <c r="C64" s="944"/>
      <c r="D64" s="997"/>
      <c r="E64" s="997"/>
      <c r="F64" s="944"/>
      <c r="G64" s="944"/>
      <c r="H64" s="1006"/>
    </row>
    <row r="65" spans="2:8">
      <c r="B65" s="1014"/>
      <c r="C65" s="944"/>
      <c r="D65" s="997"/>
      <c r="E65" s="997"/>
      <c r="F65" s="944"/>
      <c r="G65" s="944"/>
      <c r="H65" s="1006"/>
    </row>
    <row r="66" spans="2:8">
      <c r="B66" s="1014"/>
      <c r="C66" s="944"/>
      <c r="D66" s="997"/>
      <c r="E66" s="997"/>
      <c r="F66" s="944"/>
      <c r="G66" s="944"/>
      <c r="H66" s="1006"/>
    </row>
    <row r="67" spans="2:8">
      <c r="B67" s="1014"/>
      <c r="C67" s="944"/>
      <c r="D67" s="997"/>
      <c r="E67" s="997"/>
      <c r="F67" s="944"/>
      <c r="G67" s="944"/>
      <c r="H67" s="1006"/>
    </row>
    <row r="68" spans="2:8">
      <c r="B68" s="1014"/>
      <c r="C68" s="944"/>
      <c r="D68" s="997"/>
      <c r="E68" s="997"/>
      <c r="F68" s="944"/>
      <c r="G68" s="944"/>
      <c r="H68" s="1006"/>
    </row>
    <row r="69" spans="2:8">
      <c r="B69" s="1014"/>
      <c r="C69" s="944"/>
      <c r="D69" s="997"/>
      <c r="E69" s="997"/>
      <c r="F69" s="944"/>
      <c r="G69" s="944"/>
      <c r="H69" s="1006"/>
    </row>
    <row r="70" spans="2:8">
      <c r="B70" s="1014"/>
      <c r="C70" s="944"/>
      <c r="D70" s="997"/>
      <c r="E70" s="997"/>
      <c r="F70" s="944"/>
      <c r="G70" s="944"/>
      <c r="H70" s="1006"/>
    </row>
    <row r="71" spans="2:8">
      <c r="B71" s="1014"/>
      <c r="C71" s="944"/>
      <c r="D71" s="997"/>
      <c r="E71" s="997"/>
      <c r="F71" s="944"/>
      <c r="G71" s="944"/>
      <c r="H71" s="1006"/>
    </row>
    <row r="72" spans="2:8">
      <c r="B72" s="1014"/>
      <c r="C72" s="944"/>
      <c r="D72" s="997"/>
      <c r="E72" s="997"/>
      <c r="F72" s="944"/>
      <c r="G72" s="944"/>
      <c r="H72" s="1006"/>
    </row>
    <row r="73" spans="2:8">
      <c r="B73" s="1014"/>
      <c r="C73" s="944"/>
      <c r="D73" s="997"/>
      <c r="E73" s="997"/>
      <c r="F73" s="944"/>
      <c r="G73" s="944"/>
      <c r="H73" s="1006"/>
    </row>
    <row r="74" spans="2:8" ht="14" thickBot="1">
      <c r="B74" s="1015"/>
      <c r="C74" s="1016"/>
      <c r="D74" s="1017"/>
      <c r="E74" s="1017"/>
      <c r="F74" s="1016"/>
      <c r="G74" s="1016"/>
      <c r="H74" s="1018"/>
    </row>
    <row r="75" spans="2:8" ht="14" thickTop="1"/>
  </sheetData>
  <mergeCells count="6">
    <mergeCell ref="B39:H39"/>
    <mergeCell ref="B40:H40"/>
    <mergeCell ref="B42:H42"/>
    <mergeCell ref="B45:H45"/>
    <mergeCell ref="B44:H44"/>
    <mergeCell ref="B43:H43"/>
  </mergeCells>
  <phoneticPr fontId="10" type="noConversion"/>
  <conditionalFormatting sqref="D7:D35">
    <cfRule type="expression" dxfId="208" priority="4" stopIfTrue="1">
      <formula>D7="National"</formula>
    </cfRule>
    <cfRule type="expression" dxfId="207" priority="5" stopIfTrue="1">
      <formula>D7="Labour"</formula>
    </cfRule>
    <cfRule type="expression" dxfId="206" priority="6" stopIfTrue="1">
      <formula>D7="Conservative"</formula>
    </cfRule>
    <cfRule type="expression" dxfId="205" priority="7" stopIfTrue="1">
      <formula>D7="Coalition"</formula>
    </cfRule>
  </conditionalFormatting>
  <conditionalFormatting sqref="F7:F35">
    <cfRule type="dataBar" priority="2">
      <dataBar>
        <cfvo type="min"/>
        <cfvo type="max"/>
        <color theme="5"/>
      </dataBar>
      <extLst>
        <ext xmlns:x14="http://schemas.microsoft.com/office/spreadsheetml/2009/9/main" uri="{B025F937-C7B1-47D3-B67F-A62EFF666E3E}">
          <x14:id>{D2614718-97CE-417D-9958-39B25909E376}</x14:id>
        </ext>
      </extLst>
    </cfRule>
  </conditionalFormatting>
  <pageMargins left="0.75" right="0.75" top="1" bottom="1" header="0.5" footer="0.5"/>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D2614718-97CE-417D-9958-39B25909E376}">
            <x14:dataBar minLength="0" maxLength="100" gradient="0" negativeBarColorSameAsPositive="1" axisPosition="none">
              <x14:cfvo type="min"/>
              <x14:cfvo type="max"/>
            </x14:dataBar>
          </x14:cfRule>
          <xm:sqref>F7:F35</xm:sqref>
        </x14:conditionalFormatting>
      </x14:conditionalFormatting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75">
    <tabColor theme="4"/>
  </sheetPr>
  <dimension ref="A3:L39"/>
  <sheetViews>
    <sheetView showGridLines="0" workbookViewId="0"/>
  </sheetViews>
  <sheetFormatPr baseColWidth="10" defaultColWidth="9.3984375" defaultRowHeight="13"/>
  <cols>
    <col min="1" max="1" width="16.3984375" style="944" customWidth="1"/>
    <col min="2" max="2" width="1.19921875" style="944" customWidth="1"/>
    <col min="3" max="4" width="8.19921875" style="944" customWidth="1"/>
    <col min="5" max="5" width="1.19921875" style="944" customWidth="1"/>
    <col min="6" max="7" width="8.19921875" style="944" customWidth="1"/>
    <col min="8" max="8" width="1.19921875" style="944" customWidth="1"/>
    <col min="9" max="9" width="9.3984375" style="944" customWidth="1"/>
    <col min="10" max="10" width="1.19921875" style="944" customWidth="1"/>
    <col min="11" max="11" width="11.19921875" style="944" hidden="1" customWidth="1"/>
    <col min="12" max="12" width="6.59765625" style="1043" customWidth="1"/>
    <col min="13" max="16384" width="9.3984375" style="944"/>
  </cols>
  <sheetData>
    <row r="3" spans="1:12" ht="29.25" customHeight="1">
      <c r="A3" s="3510" t="s">
        <v>2056</v>
      </c>
      <c r="B3" s="3510"/>
      <c r="C3" s="3510"/>
      <c r="D3" s="3510"/>
      <c r="E3" s="3510"/>
      <c r="F3" s="3510"/>
      <c r="G3" s="3510"/>
      <c r="H3" s="3510"/>
      <c r="I3" s="3510"/>
      <c r="J3" s="3510"/>
      <c r="K3" s="3510"/>
      <c r="L3" s="3510"/>
    </row>
    <row r="4" spans="1:12" ht="34.5" customHeight="1">
      <c r="A4" s="3511" t="s">
        <v>2056</v>
      </c>
      <c r="B4" s="3511"/>
      <c r="C4" s="3511"/>
      <c r="D4" s="3511"/>
      <c r="E4" s="3511"/>
      <c r="F4" s="3511"/>
      <c r="G4" s="3511"/>
      <c r="H4" s="3511"/>
      <c r="I4" s="3511"/>
      <c r="J4" s="3511"/>
      <c r="K4" s="3511"/>
      <c r="L4" s="3511"/>
    </row>
    <row r="5" spans="1:12" ht="14.5" customHeight="1" thickBot="1">
      <c r="A5" s="2172"/>
      <c r="B5" s="1023"/>
      <c r="C5" s="3431" t="s">
        <v>175</v>
      </c>
      <c r="D5" s="3431"/>
      <c r="E5" s="1023"/>
      <c r="F5" s="3431" t="s">
        <v>176</v>
      </c>
      <c r="G5" s="3431"/>
      <c r="H5" s="1023"/>
      <c r="I5" s="1039"/>
      <c r="J5" s="1039"/>
      <c r="K5" s="1039"/>
      <c r="L5" s="3512" t="s">
        <v>212</v>
      </c>
    </row>
    <row r="6" spans="1:12">
      <c r="A6" s="2172" t="s">
        <v>1195</v>
      </c>
      <c r="B6" s="2172"/>
      <c r="C6" s="2173" t="s">
        <v>111</v>
      </c>
      <c r="D6" s="2173" t="s">
        <v>1197</v>
      </c>
      <c r="E6" s="2173"/>
      <c r="F6" s="2173" t="s">
        <v>111</v>
      </c>
      <c r="G6" s="2173" t="s">
        <v>1197</v>
      </c>
      <c r="H6" s="2173"/>
      <c r="I6" s="1039" t="s">
        <v>1196</v>
      </c>
      <c r="J6" s="1039"/>
      <c r="K6" s="1039" t="s">
        <v>177</v>
      </c>
      <c r="L6" s="3512"/>
    </row>
    <row r="7" spans="1:12" ht="4.5" customHeight="1">
      <c r="A7" s="2168"/>
      <c r="B7" s="2168"/>
      <c r="C7" s="2169"/>
      <c r="D7" s="2169"/>
      <c r="E7" s="2169"/>
      <c r="F7" s="2169"/>
      <c r="G7" s="2169"/>
      <c r="H7" s="2169"/>
      <c r="I7" s="2169"/>
      <c r="J7" s="1043"/>
      <c r="K7" s="1043"/>
    </row>
    <row r="8" spans="1:12">
      <c r="A8" s="944" t="s">
        <v>263</v>
      </c>
      <c r="C8" s="1043">
        <v>11869</v>
      </c>
      <c r="D8" s="1108">
        <f>C8/$I8</f>
        <v>0.68865680301711629</v>
      </c>
      <c r="E8" s="1043"/>
      <c r="F8" s="1043">
        <v>5366</v>
      </c>
      <c r="G8" s="1108">
        <f>F8/$I8</f>
        <v>0.31134319698288365</v>
      </c>
      <c r="H8" s="1043"/>
      <c r="I8" s="1043">
        <f>C8+F8</f>
        <v>17235</v>
      </c>
      <c r="J8" s="1043"/>
      <c r="K8" s="1043">
        <v>53196</v>
      </c>
      <c r="L8" s="1108">
        <f>I8/K8</f>
        <v>0.32399052560342884</v>
      </c>
    </row>
    <row r="9" spans="1:12">
      <c r="A9" s="944" t="s">
        <v>1029</v>
      </c>
      <c r="C9" s="1043">
        <v>25063</v>
      </c>
      <c r="D9" s="1108">
        <f t="shared" ref="D9:D31" si="0">C9/$I9</f>
        <v>0.68107829017092858</v>
      </c>
      <c r="E9" s="1043"/>
      <c r="F9" s="1043">
        <v>11736</v>
      </c>
      <c r="G9" s="1108">
        <f t="shared" ref="G9:G31" si="1">F9/$I9</f>
        <v>0.31892170982907142</v>
      </c>
      <c r="H9" s="1043"/>
      <c r="I9" s="1043">
        <f t="shared" ref="I9:I31" si="2">C9+F9</f>
        <v>36799</v>
      </c>
      <c r="J9" s="1043"/>
      <c r="K9" s="1043">
        <v>103342</v>
      </c>
      <c r="L9" s="1108">
        <f t="shared" ref="L9:L31" si="3">I9/K9</f>
        <v>0.35608948926864198</v>
      </c>
    </row>
    <row r="10" spans="1:12">
      <c r="A10" s="944" t="s">
        <v>527</v>
      </c>
      <c r="C10" s="1043">
        <v>28431</v>
      </c>
      <c r="D10" s="1108">
        <f t="shared" si="0"/>
        <v>0.64349735186274959</v>
      </c>
      <c r="E10" s="1043"/>
      <c r="F10" s="1043">
        <v>15751</v>
      </c>
      <c r="G10" s="1108">
        <f t="shared" si="1"/>
        <v>0.35650264813725047</v>
      </c>
      <c r="H10" s="1043"/>
      <c r="I10" s="1043">
        <f t="shared" si="2"/>
        <v>44182</v>
      </c>
      <c r="J10" s="1043"/>
      <c r="K10" s="1043">
        <v>128017</v>
      </c>
      <c r="L10" s="1108">
        <f t="shared" si="3"/>
        <v>0.345126037948085</v>
      </c>
    </row>
    <row r="11" spans="1:12">
      <c r="A11" s="944" t="s">
        <v>1030</v>
      </c>
      <c r="C11" s="1043">
        <v>53427</v>
      </c>
      <c r="D11" s="1108">
        <f t="shared" si="0"/>
        <v>0.61387060080659062</v>
      </c>
      <c r="E11" s="1043"/>
      <c r="F11" s="1043">
        <v>33606</v>
      </c>
      <c r="G11" s="1108">
        <f t="shared" si="1"/>
        <v>0.38612939919340938</v>
      </c>
      <c r="H11" s="1043"/>
      <c r="I11" s="1043">
        <f t="shared" si="2"/>
        <v>87033</v>
      </c>
      <c r="J11" s="1043"/>
      <c r="K11" s="1043">
        <v>248062</v>
      </c>
      <c r="L11" s="1108">
        <f t="shared" si="3"/>
        <v>0.35085180317823772</v>
      </c>
    </row>
    <row r="12" spans="1:12">
      <c r="A12" s="944" t="s">
        <v>1031</v>
      </c>
      <c r="C12" s="1043">
        <v>42979</v>
      </c>
      <c r="D12" s="1108">
        <f t="shared" si="0"/>
        <v>0.70816101234120377</v>
      </c>
      <c r="E12" s="1043"/>
      <c r="F12" s="1043">
        <v>17712</v>
      </c>
      <c r="G12" s="1108">
        <f t="shared" si="1"/>
        <v>0.29183898765879618</v>
      </c>
      <c r="H12" s="1043"/>
      <c r="I12" s="1043">
        <f t="shared" si="2"/>
        <v>60691</v>
      </c>
      <c r="J12" s="1043"/>
      <c r="K12" s="1043">
        <v>137012</v>
      </c>
      <c r="L12" s="1108">
        <f t="shared" si="3"/>
        <v>0.44296120047879017</v>
      </c>
    </row>
    <row r="13" spans="1:12" ht="15" customHeight="1">
      <c r="A13" s="944" t="s">
        <v>642</v>
      </c>
      <c r="C13" s="1043">
        <v>16505</v>
      </c>
      <c r="D13" s="1108">
        <f t="shared" si="0"/>
        <v>0.66239916522855879</v>
      </c>
      <c r="E13" s="1043"/>
      <c r="F13" s="1043">
        <v>8412</v>
      </c>
      <c r="G13" s="1108">
        <f t="shared" si="1"/>
        <v>0.33760083477144121</v>
      </c>
      <c r="H13" s="1043"/>
      <c r="I13" s="1043">
        <f t="shared" si="2"/>
        <v>24917</v>
      </c>
      <c r="J13" s="1043"/>
      <c r="K13" s="1043">
        <v>56647</v>
      </c>
      <c r="L13" s="1108">
        <f t="shared" si="3"/>
        <v>0.43986442353522692</v>
      </c>
    </row>
    <row r="14" spans="1:12">
      <c r="A14" s="944" t="s">
        <v>1032</v>
      </c>
      <c r="C14" s="1043">
        <v>18368</v>
      </c>
      <c r="D14" s="1108">
        <f t="shared" si="0"/>
        <v>0.59717796995903505</v>
      </c>
      <c r="E14" s="1043"/>
      <c r="F14" s="1043">
        <v>12390</v>
      </c>
      <c r="G14" s="1108">
        <f t="shared" si="1"/>
        <v>0.40282203004096495</v>
      </c>
      <c r="H14" s="1043"/>
      <c r="I14" s="1043">
        <f t="shared" si="2"/>
        <v>30758</v>
      </c>
      <c r="J14" s="1043"/>
      <c r="K14" s="1043">
        <v>91175</v>
      </c>
      <c r="L14" s="1108">
        <f t="shared" si="3"/>
        <v>0.33735124760076773</v>
      </c>
    </row>
    <row r="15" spans="1:12">
      <c r="A15" s="944" t="s">
        <v>1033</v>
      </c>
      <c r="C15" s="1043">
        <v>15793</v>
      </c>
      <c r="D15" s="1108">
        <f t="shared" si="0"/>
        <v>0.61848443313099666</v>
      </c>
      <c r="E15" s="1043"/>
      <c r="F15" s="1043">
        <v>9742</v>
      </c>
      <c r="G15" s="1108">
        <f t="shared" si="1"/>
        <v>0.38151556686900334</v>
      </c>
      <c r="H15" s="1043"/>
      <c r="I15" s="1043">
        <f t="shared" si="2"/>
        <v>25535</v>
      </c>
      <c r="J15" s="1043"/>
      <c r="K15" s="1043">
        <v>74279</v>
      </c>
      <c r="L15" s="1108">
        <f t="shared" si="3"/>
        <v>0.34377145626623945</v>
      </c>
    </row>
    <row r="16" spans="1:12">
      <c r="A16" s="944" t="s">
        <v>1034</v>
      </c>
      <c r="C16" s="1043">
        <v>21119</v>
      </c>
      <c r="D16" s="1108">
        <f t="shared" si="0"/>
        <v>0.62056299952985428</v>
      </c>
      <c r="E16" s="1043"/>
      <c r="F16" s="1043">
        <v>12913</v>
      </c>
      <c r="G16" s="1108">
        <f t="shared" si="1"/>
        <v>0.37943700047014572</v>
      </c>
      <c r="H16" s="1043"/>
      <c r="I16" s="1043">
        <f t="shared" si="2"/>
        <v>34032</v>
      </c>
      <c r="J16" s="1043"/>
      <c r="K16" s="1043">
        <v>115691</v>
      </c>
      <c r="L16" s="1108">
        <f t="shared" si="3"/>
        <v>0.2941628994476666</v>
      </c>
    </row>
    <row r="17" spans="1:12">
      <c r="A17" s="944" t="s">
        <v>1035</v>
      </c>
      <c r="C17" s="1043">
        <v>28200</v>
      </c>
      <c r="D17" s="1108">
        <f t="shared" si="0"/>
        <v>0.76029225418565149</v>
      </c>
      <c r="E17" s="1043"/>
      <c r="F17" s="1043">
        <v>8891</v>
      </c>
      <c r="G17" s="1108">
        <f t="shared" si="1"/>
        <v>0.23970774581434851</v>
      </c>
      <c r="H17" s="1043"/>
      <c r="I17" s="1043">
        <f t="shared" si="2"/>
        <v>37091</v>
      </c>
      <c r="J17" s="1043"/>
      <c r="K17" s="1043">
        <v>85540</v>
      </c>
      <c r="L17" s="1108">
        <f t="shared" si="3"/>
        <v>0.43361000701426233</v>
      </c>
    </row>
    <row r="18" spans="1:12" ht="15" customHeight="1">
      <c r="A18" s="944" t="s">
        <v>1036</v>
      </c>
      <c r="C18" s="1043">
        <v>14011</v>
      </c>
      <c r="D18" s="1108">
        <f t="shared" si="0"/>
        <v>0.64772779806758818</v>
      </c>
      <c r="E18" s="1043"/>
      <c r="F18" s="1043">
        <v>7620</v>
      </c>
      <c r="G18" s="1108">
        <f t="shared" si="1"/>
        <v>0.35227220193241182</v>
      </c>
      <c r="H18" s="1043"/>
      <c r="I18" s="1043">
        <f t="shared" si="2"/>
        <v>21631</v>
      </c>
      <c r="J18" s="1043"/>
      <c r="K18" s="1043">
        <v>49407</v>
      </c>
      <c r="L18" s="1108">
        <f t="shared" si="3"/>
        <v>0.4378124557248973</v>
      </c>
    </row>
    <row r="19" spans="1:12">
      <c r="A19" s="944" t="s">
        <v>545</v>
      </c>
      <c r="C19" s="1043">
        <v>9136</v>
      </c>
      <c r="D19" s="1108">
        <f t="shared" si="0"/>
        <v>0.68857401266204399</v>
      </c>
      <c r="E19" s="1043"/>
      <c r="F19" s="1043">
        <v>4132</v>
      </c>
      <c r="G19" s="1108">
        <f t="shared" si="1"/>
        <v>0.31142598733795601</v>
      </c>
      <c r="H19" s="1043"/>
      <c r="I19" s="1043">
        <f t="shared" si="2"/>
        <v>13268</v>
      </c>
      <c r="J19" s="1043"/>
      <c r="K19" s="1043">
        <v>44115</v>
      </c>
      <c r="L19" s="1108">
        <f t="shared" si="3"/>
        <v>0.30075937889606708</v>
      </c>
    </row>
    <row r="20" spans="1:12">
      <c r="A20" s="944" t="s">
        <v>1037</v>
      </c>
      <c r="C20" s="1043">
        <v>12381</v>
      </c>
      <c r="D20" s="1108">
        <f t="shared" si="0"/>
        <v>0.493620923371342</v>
      </c>
      <c r="E20" s="1043"/>
      <c r="F20" s="1043">
        <v>12701</v>
      </c>
      <c r="G20" s="1108">
        <f t="shared" si="1"/>
        <v>0.506379076628658</v>
      </c>
      <c r="H20" s="1043"/>
      <c r="I20" s="1043">
        <f t="shared" si="2"/>
        <v>25082</v>
      </c>
      <c r="J20" s="1043"/>
      <c r="K20" s="1043">
        <v>70074</v>
      </c>
      <c r="L20" s="1108">
        <f t="shared" si="3"/>
        <v>0.35793589633815681</v>
      </c>
    </row>
    <row r="21" spans="1:12">
      <c r="A21" s="944" t="s">
        <v>1038</v>
      </c>
      <c r="C21" s="1043">
        <v>29957</v>
      </c>
      <c r="D21" s="1108">
        <f t="shared" si="0"/>
        <v>0.73001754556974363</v>
      </c>
      <c r="E21" s="1043"/>
      <c r="F21" s="1043">
        <v>11079</v>
      </c>
      <c r="G21" s="1108">
        <f t="shared" si="1"/>
        <v>0.26998245443025637</v>
      </c>
      <c r="H21" s="1043"/>
      <c r="I21" s="1043">
        <f t="shared" si="2"/>
        <v>41036</v>
      </c>
      <c r="J21" s="1043"/>
      <c r="K21" s="1043">
        <v>108146</v>
      </c>
      <c r="L21" s="1108">
        <f t="shared" si="3"/>
        <v>0.37945000277402768</v>
      </c>
    </row>
    <row r="22" spans="1:12">
      <c r="A22" s="944" t="s">
        <v>1039</v>
      </c>
      <c r="C22" s="1043">
        <v>15983</v>
      </c>
      <c r="D22" s="1108">
        <f t="shared" si="0"/>
        <v>0.54760681125158461</v>
      </c>
      <c r="E22" s="1043"/>
      <c r="F22" s="1043">
        <v>13204</v>
      </c>
      <c r="G22" s="1108">
        <f t="shared" si="1"/>
        <v>0.45239318874841539</v>
      </c>
      <c r="H22" s="1043"/>
      <c r="I22" s="1043">
        <f t="shared" si="2"/>
        <v>29187</v>
      </c>
      <c r="J22" s="1043"/>
      <c r="K22" s="1043">
        <v>104700</v>
      </c>
      <c r="L22" s="1108">
        <f t="shared" si="3"/>
        <v>0.27876790830945558</v>
      </c>
    </row>
    <row r="23" spans="1:12" ht="15" customHeight="1">
      <c r="A23" s="944" t="s">
        <v>1040</v>
      </c>
      <c r="C23" s="1043">
        <v>19600</v>
      </c>
      <c r="D23" s="1108">
        <f t="shared" si="0"/>
        <v>0.54978962131837306</v>
      </c>
      <c r="E23" s="1043"/>
      <c r="F23" s="1043">
        <v>16050</v>
      </c>
      <c r="G23" s="1108">
        <f t="shared" si="1"/>
        <v>0.45021037868162694</v>
      </c>
      <c r="H23" s="1043"/>
      <c r="I23" s="1043">
        <f t="shared" si="2"/>
        <v>35650</v>
      </c>
      <c r="J23" s="1043"/>
      <c r="K23" s="1043">
        <v>92097</v>
      </c>
      <c r="L23" s="1108">
        <f t="shared" si="3"/>
        <v>0.38709187052781308</v>
      </c>
    </row>
    <row r="24" spans="1:12">
      <c r="A24" s="944" t="s">
        <v>192</v>
      </c>
      <c r="C24" s="1043">
        <v>21072</v>
      </c>
      <c r="D24" s="1108">
        <f t="shared" si="0"/>
        <v>0.51644527229057402</v>
      </c>
      <c r="E24" s="1043"/>
      <c r="F24" s="1043">
        <v>19730</v>
      </c>
      <c r="G24" s="1108">
        <f t="shared" si="1"/>
        <v>0.48355472770942604</v>
      </c>
      <c r="H24" s="1043"/>
      <c r="I24" s="1043">
        <f t="shared" si="2"/>
        <v>40802</v>
      </c>
      <c r="J24" s="1043"/>
      <c r="K24" s="1043">
        <v>102979</v>
      </c>
      <c r="L24" s="1108">
        <f t="shared" si="3"/>
        <v>0.39621670437662049</v>
      </c>
    </row>
    <row r="25" spans="1:12">
      <c r="A25" s="944" t="s">
        <v>1041</v>
      </c>
      <c r="C25" s="1043">
        <v>43051</v>
      </c>
      <c r="D25" s="1108">
        <f t="shared" si="0"/>
        <v>0.70708713147737534</v>
      </c>
      <c r="E25" s="1043"/>
      <c r="F25" s="1043">
        <v>17834</v>
      </c>
      <c r="G25" s="1108">
        <f t="shared" si="1"/>
        <v>0.2929128685226246</v>
      </c>
      <c r="H25" s="1043"/>
      <c r="I25" s="1043">
        <f t="shared" si="2"/>
        <v>60885</v>
      </c>
      <c r="J25" s="1043"/>
      <c r="K25" s="1043">
        <v>176070</v>
      </c>
      <c r="L25" s="1108">
        <f t="shared" si="3"/>
        <v>0.34579996592264439</v>
      </c>
    </row>
    <row r="26" spans="1:12">
      <c r="A26" s="944" t="s">
        <v>1042</v>
      </c>
      <c r="C26" s="1043">
        <v>38496</v>
      </c>
      <c r="D26" s="1108">
        <f t="shared" si="0"/>
        <v>0.63206633281339797</v>
      </c>
      <c r="E26" s="1043"/>
      <c r="F26" s="1043">
        <v>22409</v>
      </c>
      <c r="G26" s="1108">
        <f t="shared" si="1"/>
        <v>0.36793366718660209</v>
      </c>
      <c r="H26" s="1043"/>
      <c r="I26" s="1043">
        <f t="shared" si="2"/>
        <v>60905</v>
      </c>
      <c r="J26" s="1043"/>
      <c r="K26" s="1043">
        <v>185291</v>
      </c>
      <c r="L26" s="1108">
        <f t="shared" si="3"/>
        <v>0.32869918128781217</v>
      </c>
    </row>
    <row r="27" spans="1:12">
      <c r="A27" s="944" t="s">
        <v>1043</v>
      </c>
      <c r="C27" s="1043">
        <v>14655</v>
      </c>
      <c r="D27" s="1108">
        <f t="shared" si="0"/>
        <v>0.62781133530394551</v>
      </c>
      <c r="E27" s="1043"/>
      <c r="F27" s="1043">
        <v>8688</v>
      </c>
      <c r="G27" s="1108">
        <f t="shared" si="1"/>
        <v>0.37218866469605449</v>
      </c>
      <c r="H27" s="1043"/>
      <c r="I27" s="1043">
        <f t="shared" si="2"/>
        <v>23343</v>
      </c>
      <c r="J27" s="1043"/>
      <c r="K27" s="1043">
        <v>69132</v>
      </c>
      <c r="L27" s="1108">
        <f t="shared" si="3"/>
        <v>0.33765839264016662</v>
      </c>
    </row>
    <row r="28" spans="1:12" ht="15" customHeight="1">
      <c r="A28" s="944" t="s">
        <v>138</v>
      </c>
      <c r="C28" s="1043">
        <v>19430</v>
      </c>
      <c r="D28" s="1108">
        <f t="shared" si="0"/>
        <v>0.52540493767069574</v>
      </c>
      <c r="E28" s="1043"/>
      <c r="F28" s="1043">
        <v>17551</v>
      </c>
      <c r="G28" s="1108">
        <f t="shared" si="1"/>
        <v>0.47459506232930426</v>
      </c>
      <c r="H28" s="1043"/>
      <c r="I28" s="1043">
        <f t="shared" si="2"/>
        <v>36981</v>
      </c>
      <c r="J28" s="1043"/>
      <c r="K28" s="1043">
        <v>92280</v>
      </c>
      <c r="L28" s="1108">
        <f t="shared" si="3"/>
        <v>0.40074772431729516</v>
      </c>
    </row>
    <row r="29" spans="1:12">
      <c r="A29" s="944" t="s">
        <v>382</v>
      </c>
      <c r="C29" s="1043">
        <v>17606</v>
      </c>
      <c r="D29" s="1108">
        <f t="shared" si="0"/>
        <v>0.64094069678546728</v>
      </c>
      <c r="E29" s="1043"/>
      <c r="F29" s="1043">
        <v>9863</v>
      </c>
      <c r="G29" s="1108">
        <f t="shared" si="1"/>
        <v>0.35905930321453272</v>
      </c>
      <c r="H29" s="1043"/>
      <c r="I29" s="1043">
        <f t="shared" si="2"/>
        <v>27469</v>
      </c>
      <c r="J29" s="1043"/>
      <c r="K29" s="1043">
        <v>101792</v>
      </c>
      <c r="L29" s="1108">
        <f t="shared" si="3"/>
        <v>0.26985421251178876</v>
      </c>
    </row>
    <row r="30" spans="1:12" ht="3" customHeight="1">
      <c r="C30" s="1043"/>
      <c r="D30" s="1108"/>
      <c r="E30" s="1043"/>
      <c r="F30" s="1043"/>
      <c r="G30" s="1108"/>
      <c r="H30" s="1043"/>
      <c r="I30" s="1043"/>
      <c r="J30" s="1043"/>
      <c r="K30" s="1043"/>
      <c r="L30" s="1108"/>
    </row>
    <row r="31" spans="1:12" s="947" customFormat="1">
      <c r="A31" s="947" t="s">
        <v>18</v>
      </c>
      <c r="C31" s="1093">
        <f>SUM(C8:C29)</f>
        <v>517132</v>
      </c>
      <c r="D31" s="1109">
        <f t="shared" si="0"/>
        <v>0.63489795116585146</v>
      </c>
      <c r="E31" s="1093"/>
      <c r="F31" s="1093">
        <f>SUM(F8:F29)</f>
        <v>297380</v>
      </c>
      <c r="G31" s="1109">
        <f t="shared" si="1"/>
        <v>0.36510204883414854</v>
      </c>
      <c r="H31" s="1093"/>
      <c r="I31" s="1093">
        <f t="shared" si="2"/>
        <v>814512</v>
      </c>
      <c r="J31" s="1093"/>
      <c r="K31" s="1093">
        <v>2289044</v>
      </c>
      <c r="L31" s="1109">
        <f t="shared" si="3"/>
        <v>0.3558306437097758</v>
      </c>
    </row>
    <row r="32" spans="1:12" ht="1.25" customHeight="1">
      <c r="A32" s="2174"/>
      <c r="B32" s="2174"/>
      <c r="C32" s="2175"/>
      <c r="D32" s="2174"/>
      <c r="E32" s="2174"/>
      <c r="F32" s="2174"/>
      <c r="G32" s="2174"/>
      <c r="H32" s="2174"/>
      <c r="I32" s="2174"/>
      <c r="J32" s="1023"/>
      <c r="K32" s="1023"/>
      <c r="L32" s="1039"/>
    </row>
    <row r="33" spans="1:12" s="1009" customFormat="1" ht="11">
      <c r="A33" s="1069" t="s">
        <v>1198</v>
      </c>
      <c r="C33" s="2170"/>
      <c r="L33" s="1180"/>
    </row>
    <row r="34" spans="1:12" s="1009" customFormat="1" ht="11">
      <c r="C34" s="2170"/>
      <c r="L34" s="1180"/>
    </row>
    <row r="35" spans="1:12" s="1009" customFormat="1" ht="11">
      <c r="C35" s="2170"/>
      <c r="L35" s="1180"/>
    </row>
    <row r="36" spans="1:12" s="1009" customFormat="1" ht="11">
      <c r="C36" s="2170"/>
      <c r="L36" s="1180"/>
    </row>
    <row r="37" spans="1:12">
      <c r="A37" s="944" t="s">
        <v>210</v>
      </c>
    </row>
    <row r="38" spans="1:12">
      <c r="A38" s="944" t="s">
        <v>1044</v>
      </c>
    </row>
    <row r="39" spans="1:12">
      <c r="A39" s="2171" t="s">
        <v>1045</v>
      </c>
    </row>
  </sheetData>
  <mergeCells count="5">
    <mergeCell ref="C5:D5"/>
    <mergeCell ref="F5:G5"/>
    <mergeCell ref="A3:L3"/>
    <mergeCell ref="A4:L4"/>
    <mergeCell ref="L5:L6"/>
  </mergeCells>
  <hyperlinks>
    <hyperlink ref="A39" r:id="rId1" xr:uid="{00000000-0004-0000-5A00-000000000000}"/>
  </hyperlinks>
  <pageMargins left="0.7" right="0.7" top="0.75" bottom="0.75" header="0.3" footer="0.3"/>
  <pageSetup paperSize="9" orientation="portrait" r:id="rId2"/>
  <drawing r:id="rId3"/>
  <webPublishItems count="1">
    <webPublishItem id="23023" divId="RP11-XXX_Election Statistics UK 1918-2011_23023" sourceType="range" sourceRef="A1:I39" destinationFile="U:\election stats rp\Table 26a.mht"/>
  </webPublishItem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76"/>
  <dimension ref="A3:M38"/>
  <sheetViews>
    <sheetView showGridLines="0" workbookViewId="0">
      <selection activeCell="O68" sqref="O68"/>
    </sheetView>
  </sheetViews>
  <sheetFormatPr baseColWidth="10" defaultColWidth="9.3984375" defaultRowHeight="12"/>
  <cols>
    <col min="1" max="1" width="9.3984375" style="143"/>
    <col min="2" max="2" width="19.796875" style="143" customWidth="1"/>
    <col min="3" max="3" width="10.796875" style="143" bestFit="1" customWidth="1"/>
    <col min="4" max="4" width="10.3984375" style="143" bestFit="1" customWidth="1"/>
    <col min="5" max="16384" width="9.3984375" style="143"/>
  </cols>
  <sheetData>
    <row r="3" spans="1:13" ht="29.25" customHeight="1">
      <c r="B3" s="3513" t="s">
        <v>2056</v>
      </c>
      <c r="C3" s="3513"/>
      <c r="D3" s="3513"/>
    </row>
    <row r="4" spans="1:13" ht="4.5" customHeight="1">
      <c r="B4" s="518"/>
      <c r="C4" s="518"/>
      <c r="D4" s="518"/>
    </row>
    <row r="5" spans="1:13">
      <c r="B5" s="519"/>
      <c r="C5" s="183" t="s">
        <v>175</v>
      </c>
      <c r="D5" s="183" t="s">
        <v>176</v>
      </c>
    </row>
    <row r="6" spans="1:13">
      <c r="B6" s="520" t="s">
        <v>1195</v>
      </c>
      <c r="C6" s="521" t="s">
        <v>1185</v>
      </c>
      <c r="D6" s="521" t="s">
        <v>1186</v>
      </c>
    </row>
    <row r="7" spans="1:13">
      <c r="A7" s="143">
        <v>24</v>
      </c>
      <c r="B7" s="144" t="s">
        <v>18</v>
      </c>
      <c r="C7" s="522">
        <v>0.63489795116585146</v>
      </c>
      <c r="D7" s="522">
        <v>0.36510204883414854</v>
      </c>
      <c r="E7" s="144"/>
      <c r="F7" s="144"/>
      <c r="G7" s="144"/>
      <c r="H7" s="144"/>
      <c r="I7" s="144"/>
      <c r="J7" s="144"/>
      <c r="K7" s="144"/>
      <c r="L7" s="144"/>
      <c r="M7" s="144"/>
    </row>
    <row r="8" spans="1:13">
      <c r="B8" s="144"/>
      <c r="C8" s="522"/>
      <c r="D8" s="522"/>
      <c r="E8" s="144"/>
      <c r="F8" s="144"/>
      <c r="G8" s="144"/>
      <c r="H8" s="144"/>
      <c r="I8" s="144"/>
      <c r="J8" s="144"/>
      <c r="K8" s="144"/>
      <c r="L8" s="144"/>
      <c r="M8" s="144"/>
    </row>
    <row r="9" spans="1:13">
      <c r="A9" s="143">
        <v>22</v>
      </c>
      <c r="B9" s="143" t="s">
        <v>382</v>
      </c>
      <c r="C9" s="415">
        <v>0.64094069678546728</v>
      </c>
      <c r="D9" s="415">
        <v>0.35905930321453272</v>
      </c>
    </row>
    <row r="10" spans="1:13">
      <c r="A10" s="143">
        <v>21</v>
      </c>
      <c r="B10" s="143" t="s">
        <v>138</v>
      </c>
      <c r="C10" s="415">
        <v>0.52540493767069574</v>
      </c>
      <c r="D10" s="415">
        <v>0.47459506232930426</v>
      </c>
    </row>
    <row r="11" spans="1:13">
      <c r="A11" s="143">
        <v>20</v>
      </c>
      <c r="B11" s="143" t="s">
        <v>1043</v>
      </c>
      <c r="C11" s="415">
        <v>0.62781133530394551</v>
      </c>
      <c r="D11" s="415">
        <v>0.37218866469605449</v>
      </c>
    </row>
    <row r="12" spans="1:13">
      <c r="A12" s="143">
        <v>19</v>
      </c>
      <c r="B12" s="143" t="s">
        <v>1042</v>
      </c>
      <c r="C12" s="415">
        <v>0.63206633281339797</v>
      </c>
      <c r="D12" s="415">
        <v>0.36793366718660209</v>
      </c>
    </row>
    <row r="13" spans="1:13" ht="15" customHeight="1">
      <c r="A13" s="143">
        <v>18</v>
      </c>
      <c r="B13" s="143" t="s">
        <v>1041</v>
      </c>
      <c r="C13" s="415">
        <v>0.70708713147737534</v>
      </c>
      <c r="D13" s="415">
        <v>0.2929128685226246</v>
      </c>
    </row>
    <row r="14" spans="1:13">
      <c r="A14" s="143">
        <v>17</v>
      </c>
      <c r="B14" s="143" t="s">
        <v>192</v>
      </c>
      <c r="C14" s="415">
        <v>0.51644527229057402</v>
      </c>
      <c r="D14" s="415">
        <v>0.48355472770942604</v>
      </c>
    </row>
    <row r="15" spans="1:13">
      <c r="A15" s="143">
        <v>16</v>
      </c>
      <c r="B15" s="143" t="s">
        <v>1040</v>
      </c>
      <c r="C15" s="415">
        <v>0.54978962131837306</v>
      </c>
      <c r="D15" s="415">
        <v>0.45021037868162694</v>
      </c>
    </row>
    <row r="16" spans="1:13">
      <c r="A16" s="143">
        <v>15</v>
      </c>
      <c r="B16" s="143" t="s">
        <v>1039</v>
      </c>
      <c r="C16" s="415">
        <v>0.54760681125158461</v>
      </c>
      <c r="D16" s="415">
        <v>0.45239318874841539</v>
      </c>
    </row>
    <row r="17" spans="1:13">
      <c r="A17" s="143">
        <v>14</v>
      </c>
      <c r="B17" s="143" t="s">
        <v>1038</v>
      </c>
      <c r="C17" s="415">
        <v>0.73001754556974363</v>
      </c>
      <c r="D17" s="415">
        <v>0.26998245443025637</v>
      </c>
    </row>
    <row r="18" spans="1:13" ht="15" customHeight="1">
      <c r="A18" s="143">
        <v>13</v>
      </c>
      <c r="B18" s="143" t="s">
        <v>1037</v>
      </c>
      <c r="C18" s="415">
        <v>0.493620923371342</v>
      </c>
      <c r="D18" s="415">
        <v>0.506379076628658</v>
      </c>
    </row>
    <row r="19" spans="1:13">
      <c r="A19" s="143">
        <v>12</v>
      </c>
      <c r="B19" s="143" t="s">
        <v>545</v>
      </c>
      <c r="C19" s="415">
        <v>0.68857401266204399</v>
      </c>
      <c r="D19" s="415">
        <v>0.31142598733795601</v>
      </c>
    </row>
    <row r="20" spans="1:13">
      <c r="A20" s="143">
        <v>11</v>
      </c>
      <c r="B20" s="143" t="s">
        <v>1036</v>
      </c>
      <c r="C20" s="415">
        <v>0.64772779806758818</v>
      </c>
      <c r="D20" s="415">
        <v>0.35227220193241182</v>
      </c>
    </row>
    <row r="21" spans="1:13">
      <c r="A21" s="143">
        <v>10</v>
      </c>
      <c r="B21" s="143" t="s">
        <v>1035</v>
      </c>
      <c r="C21" s="415">
        <v>0.76029225418565149</v>
      </c>
      <c r="D21" s="415">
        <v>0.23970774581434851</v>
      </c>
    </row>
    <row r="22" spans="1:13">
      <c r="A22" s="143">
        <v>9</v>
      </c>
      <c r="B22" s="143" t="s">
        <v>1034</v>
      </c>
      <c r="C22" s="415">
        <v>0.62056299952985428</v>
      </c>
      <c r="D22" s="415">
        <v>0.37943700047014572</v>
      </c>
    </row>
    <row r="23" spans="1:13" ht="15" customHeight="1">
      <c r="A23" s="143">
        <v>8</v>
      </c>
      <c r="B23" s="143" t="s">
        <v>1033</v>
      </c>
      <c r="C23" s="415">
        <v>0.61848443313099666</v>
      </c>
      <c r="D23" s="415">
        <v>0.38151556686900334</v>
      </c>
    </row>
    <row r="24" spans="1:13">
      <c r="A24" s="143">
        <v>7</v>
      </c>
      <c r="B24" s="143" t="s">
        <v>1032</v>
      </c>
      <c r="C24" s="415">
        <v>0.59717796995903505</v>
      </c>
      <c r="D24" s="415">
        <v>0.40282203004096495</v>
      </c>
    </row>
    <row r="25" spans="1:13">
      <c r="A25" s="143">
        <v>6</v>
      </c>
      <c r="B25" s="143" t="s">
        <v>642</v>
      </c>
      <c r="C25" s="415">
        <v>0.66239916522855879</v>
      </c>
      <c r="D25" s="415">
        <v>0.33760083477144121</v>
      </c>
    </row>
    <row r="26" spans="1:13">
      <c r="A26" s="143">
        <v>5</v>
      </c>
      <c r="B26" s="143" t="s">
        <v>1031</v>
      </c>
      <c r="C26" s="415">
        <v>0.70816101234120377</v>
      </c>
      <c r="D26" s="415">
        <v>0.29183898765879618</v>
      </c>
    </row>
    <row r="27" spans="1:13">
      <c r="A27" s="143">
        <v>4</v>
      </c>
      <c r="B27" s="143" t="s">
        <v>1030</v>
      </c>
      <c r="C27" s="415">
        <v>0.61387060080659062</v>
      </c>
      <c r="D27" s="415">
        <v>0.38612939919340938</v>
      </c>
    </row>
    <row r="28" spans="1:13" ht="15" customHeight="1">
      <c r="A28" s="143">
        <v>3</v>
      </c>
      <c r="B28" s="143" t="s">
        <v>527</v>
      </c>
      <c r="C28" s="415">
        <v>0.64349735186274959</v>
      </c>
      <c r="D28" s="415">
        <v>0.35650264813725047</v>
      </c>
    </row>
    <row r="29" spans="1:13">
      <c r="A29" s="143">
        <v>2</v>
      </c>
      <c r="B29" s="143" t="s">
        <v>1029</v>
      </c>
      <c r="C29" s="415">
        <v>0.68107829017092858</v>
      </c>
      <c r="D29" s="415">
        <v>0.31892170982907142</v>
      </c>
    </row>
    <row r="30" spans="1:13" s="144" customFormat="1">
      <c r="A30" s="143">
        <v>1</v>
      </c>
      <c r="B30" s="143" t="s">
        <v>263</v>
      </c>
      <c r="C30" s="415">
        <v>0.68865680301711629</v>
      </c>
      <c r="D30" s="415">
        <v>0.31134319698288365</v>
      </c>
      <c r="E30" s="143"/>
      <c r="F30" s="143"/>
      <c r="G30" s="143"/>
      <c r="H30" s="143"/>
      <c r="I30" s="143"/>
      <c r="J30" s="143"/>
      <c r="K30" s="143"/>
      <c r="L30" s="143"/>
      <c r="M30" s="143"/>
    </row>
    <row r="31" spans="1:13" ht="4.5" customHeight="1">
      <c r="B31" s="523"/>
      <c r="C31" s="523"/>
      <c r="D31" s="523"/>
    </row>
    <row r="32" spans="1:13" s="146" customFormat="1" ht="11">
      <c r="B32" s="146" t="s">
        <v>1198</v>
      </c>
    </row>
    <row r="33" spans="2:2" s="146" customFormat="1" ht="11"/>
    <row r="34" spans="2:2" s="146" customFormat="1" ht="11"/>
    <row r="35" spans="2:2" s="146" customFormat="1" ht="11"/>
    <row r="36" spans="2:2">
      <c r="B36" s="143" t="s">
        <v>210</v>
      </c>
    </row>
    <row r="37" spans="2:2">
      <c r="B37" s="143" t="s">
        <v>1044</v>
      </c>
    </row>
    <row r="38" spans="2:2">
      <c r="B38" s="524" t="s">
        <v>1045</v>
      </c>
    </row>
  </sheetData>
  <mergeCells count="1">
    <mergeCell ref="B3:D3"/>
  </mergeCells>
  <hyperlinks>
    <hyperlink ref="B38" r:id="rId1" xr:uid="{00000000-0004-0000-5B00-000000000000}"/>
  </hyperlinks>
  <pageMargins left="0.7" right="0.7" top="0.75" bottom="0.75" header="0.3" footer="0.3"/>
  <pageSetup paperSize="9" orientation="portrait" r:id="rId2"/>
  <drawing r:id="rId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79">
    <tabColor theme="4"/>
  </sheetPr>
  <dimension ref="A1:W32"/>
  <sheetViews>
    <sheetView showGridLines="0" workbookViewId="0">
      <selection activeCell="R38" sqref="R38"/>
    </sheetView>
  </sheetViews>
  <sheetFormatPr baseColWidth="10" defaultColWidth="9.3984375" defaultRowHeight="14"/>
  <cols>
    <col min="1" max="1" width="14.796875" style="850" customWidth="1"/>
    <col min="2" max="2" width="28.19921875" style="850" hidden="1" customWidth="1"/>
    <col min="3" max="3" width="10.3984375" style="850" hidden="1" customWidth="1"/>
    <col min="4" max="4" width="12.796875" style="850" hidden="1" customWidth="1"/>
    <col min="5" max="10" width="0" style="850" hidden="1" customWidth="1"/>
    <col min="11" max="11" width="11.3984375" style="850" hidden="1" customWidth="1"/>
    <col min="12" max="12" width="13.19921875" style="850" hidden="1" customWidth="1"/>
    <col min="13" max="13" width="1.19921875" style="850" customWidth="1"/>
    <col min="14" max="14" width="11.796875" style="850" customWidth="1"/>
    <col min="15" max="15" width="9.3984375" style="850"/>
    <col min="16" max="16" width="1.19921875" style="850" customWidth="1"/>
    <col min="17" max="17" width="11.796875" style="850" customWidth="1"/>
    <col min="18" max="18" width="9.3984375" style="850"/>
    <col min="19" max="19" width="1.19921875" style="850" customWidth="1"/>
    <col min="20" max="20" width="12" style="850" customWidth="1"/>
    <col min="21" max="21" width="1.19921875" style="850" customWidth="1"/>
    <col min="22" max="22" width="11.796875" style="850" hidden="1" customWidth="1"/>
    <col min="23" max="23" width="7.59765625" style="850" customWidth="1"/>
    <col min="24" max="16384" width="9.3984375" style="850"/>
  </cols>
  <sheetData>
    <row r="1" spans="1:23">
      <c r="A1" s="2176"/>
    </row>
    <row r="3" spans="1:23">
      <c r="A3" s="2176" t="s">
        <v>1058</v>
      </c>
      <c r="B3" s="2176"/>
      <c r="C3" s="2176"/>
      <c r="D3" s="2176"/>
      <c r="E3" s="2176"/>
      <c r="F3" s="2176"/>
      <c r="G3" s="2176"/>
      <c r="H3" s="2176"/>
      <c r="I3" s="2176"/>
      <c r="J3" s="2176"/>
      <c r="K3" s="2176"/>
      <c r="L3" s="2176"/>
    </row>
    <row r="4" spans="1:23">
      <c r="A4" s="2176"/>
      <c r="B4" s="2176"/>
      <c r="C4" s="2176"/>
      <c r="D4" s="2176"/>
      <c r="E4" s="2176"/>
      <c r="F4" s="2176"/>
      <c r="G4" s="2176"/>
      <c r="H4" s="2176"/>
      <c r="I4" s="2176"/>
      <c r="J4" s="2176"/>
      <c r="K4" s="2176"/>
      <c r="L4" s="2176"/>
    </row>
    <row r="5" spans="1:23">
      <c r="A5" s="2177"/>
      <c r="B5" s="2176"/>
      <c r="C5" s="2176"/>
      <c r="D5" s="2176"/>
      <c r="E5" s="2176"/>
      <c r="F5" s="2176"/>
      <c r="G5" s="2176"/>
      <c r="H5" s="2176"/>
      <c r="I5" s="2176"/>
      <c r="J5" s="2176"/>
      <c r="K5" s="2176"/>
      <c r="L5" s="2176"/>
    </row>
    <row r="6" spans="1:23" ht="18" customHeight="1">
      <c r="A6" s="2187" t="s">
        <v>2057</v>
      </c>
      <c r="B6" s="2184"/>
      <c r="C6" s="2185" t="s">
        <v>111</v>
      </c>
      <c r="D6" s="2185"/>
      <c r="E6" s="2186"/>
      <c r="F6" s="2185" t="s">
        <v>1046</v>
      </c>
      <c r="G6" s="2185"/>
      <c r="H6" s="2186"/>
      <c r="I6" s="2184"/>
      <c r="J6" s="2184"/>
      <c r="K6" s="2184"/>
      <c r="L6" s="2184"/>
      <c r="M6" s="853"/>
      <c r="N6" s="853"/>
      <c r="O6" s="853"/>
      <c r="P6" s="853"/>
      <c r="Q6" s="853"/>
      <c r="R6" s="853"/>
      <c r="S6" s="853"/>
      <c r="T6" s="853"/>
      <c r="U6" s="853"/>
      <c r="V6" s="853"/>
      <c r="W6" s="853"/>
    </row>
    <row r="7" spans="1:23" s="944" customFormat="1" ht="15" thickBot="1">
      <c r="A7" s="2522"/>
      <c r="B7" s="2522"/>
      <c r="C7" s="2523" t="s">
        <v>175</v>
      </c>
      <c r="D7" s="2523" t="s">
        <v>176</v>
      </c>
      <c r="E7" s="2523"/>
      <c r="F7" s="2523" t="s">
        <v>1047</v>
      </c>
      <c r="G7" s="2523" t="s">
        <v>1048</v>
      </c>
      <c r="H7" s="2523"/>
      <c r="I7" s="2523" t="s">
        <v>219</v>
      </c>
      <c r="J7" s="2523"/>
      <c r="K7" s="2523" t="s">
        <v>34</v>
      </c>
      <c r="L7" s="2523" t="s">
        <v>177</v>
      </c>
      <c r="M7" s="871"/>
      <c r="N7" s="3497" t="s">
        <v>175</v>
      </c>
      <c r="O7" s="3497"/>
      <c r="P7" s="871"/>
      <c r="Q7" s="3416" t="s">
        <v>176</v>
      </c>
      <c r="R7" s="3416"/>
      <c r="S7" s="871"/>
      <c r="T7" s="871"/>
      <c r="U7" s="871"/>
      <c r="V7" s="871"/>
      <c r="W7" s="871"/>
    </row>
    <row r="8" spans="1:23" s="944" customFormat="1">
      <c r="A8" s="2522"/>
      <c r="B8" s="2522"/>
      <c r="C8" s="2522"/>
      <c r="D8" s="2522"/>
      <c r="E8" s="2522"/>
      <c r="F8" s="2522"/>
      <c r="G8" s="2522"/>
      <c r="H8" s="2522"/>
      <c r="I8" s="2522"/>
      <c r="J8" s="2522"/>
      <c r="K8" s="2522"/>
      <c r="L8" s="2522"/>
      <c r="M8" s="871"/>
      <c r="N8" s="1183" t="s">
        <v>111</v>
      </c>
      <c r="O8" s="1183" t="s">
        <v>1197</v>
      </c>
      <c r="P8" s="1183"/>
      <c r="Q8" s="1183" t="s">
        <v>111</v>
      </c>
      <c r="R8" s="1183" t="s">
        <v>1197</v>
      </c>
      <c r="S8" s="1183"/>
      <c r="T8" s="1183" t="s">
        <v>1200</v>
      </c>
      <c r="U8" s="1183"/>
      <c r="V8" s="1183" t="s">
        <v>177</v>
      </c>
      <c r="W8" s="1183" t="s">
        <v>219</v>
      </c>
    </row>
    <row r="9" spans="1:23" s="944" customFormat="1" ht="3.75" customHeight="1">
      <c r="A9" s="2524"/>
      <c r="B9" s="2524"/>
      <c r="C9" s="2525"/>
      <c r="D9" s="2525"/>
      <c r="E9" s="2525"/>
      <c r="F9" s="2525"/>
      <c r="G9" s="2525"/>
      <c r="H9" s="2525"/>
      <c r="I9" s="2526"/>
      <c r="J9" s="2526"/>
      <c r="K9" s="2526"/>
      <c r="L9" s="2526"/>
      <c r="M9" s="1312"/>
      <c r="N9" s="1312"/>
      <c r="O9" s="1312"/>
      <c r="P9" s="1312"/>
      <c r="Q9" s="1312"/>
      <c r="R9" s="1312"/>
      <c r="S9" s="1312"/>
      <c r="T9" s="1312"/>
      <c r="U9" s="1312"/>
      <c r="V9" s="1312"/>
      <c r="W9" s="1312"/>
    </row>
    <row r="10" spans="1:23" s="944" customFormat="1">
      <c r="A10" s="2524" t="s">
        <v>17</v>
      </c>
      <c r="B10" s="2524"/>
      <c r="C10" s="2527">
        <v>4824357</v>
      </c>
      <c r="D10" s="2527">
        <v>10774735</v>
      </c>
      <c r="E10" s="2524"/>
      <c r="F10" s="2528">
        <v>0.30927165504248583</v>
      </c>
      <c r="G10" s="2528">
        <v>0.69072834495751423</v>
      </c>
      <c r="H10" s="2524"/>
      <c r="I10" s="2528">
        <v>0.40703695129529827</v>
      </c>
      <c r="J10" s="2525"/>
      <c r="K10" s="2527">
        <f>SUM(K20,K12:K19)</f>
        <v>15599092</v>
      </c>
      <c r="L10" s="2527">
        <f>SUM(L20,L12:L19)</f>
        <v>38323528</v>
      </c>
      <c r="M10" s="1312"/>
      <c r="N10" s="2527">
        <v>4824357</v>
      </c>
      <c r="O10" s="1286">
        <f>N10/T10</f>
        <v>0.30927165504248583</v>
      </c>
      <c r="P10" s="1312"/>
      <c r="Q10" s="2527">
        <v>10774735</v>
      </c>
      <c r="R10" s="1286">
        <f>Q10/T10</f>
        <v>0.69072834495751423</v>
      </c>
      <c r="S10" s="1312"/>
      <c r="T10" s="1312">
        <f>Q10+N10</f>
        <v>15599092</v>
      </c>
      <c r="U10" s="1312"/>
      <c r="V10" s="1312">
        <f>SUM(V20,V12:V19)</f>
        <v>38323528</v>
      </c>
      <c r="W10" s="1286">
        <f>T10/V10</f>
        <v>0.40703695129529827</v>
      </c>
    </row>
    <row r="11" spans="1:23" s="944" customFormat="1" hidden="1">
      <c r="A11" s="2524"/>
      <c r="B11" s="2524"/>
      <c r="C11" s="2527"/>
      <c r="D11" s="2527"/>
      <c r="E11" s="2524"/>
      <c r="F11" s="2528"/>
      <c r="G11" s="2528"/>
      <c r="H11" s="2524"/>
      <c r="I11" s="2528"/>
      <c r="J11" s="2525"/>
      <c r="K11" s="2525"/>
      <c r="L11" s="2525"/>
      <c r="M11" s="1312"/>
      <c r="N11" s="2527"/>
      <c r="O11" s="1312"/>
      <c r="P11" s="1312"/>
      <c r="Q11" s="2527"/>
      <c r="R11" s="1312"/>
      <c r="S11" s="1312"/>
      <c r="T11" s="1312"/>
      <c r="U11" s="1312"/>
      <c r="V11" s="1312"/>
      <c r="W11" s="1312"/>
    </row>
    <row r="12" spans="1:23" s="944" customFormat="1" hidden="1">
      <c r="A12" s="2524"/>
      <c r="B12" s="2524" t="s">
        <v>1049</v>
      </c>
      <c r="C12" s="2529">
        <v>212951</v>
      </c>
      <c r="D12" s="2529">
        <v>546138</v>
      </c>
      <c r="E12" s="2529"/>
      <c r="F12" s="2530">
        <v>0.2805349570340237</v>
      </c>
      <c r="G12" s="2530">
        <v>0.71946504296597635</v>
      </c>
      <c r="H12" s="2530"/>
      <c r="I12" s="2530">
        <v>0.38568910599211337</v>
      </c>
      <c r="J12" s="2530"/>
      <c r="K12" s="2529">
        <f>C12+D12</f>
        <v>759089</v>
      </c>
      <c r="L12" s="2529">
        <v>1968137</v>
      </c>
      <c r="M12" s="1312"/>
      <c r="N12" s="2529">
        <v>212951</v>
      </c>
      <c r="O12" s="1312"/>
      <c r="P12" s="1312"/>
      <c r="Q12" s="2529">
        <v>546138</v>
      </c>
      <c r="R12" s="1312"/>
      <c r="S12" s="1312"/>
      <c r="T12" s="1312">
        <f t="shared" ref="T12:T20" si="0">L12+M12</f>
        <v>1968137</v>
      </c>
      <c r="U12" s="1312"/>
      <c r="V12" s="1312">
        <v>1968137</v>
      </c>
      <c r="W12" s="1312"/>
    </row>
    <row r="13" spans="1:23" s="944" customFormat="1" hidden="1">
      <c r="A13" s="2524"/>
      <c r="B13" s="2524" t="s">
        <v>1050</v>
      </c>
      <c r="C13" s="2529">
        <v>461847</v>
      </c>
      <c r="D13" s="2529">
        <v>1157772</v>
      </c>
      <c r="E13" s="2529"/>
      <c r="F13" s="2530">
        <v>0.28515780563206533</v>
      </c>
      <c r="G13" s="2530">
        <v>0.71484219436793472</v>
      </c>
      <c r="H13" s="2530"/>
      <c r="I13" s="2530">
        <v>0.39565425461357107</v>
      </c>
      <c r="J13" s="2530"/>
      <c r="K13" s="2529">
        <f t="shared" ref="K13:K26" si="1">C13+D13</f>
        <v>1619619</v>
      </c>
      <c r="L13" s="2529">
        <v>4093521</v>
      </c>
      <c r="M13" s="1312"/>
      <c r="N13" s="2529">
        <v>461847</v>
      </c>
      <c r="O13" s="1312"/>
      <c r="P13" s="1312"/>
      <c r="Q13" s="2529">
        <v>1157772</v>
      </c>
      <c r="R13" s="1312"/>
      <c r="S13" s="1312"/>
      <c r="T13" s="1312">
        <f t="shared" si="0"/>
        <v>4093521</v>
      </c>
      <c r="U13" s="1312"/>
      <c r="V13" s="1312">
        <v>4093521</v>
      </c>
      <c r="W13" s="1312"/>
    </row>
    <row r="14" spans="1:23" s="944" customFormat="1" hidden="1">
      <c r="A14" s="2524"/>
      <c r="B14" s="2524" t="s">
        <v>1051</v>
      </c>
      <c r="C14" s="2529">
        <v>408877</v>
      </c>
      <c r="D14" s="2529">
        <v>1013864</v>
      </c>
      <c r="E14" s="2529"/>
      <c r="F14" s="2530">
        <v>0.28738681179497882</v>
      </c>
      <c r="G14" s="2530">
        <v>0.71261318820502118</v>
      </c>
      <c r="H14" s="2530"/>
      <c r="I14" s="2530">
        <v>0.42489298840753792</v>
      </c>
      <c r="J14" s="2530"/>
      <c r="K14" s="2529">
        <f t="shared" si="1"/>
        <v>1422741</v>
      </c>
      <c r="L14" s="2529">
        <v>3348469</v>
      </c>
      <c r="M14" s="1312"/>
      <c r="N14" s="2529">
        <v>408877</v>
      </c>
      <c r="O14" s="1312"/>
      <c r="P14" s="1312"/>
      <c r="Q14" s="2529">
        <v>1013864</v>
      </c>
      <c r="R14" s="1312"/>
      <c r="S14" s="1312"/>
      <c r="T14" s="1312">
        <f t="shared" si="0"/>
        <v>3348469</v>
      </c>
      <c r="U14" s="1312"/>
      <c r="V14" s="1312">
        <v>3348469</v>
      </c>
      <c r="W14" s="1312"/>
    </row>
    <row r="15" spans="1:23" s="944" customFormat="1" hidden="1">
      <c r="A15" s="2524"/>
      <c r="B15" s="2524" t="s">
        <v>1052</v>
      </c>
      <c r="C15" s="2529">
        <v>530140</v>
      </c>
      <c r="D15" s="2529">
        <v>1298004</v>
      </c>
      <c r="E15" s="2529"/>
      <c r="F15" s="2530">
        <v>0.28998809721772462</v>
      </c>
      <c r="G15" s="2530">
        <v>0.71001190278227533</v>
      </c>
      <c r="H15" s="2530"/>
      <c r="I15" s="2530">
        <v>0.42883918061574389</v>
      </c>
      <c r="J15" s="2530"/>
      <c r="K15" s="2529">
        <f t="shared" si="1"/>
        <v>1828144</v>
      </c>
      <c r="L15" s="2529">
        <v>4263006</v>
      </c>
      <c r="M15" s="1312"/>
      <c r="N15" s="2529">
        <v>530140</v>
      </c>
      <c r="O15" s="1312"/>
      <c r="P15" s="1312"/>
      <c r="Q15" s="2529">
        <v>1298004</v>
      </c>
      <c r="R15" s="1312"/>
      <c r="S15" s="1312"/>
      <c r="T15" s="1312">
        <f t="shared" si="0"/>
        <v>4263006</v>
      </c>
      <c r="U15" s="1312"/>
      <c r="V15" s="1312">
        <v>4263006</v>
      </c>
      <c r="W15" s="1312"/>
    </row>
    <row r="16" spans="1:23" s="944" customFormat="1" hidden="1">
      <c r="A16" s="2524"/>
      <c r="B16" s="2524" t="s">
        <v>1053</v>
      </c>
      <c r="C16" s="2529">
        <v>823793</v>
      </c>
      <c r="D16" s="2529">
        <v>1951793</v>
      </c>
      <c r="E16" s="2529"/>
      <c r="F16" s="2530">
        <v>0.29679966680909903</v>
      </c>
      <c r="G16" s="2530">
        <v>0.70320033319090092</v>
      </c>
      <c r="H16" s="2530"/>
      <c r="I16" s="2530">
        <v>0.44138429601584894</v>
      </c>
      <c r="J16" s="2530"/>
      <c r="K16" s="2529">
        <f t="shared" si="1"/>
        <v>2775586</v>
      </c>
      <c r="L16" s="2529">
        <v>6288366</v>
      </c>
      <c r="M16" s="1312"/>
      <c r="N16" s="2529">
        <v>823793</v>
      </c>
      <c r="O16" s="1312"/>
      <c r="P16" s="1312"/>
      <c r="Q16" s="2529">
        <v>1951793</v>
      </c>
      <c r="R16" s="1312"/>
      <c r="S16" s="1312"/>
      <c r="T16" s="1312">
        <f t="shared" si="0"/>
        <v>6288366</v>
      </c>
      <c r="U16" s="1312"/>
      <c r="V16" s="1312">
        <v>6288366</v>
      </c>
      <c r="W16" s="1312"/>
    </row>
    <row r="17" spans="1:23" s="944" customFormat="1" hidden="1">
      <c r="A17" s="2524"/>
      <c r="B17" s="2524" t="s">
        <v>1054</v>
      </c>
      <c r="C17" s="2529">
        <v>613249</v>
      </c>
      <c r="D17" s="2529">
        <v>1416201</v>
      </c>
      <c r="E17" s="2529"/>
      <c r="F17" s="2530">
        <v>0.30217497351499173</v>
      </c>
      <c r="G17" s="2530">
        <v>0.69782502648500822</v>
      </c>
      <c r="H17" s="2530"/>
      <c r="I17" s="2530">
        <v>0.38734966330573628</v>
      </c>
      <c r="J17" s="2530"/>
      <c r="K17" s="2529">
        <f t="shared" si="1"/>
        <v>2029450</v>
      </c>
      <c r="L17" s="2529">
        <v>5239323</v>
      </c>
      <c r="M17" s="1312"/>
      <c r="N17" s="2529">
        <v>613249</v>
      </c>
      <c r="O17" s="1312"/>
      <c r="P17" s="1312"/>
      <c r="Q17" s="2529">
        <v>1416201</v>
      </c>
      <c r="R17" s="1312"/>
      <c r="S17" s="1312"/>
      <c r="T17" s="1312">
        <f t="shared" si="0"/>
        <v>5239323</v>
      </c>
      <c r="U17" s="1312"/>
      <c r="V17" s="1312">
        <v>5239323</v>
      </c>
      <c r="W17" s="1312"/>
    </row>
    <row r="18" spans="1:23" s="944" customFormat="1" hidden="1">
      <c r="A18" s="2524"/>
      <c r="B18" s="2524" t="s">
        <v>1055</v>
      </c>
      <c r="C18" s="2529">
        <v>474532</v>
      </c>
      <c r="D18" s="2529">
        <v>1042178</v>
      </c>
      <c r="E18" s="2529"/>
      <c r="F18" s="2530">
        <v>0.31286930263530932</v>
      </c>
      <c r="G18" s="2530">
        <v>0.68713069736469068</v>
      </c>
      <c r="H18" s="2530"/>
      <c r="I18" s="2530">
        <v>0.39548379106014875</v>
      </c>
      <c r="J18" s="2530"/>
      <c r="K18" s="2529">
        <f t="shared" si="1"/>
        <v>1516710</v>
      </c>
      <c r="L18" s="2529">
        <v>3835075</v>
      </c>
      <c r="M18" s="1312"/>
      <c r="N18" s="2529">
        <v>474532</v>
      </c>
      <c r="O18" s="1312"/>
      <c r="P18" s="1312"/>
      <c r="Q18" s="2529">
        <v>1042178</v>
      </c>
      <c r="R18" s="1312"/>
      <c r="S18" s="1312"/>
      <c r="T18" s="1312">
        <f t="shared" si="0"/>
        <v>3835075</v>
      </c>
      <c r="U18" s="1312"/>
      <c r="V18" s="1312">
        <v>3835075</v>
      </c>
      <c r="W18" s="1312"/>
    </row>
    <row r="19" spans="1:23" s="944" customFormat="1" hidden="1">
      <c r="A19" s="2524"/>
      <c r="B19" s="2524" t="s">
        <v>1056</v>
      </c>
      <c r="C19" s="2529">
        <v>564541</v>
      </c>
      <c r="D19" s="2529">
        <v>1225305</v>
      </c>
      <c r="E19" s="2529"/>
      <c r="F19" s="2530">
        <v>0.31541316962464927</v>
      </c>
      <c r="G19" s="2530">
        <v>0.68458683037535073</v>
      </c>
      <c r="H19" s="2530"/>
      <c r="I19" s="2530">
        <v>0.44425960992635827</v>
      </c>
      <c r="J19" s="2530"/>
      <c r="K19" s="2529">
        <f t="shared" si="1"/>
        <v>1789846</v>
      </c>
      <c r="L19" s="2529">
        <v>4028829</v>
      </c>
      <c r="M19" s="1312"/>
      <c r="N19" s="2529">
        <v>564541</v>
      </c>
      <c r="O19" s="1312"/>
      <c r="P19" s="1312"/>
      <c r="Q19" s="2529">
        <v>1225305</v>
      </c>
      <c r="R19" s="1312"/>
      <c r="S19" s="1312"/>
      <c r="T19" s="1312">
        <f t="shared" si="0"/>
        <v>4028829</v>
      </c>
      <c r="U19" s="1312"/>
      <c r="V19" s="1312">
        <v>4028829</v>
      </c>
      <c r="W19" s="1312"/>
    </row>
    <row r="20" spans="1:23" s="944" customFormat="1" hidden="1">
      <c r="A20" s="2524"/>
      <c r="B20" s="2524" t="s">
        <v>683</v>
      </c>
      <c r="C20" s="2529">
        <v>734427</v>
      </c>
      <c r="D20" s="2529">
        <v>1123480</v>
      </c>
      <c r="E20" s="2529"/>
      <c r="F20" s="2530">
        <v>0.39529804236702915</v>
      </c>
      <c r="G20" s="2530">
        <v>0.60470195763297085</v>
      </c>
      <c r="H20" s="2530"/>
      <c r="I20" s="2530">
        <v>0.35329472377929422</v>
      </c>
      <c r="J20" s="2530"/>
      <c r="K20" s="2529">
        <f>C20+D20</f>
        <v>1857907</v>
      </c>
      <c r="L20" s="2529">
        <v>5258802</v>
      </c>
      <c r="M20" s="1312"/>
      <c r="N20" s="2529">
        <v>734427</v>
      </c>
      <c r="O20" s="1312"/>
      <c r="P20" s="1312"/>
      <c r="Q20" s="2529">
        <v>1123480</v>
      </c>
      <c r="R20" s="1312"/>
      <c r="S20" s="1312"/>
      <c r="T20" s="1312">
        <f t="shared" si="0"/>
        <v>5258802</v>
      </c>
      <c r="U20" s="1312"/>
      <c r="V20" s="1312">
        <v>5258802</v>
      </c>
      <c r="W20" s="1312"/>
    </row>
    <row r="21" spans="1:23" s="944" customFormat="1" hidden="1">
      <c r="A21" s="2524"/>
      <c r="B21" s="2524"/>
      <c r="C21" s="2529"/>
      <c r="D21" s="2529"/>
      <c r="E21" s="2529"/>
      <c r="F21" s="2530"/>
      <c r="G21" s="2530"/>
      <c r="H21" s="2530"/>
      <c r="I21" s="2530"/>
      <c r="J21" s="2530"/>
      <c r="K21" s="2529"/>
      <c r="L21" s="2529"/>
      <c r="M21" s="1312"/>
      <c r="N21" s="2529"/>
      <c r="O21" s="1312"/>
      <c r="P21" s="1312"/>
      <c r="Q21" s="2529"/>
      <c r="R21" s="1312"/>
      <c r="S21" s="1312"/>
      <c r="T21" s="1312"/>
      <c r="U21" s="1312"/>
      <c r="V21" s="1312"/>
      <c r="W21" s="1312"/>
    </row>
    <row r="22" spans="1:23" s="944" customFormat="1">
      <c r="A22" s="2524" t="s">
        <v>18</v>
      </c>
      <c r="B22" s="2524"/>
      <c r="C22" s="2529">
        <v>325349</v>
      </c>
      <c r="D22" s="2529">
        <v>616307</v>
      </c>
      <c r="E22" s="2529"/>
      <c r="F22" s="2530">
        <v>0.34550727654260155</v>
      </c>
      <c r="G22" s="2530">
        <v>0.65449272345739851</v>
      </c>
      <c r="H22" s="2530"/>
      <c r="I22" s="2530">
        <v>0.4150569986234644</v>
      </c>
      <c r="J22" s="2530"/>
      <c r="K22" s="2529">
        <f t="shared" si="1"/>
        <v>941656</v>
      </c>
      <c r="L22" s="2529">
        <v>2268739</v>
      </c>
      <c r="M22" s="1312"/>
      <c r="N22" s="2529">
        <v>325349</v>
      </c>
      <c r="O22" s="1286">
        <f>N22/T22</f>
        <v>0.34550727654260155</v>
      </c>
      <c r="P22" s="1312"/>
      <c r="Q22" s="2529">
        <v>616307</v>
      </c>
      <c r="R22" s="1286">
        <f>Q22/T22</f>
        <v>0.65449272345739851</v>
      </c>
      <c r="S22" s="1312"/>
      <c r="T22" s="1312">
        <f>Q22+N22</f>
        <v>941656</v>
      </c>
      <c r="U22" s="1312"/>
      <c r="V22" s="1312">
        <v>2268739</v>
      </c>
      <c r="W22" s="1286">
        <f>T22/V22</f>
        <v>0.4150569986234644</v>
      </c>
    </row>
    <row r="23" spans="1:23" s="944" customFormat="1">
      <c r="A23" s="2524" t="s">
        <v>19</v>
      </c>
      <c r="B23" s="2524"/>
      <c r="C23" s="2529">
        <v>713813</v>
      </c>
      <c r="D23" s="2529">
        <v>1249375</v>
      </c>
      <c r="E23" s="2529"/>
      <c r="F23" s="2530">
        <v>0.36359890137877776</v>
      </c>
      <c r="G23" s="2530">
        <v>0.63640109862122218</v>
      </c>
      <c r="H23" s="2530"/>
      <c r="I23" s="2530">
        <v>0.50425195491294206</v>
      </c>
      <c r="J23" s="2530"/>
      <c r="K23" s="2529">
        <f t="shared" si="1"/>
        <v>1963188</v>
      </c>
      <c r="L23" s="2529">
        <v>3893268</v>
      </c>
      <c r="M23" s="1312"/>
      <c r="N23" s="2529">
        <v>713813</v>
      </c>
      <c r="O23" s="1286">
        <f>N23/T23</f>
        <v>0.36359890137877776</v>
      </c>
      <c r="P23" s="1312"/>
      <c r="Q23" s="2529">
        <v>1249375</v>
      </c>
      <c r="R23" s="1286">
        <f>Q23/T23</f>
        <v>0.63640109862122218</v>
      </c>
      <c r="S23" s="1312"/>
      <c r="T23" s="1312">
        <f>Q23+N23</f>
        <v>1963188</v>
      </c>
      <c r="U23" s="1312"/>
      <c r="V23" s="1312">
        <v>3893268</v>
      </c>
      <c r="W23" s="1286">
        <f>T23/V23</f>
        <v>0.50425195491294206</v>
      </c>
    </row>
    <row r="24" spans="1:23" s="944" customFormat="1">
      <c r="A24" s="2524" t="s">
        <v>20</v>
      </c>
      <c r="B24" s="2524"/>
      <c r="C24" s="2529">
        <v>289088</v>
      </c>
      <c r="D24" s="2529">
        <v>372706</v>
      </c>
      <c r="E24" s="2529"/>
      <c r="F24" s="2530">
        <v>0.43682475211319532</v>
      </c>
      <c r="G24" s="2530">
        <v>0.56317524788680462</v>
      </c>
      <c r="H24" s="2530"/>
      <c r="I24" s="2530">
        <v>0.55197061467964892</v>
      </c>
      <c r="J24" s="2530"/>
      <c r="K24" s="2529">
        <f t="shared" si="1"/>
        <v>661794</v>
      </c>
      <c r="L24" s="2529">
        <v>1198966</v>
      </c>
      <c r="M24" s="1312"/>
      <c r="N24" s="2529">
        <v>289088</v>
      </c>
      <c r="O24" s="1286">
        <f>N24/T24</f>
        <v>0.43682475211319532</v>
      </c>
      <c r="P24" s="1312"/>
      <c r="Q24" s="2529">
        <v>372706</v>
      </c>
      <c r="R24" s="1286">
        <f>Q24/T24</f>
        <v>0.56317524788680462</v>
      </c>
      <c r="S24" s="1312"/>
      <c r="T24" s="1312">
        <f>Q24+N24</f>
        <v>661794</v>
      </c>
      <c r="U24" s="1312"/>
      <c r="V24" s="1312">
        <v>1198966</v>
      </c>
      <c r="W24" s="1286">
        <f>T24/V24</f>
        <v>0.55197061467964892</v>
      </c>
    </row>
    <row r="25" spans="1:23" s="944" customFormat="1" ht="3" customHeight="1">
      <c r="A25" s="2524"/>
      <c r="B25" s="2524"/>
      <c r="C25" s="2529"/>
      <c r="D25" s="2529"/>
      <c r="E25" s="2529"/>
      <c r="F25" s="2529"/>
      <c r="G25" s="2529"/>
      <c r="H25" s="2529"/>
      <c r="I25" s="2530"/>
      <c r="J25" s="2530"/>
      <c r="K25" s="2529"/>
      <c r="L25" s="2529"/>
      <c r="M25" s="1312"/>
      <c r="N25" s="2529"/>
      <c r="O25" s="1286"/>
      <c r="P25" s="1312"/>
      <c r="Q25" s="2529"/>
      <c r="R25" s="1286"/>
      <c r="S25" s="1312"/>
      <c r="T25" s="1312"/>
      <c r="U25" s="1312"/>
      <c r="V25" s="1312"/>
      <c r="W25" s="1286"/>
    </row>
    <row r="26" spans="1:23" s="947" customFormat="1">
      <c r="A26" s="3135" t="s">
        <v>1057</v>
      </c>
      <c r="B26" s="3135"/>
      <c r="C26" s="3136">
        <v>6152607</v>
      </c>
      <c r="D26" s="3136">
        <v>13013123</v>
      </c>
      <c r="E26" s="3136"/>
      <c r="F26" s="3137">
        <v>0.32102127077862413</v>
      </c>
      <c r="G26" s="3137">
        <v>0.67897872922137581</v>
      </c>
      <c r="H26" s="3137"/>
      <c r="I26" s="3137">
        <v>0.41952368047097638</v>
      </c>
      <c r="J26" s="3137"/>
      <c r="K26" s="3136">
        <f t="shared" si="1"/>
        <v>19165730</v>
      </c>
      <c r="L26" s="3136">
        <v>45684501</v>
      </c>
      <c r="M26" s="3138"/>
      <c r="N26" s="3136">
        <v>6152607</v>
      </c>
      <c r="O26" s="3139">
        <f>N26/T26</f>
        <v>0.32102127077862413</v>
      </c>
      <c r="P26" s="3138"/>
      <c r="Q26" s="3136">
        <v>13013123</v>
      </c>
      <c r="R26" s="3139">
        <f>Q26/T26</f>
        <v>0.67897872922137581</v>
      </c>
      <c r="S26" s="3138"/>
      <c r="T26" s="3138">
        <f>Q26+N26</f>
        <v>19165730</v>
      </c>
      <c r="U26" s="3138"/>
      <c r="V26" s="3138">
        <v>45684501</v>
      </c>
      <c r="W26" s="3139">
        <f>T26/V26</f>
        <v>0.41952368047097638</v>
      </c>
    </row>
    <row r="27" spans="1:23" s="944" customFormat="1" ht="3.75" customHeight="1">
      <c r="A27" s="2183"/>
      <c r="B27" s="2183"/>
      <c r="C27" s="2183"/>
      <c r="D27" s="2183"/>
      <c r="E27" s="2183"/>
      <c r="F27" s="2183"/>
      <c r="G27" s="2183"/>
      <c r="H27" s="2183"/>
      <c r="I27" s="2183"/>
      <c r="J27" s="2183"/>
      <c r="K27" s="2183"/>
      <c r="L27" s="2183"/>
      <c r="M27" s="1023"/>
      <c r="N27" s="1023"/>
      <c r="O27" s="1023"/>
      <c r="P27" s="1023"/>
      <c r="Q27" s="1023"/>
      <c r="R27" s="1023"/>
      <c r="S27" s="1023"/>
      <c r="T27" s="1023"/>
      <c r="U27" s="1023"/>
      <c r="V27" s="1023"/>
      <c r="W27" s="1023"/>
    </row>
    <row r="28" spans="1:23" s="1009" customFormat="1">
      <c r="A28" s="2178" t="s">
        <v>2402</v>
      </c>
      <c r="B28" s="2178"/>
      <c r="C28" s="2178"/>
      <c r="D28" s="2178"/>
      <c r="E28" s="2178"/>
      <c r="F28" s="2178"/>
      <c r="G28" s="2178"/>
      <c r="H28" s="2178"/>
      <c r="I28" s="2178"/>
      <c r="J28" s="2178"/>
      <c r="K28" s="2178"/>
      <c r="L28" s="2178"/>
      <c r="M28" s="2179"/>
      <c r="N28" s="2179"/>
      <c r="O28" s="2179"/>
      <c r="P28" s="2179"/>
      <c r="Q28" s="2179"/>
      <c r="R28" s="2179"/>
      <c r="S28" s="2179"/>
      <c r="T28" s="2179"/>
      <c r="U28" s="2180"/>
      <c r="V28" s="2180"/>
      <c r="W28" s="2180"/>
    </row>
    <row r="29" spans="1:23" ht="16">
      <c r="A29" s="2178" t="s">
        <v>2403</v>
      </c>
      <c r="B29" s="2178"/>
      <c r="C29" s="2178"/>
      <c r="D29" s="2178"/>
      <c r="E29" s="2178"/>
      <c r="F29" s="2178"/>
      <c r="G29" s="2178"/>
      <c r="H29" s="2178"/>
      <c r="I29" s="2178"/>
      <c r="J29" s="2178"/>
      <c r="K29" s="2178"/>
      <c r="L29" s="2178"/>
      <c r="M29" s="2179"/>
      <c r="N29" s="2179"/>
      <c r="O29" s="2179"/>
      <c r="P29" s="2179"/>
      <c r="Q29" s="2179"/>
      <c r="R29" s="2179"/>
      <c r="S29" s="2179"/>
      <c r="T29" s="2179"/>
      <c r="U29" s="1312"/>
      <c r="V29" s="1312"/>
      <c r="W29" s="1312"/>
    </row>
    <row r="30" spans="1:23">
      <c r="A30" s="2176"/>
      <c r="B30" s="2176"/>
      <c r="C30" s="2176"/>
      <c r="D30" s="2176"/>
      <c r="E30" s="2176"/>
      <c r="F30" s="2176"/>
      <c r="G30" s="2176"/>
      <c r="H30" s="2176"/>
      <c r="I30" s="2176"/>
      <c r="J30" s="2176"/>
      <c r="K30" s="2176"/>
      <c r="L30" s="2176"/>
    </row>
    <row r="31" spans="1:23">
      <c r="A31" s="1214" t="s">
        <v>210</v>
      </c>
      <c r="B31" s="2176"/>
      <c r="C31" s="2176"/>
      <c r="D31" s="2176"/>
      <c r="E31" s="2176"/>
      <c r="F31" s="2176"/>
      <c r="G31" s="2176"/>
      <c r="H31" s="2176"/>
      <c r="I31" s="2176"/>
      <c r="J31" s="2176"/>
      <c r="K31" s="2176"/>
      <c r="L31" s="2176"/>
    </row>
    <row r="32" spans="1:23">
      <c r="A32" s="2176" t="s">
        <v>1059</v>
      </c>
      <c r="B32" s="2176"/>
      <c r="C32" s="2181"/>
      <c r="D32" s="2181"/>
      <c r="E32" s="2176"/>
      <c r="F32" s="2182"/>
      <c r="G32" s="2182"/>
      <c r="H32" s="2176"/>
      <c r="I32" s="2182"/>
      <c r="J32" s="2176"/>
    </row>
  </sheetData>
  <mergeCells count="2">
    <mergeCell ref="Q7:R7"/>
    <mergeCell ref="N7:O7"/>
  </mergeCells>
  <pageMargins left="0.7" right="0.7" top="0.75" bottom="0.75" header="0.3" footer="0.3"/>
  <pageSetup paperSize="9"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80"/>
  <dimension ref="A1:D21"/>
  <sheetViews>
    <sheetView showGridLines="0" workbookViewId="0">
      <selection activeCell="O68" sqref="O68"/>
    </sheetView>
  </sheetViews>
  <sheetFormatPr baseColWidth="10" defaultColWidth="9.3984375" defaultRowHeight="13"/>
  <cols>
    <col min="1" max="1" width="9.3984375" style="113"/>
    <col min="2" max="3" width="10.796875" style="113" customWidth="1"/>
    <col min="4" max="4" width="10.3984375" style="113" bestFit="1" customWidth="1"/>
    <col min="5" max="16384" width="9.3984375" style="113"/>
  </cols>
  <sheetData>
    <row r="1" spans="1:4">
      <c r="B1" s="528"/>
    </row>
    <row r="3" spans="1:4">
      <c r="B3" s="528" t="s">
        <v>1058</v>
      </c>
    </row>
    <row r="4" spans="1:4">
      <c r="B4" s="528"/>
    </row>
    <row r="5" spans="1:4">
      <c r="B5" s="530" t="s">
        <v>2017</v>
      </c>
    </row>
    <row r="6" spans="1:4" ht="4.5" customHeight="1">
      <c r="B6" s="529"/>
    </row>
    <row r="7" spans="1:4" s="101" customFormat="1" ht="12">
      <c r="B7" s="422"/>
      <c r="C7" s="535"/>
      <c r="D7" s="183"/>
    </row>
    <row r="8" spans="1:4" s="101" customFormat="1" ht="10" customHeight="1">
      <c r="B8" s="532"/>
      <c r="C8" s="103" t="s">
        <v>1185</v>
      </c>
      <c r="D8" s="103" t="s">
        <v>1186</v>
      </c>
    </row>
    <row r="9" spans="1:4" s="101" customFormat="1" ht="10" customHeight="1">
      <c r="A9" s="101">
        <v>5</v>
      </c>
      <c r="B9" s="531" t="s">
        <v>1057</v>
      </c>
      <c r="C9" s="109">
        <v>0.32102127077862413</v>
      </c>
      <c r="D9" s="109">
        <v>0.67897872922137581</v>
      </c>
    </row>
    <row r="10" spans="1:4" s="101" customFormat="1" ht="10" customHeight="1">
      <c r="B10" s="531"/>
      <c r="C10" s="109"/>
      <c r="D10" s="109"/>
    </row>
    <row r="11" spans="1:4" s="101" customFormat="1" ht="12">
      <c r="A11" s="101">
        <v>4</v>
      </c>
      <c r="B11" s="531" t="s">
        <v>20</v>
      </c>
      <c r="C11" s="109">
        <v>0.43682475211319532</v>
      </c>
      <c r="D11" s="109">
        <v>0.56317524788680462</v>
      </c>
    </row>
    <row r="12" spans="1:4" s="101" customFormat="1" ht="12">
      <c r="A12" s="101">
        <v>3</v>
      </c>
      <c r="B12" s="531" t="s">
        <v>19</v>
      </c>
      <c r="C12" s="109">
        <v>0.36359890137877776</v>
      </c>
      <c r="D12" s="109">
        <v>0.63640109862122218</v>
      </c>
    </row>
    <row r="13" spans="1:4" s="101" customFormat="1" ht="12">
      <c r="A13" s="101">
        <v>2</v>
      </c>
      <c r="B13" s="531" t="s">
        <v>18</v>
      </c>
      <c r="C13" s="109">
        <v>0.34550727654260155</v>
      </c>
      <c r="D13" s="109">
        <v>0.65449272345739851</v>
      </c>
    </row>
    <row r="14" spans="1:4" s="101" customFormat="1" ht="12">
      <c r="A14" s="101">
        <v>1</v>
      </c>
      <c r="B14" s="531" t="s">
        <v>17</v>
      </c>
      <c r="C14" s="109">
        <v>0.30927165504248583</v>
      </c>
      <c r="D14" s="109">
        <v>0.69072834495751423</v>
      </c>
    </row>
    <row r="15" spans="1:4" s="101" customFormat="1" ht="12">
      <c r="B15" s="533"/>
      <c r="C15" s="136"/>
      <c r="D15" s="136"/>
    </row>
    <row r="16" spans="1:4">
      <c r="B16" s="528"/>
    </row>
    <row r="17" spans="2:2" s="127" customFormat="1" ht="11">
      <c r="B17" s="534" t="s">
        <v>1612</v>
      </c>
    </row>
    <row r="18" spans="2:2">
      <c r="B18" s="528"/>
    </row>
    <row r="19" spans="2:2">
      <c r="B19" s="528"/>
    </row>
    <row r="20" spans="2:2">
      <c r="B20" s="362" t="s">
        <v>210</v>
      </c>
    </row>
    <row r="21" spans="2:2">
      <c r="B21" s="528" t="s">
        <v>1059</v>
      </c>
    </row>
  </sheetData>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826C-4F48-49E5-842D-FC20B50480F0}">
  <dimension ref="A1:O113"/>
  <sheetViews>
    <sheetView workbookViewId="0">
      <pane xSplit="1" ySplit="2" topLeftCell="B66"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4"/>
  <cols>
    <col min="1" max="1" width="8.796875" style="2961"/>
    <col min="2" max="2" width="11.3984375" style="2963" bestFit="1" customWidth="1"/>
    <col min="3" max="3" width="11.3984375" style="2963" customWidth="1"/>
    <col min="4" max="4" width="9.19921875" style="2964" bestFit="1" customWidth="1"/>
    <col min="5" max="7" width="11.3984375" style="2963" customWidth="1"/>
    <col min="8" max="8" width="8.796875" style="2962"/>
    <col min="9" max="9" width="10.3984375" style="2962" bestFit="1" customWidth="1"/>
    <col min="10" max="10" width="8.796875" style="2961"/>
    <col min="11" max="11" width="12.59765625" style="2961" bestFit="1" customWidth="1"/>
    <col min="12" max="16384" width="8.796875" style="2961"/>
  </cols>
  <sheetData>
    <row r="1" spans="1:15">
      <c r="A1" s="2969">
        <v>1918</v>
      </c>
    </row>
    <row r="2" spans="1:15">
      <c r="A2" s="2988"/>
      <c r="B2" s="2986" t="s">
        <v>2568</v>
      </c>
      <c r="C2" s="2986" t="s">
        <v>153</v>
      </c>
      <c r="D2" s="2987" t="s">
        <v>153</v>
      </c>
      <c r="E2" s="2986" t="s">
        <v>2567</v>
      </c>
      <c r="F2" s="2986" t="s">
        <v>2566</v>
      </c>
      <c r="G2" s="2986" t="s">
        <v>2565</v>
      </c>
    </row>
    <row r="3" spans="1:15">
      <c r="A3" s="2969" t="s">
        <v>2564</v>
      </c>
    </row>
    <row r="4" spans="1:15">
      <c r="A4" s="2961" t="s">
        <v>2544</v>
      </c>
      <c r="B4" s="2963">
        <v>3097350</v>
      </c>
      <c r="C4" s="2644">
        <f t="shared" ref="C4:C18" si="0">D4/100</f>
        <v>0.38900000000000001</v>
      </c>
      <c r="D4" s="2964">
        <v>38.9</v>
      </c>
      <c r="E4" s="2963">
        <v>318</v>
      </c>
      <c r="F4" s="2963">
        <v>40</v>
      </c>
      <c r="G4" s="2963">
        <v>295</v>
      </c>
      <c r="I4" s="2648" t="b">
        <f>I5=I6</f>
        <v>1</v>
      </c>
      <c r="J4" s="2648"/>
      <c r="K4" s="2648"/>
      <c r="L4" s="2648" t="b">
        <f>L5=L6</f>
        <v>1</v>
      </c>
      <c r="M4" s="2648" t="b">
        <f>M5=M6</f>
        <v>1</v>
      </c>
      <c r="N4" s="2648" t="b">
        <f>N5=N6</f>
        <v>1</v>
      </c>
      <c r="O4" s="2648"/>
    </row>
    <row r="5" spans="1:15">
      <c r="A5" s="2961" t="s">
        <v>2553</v>
      </c>
      <c r="B5" s="2963">
        <v>962871</v>
      </c>
      <c r="C5" s="2644">
        <f t="shared" si="0"/>
        <v>0.11599999999999999</v>
      </c>
      <c r="D5" s="2964">
        <v>11.6</v>
      </c>
      <c r="E5" s="2963">
        <v>95</v>
      </c>
      <c r="F5" s="2963">
        <v>12</v>
      </c>
      <c r="G5" s="2963">
        <v>82</v>
      </c>
      <c r="I5" s="2647">
        <f t="shared" ref="I5:N5" si="1">SUM(B4:B8,B10:B18)</f>
        <v>8050878</v>
      </c>
      <c r="J5" s="2647">
        <f t="shared" si="1"/>
        <v>1</v>
      </c>
      <c r="K5" s="2647">
        <f t="shared" si="1"/>
        <v>100</v>
      </c>
      <c r="L5" s="2647">
        <f t="shared" si="1"/>
        <v>1151</v>
      </c>
      <c r="M5" s="2647">
        <f t="shared" si="1"/>
        <v>63</v>
      </c>
      <c r="N5" s="2647">
        <f t="shared" si="1"/>
        <v>485</v>
      </c>
      <c r="O5" s="2647"/>
    </row>
    <row r="6" spans="1:15">
      <c r="A6" s="2961" t="s">
        <v>2552</v>
      </c>
      <c r="B6" s="2963">
        <v>39715</v>
      </c>
      <c r="C6" s="2644">
        <f t="shared" si="0"/>
        <v>3.0000000000000001E-3</v>
      </c>
      <c r="D6" s="2964">
        <v>0.3</v>
      </c>
      <c r="E6" s="2963">
        <v>4</v>
      </c>
      <c r="F6" s="2963">
        <v>1</v>
      </c>
      <c r="G6" s="2963">
        <v>3</v>
      </c>
      <c r="I6" s="2975">
        <f t="shared" ref="I6:N6" si="2">B19</f>
        <v>8050878</v>
      </c>
      <c r="J6" s="2975">
        <f t="shared" si="2"/>
        <v>1</v>
      </c>
      <c r="K6" s="2975">
        <f t="shared" si="2"/>
        <v>0</v>
      </c>
      <c r="L6" s="2975">
        <f t="shared" si="2"/>
        <v>1151</v>
      </c>
      <c r="M6" s="2975">
        <f t="shared" si="2"/>
        <v>63</v>
      </c>
      <c r="N6" s="2975">
        <f t="shared" si="2"/>
        <v>485</v>
      </c>
      <c r="O6" s="2975"/>
    </row>
    <row r="7" spans="1:15">
      <c r="A7" s="2961" t="s">
        <v>2550</v>
      </c>
      <c r="B7" s="2963">
        <v>121673</v>
      </c>
      <c r="C7" s="2644">
        <f t="shared" si="0"/>
        <v>1.6E-2</v>
      </c>
      <c r="D7" s="2964">
        <v>1.6</v>
      </c>
      <c r="E7" s="2963">
        <v>15</v>
      </c>
      <c r="F7" s="2963">
        <v>0</v>
      </c>
      <c r="G7" s="2963">
        <v>8</v>
      </c>
      <c r="J7" s="2979"/>
      <c r="K7" s="2648"/>
      <c r="L7" s="2979"/>
      <c r="M7" s="2979"/>
    </row>
    <row r="8" spans="1:15">
      <c r="A8" s="2961" t="s">
        <v>2551</v>
      </c>
      <c r="B8" s="2963">
        <v>9274</v>
      </c>
      <c r="C8" s="2644">
        <f t="shared" si="0"/>
        <v>1E-3</v>
      </c>
      <c r="D8" s="2964">
        <v>0.1</v>
      </c>
      <c r="E8" s="2963">
        <v>1</v>
      </c>
      <c r="F8" s="2963">
        <v>0</v>
      </c>
      <c r="G8" s="2963">
        <v>1</v>
      </c>
      <c r="J8" s="2979"/>
      <c r="K8" s="2648"/>
      <c r="L8" s="2979"/>
      <c r="M8" s="2979"/>
    </row>
    <row r="9" spans="1:15" s="2974" customFormat="1">
      <c r="A9" s="2974" t="s">
        <v>2542</v>
      </c>
      <c r="B9" s="2977">
        <v>4230883</v>
      </c>
      <c r="C9" s="2644">
        <f t="shared" si="0"/>
        <v>0.52500000000000002</v>
      </c>
      <c r="D9" s="2978">
        <v>52.5</v>
      </c>
      <c r="E9" s="2977">
        <v>433</v>
      </c>
      <c r="F9" s="2977">
        <v>53</v>
      </c>
      <c r="G9" s="2977">
        <v>389</v>
      </c>
      <c r="H9" s="2976"/>
      <c r="I9" s="2976"/>
      <c r="J9" s="2984"/>
      <c r="K9" s="2653"/>
      <c r="L9" s="2984"/>
      <c r="M9" s="2984"/>
    </row>
    <row r="10" spans="1:15">
      <c r="A10" s="2961" t="s">
        <v>2540</v>
      </c>
      <c r="B10" s="2963">
        <v>317281</v>
      </c>
      <c r="C10" s="2644">
        <f t="shared" si="0"/>
        <v>3.7000000000000005E-2</v>
      </c>
      <c r="D10" s="2964">
        <v>3.7</v>
      </c>
      <c r="E10" s="2963">
        <v>34</v>
      </c>
      <c r="F10" s="2963">
        <v>0</v>
      </c>
      <c r="G10" s="2963">
        <v>20</v>
      </c>
      <c r="J10" s="2979"/>
      <c r="K10" s="2648"/>
      <c r="L10" s="2979"/>
      <c r="M10" s="2979"/>
    </row>
    <row r="11" spans="1:15">
      <c r="A11" s="2961" t="s">
        <v>2541</v>
      </c>
      <c r="B11" s="2963">
        <v>1172700</v>
      </c>
      <c r="C11" s="2644">
        <f t="shared" si="0"/>
        <v>0.14699999999999999</v>
      </c>
      <c r="D11" s="2964">
        <v>14.7</v>
      </c>
      <c r="E11" s="2963">
        <v>232</v>
      </c>
      <c r="F11" s="2963">
        <v>2</v>
      </c>
      <c r="G11" s="2963">
        <v>25</v>
      </c>
      <c r="J11" s="2979"/>
      <c r="K11" s="2648"/>
      <c r="L11" s="2979"/>
      <c r="M11" s="2979"/>
    </row>
    <row r="12" spans="1:15">
      <c r="A12" s="2961" t="s">
        <v>53</v>
      </c>
      <c r="B12" s="2963">
        <v>1811739</v>
      </c>
      <c r="C12" s="2644">
        <f t="shared" si="0"/>
        <v>0.22600000000000001</v>
      </c>
      <c r="D12" s="2964">
        <v>22.6</v>
      </c>
      <c r="E12" s="2963">
        <v>291</v>
      </c>
      <c r="F12" s="2963">
        <v>6</v>
      </c>
      <c r="G12" s="2963">
        <v>42</v>
      </c>
      <c r="J12" s="2979"/>
      <c r="K12" s="2648"/>
      <c r="L12" s="2979"/>
      <c r="M12" s="2979"/>
    </row>
    <row r="13" spans="1:15">
      <c r="A13" s="2961" t="s">
        <v>2557</v>
      </c>
      <c r="B13" s="2963">
        <v>37944</v>
      </c>
      <c r="C13" s="2644">
        <f t="shared" si="0"/>
        <v>5.0000000000000001E-3</v>
      </c>
      <c r="D13" s="2964">
        <v>0.5</v>
      </c>
      <c r="E13" s="2963">
        <v>7</v>
      </c>
      <c r="F13" s="2963">
        <v>0</v>
      </c>
      <c r="G13" s="2963">
        <v>1</v>
      </c>
      <c r="J13" s="2979"/>
      <c r="K13" s="2648"/>
      <c r="L13" s="2979"/>
      <c r="M13" s="2979"/>
    </row>
    <row r="14" spans="1:15">
      <c r="A14" s="2961" t="s">
        <v>2539</v>
      </c>
      <c r="B14" s="2963">
        <v>8225</v>
      </c>
      <c r="C14" s="2644">
        <f t="shared" si="0"/>
        <v>1E-3</v>
      </c>
      <c r="D14" s="2964">
        <v>0.1</v>
      </c>
      <c r="E14" s="2963">
        <v>2</v>
      </c>
      <c r="F14" s="2963">
        <v>1</v>
      </c>
      <c r="G14" s="2963">
        <v>1</v>
      </c>
      <c r="J14" s="2647"/>
      <c r="K14" s="2651"/>
      <c r="L14" s="2654"/>
      <c r="M14" s="2654"/>
    </row>
    <row r="15" spans="1:15">
      <c r="A15" s="2961" t="s">
        <v>2556</v>
      </c>
      <c r="B15" s="2963">
        <v>94389</v>
      </c>
      <c r="C15" s="2644">
        <f t="shared" si="0"/>
        <v>1.2E-2</v>
      </c>
      <c r="D15" s="2964">
        <v>1.2</v>
      </c>
      <c r="E15" s="2963">
        <v>26</v>
      </c>
      <c r="F15" s="2963">
        <v>0</v>
      </c>
      <c r="G15" s="2963">
        <v>2</v>
      </c>
      <c r="J15" s="2979"/>
      <c r="K15" s="2648"/>
      <c r="L15" s="2979"/>
      <c r="M15" s="2979"/>
    </row>
    <row r="16" spans="1:15">
      <c r="A16" s="2961" t="s">
        <v>2555</v>
      </c>
      <c r="B16" s="2963">
        <v>20200</v>
      </c>
      <c r="C16" s="2644">
        <f t="shared" si="0"/>
        <v>2E-3</v>
      </c>
      <c r="D16" s="2964">
        <v>0.2</v>
      </c>
      <c r="E16" s="2963">
        <v>7</v>
      </c>
      <c r="F16" s="2963">
        <v>0</v>
      </c>
      <c r="G16" s="2963">
        <v>0</v>
      </c>
      <c r="J16" s="2979"/>
      <c r="K16" s="2648"/>
      <c r="L16" s="2979"/>
      <c r="M16" s="2979"/>
    </row>
    <row r="17" spans="1:14">
      <c r="A17" s="2961" t="s">
        <v>2546</v>
      </c>
      <c r="B17" s="2963">
        <v>12329</v>
      </c>
      <c r="C17" s="2644">
        <f t="shared" si="0"/>
        <v>1E-3</v>
      </c>
      <c r="D17" s="2964">
        <v>0.1</v>
      </c>
      <c r="E17" s="2963">
        <v>5</v>
      </c>
      <c r="F17" s="2963">
        <v>0</v>
      </c>
      <c r="G17" s="2963">
        <v>0</v>
      </c>
      <c r="J17" s="2979"/>
      <c r="K17" s="2648"/>
      <c r="L17" s="2979"/>
      <c r="M17" s="2979"/>
    </row>
    <row r="18" spans="1:14">
      <c r="A18" s="2961" t="s">
        <v>28</v>
      </c>
      <c r="B18" s="2963">
        <v>345188</v>
      </c>
      <c r="C18" s="2644">
        <f t="shared" si="0"/>
        <v>4.4000000000000004E-2</v>
      </c>
      <c r="D18" s="2964">
        <v>4.4000000000000004</v>
      </c>
      <c r="E18" s="2963">
        <v>114</v>
      </c>
      <c r="F18" s="2963">
        <v>1</v>
      </c>
      <c r="G18" s="2963">
        <v>5</v>
      </c>
      <c r="J18" s="2979"/>
      <c r="K18" s="2648"/>
      <c r="L18" s="2979"/>
      <c r="M18" s="2979"/>
    </row>
    <row r="19" spans="1:14" s="2969" customFormat="1">
      <c r="A19" s="2969" t="s">
        <v>16</v>
      </c>
      <c r="B19" s="2971">
        <v>8050878</v>
      </c>
      <c r="C19" s="2973">
        <f>SUM(C4:C8,C10:C18)</f>
        <v>1</v>
      </c>
      <c r="D19" s="2972"/>
      <c r="E19" s="2971">
        <v>1151</v>
      </c>
      <c r="F19" s="2971">
        <v>63</v>
      </c>
      <c r="G19" s="2971">
        <v>485</v>
      </c>
      <c r="H19" s="2970"/>
      <c r="I19" s="2970"/>
      <c r="J19" s="2979"/>
      <c r="K19" s="2648"/>
      <c r="L19" s="2979"/>
      <c r="M19" s="2979"/>
    </row>
    <row r="20" spans="1:14" s="2965" customFormat="1">
      <c r="A20" s="2965" t="s">
        <v>2538</v>
      </c>
      <c r="B20" s="2968">
        <f>SUM(B13:B18)</f>
        <v>518275</v>
      </c>
      <c r="C20" s="2646">
        <f>SUM(C13:C18)+C7+C6+C8</f>
        <v>8.5000000000000006E-2</v>
      </c>
      <c r="D20" s="2968">
        <f>SUM(D13:D18)</f>
        <v>6.5</v>
      </c>
      <c r="E20" s="2968">
        <f>SUM(E13:E18)</f>
        <v>161</v>
      </c>
      <c r="F20" s="2968">
        <f>SUM(F13:F18)</f>
        <v>2</v>
      </c>
      <c r="G20" s="2968">
        <f>SUM(G13:G18)</f>
        <v>9</v>
      </c>
      <c r="H20" s="2967"/>
      <c r="I20" s="2967"/>
      <c r="J20" s="2966"/>
      <c r="K20" s="2645"/>
      <c r="L20" s="2966"/>
      <c r="M20" s="2966"/>
    </row>
    <row r="21" spans="1:14">
      <c r="C21" s="2644"/>
      <c r="J21" s="2979"/>
      <c r="K21" s="2648"/>
      <c r="L21" s="2979"/>
      <c r="M21" s="2979"/>
    </row>
    <row r="22" spans="1:14">
      <c r="A22" s="2969" t="s">
        <v>2563</v>
      </c>
      <c r="C22" s="2644"/>
      <c r="J22" s="2979"/>
      <c r="K22" s="2648"/>
      <c r="L22" s="2979"/>
      <c r="M22" s="2979"/>
    </row>
    <row r="23" spans="1:14">
      <c r="A23" s="2961" t="s">
        <v>2544</v>
      </c>
      <c r="B23" s="2963">
        <v>20328</v>
      </c>
      <c r="C23" s="2644">
        <f t="shared" ref="C23:C30" si="3">D23/100</f>
        <v>3.9E-2</v>
      </c>
      <c r="D23" s="2964">
        <v>3.9</v>
      </c>
      <c r="E23" s="2963">
        <v>2</v>
      </c>
      <c r="F23" s="2963">
        <v>0</v>
      </c>
      <c r="G23" s="2963">
        <v>1</v>
      </c>
      <c r="I23" s="2648" t="b">
        <f>I24=I25</f>
        <v>1</v>
      </c>
      <c r="J23" s="2648"/>
      <c r="K23" s="2648"/>
      <c r="L23" s="2648" t="b">
        <f>L24=L25</f>
        <v>1</v>
      </c>
      <c r="M23" s="2648" t="b">
        <f>M24=M25</f>
        <v>1</v>
      </c>
      <c r="N23" s="2648" t="b">
        <f>N24=N25</f>
        <v>1</v>
      </c>
    </row>
    <row r="24" spans="1:14">
      <c r="A24" s="2961" t="s">
        <v>2553</v>
      </c>
      <c r="B24" s="2963">
        <v>207377</v>
      </c>
      <c r="C24" s="2644">
        <f t="shared" si="3"/>
        <v>0.39200000000000002</v>
      </c>
      <c r="D24" s="2964">
        <v>39.200000000000003</v>
      </c>
      <c r="E24" s="2963">
        <v>19</v>
      </c>
      <c r="F24" s="2963">
        <v>4</v>
      </c>
      <c r="G24" s="2963">
        <v>17</v>
      </c>
      <c r="I24" s="2647">
        <f t="shared" ref="I24:N24" si="4">SUM(B23:B25,B27:B30)</f>
        <v>529034</v>
      </c>
      <c r="J24" s="2647">
        <f t="shared" si="4"/>
        <v>1</v>
      </c>
      <c r="K24" s="2647">
        <f t="shared" si="4"/>
        <v>100</v>
      </c>
      <c r="L24" s="2647">
        <f t="shared" si="4"/>
        <v>71</v>
      </c>
      <c r="M24" s="2647">
        <f t="shared" si="4"/>
        <v>11</v>
      </c>
      <c r="N24" s="2647">
        <f t="shared" si="4"/>
        <v>35</v>
      </c>
    </row>
    <row r="25" spans="1:14">
      <c r="A25" s="2961" t="s">
        <v>2550</v>
      </c>
      <c r="B25" s="2963">
        <v>22824</v>
      </c>
      <c r="C25" s="2644">
        <f t="shared" si="3"/>
        <v>4.2999999999999997E-2</v>
      </c>
      <c r="D25" s="2964">
        <v>4.3</v>
      </c>
      <c r="E25" s="2963">
        <v>1</v>
      </c>
      <c r="F25" s="2963">
        <v>0</v>
      </c>
      <c r="G25" s="2963">
        <v>1</v>
      </c>
      <c r="I25" s="2975">
        <f t="shared" ref="I25:N25" si="5">B31</f>
        <v>529034</v>
      </c>
      <c r="J25" s="2975">
        <f t="shared" si="5"/>
        <v>1</v>
      </c>
      <c r="K25" s="2975">
        <f t="shared" si="5"/>
        <v>0</v>
      </c>
      <c r="L25" s="2975">
        <f t="shared" si="5"/>
        <v>71</v>
      </c>
      <c r="M25" s="2975">
        <f t="shared" si="5"/>
        <v>11</v>
      </c>
      <c r="N25" s="2975">
        <f t="shared" si="5"/>
        <v>35</v>
      </c>
    </row>
    <row r="26" spans="1:14" s="2974" customFormat="1">
      <c r="A26" s="2974" t="s">
        <v>2542</v>
      </c>
      <c r="B26" s="2977">
        <v>250529</v>
      </c>
      <c r="C26" s="2644">
        <f t="shared" si="3"/>
        <v>0.47399999999999998</v>
      </c>
      <c r="D26" s="2978">
        <v>47.4</v>
      </c>
      <c r="E26" s="2977">
        <v>22</v>
      </c>
      <c r="F26" s="2977">
        <v>4</v>
      </c>
      <c r="G26" s="2977">
        <v>19</v>
      </c>
      <c r="H26" s="2976"/>
      <c r="I26" s="2976"/>
      <c r="J26" s="2979"/>
      <c r="K26" s="2648"/>
      <c r="L26" s="2979"/>
      <c r="M26" s="2979"/>
    </row>
    <row r="27" spans="1:14">
      <c r="A27" s="2961" t="s">
        <v>2540</v>
      </c>
      <c r="B27" s="2963">
        <v>39264</v>
      </c>
      <c r="C27" s="2644">
        <f t="shared" si="3"/>
        <v>7.400000000000001E-2</v>
      </c>
      <c r="D27" s="2964">
        <v>7.4</v>
      </c>
      <c r="E27" s="2963">
        <v>6</v>
      </c>
      <c r="F27" s="2963">
        <v>0</v>
      </c>
      <c r="G27" s="2963">
        <v>3</v>
      </c>
      <c r="J27" s="2979"/>
      <c r="K27" s="2648"/>
      <c r="L27" s="2979"/>
      <c r="M27" s="2979"/>
    </row>
    <row r="28" spans="1:14">
      <c r="A28" s="2961" t="s">
        <v>2541</v>
      </c>
      <c r="B28" s="2963">
        <v>51382</v>
      </c>
      <c r="C28" s="2644">
        <f t="shared" si="3"/>
        <v>9.6999999999999989E-2</v>
      </c>
      <c r="D28" s="2964">
        <v>9.6999999999999993</v>
      </c>
      <c r="E28" s="2963">
        <v>10</v>
      </c>
      <c r="F28" s="2963">
        <v>2</v>
      </c>
      <c r="G28" s="2963">
        <v>3</v>
      </c>
      <c r="J28" s="2984"/>
      <c r="K28" s="2653"/>
      <c r="L28" s="2984"/>
      <c r="M28" s="2984"/>
    </row>
    <row r="29" spans="1:14">
      <c r="A29" s="2961" t="s">
        <v>53</v>
      </c>
      <c r="B29" s="2963">
        <v>163055</v>
      </c>
      <c r="C29" s="2644">
        <f t="shared" si="3"/>
        <v>0.308</v>
      </c>
      <c r="D29" s="2964">
        <v>30.8</v>
      </c>
      <c r="E29" s="2963">
        <v>25</v>
      </c>
      <c r="F29" s="2963">
        <v>5</v>
      </c>
      <c r="G29" s="2963">
        <v>9</v>
      </c>
      <c r="J29" s="2979"/>
      <c r="K29" s="2648"/>
      <c r="L29" s="2979"/>
      <c r="M29" s="2979"/>
    </row>
    <row r="30" spans="1:14">
      <c r="A30" s="2961" t="s">
        <v>28</v>
      </c>
      <c r="B30" s="2963">
        <v>24804</v>
      </c>
      <c r="C30" s="2644">
        <f t="shared" si="3"/>
        <v>4.7E-2</v>
      </c>
      <c r="D30" s="2964">
        <v>4.7</v>
      </c>
      <c r="E30" s="2963">
        <v>8</v>
      </c>
      <c r="F30" s="2963">
        <v>0</v>
      </c>
      <c r="G30" s="2985">
        <v>1</v>
      </c>
      <c r="H30" s="2982" t="s">
        <v>2562</v>
      </c>
      <c r="J30" s="2979"/>
      <c r="K30" s="2648"/>
      <c r="L30" s="2979"/>
      <c r="M30" s="2979"/>
    </row>
    <row r="31" spans="1:14" s="2969" customFormat="1">
      <c r="A31" s="2969" t="s">
        <v>16</v>
      </c>
      <c r="B31" s="2971">
        <v>529034</v>
      </c>
      <c r="C31" s="2973">
        <f>SUM(C23:C25,C27:C30)</f>
        <v>1</v>
      </c>
      <c r="D31" s="2972"/>
      <c r="E31" s="2971">
        <v>71</v>
      </c>
      <c r="F31" s="2971">
        <v>11</v>
      </c>
      <c r="G31" s="2971">
        <v>35</v>
      </c>
      <c r="H31" s="2970"/>
      <c r="I31" s="2970"/>
      <c r="J31" s="2979"/>
      <c r="K31" s="2648"/>
      <c r="L31" s="2979"/>
      <c r="M31" s="2979"/>
    </row>
    <row r="32" spans="1:14" s="2965" customFormat="1">
      <c r="A32" s="2965" t="s">
        <v>2538</v>
      </c>
      <c r="B32" s="2968">
        <f t="shared" ref="B32:G32" si="6">SUM(B30)</f>
        <v>24804</v>
      </c>
      <c r="C32" s="2646">
        <f t="shared" si="6"/>
        <v>4.7E-2</v>
      </c>
      <c r="D32" s="2968">
        <f t="shared" si="6"/>
        <v>4.7</v>
      </c>
      <c r="E32" s="2968">
        <f t="shared" si="6"/>
        <v>8</v>
      </c>
      <c r="F32" s="2968">
        <f t="shared" si="6"/>
        <v>0</v>
      </c>
      <c r="G32" s="2968">
        <f t="shared" si="6"/>
        <v>1</v>
      </c>
      <c r="H32" s="2967"/>
      <c r="I32" s="2967"/>
      <c r="J32" s="2966"/>
      <c r="K32" s="2645"/>
      <c r="L32" s="2966"/>
      <c r="M32" s="2966"/>
    </row>
    <row r="33" spans="1:14">
      <c r="C33" s="2644"/>
      <c r="J33" s="2979"/>
      <c r="K33" s="2648"/>
      <c r="L33" s="2979"/>
      <c r="M33" s="2979"/>
    </row>
    <row r="34" spans="1:14">
      <c r="A34" s="2969" t="s">
        <v>2561</v>
      </c>
      <c r="C34" s="2644"/>
      <c r="J34" s="2979"/>
      <c r="K34" s="2648"/>
      <c r="L34" s="2979"/>
      <c r="M34" s="2979"/>
    </row>
    <row r="35" spans="1:14">
      <c r="A35" s="2961" t="s">
        <v>2696</v>
      </c>
      <c r="B35" s="2963">
        <v>336530</v>
      </c>
      <c r="C35" s="2644">
        <f t="shared" ref="C35:C45" si="7">D35/100</f>
        <v>0.308</v>
      </c>
      <c r="D35" s="2964">
        <v>30.8</v>
      </c>
      <c r="E35" s="2963">
        <v>34</v>
      </c>
      <c r="F35" s="2963">
        <v>1</v>
      </c>
      <c r="G35" s="2963">
        <v>28</v>
      </c>
      <c r="I35" s="2648" t="b">
        <f>I36=I37</f>
        <v>1</v>
      </c>
      <c r="J35" s="2648"/>
      <c r="K35" s="2648"/>
      <c r="L35" s="2648" t="b">
        <f>L36=L37</f>
        <v>1</v>
      </c>
      <c r="M35" s="2648" t="b">
        <f>M36=M37</f>
        <v>1</v>
      </c>
      <c r="N35" s="2648" t="b">
        <f>N36=N37</f>
        <v>1</v>
      </c>
    </row>
    <row r="36" spans="1:14">
      <c r="A36" s="2961" t="s">
        <v>2543</v>
      </c>
      <c r="B36" s="2963">
        <v>221145</v>
      </c>
      <c r="C36" s="2644">
        <f t="shared" si="7"/>
        <v>0.191</v>
      </c>
      <c r="D36" s="2964">
        <v>19.100000000000001</v>
      </c>
      <c r="E36" s="2963">
        <v>28</v>
      </c>
      <c r="F36" s="2963">
        <v>7</v>
      </c>
      <c r="G36" s="2963">
        <v>25</v>
      </c>
      <c r="I36" s="2647">
        <f t="shared" ref="I36:N36" si="8">SUM(B35:B38,B40:B45)</f>
        <v>1126711</v>
      </c>
      <c r="J36" s="2647">
        <f t="shared" si="8"/>
        <v>1</v>
      </c>
      <c r="K36" s="2647">
        <f t="shared" si="8"/>
        <v>100.00000000000001</v>
      </c>
      <c r="L36" s="2647">
        <f t="shared" si="8"/>
        <v>165</v>
      </c>
      <c r="M36" s="2647">
        <f t="shared" si="8"/>
        <v>8</v>
      </c>
      <c r="N36" s="2647">
        <f t="shared" si="8"/>
        <v>71</v>
      </c>
    </row>
    <row r="37" spans="1:14">
      <c r="A37" s="2961" t="s">
        <v>2552</v>
      </c>
      <c r="B37" s="2963">
        <v>14247</v>
      </c>
      <c r="C37" s="2644">
        <f t="shared" si="7"/>
        <v>1.3000000000000001E-2</v>
      </c>
      <c r="D37" s="2964">
        <v>1.3</v>
      </c>
      <c r="E37" s="2963">
        <v>1</v>
      </c>
      <c r="F37" s="2963">
        <v>0</v>
      </c>
      <c r="G37" s="2963">
        <v>1</v>
      </c>
      <c r="I37" s="2975">
        <f t="shared" ref="I37:N37" si="9">B46</f>
        <v>1126711</v>
      </c>
      <c r="J37" s="2975">
        <f t="shared" si="9"/>
        <v>1</v>
      </c>
      <c r="K37" s="2975">
        <f t="shared" si="9"/>
        <v>0</v>
      </c>
      <c r="L37" s="2975">
        <f t="shared" si="9"/>
        <v>165</v>
      </c>
      <c r="M37" s="2975">
        <f t="shared" si="9"/>
        <v>8</v>
      </c>
      <c r="N37" s="2975">
        <f t="shared" si="9"/>
        <v>71</v>
      </c>
    </row>
    <row r="38" spans="1:14">
      <c r="A38" s="2961" t="s">
        <v>2550</v>
      </c>
      <c r="B38" s="2963">
        <v>12337</v>
      </c>
      <c r="C38" s="2644">
        <f t="shared" si="7"/>
        <v>1.1000000000000001E-2</v>
      </c>
      <c r="D38" s="2964">
        <v>1.1000000000000001</v>
      </c>
      <c r="E38" s="2963">
        <v>2</v>
      </c>
      <c r="F38" s="2963">
        <v>0</v>
      </c>
      <c r="G38" s="2963">
        <v>0</v>
      </c>
      <c r="J38" s="2979"/>
      <c r="K38" s="2648"/>
      <c r="L38" s="2979"/>
      <c r="M38" s="2979"/>
    </row>
    <row r="39" spans="1:14" s="2974" customFormat="1">
      <c r="A39" s="2974" t="s">
        <v>2542</v>
      </c>
      <c r="B39" s="2977">
        <v>584259</v>
      </c>
      <c r="C39" s="2644">
        <f t="shared" si="7"/>
        <v>0.52300000000000002</v>
      </c>
      <c r="D39" s="2978">
        <v>52.3</v>
      </c>
      <c r="E39" s="2977">
        <v>65</v>
      </c>
      <c r="F39" s="2977">
        <v>8</v>
      </c>
      <c r="G39" s="2977">
        <v>54</v>
      </c>
      <c r="H39" s="2976"/>
      <c r="I39" s="2976"/>
      <c r="J39" s="2979"/>
      <c r="K39" s="2648"/>
      <c r="L39" s="2979"/>
      <c r="M39" s="2979"/>
    </row>
    <row r="40" spans="1:14">
      <c r="A40" s="2961" t="s">
        <v>2540</v>
      </c>
      <c r="B40" s="2963">
        <v>21939</v>
      </c>
      <c r="C40" s="2644">
        <f t="shared" si="7"/>
        <v>0.02</v>
      </c>
      <c r="D40" s="2964">
        <v>2</v>
      </c>
      <c r="E40" s="2963">
        <v>3</v>
      </c>
      <c r="F40" s="2963">
        <v>0</v>
      </c>
      <c r="G40" s="2963">
        <v>2</v>
      </c>
      <c r="J40" s="2979"/>
      <c r="K40" s="2648"/>
      <c r="L40" s="2979"/>
      <c r="M40" s="2979"/>
    </row>
    <row r="41" spans="1:14">
      <c r="A41" s="2961" t="s">
        <v>2541</v>
      </c>
      <c r="B41" s="2963">
        <v>163960</v>
      </c>
      <c r="C41" s="2644">
        <f t="shared" si="7"/>
        <v>0.15</v>
      </c>
      <c r="D41" s="2964">
        <v>15</v>
      </c>
      <c r="E41" s="2963">
        <v>33</v>
      </c>
      <c r="F41" s="2963">
        <v>0</v>
      </c>
      <c r="G41" s="2963">
        <v>8</v>
      </c>
      <c r="J41" s="2647"/>
      <c r="K41" s="2651"/>
      <c r="L41" s="2647"/>
      <c r="M41" s="2647"/>
    </row>
    <row r="42" spans="1:14">
      <c r="A42" s="2961" t="s">
        <v>53</v>
      </c>
      <c r="B42" s="2963">
        <v>265744</v>
      </c>
      <c r="C42" s="2644">
        <f t="shared" si="7"/>
        <v>0.22899999999999998</v>
      </c>
      <c r="D42" s="2964">
        <v>22.9</v>
      </c>
      <c r="E42" s="2963">
        <v>39</v>
      </c>
      <c r="F42" s="2963">
        <v>0</v>
      </c>
      <c r="G42" s="2963">
        <v>6</v>
      </c>
      <c r="J42" s="2979"/>
      <c r="K42" s="2648"/>
      <c r="L42" s="2979"/>
      <c r="M42" s="2979"/>
    </row>
    <row r="43" spans="1:14">
      <c r="A43" s="2961" t="s">
        <v>2557</v>
      </c>
      <c r="B43" s="2963">
        <v>19841</v>
      </c>
      <c r="C43" s="2644">
        <f t="shared" si="7"/>
        <v>1.8000000000000002E-2</v>
      </c>
      <c r="D43" s="2964">
        <v>1.8</v>
      </c>
      <c r="E43" s="2963">
        <v>3</v>
      </c>
      <c r="F43" s="2963">
        <v>0</v>
      </c>
      <c r="G43" s="2963">
        <v>0</v>
      </c>
      <c r="J43" s="2979"/>
      <c r="K43" s="2648"/>
      <c r="L43" s="2979"/>
      <c r="M43" s="2979"/>
    </row>
    <row r="44" spans="1:14">
      <c r="A44" s="2961" t="s">
        <v>2547</v>
      </c>
      <c r="B44" s="2963">
        <v>4297</v>
      </c>
      <c r="C44" s="2644">
        <f t="shared" si="7"/>
        <v>4.0000000000000001E-3</v>
      </c>
      <c r="D44" s="2964">
        <v>0.4</v>
      </c>
      <c r="E44" s="2963">
        <v>1</v>
      </c>
      <c r="F44" s="2963">
        <v>0</v>
      </c>
      <c r="G44" s="2963">
        <v>0</v>
      </c>
      <c r="J44" s="2979"/>
      <c r="K44" s="2648"/>
      <c r="L44" s="2979"/>
      <c r="M44" s="2979"/>
    </row>
    <row r="45" spans="1:14">
      <c r="A45" s="2961" t="s">
        <v>28</v>
      </c>
      <c r="B45" s="2963">
        <v>66671</v>
      </c>
      <c r="C45" s="2644">
        <f t="shared" si="7"/>
        <v>5.5999999999999994E-2</v>
      </c>
      <c r="D45" s="2964">
        <v>5.6</v>
      </c>
      <c r="E45" s="2963">
        <v>21</v>
      </c>
      <c r="F45" s="2963">
        <v>0</v>
      </c>
      <c r="G45" s="2963">
        <v>1</v>
      </c>
      <c r="J45" s="2984"/>
      <c r="K45" s="2653"/>
      <c r="L45" s="2984"/>
      <c r="M45" s="2984"/>
    </row>
    <row r="46" spans="1:14" s="2969" customFormat="1">
      <c r="A46" s="2969" t="s">
        <v>16</v>
      </c>
      <c r="B46" s="2971">
        <v>1126711</v>
      </c>
      <c r="C46" s="2973">
        <f>SUM(C35:C38,C40:C45)</f>
        <v>1</v>
      </c>
      <c r="D46" s="2972"/>
      <c r="E46" s="2971">
        <v>165</v>
      </c>
      <c r="F46" s="2971">
        <v>8</v>
      </c>
      <c r="G46" s="2971">
        <v>71</v>
      </c>
      <c r="H46" s="2982"/>
      <c r="I46" s="2970"/>
      <c r="J46" s="2981"/>
      <c r="K46" s="2649"/>
      <c r="L46" s="2981"/>
      <c r="M46" s="2981"/>
    </row>
    <row r="47" spans="1:14" s="2965" customFormat="1">
      <c r="A47" s="2965" t="s">
        <v>2538</v>
      </c>
      <c r="B47" s="2968">
        <f t="shared" ref="B47:G47" si="10">SUM(B43:B45)</f>
        <v>90809</v>
      </c>
      <c r="C47" s="2646">
        <f t="shared" si="10"/>
        <v>7.8E-2</v>
      </c>
      <c r="D47" s="2968">
        <f t="shared" si="10"/>
        <v>7.8</v>
      </c>
      <c r="E47" s="2968">
        <f t="shared" si="10"/>
        <v>25</v>
      </c>
      <c r="F47" s="2968">
        <f t="shared" si="10"/>
        <v>0</v>
      </c>
      <c r="G47" s="2968">
        <f t="shared" si="10"/>
        <v>1</v>
      </c>
      <c r="H47" s="2967"/>
      <c r="I47" s="2967"/>
      <c r="J47" s="2966"/>
      <c r="K47" s="2645"/>
      <c r="L47" s="2966"/>
      <c r="M47" s="2966"/>
    </row>
    <row r="48" spans="1:14">
      <c r="C48" s="2644"/>
      <c r="J48" s="2979"/>
      <c r="K48" s="2648"/>
      <c r="L48" s="2979"/>
      <c r="M48" s="2979"/>
    </row>
    <row r="49" spans="1:15">
      <c r="A49" s="2969" t="s">
        <v>2560</v>
      </c>
      <c r="C49" s="2644"/>
      <c r="J49" s="2979"/>
      <c r="K49" s="2648"/>
      <c r="L49" s="2979"/>
      <c r="M49" s="2979"/>
    </row>
    <row r="50" spans="1:15">
      <c r="A50" s="2961" t="s">
        <v>2540</v>
      </c>
      <c r="B50" s="2963">
        <v>289213</v>
      </c>
      <c r="C50" s="2644">
        <f>D50/100</f>
        <v>0.28399999999999997</v>
      </c>
      <c r="D50" s="2964">
        <v>28.4</v>
      </c>
      <c r="E50" s="2963">
        <v>36</v>
      </c>
      <c r="F50" s="2963">
        <v>0</v>
      </c>
      <c r="G50" s="2963">
        <v>23</v>
      </c>
      <c r="I50" s="2648" t="b">
        <f>I52=I51</f>
        <v>1</v>
      </c>
      <c r="J50" s="2648"/>
      <c r="K50" s="2648"/>
      <c r="L50" s="2648" t="b">
        <f>L52=L51</f>
        <v>1</v>
      </c>
      <c r="M50" s="2648" t="b">
        <f>M52=M51</f>
        <v>1</v>
      </c>
      <c r="N50" s="2648" t="b">
        <f>N52=N51</f>
        <v>1</v>
      </c>
      <c r="O50" s="2648"/>
    </row>
    <row r="51" spans="1:15">
      <c r="A51" s="2961" t="s">
        <v>1065</v>
      </c>
      <c r="B51" s="2963">
        <v>495345</v>
      </c>
      <c r="C51" s="2644">
        <f>D51/100</f>
        <v>0.47</v>
      </c>
      <c r="D51" s="2964">
        <v>47</v>
      </c>
      <c r="E51" s="2963">
        <v>100</v>
      </c>
      <c r="F51" s="2963">
        <v>25</v>
      </c>
      <c r="G51" s="2963">
        <v>72</v>
      </c>
      <c r="I51" s="2975">
        <f t="shared" ref="I51:N51" si="11">B54</f>
        <v>1039225</v>
      </c>
      <c r="J51" s="2975">
        <f t="shared" si="11"/>
        <v>1</v>
      </c>
      <c r="K51" s="2975">
        <f t="shared" si="11"/>
        <v>0</v>
      </c>
      <c r="L51" s="2975">
        <f t="shared" si="11"/>
        <v>204</v>
      </c>
      <c r="M51" s="2975">
        <f t="shared" si="11"/>
        <v>25</v>
      </c>
      <c r="N51" s="2975">
        <f t="shared" si="11"/>
        <v>101</v>
      </c>
      <c r="O51" s="2975"/>
    </row>
    <row r="52" spans="1:15">
      <c r="A52" s="2961" t="s">
        <v>2539</v>
      </c>
      <c r="B52" s="2963">
        <v>228902</v>
      </c>
      <c r="C52" s="2644">
        <f>D52/100</f>
        <v>0.22</v>
      </c>
      <c r="D52" s="2964">
        <v>22</v>
      </c>
      <c r="E52" s="2963">
        <v>56</v>
      </c>
      <c r="F52" s="2963">
        <v>0</v>
      </c>
      <c r="G52" s="2963">
        <v>6</v>
      </c>
      <c r="I52" s="2652">
        <f t="shared" ref="I52:N52" si="12">SUM(B50:B53)</f>
        <v>1039225</v>
      </c>
      <c r="J52" s="2652">
        <f t="shared" si="12"/>
        <v>1</v>
      </c>
      <c r="K52" s="2652">
        <f t="shared" si="12"/>
        <v>100</v>
      </c>
      <c r="L52" s="2652">
        <f t="shared" si="12"/>
        <v>204</v>
      </c>
      <c r="M52" s="2652">
        <f t="shared" si="12"/>
        <v>25</v>
      </c>
      <c r="N52" s="2652">
        <f t="shared" si="12"/>
        <v>101</v>
      </c>
      <c r="O52" s="2652"/>
    </row>
    <row r="53" spans="1:15">
      <c r="A53" s="2961" t="s">
        <v>28</v>
      </c>
      <c r="B53" s="2963">
        <v>25765</v>
      </c>
      <c r="C53" s="2644">
        <f>D53/100</f>
        <v>2.6000000000000002E-2</v>
      </c>
      <c r="D53" s="2964">
        <v>2.6</v>
      </c>
      <c r="E53" s="2963">
        <v>12</v>
      </c>
      <c r="F53" s="2963">
        <v>0</v>
      </c>
      <c r="G53" s="2963">
        <v>0</v>
      </c>
      <c r="J53" s="2647"/>
      <c r="K53" s="2651"/>
      <c r="L53" s="2647"/>
      <c r="M53" s="2647"/>
    </row>
    <row r="54" spans="1:15" s="2969" customFormat="1">
      <c r="A54" s="2969" t="s">
        <v>16</v>
      </c>
      <c r="B54" s="2971">
        <v>1039225</v>
      </c>
      <c r="C54" s="2973">
        <f>SUM(C50:C53)</f>
        <v>1</v>
      </c>
      <c r="D54" s="2972"/>
      <c r="E54" s="2971">
        <v>204</v>
      </c>
      <c r="F54" s="2971">
        <v>25</v>
      </c>
      <c r="G54" s="2971">
        <v>101</v>
      </c>
      <c r="H54" s="2970"/>
      <c r="I54" s="2970"/>
      <c r="J54" s="2981"/>
      <c r="K54" s="2649"/>
      <c r="L54" s="2981"/>
      <c r="M54" s="2981"/>
    </row>
    <row r="55" spans="1:15" s="2965" customFormat="1">
      <c r="A55" s="2965" t="s">
        <v>2538</v>
      </c>
      <c r="B55" s="2968">
        <f t="shared" ref="B55:G55" si="13">SUM(B53,B51)</f>
        <v>521110</v>
      </c>
      <c r="C55" s="2968">
        <f t="shared" si="13"/>
        <v>0.496</v>
      </c>
      <c r="D55" s="2968">
        <f t="shared" si="13"/>
        <v>49.6</v>
      </c>
      <c r="E55" s="2968">
        <f t="shared" si="13"/>
        <v>112</v>
      </c>
      <c r="F55" s="2968">
        <f t="shared" si="13"/>
        <v>25</v>
      </c>
      <c r="G55" s="2968">
        <f t="shared" si="13"/>
        <v>72</v>
      </c>
      <c r="H55" s="2967"/>
      <c r="I55" s="2967"/>
      <c r="J55" s="2966"/>
      <c r="K55" s="2645"/>
      <c r="L55" s="2966"/>
      <c r="M55" s="2966"/>
    </row>
    <row r="56" spans="1:15">
      <c r="C56" s="2644"/>
      <c r="J56" s="2979"/>
      <c r="K56" s="2648"/>
      <c r="L56" s="2979"/>
      <c r="M56" s="2979"/>
    </row>
    <row r="57" spans="1:15">
      <c r="A57" s="2969" t="s">
        <v>2559</v>
      </c>
      <c r="C57" s="2644"/>
      <c r="J57" s="2979"/>
      <c r="K57" s="2648"/>
      <c r="L57" s="2979"/>
      <c r="M57" s="2979"/>
    </row>
    <row r="58" spans="1:15">
      <c r="A58" s="2961" t="s">
        <v>2544</v>
      </c>
      <c r="B58" s="2963">
        <v>3472738</v>
      </c>
      <c r="C58" s="2644">
        <f t="shared" ref="C58:C73" si="14">D58/100</f>
        <v>0.35600000000000004</v>
      </c>
      <c r="D58" s="2964">
        <v>35.6</v>
      </c>
      <c r="E58" s="2963">
        <v>362</v>
      </c>
      <c r="F58" s="2963">
        <v>41</v>
      </c>
      <c r="G58" s="2963">
        <v>332</v>
      </c>
      <c r="I58" s="2648" t="b">
        <f>I59=I60</f>
        <v>1</v>
      </c>
      <c r="J58" s="2648"/>
      <c r="K58" s="2648"/>
      <c r="L58" s="2648" t="b">
        <f>L59=L60</f>
        <v>0</v>
      </c>
      <c r="M58" s="2648" t="b">
        <f>M59=M60</f>
        <v>1</v>
      </c>
      <c r="N58" s="2648" t="b">
        <f>N59=N60</f>
        <v>0</v>
      </c>
      <c r="O58" s="2648"/>
    </row>
    <row r="59" spans="1:15">
      <c r="A59" s="2961" t="s">
        <v>2553</v>
      </c>
      <c r="B59" s="2963">
        <v>1396590</v>
      </c>
      <c r="C59" s="2650">
        <f t="shared" si="14"/>
        <v>0.1431</v>
      </c>
      <c r="D59" s="2964">
        <v>14.31</v>
      </c>
      <c r="E59" s="2963">
        <v>145</v>
      </c>
      <c r="F59" s="2963">
        <v>23</v>
      </c>
      <c r="G59" s="2963">
        <v>127</v>
      </c>
      <c r="I59" s="2647">
        <f>SUM(B58:B62,B64:B73)</f>
        <v>9747593</v>
      </c>
      <c r="J59" s="2983">
        <f>SUM(C58:C62,C64:C73)</f>
        <v>0.99950000000000006</v>
      </c>
      <c r="K59" s="2647">
        <f>SUM(D58:D62,D65:D73)</f>
        <v>96.049999999999983</v>
      </c>
      <c r="L59" s="2647">
        <f>SUM(E58:E62,E65:E73)</f>
        <v>1372</v>
      </c>
      <c r="M59" s="2647">
        <f>SUM(F58:F62,F65:F73)</f>
        <v>82</v>
      </c>
      <c r="N59" s="2647">
        <f>SUM(G58:G62,G65:G73)</f>
        <v>579</v>
      </c>
      <c r="O59" s="2647"/>
    </row>
    <row r="60" spans="1:15">
      <c r="A60" s="2961" t="s">
        <v>2552</v>
      </c>
      <c r="B60" s="2963">
        <v>53962</v>
      </c>
      <c r="C60" s="2644">
        <f t="shared" si="14"/>
        <v>6.0000000000000001E-3</v>
      </c>
      <c r="D60" s="2964">
        <v>0.6</v>
      </c>
      <c r="E60" s="2963">
        <v>5</v>
      </c>
      <c r="F60" s="2963">
        <v>1</v>
      </c>
      <c r="G60" s="2963">
        <v>4</v>
      </c>
      <c r="I60" s="2975">
        <f t="shared" ref="I60:N60" si="15">B74</f>
        <v>9747593</v>
      </c>
      <c r="J60" s="2975">
        <f t="shared" si="15"/>
        <v>0.99950000000000006</v>
      </c>
      <c r="K60" s="2975">
        <f t="shared" si="15"/>
        <v>0</v>
      </c>
      <c r="L60" s="2975">
        <f t="shared" si="15"/>
        <v>1419</v>
      </c>
      <c r="M60" s="2975">
        <f t="shared" si="15"/>
        <v>82</v>
      </c>
      <c r="N60" s="2975">
        <f t="shared" si="15"/>
        <v>606</v>
      </c>
      <c r="O60" s="2975"/>
    </row>
    <row r="61" spans="1:15">
      <c r="A61" s="2961" t="s">
        <v>2551</v>
      </c>
      <c r="B61" s="2963">
        <v>9274</v>
      </c>
      <c r="C61" s="2644">
        <f t="shared" si="14"/>
        <v>1E-3</v>
      </c>
      <c r="D61" s="2964">
        <v>0.1</v>
      </c>
      <c r="E61" s="2963">
        <v>1</v>
      </c>
      <c r="F61" s="2963">
        <v>0</v>
      </c>
      <c r="G61" s="2963">
        <v>1</v>
      </c>
      <c r="J61" s="2979"/>
      <c r="K61" s="2648"/>
      <c r="L61" s="2979"/>
      <c r="M61" s="2979"/>
    </row>
    <row r="62" spans="1:15">
      <c r="A62" s="2961" t="s">
        <v>2550</v>
      </c>
      <c r="B62" s="2963">
        <v>156834</v>
      </c>
      <c r="C62" s="2644">
        <f t="shared" si="14"/>
        <v>1.6E-2</v>
      </c>
      <c r="D62" s="2964">
        <v>1.6</v>
      </c>
      <c r="E62" s="2963">
        <v>18</v>
      </c>
      <c r="F62" s="2963">
        <v>0</v>
      </c>
      <c r="G62" s="2963">
        <v>9</v>
      </c>
      <c r="J62" s="2979"/>
      <c r="K62" s="2648"/>
      <c r="L62" s="2979"/>
      <c r="M62" s="2979"/>
    </row>
    <row r="63" spans="1:15" s="2974" customFormat="1">
      <c r="A63" s="2974" t="s">
        <v>2542</v>
      </c>
      <c r="B63" s="2977">
        <v>5089398</v>
      </c>
      <c r="C63" s="2644">
        <f t="shared" si="14"/>
        <v>0.52200000000000002</v>
      </c>
      <c r="D63" s="2978">
        <v>52.2</v>
      </c>
      <c r="E63" s="2977">
        <v>531</v>
      </c>
      <c r="F63" s="2977">
        <v>65</v>
      </c>
      <c r="G63" s="2977">
        <v>473</v>
      </c>
      <c r="H63" s="2976"/>
      <c r="I63" s="2976"/>
      <c r="J63" s="2979"/>
      <c r="K63" s="2648"/>
      <c r="L63" s="2979"/>
      <c r="M63" s="2979"/>
    </row>
    <row r="64" spans="1:15">
      <c r="A64" s="2961" t="s">
        <v>2540</v>
      </c>
      <c r="B64" s="2963">
        <v>382241</v>
      </c>
      <c r="C64" s="2644">
        <f t="shared" si="14"/>
        <v>3.9E-2</v>
      </c>
      <c r="D64" s="2964">
        <v>3.9</v>
      </c>
      <c r="E64" s="2963">
        <v>47</v>
      </c>
      <c r="F64" s="2963">
        <v>0</v>
      </c>
      <c r="G64" s="2963">
        <v>27</v>
      </c>
      <c r="J64" s="2979"/>
      <c r="K64" s="2648"/>
      <c r="L64" s="2979"/>
      <c r="M64" s="2979"/>
    </row>
    <row r="65" spans="1:14">
      <c r="A65" s="2961" t="s">
        <v>2541</v>
      </c>
      <c r="B65" s="2963">
        <v>1388784</v>
      </c>
      <c r="C65" s="2650">
        <f t="shared" si="14"/>
        <v>0.1424</v>
      </c>
      <c r="D65" s="2964">
        <v>14.24</v>
      </c>
      <c r="E65" s="2963">
        <v>276</v>
      </c>
      <c r="F65" s="2963">
        <v>4</v>
      </c>
      <c r="G65" s="2963">
        <v>36</v>
      </c>
      <c r="H65" s="2982" t="s">
        <v>2558</v>
      </c>
      <c r="J65" s="2979"/>
      <c r="K65" s="2648"/>
      <c r="L65" s="2979"/>
      <c r="M65" s="2979"/>
    </row>
    <row r="66" spans="1:14">
      <c r="A66" s="2961" t="s">
        <v>53</v>
      </c>
      <c r="B66" s="2963">
        <v>2245777</v>
      </c>
      <c r="C66" s="2644">
        <f t="shared" si="14"/>
        <v>0.23</v>
      </c>
      <c r="D66" s="2964">
        <v>23</v>
      </c>
      <c r="E66" s="2963">
        <v>361</v>
      </c>
      <c r="F66" s="2963">
        <v>11</v>
      </c>
      <c r="G66" s="2963">
        <v>57</v>
      </c>
      <c r="J66" s="2979"/>
      <c r="K66" s="2648"/>
      <c r="L66" s="2979"/>
      <c r="M66" s="2979"/>
    </row>
    <row r="67" spans="1:14">
      <c r="A67" s="2961" t="s">
        <v>1065</v>
      </c>
      <c r="B67" s="2963">
        <v>1762</v>
      </c>
      <c r="C67" s="2644">
        <f t="shared" si="14"/>
        <v>0</v>
      </c>
      <c r="D67" s="2964">
        <v>0</v>
      </c>
      <c r="E67" s="2963">
        <v>2</v>
      </c>
      <c r="F67" s="2963">
        <v>0</v>
      </c>
      <c r="G67" s="2963">
        <v>1</v>
      </c>
      <c r="J67" s="2979"/>
      <c r="K67" s="2648"/>
      <c r="L67" s="2979"/>
      <c r="M67" s="2979"/>
    </row>
    <row r="68" spans="1:14">
      <c r="A68" s="2961" t="s">
        <v>2557</v>
      </c>
      <c r="B68" s="2963">
        <v>57785</v>
      </c>
      <c r="C68" s="2644">
        <f t="shared" si="14"/>
        <v>6.0000000000000001E-3</v>
      </c>
      <c r="D68" s="2964">
        <v>0.6</v>
      </c>
      <c r="E68" s="2963">
        <v>10</v>
      </c>
      <c r="F68" s="2963">
        <v>0</v>
      </c>
      <c r="G68" s="2963">
        <v>1</v>
      </c>
      <c r="J68" s="2979"/>
      <c r="K68" s="2648"/>
      <c r="L68" s="2979"/>
      <c r="M68" s="2979"/>
    </row>
    <row r="69" spans="1:14">
      <c r="A69" s="2961" t="s">
        <v>2539</v>
      </c>
      <c r="B69" s="2963">
        <v>9295</v>
      </c>
      <c r="C69" s="2644">
        <f t="shared" si="14"/>
        <v>1E-3</v>
      </c>
      <c r="D69" s="2964">
        <v>0.1</v>
      </c>
      <c r="E69" s="2963">
        <v>4</v>
      </c>
      <c r="F69" s="2963">
        <v>1</v>
      </c>
      <c r="G69" s="2963">
        <v>1</v>
      </c>
      <c r="J69" s="2979"/>
      <c r="K69" s="2648"/>
      <c r="L69" s="2979"/>
      <c r="M69" s="2979"/>
    </row>
    <row r="70" spans="1:14">
      <c r="A70" s="2961" t="s">
        <v>2556</v>
      </c>
      <c r="B70" s="2963">
        <v>94389</v>
      </c>
      <c r="C70" s="2644">
        <f t="shared" si="14"/>
        <v>0.01</v>
      </c>
      <c r="D70" s="2964">
        <v>1</v>
      </c>
      <c r="E70" s="2963">
        <v>26</v>
      </c>
      <c r="F70" s="2963">
        <v>0</v>
      </c>
      <c r="G70" s="2963">
        <v>2</v>
      </c>
      <c r="J70" s="2979"/>
      <c r="K70" s="2648"/>
      <c r="L70" s="2979"/>
      <c r="M70" s="2979"/>
    </row>
    <row r="71" spans="1:14">
      <c r="A71" s="2961" t="s">
        <v>2555</v>
      </c>
      <c r="B71" s="2963">
        <v>24497</v>
      </c>
      <c r="C71" s="2644">
        <f t="shared" si="14"/>
        <v>3.0000000000000001E-3</v>
      </c>
      <c r="D71" s="2964">
        <v>0.3</v>
      </c>
      <c r="E71" s="2963">
        <v>8</v>
      </c>
      <c r="F71" s="2963">
        <v>0</v>
      </c>
      <c r="G71" s="2963">
        <v>0</v>
      </c>
      <c r="J71" s="2979"/>
      <c r="K71" s="2648"/>
      <c r="L71" s="2979"/>
      <c r="M71" s="2979"/>
    </row>
    <row r="72" spans="1:14">
      <c r="A72" s="2961" t="s">
        <v>2546</v>
      </c>
      <c r="B72" s="2963">
        <v>12329</v>
      </c>
      <c r="C72" s="2644">
        <f t="shared" si="14"/>
        <v>1E-3</v>
      </c>
      <c r="D72" s="2964">
        <v>0.1</v>
      </c>
      <c r="E72" s="2963">
        <v>5</v>
      </c>
      <c r="F72" s="2963">
        <v>0</v>
      </c>
      <c r="G72" s="2963">
        <v>0</v>
      </c>
      <c r="J72" s="2979"/>
      <c r="K72" s="2648"/>
      <c r="L72" s="2979"/>
      <c r="M72" s="2979"/>
    </row>
    <row r="73" spans="1:14">
      <c r="A73" s="2961" t="s">
        <v>28</v>
      </c>
      <c r="B73" s="2963">
        <v>441336</v>
      </c>
      <c r="C73" s="2644">
        <f t="shared" si="14"/>
        <v>4.4999999999999998E-2</v>
      </c>
      <c r="D73" s="2964">
        <v>4.5</v>
      </c>
      <c r="E73" s="2963">
        <v>149</v>
      </c>
      <c r="F73" s="2963">
        <v>1</v>
      </c>
      <c r="G73" s="2963">
        <v>8</v>
      </c>
      <c r="J73" s="2979"/>
      <c r="K73" s="2648"/>
      <c r="L73" s="2979"/>
      <c r="M73" s="2979"/>
    </row>
    <row r="74" spans="1:14" s="2969" customFormat="1">
      <c r="A74" s="2969" t="s">
        <v>16</v>
      </c>
      <c r="B74" s="2971">
        <v>9747593</v>
      </c>
      <c r="C74" s="2973">
        <f>SUM(C58:C62,C64:C73)</f>
        <v>0.99950000000000006</v>
      </c>
      <c r="D74" s="2972"/>
      <c r="E74" s="2971">
        <v>1419</v>
      </c>
      <c r="F74" s="2971">
        <v>82</v>
      </c>
      <c r="G74" s="2971">
        <v>606</v>
      </c>
      <c r="H74" s="2970"/>
      <c r="I74" s="2970"/>
      <c r="J74" s="2981"/>
      <c r="K74" s="2649"/>
      <c r="L74" s="2981"/>
      <c r="M74" s="2981"/>
    </row>
    <row r="75" spans="1:14" s="2965" customFormat="1">
      <c r="A75" s="2965" t="s">
        <v>2538</v>
      </c>
      <c r="B75" s="2980">
        <f t="shared" ref="B75:G75" si="16">SUM(B67:B73)+B62+B60</f>
        <v>852189</v>
      </c>
      <c r="C75" s="2646">
        <f t="shared" si="16"/>
        <v>8.8000000000000009E-2</v>
      </c>
      <c r="D75" s="2980">
        <f t="shared" si="16"/>
        <v>8.7999999999999989</v>
      </c>
      <c r="E75" s="2980">
        <f t="shared" si="16"/>
        <v>227</v>
      </c>
      <c r="F75" s="2980">
        <f t="shared" si="16"/>
        <v>3</v>
      </c>
      <c r="G75" s="2980">
        <f t="shared" si="16"/>
        <v>26</v>
      </c>
      <c r="H75" s="2967"/>
      <c r="I75" s="2967"/>
      <c r="J75" s="2966"/>
      <c r="K75" s="2645"/>
      <c r="L75" s="2966"/>
      <c r="M75" s="2966"/>
    </row>
    <row r="76" spans="1:14">
      <c r="C76" s="2644"/>
      <c r="J76" s="2979"/>
      <c r="K76" s="2648"/>
      <c r="L76" s="2979"/>
      <c r="M76" s="2979"/>
    </row>
    <row r="77" spans="1:14">
      <c r="A77" s="2969" t="s">
        <v>2554</v>
      </c>
      <c r="C77" s="2644"/>
      <c r="J77" s="2979"/>
      <c r="K77" s="2648"/>
      <c r="L77" s="2979"/>
      <c r="M77" s="2979"/>
    </row>
    <row r="78" spans="1:14">
      <c r="A78" s="2961" t="s">
        <v>2544</v>
      </c>
      <c r="B78" s="2963">
        <v>3472738</v>
      </c>
      <c r="C78" s="2644">
        <f t="shared" ref="C78:C93" si="17">D78/100</f>
        <v>0.32500000000000001</v>
      </c>
      <c r="D78" s="2964">
        <v>32.5</v>
      </c>
      <c r="E78" s="2963">
        <v>362</v>
      </c>
      <c r="F78" s="2963">
        <v>41</v>
      </c>
      <c r="G78" s="2963">
        <v>332</v>
      </c>
      <c r="I78" s="2648" t="b">
        <f>I79=I80</f>
        <v>1</v>
      </c>
      <c r="J78" s="2648"/>
      <c r="K78" s="2648"/>
      <c r="L78" s="2648" t="b">
        <f>L79=L80</f>
        <v>1</v>
      </c>
      <c r="M78" s="2648" t="b">
        <f>M79=M80</f>
        <v>1</v>
      </c>
      <c r="N78" s="2648" t="b">
        <f>N79=N80</f>
        <v>1</v>
      </c>
    </row>
    <row r="79" spans="1:14">
      <c r="A79" s="2961" t="s">
        <v>2553</v>
      </c>
      <c r="B79" s="2963">
        <v>1396590</v>
      </c>
      <c r="C79" s="2644">
        <f t="shared" si="17"/>
        <v>0.126</v>
      </c>
      <c r="D79" s="2964">
        <v>12.6</v>
      </c>
      <c r="E79" s="2963">
        <v>145</v>
      </c>
      <c r="F79" s="2963">
        <v>23</v>
      </c>
      <c r="G79" s="2963">
        <v>127</v>
      </c>
      <c r="I79" s="2647">
        <f t="shared" ref="I79:N79" si="18">SUM(B78:B82,B84:B93)</f>
        <v>10786818</v>
      </c>
      <c r="J79" s="2647">
        <f t="shared" si="18"/>
        <v>1</v>
      </c>
      <c r="K79" s="2647">
        <f t="shared" si="18"/>
        <v>100</v>
      </c>
      <c r="L79" s="2647">
        <f t="shared" si="18"/>
        <v>1623</v>
      </c>
      <c r="M79" s="2647">
        <f t="shared" si="18"/>
        <v>107</v>
      </c>
      <c r="N79" s="2647">
        <f t="shared" si="18"/>
        <v>707</v>
      </c>
    </row>
    <row r="80" spans="1:14">
      <c r="A80" s="2961" t="s">
        <v>2552</v>
      </c>
      <c r="B80" s="2963">
        <v>53962</v>
      </c>
      <c r="C80" s="2644">
        <f t="shared" si="17"/>
        <v>4.0000000000000001E-3</v>
      </c>
      <c r="D80" s="2964">
        <v>0.4</v>
      </c>
      <c r="E80" s="2963">
        <v>5</v>
      </c>
      <c r="F80" s="2963">
        <v>1</v>
      </c>
      <c r="G80" s="2963">
        <v>4</v>
      </c>
      <c r="I80" s="2975">
        <f t="shared" ref="I80:N80" si="19">B94</f>
        <v>10786818</v>
      </c>
      <c r="J80" s="2975">
        <f t="shared" si="19"/>
        <v>1</v>
      </c>
      <c r="K80" s="2975">
        <f t="shared" si="19"/>
        <v>0</v>
      </c>
      <c r="L80" s="2975">
        <f t="shared" si="19"/>
        <v>1623</v>
      </c>
      <c r="M80" s="2975">
        <f t="shared" si="19"/>
        <v>107</v>
      </c>
      <c r="N80" s="2975">
        <f t="shared" si="19"/>
        <v>707</v>
      </c>
    </row>
    <row r="81" spans="1:13">
      <c r="A81" s="2961" t="s">
        <v>2551</v>
      </c>
      <c r="B81" s="2963">
        <v>9274</v>
      </c>
      <c r="C81" s="2644">
        <f t="shared" si="17"/>
        <v>1E-3</v>
      </c>
      <c r="D81" s="2964">
        <v>0.1</v>
      </c>
      <c r="E81" s="2963">
        <v>1</v>
      </c>
      <c r="F81" s="2963">
        <v>0</v>
      </c>
      <c r="G81" s="2963">
        <v>1</v>
      </c>
    </row>
    <row r="82" spans="1:13">
      <c r="A82" s="2961" t="s">
        <v>2550</v>
      </c>
      <c r="B82" s="2963">
        <v>156834</v>
      </c>
      <c r="C82" s="2644">
        <f t="shared" si="17"/>
        <v>1.4999999999999999E-2</v>
      </c>
      <c r="D82" s="2964">
        <v>1.5</v>
      </c>
      <c r="E82" s="2963">
        <v>18</v>
      </c>
      <c r="F82" s="2963">
        <v>0</v>
      </c>
      <c r="G82" s="2963">
        <v>9</v>
      </c>
    </row>
    <row r="83" spans="1:13" s="2974" customFormat="1">
      <c r="A83" s="2974" t="s">
        <v>2542</v>
      </c>
      <c r="B83" s="2977">
        <v>5089398</v>
      </c>
      <c r="C83" s="2644">
        <f t="shared" si="17"/>
        <v>0.47100000000000003</v>
      </c>
      <c r="D83" s="2978">
        <v>47.1</v>
      </c>
      <c r="E83" s="2977">
        <v>531</v>
      </c>
      <c r="F83" s="2977">
        <v>65</v>
      </c>
      <c r="G83" s="2977">
        <v>473</v>
      </c>
      <c r="H83" s="2976"/>
      <c r="I83" s="2976"/>
    </row>
    <row r="84" spans="1:13">
      <c r="A84" s="2961" t="s">
        <v>2541</v>
      </c>
      <c r="B84" s="2963">
        <v>1388784</v>
      </c>
      <c r="C84" s="2644">
        <f t="shared" si="17"/>
        <v>0.13</v>
      </c>
      <c r="D84" s="2964">
        <v>13</v>
      </c>
      <c r="E84" s="2963">
        <v>276</v>
      </c>
      <c r="F84" s="2963">
        <v>4</v>
      </c>
      <c r="G84" s="2963">
        <v>36</v>
      </c>
    </row>
    <row r="85" spans="1:13">
      <c r="A85" s="2961" t="s">
        <v>53</v>
      </c>
      <c r="B85" s="2963">
        <v>2245777</v>
      </c>
      <c r="C85" s="2644">
        <f t="shared" si="17"/>
        <v>0.20800000000000002</v>
      </c>
      <c r="D85" s="2964">
        <v>20.8</v>
      </c>
      <c r="E85" s="2963">
        <v>361</v>
      </c>
      <c r="F85" s="2963">
        <v>11</v>
      </c>
      <c r="G85" s="2963">
        <v>57</v>
      </c>
    </row>
    <row r="86" spans="1:13">
      <c r="A86" s="2961" t="s">
        <v>1065</v>
      </c>
      <c r="B86" s="2963">
        <v>497107</v>
      </c>
      <c r="C86" s="2644">
        <f t="shared" si="17"/>
        <v>4.5999999999999999E-2</v>
      </c>
      <c r="D86" s="2964">
        <v>4.5999999999999996</v>
      </c>
      <c r="E86" s="2963">
        <v>102</v>
      </c>
      <c r="F86" s="2963">
        <v>25</v>
      </c>
      <c r="G86" s="2963">
        <v>73</v>
      </c>
    </row>
    <row r="87" spans="1:13">
      <c r="A87" s="2961" t="s">
        <v>2540</v>
      </c>
      <c r="B87" s="2963">
        <v>671454</v>
      </c>
      <c r="C87" s="2644">
        <f t="shared" si="17"/>
        <v>6.2E-2</v>
      </c>
      <c r="D87" s="2964">
        <v>6.2</v>
      </c>
      <c r="E87" s="2963">
        <v>83</v>
      </c>
      <c r="F87" s="2963">
        <v>0</v>
      </c>
      <c r="G87" s="2963">
        <v>50</v>
      </c>
    </row>
    <row r="88" spans="1:13">
      <c r="A88" s="2961" t="s">
        <v>2549</v>
      </c>
      <c r="B88" s="2963">
        <v>57785</v>
      </c>
      <c r="C88" s="2644">
        <f t="shared" si="17"/>
        <v>6.0000000000000001E-3</v>
      </c>
      <c r="D88" s="2964">
        <v>0.6</v>
      </c>
      <c r="E88" s="2963">
        <v>10</v>
      </c>
      <c r="F88" s="2963">
        <v>0</v>
      </c>
      <c r="G88" s="2963">
        <v>1</v>
      </c>
    </row>
    <row r="89" spans="1:13">
      <c r="A89" s="2961" t="s">
        <v>2539</v>
      </c>
      <c r="B89" s="2963">
        <v>238197</v>
      </c>
      <c r="C89" s="2644">
        <f t="shared" si="17"/>
        <v>2.2000000000000002E-2</v>
      </c>
      <c r="D89" s="2964">
        <v>2.2000000000000002</v>
      </c>
      <c r="E89" s="2963">
        <v>60</v>
      </c>
      <c r="F89" s="2963">
        <v>1</v>
      </c>
      <c r="G89" s="2963">
        <v>7</v>
      </c>
    </row>
    <row r="90" spans="1:13">
      <c r="A90" s="2961" t="s">
        <v>2548</v>
      </c>
      <c r="B90" s="2963">
        <v>94389</v>
      </c>
      <c r="C90" s="2644">
        <f t="shared" si="17"/>
        <v>9.0000000000000011E-3</v>
      </c>
      <c r="D90" s="2964">
        <v>0.9</v>
      </c>
      <c r="E90" s="2963">
        <v>26</v>
      </c>
      <c r="F90" s="2963">
        <v>0</v>
      </c>
      <c r="G90" s="2963">
        <v>2</v>
      </c>
    </row>
    <row r="91" spans="1:13">
      <c r="A91" s="2961" t="s">
        <v>2547</v>
      </c>
      <c r="B91" s="2963">
        <v>24497</v>
      </c>
      <c r="C91" s="2644">
        <f t="shared" si="17"/>
        <v>2E-3</v>
      </c>
      <c r="D91" s="2964">
        <v>0.2</v>
      </c>
      <c r="E91" s="2963">
        <v>8</v>
      </c>
      <c r="F91" s="2963">
        <v>0</v>
      </c>
      <c r="G91" s="2963">
        <v>0</v>
      </c>
    </row>
    <row r="92" spans="1:13">
      <c r="A92" s="2961" t="s">
        <v>2546</v>
      </c>
      <c r="B92" s="2963">
        <v>12329</v>
      </c>
      <c r="C92" s="2644">
        <f t="shared" si="17"/>
        <v>1E-3</v>
      </c>
      <c r="D92" s="2964">
        <v>0.1</v>
      </c>
      <c r="E92" s="2963">
        <v>5</v>
      </c>
      <c r="F92" s="2963">
        <v>0</v>
      </c>
      <c r="G92" s="2963">
        <v>0</v>
      </c>
    </row>
    <row r="93" spans="1:13">
      <c r="A93" s="2961" t="s">
        <v>28</v>
      </c>
      <c r="B93" s="2963">
        <v>467101</v>
      </c>
      <c r="C93" s="2644">
        <f t="shared" si="17"/>
        <v>4.2999999999999997E-2</v>
      </c>
      <c r="D93" s="2964">
        <v>4.3</v>
      </c>
      <c r="E93" s="2963">
        <v>161</v>
      </c>
      <c r="F93" s="2963">
        <v>1</v>
      </c>
      <c r="G93" s="2963">
        <v>8</v>
      </c>
    </row>
    <row r="94" spans="1:13" s="2969" customFormat="1">
      <c r="A94" s="2969" t="s">
        <v>16</v>
      </c>
      <c r="B94" s="2971">
        <v>10786818</v>
      </c>
      <c r="C94" s="2973">
        <f>SUM(C78:C82,C84:C93)</f>
        <v>1</v>
      </c>
      <c r="D94" s="2972"/>
      <c r="E94" s="2971">
        <v>1623</v>
      </c>
      <c r="F94" s="2971">
        <v>107</v>
      </c>
      <c r="G94" s="2971">
        <v>707</v>
      </c>
      <c r="H94" s="2970"/>
      <c r="I94" s="2970"/>
    </row>
    <row r="95" spans="1:13" s="2965" customFormat="1">
      <c r="A95" s="2965" t="s">
        <v>2538</v>
      </c>
      <c r="B95" s="2968">
        <f t="shared" ref="B95:G95" si="20">SUM(B88:B93)</f>
        <v>894298</v>
      </c>
      <c r="C95" s="2646">
        <f t="shared" si="20"/>
        <v>8.3000000000000004E-2</v>
      </c>
      <c r="D95" s="2968">
        <f t="shared" si="20"/>
        <v>8.3000000000000007</v>
      </c>
      <c r="E95" s="2968">
        <f t="shared" si="20"/>
        <v>270</v>
      </c>
      <c r="F95" s="2968">
        <f t="shared" si="20"/>
        <v>2</v>
      </c>
      <c r="G95" s="2968">
        <f t="shared" si="20"/>
        <v>18</v>
      </c>
      <c r="H95" s="2967"/>
      <c r="I95" s="2967"/>
      <c r="J95" s="2966"/>
      <c r="K95" s="2645"/>
      <c r="L95" s="2966"/>
      <c r="M95" s="2966"/>
    </row>
    <row r="96" spans="1:13">
      <c r="C96" s="2644"/>
    </row>
    <row r="97" spans="1:14">
      <c r="A97" s="2969" t="s">
        <v>2545</v>
      </c>
      <c r="C97" s="2644"/>
    </row>
    <row r="98" spans="1:14">
      <c r="A98" s="2961" t="s">
        <v>2544</v>
      </c>
      <c r="B98" s="2963">
        <v>18530</v>
      </c>
      <c r="C98" s="2644">
        <f t="shared" ref="C98:C106" si="21">D98/100</f>
        <v>0.45200000000000001</v>
      </c>
      <c r="D98" s="2964">
        <v>45.2</v>
      </c>
      <c r="E98" s="2963">
        <v>8</v>
      </c>
      <c r="F98" s="2963">
        <v>0</v>
      </c>
      <c r="G98" s="2963">
        <v>8</v>
      </c>
      <c r="I98" s="2648" t="b">
        <f>I99=I100</f>
        <v>1</v>
      </c>
      <c r="J98" s="2648"/>
      <c r="K98" s="2648"/>
      <c r="L98" s="2648" t="b">
        <f>L99=L100</f>
        <v>1</v>
      </c>
      <c r="M98" s="2648" t="b">
        <f>M99=M100</f>
        <v>1</v>
      </c>
      <c r="N98" s="2648" t="b">
        <f>N99=N100</f>
        <v>1</v>
      </c>
    </row>
    <row r="99" spans="1:14">
      <c r="A99" s="2961" t="s">
        <v>2543</v>
      </c>
      <c r="B99" s="2963">
        <v>5197</v>
      </c>
      <c r="C99" s="2644">
        <f t="shared" si="21"/>
        <v>0.127</v>
      </c>
      <c r="D99" s="2964">
        <v>12.7</v>
      </c>
      <c r="E99" s="2963">
        <v>3</v>
      </c>
      <c r="F99" s="2963">
        <v>0</v>
      </c>
      <c r="G99" s="2963">
        <v>3</v>
      </c>
      <c r="I99" s="2647">
        <f t="shared" ref="I99:N99" si="22">SUM(B98:B99,B101:B106)</f>
        <v>40970</v>
      </c>
      <c r="J99" s="2647">
        <f t="shared" si="22"/>
        <v>1</v>
      </c>
      <c r="K99" s="2647">
        <f t="shared" si="22"/>
        <v>100</v>
      </c>
      <c r="L99" s="2647">
        <f t="shared" si="22"/>
        <v>32</v>
      </c>
      <c r="M99" s="2647">
        <f t="shared" si="22"/>
        <v>0</v>
      </c>
      <c r="N99" s="2647">
        <f t="shared" si="22"/>
        <v>15</v>
      </c>
    </row>
    <row r="100" spans="1:14" s="2974" customFormat="1">
      <c r="A100" s="2974" t="s">
        <v>2542</v>
      </c>
      <c r="B100" s="2977">
        <v>23727</v>
      </c>
      <c r="C100" s="2644">
        <f t="shared" si="21"/>
        <v>0.57899999999999996</v>
      </c>
      <c r="D100" s="2978">
        <v>57.9</v>
      </c>
      <c r="E100" s="2977">
        <v>11</v>
      </c>
      <c r="F100" s="2977">
        <v>0</v>
      </c>
      <c r="G100" s="2977">
        <v>11</v>
      </c>
      <c r="H100" s="2976"/>
      <c r="I100" s="2975">
        <f t="shared" ref="I100:N100" si="23">B107</f>
        <v>40970</v>
      </c>
      <c r="J100" s="2975">
        <f t="shared" si="23"/>
        <v>1</v>
      </c>
      <c r="K100" s="2975">
        <f t="shared" si="23"/>
        <v>0</v>
      </c>
      <c r="L100" s="2975">
        <f t="shared" si="23"/>
        <v>32</v>
      </c>
      <c r="M100" s="2975">
        <f t="shared" si="23"/>
        <v>0</v>
      </c>
      <c r="N100" s="2975">
        <f t="shared" si="23"/>
        <v>15</v>
      </c>
    </row>
    <row r="101" spans="1:14">
      <c r="A101" s="2961" t="s">
        <v>2541</v>
      </c>
      <c r="B101" s="2963">
        <v>742</v>
      </c>
      <c r="C101" s="2644">
        <f t="shared" si="21"/>
        <v>1.8000000000000002E-2</v>
      </c>
      <c r="D101" s="2964">
        <v>1.8</v>
      </c>
      <c r="E101" s="2963">
        <v>1</v>
      </c>
      <c r="F101" s="2963">
        <v>0</v>
      </c>
      <c r="G101" s="2963">
        <v>0</v>
      </c>
    </row>
    <row r="102" spans="1:14">
      <c r="A102" s="2961" t="s">
        <v>53</v>
      </c>
      <c r="B102" s="2963">
        <v>5239</v>
      </c>
      <c r="C102" s="2644">
        <f t="shared" si="21"/>
        <v>0.128</v>
      </c>
      <c r="D102" s="2964">
        <v>12.8</v>
      </c>
      <c r="E102" s="2963">
        <v>6</v>
      </c>
      <c r="F102" s="2963">
        <v>0</v>
      </c>
      <c r="G102" s="2963">
        <v>0</v>
      </c>
    </row>
    <row r="103" spans="1:14">
      <c r="A103" s="2961" t="s">
        <v>1065</v>
      </c>
      <c r="B103" s="2963">
        <v>1762</v>
      </c>
      <c r="C103" s="2644">
        <f t="shared" si="21"/>
        <v>4.2999999999999997E-2</v>
      </c>
      <c r="D103" s="2964">
        <v>4.3</v>
      </c>
      <c r="E103" s="2963">
        <v>2</v>
      </c>
      <c r="F103" s="2963">
        <v>0</v>
      </c>
      <c r="G103" s="2963">
        <v>1</v>
      </c>
    </row>
    <row r="104" spans="1:14">
      <c r="A104" s="2961" t="s">
        <v>2540</v>
      </c>
      <c r="B104" s="2963">
        <v>3757</v>
      </c>
      <c r="C104" s="2644">
        <f t="shared" si="21"/>
        <v>9.1999999999999998E-2</v>
      </c>
      <c r="D104" s="2964">
        <v>9.1999999999999993</v>
      </c>
      <c r="E104" s="2963">
        <v>4</v>
      </c>
      <c r="F104" s="2963">
        <v>0</v>
      </c>
      <c r="G104" s="2963">
        <v>2</v>
      </c>
    </row>
    <row r="105" spans="1:14">
      <c r="A105" s="2961" t="s">
        <v>2539</v>
      </c>
      <c r="B105" s="2963">
        <v>1070</v>
      </c>
      <c r="C105" s="2644">
        <f t="shared" si="21"/>
        <v>2.6000000000000002E-2</v>
      </c>
      <c r="D105" s="2964">
        <v>2.6</v>
      </c>
      <c r="E105" s="2963">
        <v>2</v>
      </c>
      <c r="F105" s="2963">
        <v>0</v>
      </c>
      <c r="G105" s="2963">
        <v>0</v>
      </c>
    </row>
    <row r="106" spans="1:14">
      <c r="A106" s="2961" t="s">
        <v>28</v>
      </c>
      <c r="B106" s="2963">
        <v>4673</v>
      </c>
      <c r="C106" s="2644">
        <f t="shared" si="21"/>
        <v>0.114</v>
      </c>
      <c r="D106" s="2964">
        <v>11.4</v>
      </c>
      <c r="E106" s="2963">
        <v>6</v>
      </c>
      <c r="F106" s="2963">
        <v>0</v>
      </c>
      <c r="G106" s="2963">
        <v>1</v>
      </c>
    </row>
    <row r="107" spans="1:14" s="2969" customFormat="1">
      <c r="A107" s="2969" t="s">
        <v>16</v>
      </c>
      <c r="B107" s="2971">
        <v>40970</v>
      </c>
      <c r="C107" s="2973">
        <f>SUM(C98:C99,C101:C106)</f>
        <v>1</v>
      </c>
      <c r="D107" s="2972"/>
      <c r="E107" s="2971">
        <v>32</v>
      </c>
      <c r="F107" s="2971">
        <v>0</v>
      </c>
      <c r="G107" s="2971">
        <v>15</v>
      </c>
      <c r="H107" s="2970"/>
      <c r="I107" s="2970"/>
    </row>
    <row r="108" spans="1:14" s="2965" customFormat="1">
      <c r="A108" s="2965" t="s">
        <v>2538</v>
      </c>
      <c r="B108" s="2968">
        <f t="shared" ref="B108:G108" si="24">SUM(B105:B106)</f>
        <v>5743</v>
      </c>
      <c r="C108" s="2646">
        <f t="shared" si="24"/>
        <v>0.14000000000000001</v>
      </c>
      <c r="D108" s="2968">
        <f t="shared" si="24"/>
        <v>14</v>
      </c>
      <c r="E108" s="2968">
        <f t="shared" si="24"/>
        <v>8</v>
      </c>
      <c r="F108" s="2968">
        <f t="shared" si="24"/>
        <v>0</v>
      </c>
      <c r="G108" s="2968">
        <f t="shared" si="24"/>
        <v>1</v>
      </c>
      <c r="H108" s="2967"/>
      <c r="I108" s="2967"/>
      <c r="J108" s="2966"/>
      <c r="K108" s="2645"/>
      <c r="L108" s="2966"/>
      <c r="M108" s="2966"/>
    </row>
    <row r="109" spans="1:14">
      <c r="C109" s="2644"/>
    </row>
    <row r="110" spans="1:14">
      <c r="C110" s="2644"/>
    </row>
    <row r="111" spans="1:14">
      <c r="A111" s="2961" t="s">
        <v>2537</v>
      </c>
      <c r="C111" s="2644"/>
    </row>
    <row r="112" spans="1:14">
      <c r="C112" s="2644"/>
    </row>
    <row r="113" spans="3:3">
      <c r="C113" s="2644"/>
    </row>
  </sheetData>
  <conditionalFormatting sqref="I58:O58">
    <cfRule type="cellIs" dxfId="132" priority="3" operator="equal">
      <formula>"""FALSE"""</formula>
    </cfRule>
  </conditionalFormatting>
  <conditionalFormatting sqref="I4:O4">
    <cfRule type="cellIs" dxfId="131" priority="10" operator="equal">
      <formula>"""FALSE"""</formula>
    </cfRule>
  </conditionalFormatting>
  <conditionalFormatting sqref="J13:M13">
    <cfRule type="cellIs" dxfId="130" priority="9" operator="equal">
      <formula>"""FALSE"""</formula>
    </cfRule>
  </conditionalFormatting>
  <conditionalFormatting sqref="J34:M34">
    <cfRule type="cellIs" dxfId="129" priority="8" operator="equal">
      <formula>"""FALSE"""</formula>
    </cfRule>
  </conditionalFormatting>
  <conditionalFormatting sqref="I50:O51">
    <cfRule type="cellIs" dxfId="128" priority="4" operator="equal">
      <formula>"""FALSE"""</formula>
    </cfRule>
  </conditionalFormatting>
  <conditionalFormatting sqref="J40:M40">
    <cfRule type="cellIs" dxfId="127" priority="7" operator="equal">
      <formula>"""FALSE"""</formula>
    </cfRule>
  </conditionalFormatting>
  <conditionalFormatting sqref="I23:N23">
    <cfRule type="cellIs" dxfId="126" priority="6" operator="equal">
      <formula>"""FALSE"""</formula>
    </cfRule>
  </conditionalFormatting>
  <conditionalFormatting sqref="I35:N35">
    <cfRule type="cellIs" dxfId="125" priority="5" operator="equal">
      <formula>"""FALSE"""</formula>
    </cfRule>
  </conditionalFormatting>
  <conditionalFormatting sqref="I78:N78">
    <cfRule type="cellIs" dxfId="124" priority="2" operator="equal">
      <formula>"""FALSE"""</formula>
    </cfRule>
  </conditionalFormatting>
  <conditionalFormatting sqref="I98:N98">
    <cfRule type="cellIs" dxfId="123" priority="1" operator="equal">
      <formula>"""FALSE"""</formula>
    </cfRule>
  </conditionalFormatting>
  <pageMargins left="0.7" right="0.7" top="0.75" bottom="0.75" header="0.3" footer="0.3"/>
  <pageSetup paperSize="9" orientation="portrait" horizontalDpi="1200" verticalDpi="120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AD64A-ABA8-41DD-9B2A-A0EFEC0C7D38}">
  <dimension ref="A1:O108"/>
  <sheetViews>
    <sheetView zoomScaleNormal="100" workbookViewId="0">
      <pane xSplit="1" ySplit="2" topLeftCell="E41"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4"/>
  <cols>
    <col min="1" max="1" width="25.3984375" style="2655" customWidth="1"/>
    <col min="2" max="2" width="24.3984375" style="2656" customWidth="1"/>
    <col min="3" max="3" width="11.3984375" style="2963" customWidth="1"/>
    <col min="4" max="4" width="16.19921875" style="2656" customWidth="1"/>
    <col min="5" max="5" width="20.796875" style="2656" customWidth="1"/>
    <col min="6" max="6" width="19.796875" style="2656" customWidth="1"/>
    <col min="7" max="7" width="12.59765625" style="2656" customWidth="1"/>
    <col min="8" max="8" width="3.3984375" style="2656" customWidth="1"/>
    <col min="9" max="9" width="8.796875" style="2656"/>
    <col min="10" max="10" width="11.3984375" style="2962" bestFit="1" customWidth="1"/>
    <col min="11" max="11" width="8.796875" style="2961"/>
    <col min="12" max="12" width="12.59765625" style="2961" bestFit="1" customWidth="1"/>
    <col min="13" max="14" width="8.796875" style="2961"/>
    <col min="15" max="16384" width="8.796875" style="2655"/>
  </cols>
  <sheetData>
    <row r="1" spans="1:14" ht="21" customHeight="1">
      <c r="A1" s="2689" t="s">
        <v>2591</v>
      </c>
      <c r="B1" s="2688"/>
      <c r="D1" s="2688"/>
      <c r="E1" s="2688"/>
      <c r="F1" s="2688"/>
      <c r="G1" s="2688"/>
      <c r="H1" s="2687"/>
    </row>
    <row r="2" spans="1:14" ht="17.25" customHeight="1">
      <c r="A2" s="2686"/>
      <c r="B2" s="2685" t="s">
        <v>2590</v>
      </c>
      <c r="C2" s="2986" t="s">
        <v>153</v>
      </c>
      <c r="D2" s="2684" t="s">
        <v>2589</v>
      </c>
      <c r="E2" s="2682" t="s">
        <v>2588</v>
      </c>
      <c r="F2" s="2683" t="s">
        <v>2587</v>
      </c>
      <c r="G2" s="2682" t="s">
        <v>2586</v>
      </c>
    </row>
    <row r="3" spans="1:14" ht="20.25" customHeight="1">
      <c r="A3" s="2802" t="s">
        <v>2585</v>
      </c>
      <c r="B3" s="2681"/>
      <c r="D3" s="2681"/>
      <c r="E3" s="2681"/>
      <c r="F3" s="2681"/>
      <c r="G3" s="2681"/>
    </row>
    <row r="4" spans="1:14" ht="16.5" customHeight="1">
      <c r="A4" s="2665" t="s">
        <v>2574</v>
      </c>
      <c r="B4" s="2664">
        <v>4809797</v>
      </c>
      <c r="C4" s="2644">
        <f t="shared" ref="C4:C10" si="0">D4/100</f>
        <v>0.41499999999999998</v>
      </c>
      <c r="D4" s="2663">
        <v>41.5</v>
      </c>
      <c r="E4" s="2659">
        <v>406</v>
      </c>
      <c r="F4" s="2659">
        <v>29</v>
      </c>
      <c r="G4" s="2659">
        <v>307</v>
      </c>
      <c r="J4" s="2648" t="b">
        <f>J5=J6</f>
        <v>1</v>
      </c>
      <c r="K4" s="2648"/>
      <c r="L4" s="2648" t="b">
        <f>L5=L6</f>
        <v>1</v>
      </c>
      <c r="M4" s="2648" t="b">
        <f>M5=M6</f>
        <v>1</v>
      </c>
      <c r="N4" s="2648" t="b">
        <f>N5=N6</f>
        <v>1</v>
      </c>
    </row>
    <row r="5" spans="1:14" ht="18.75" customHeight="1">
      <c r="A5" s="2665" t="s">
        <v>2573</v>
      </c>
      <c r="B5" s="2664">
        <v>2260423</v>
      </c>
      <c r="C5" s="2644">
        <f t="shared" si="0"/>
        <v>0.19600000000000001</v>
      </c>
      <c r="D5" s="2663">
        <v>19.600000000000001</v>
      </c>
      <c r="E5" s="2659">
        <v>271</v>
      </c>
      <c r="F5" s="2659">
        <v>3</v>
      </c>
      <c r="G5" s="2659">
        <v>44</v>
      </c>
      <c r="J5" s="2647">
        <f>SUM(B4:B10)</f>
        <v>11696430</v>
      </c>
      <c r="K5" s="2680">
        <f>SUM(D4:D10)</f>
        <v>99.999999999999986</v>
      </c>
      <c r="L5" s="2647">
        <f>SUM(E4:E10)</f>
        <v>1156</v>
      </c>
      <c r="M5" s="2647">
        <f>SUM(F4:F10)</f>
        <v>37</v>
      </c>
      <c r="N5" s="2647">
        <f>SUM(G4:G10)</f>
        <v>485</v>
      </c>
    </row>
    <row r="6" spans="1:14" ht="17.25" customHeight="1">
      <c r="A6" s="2665" t="s">
        <v>2572</v>
      </c>
      <c r="B6" s="2664">
        <v>950515</v>
      </c>
      <c r="C6" s="2644">
        <f t="shared" si="0"/>
        <v>7.5999999999999998E-2</v>
      </c>
      <c r="D6" s="2663">
        <v>7.6</v>
      </c>
      <c r="E6" s="2659">
        <v>97</v>
      </c>
      <c r="F6" s="2659">
        <v>2</v>
      </c>
      <c r="G6" s="2659">
        <v>31</v>
      </c>
      <c r="J6" s="2975">
        <f>B11</f>
        <v>11696430</v>
      </c>
      <c r="K6" s="2975">
        <f>D11</f>
        <v>0</v>
      </c>
      <c r="L6" s="2975">
        <f>E11</f>
        <v>1156</v>
      </c>
      <c r="M6" s="2975">
        <f>F11</f>
        <v>37</v>
      </c>
      <c r="N6" s="2975">
        <f>G11</f>
        <v>485</v>
      </c>
    </row>
    <row r="7" spans="1:14" ht="16.5" customHeight="1">
      <c r="A7" s="2665" t="s">
        <v>2571</v>
      </c>
      <c r="B7" s="2664">
        <v>3370430</v>
      </c>
      <c r="C7" s="2644">
        <f t="shared" si="0"/>
        <v>0.28800000000000003</v>
      </c>
      <c r="D7" s="2663">
        <v>28.8</v>
      </c>
      <c r="E7" s="2659">
        <v>340</v>
      </c>
      <c r="F7" s="2659">
        <v>2</v>
      </c>
      <c r="G7" s="2659">
        <v>95</v>
      </c>
    </row>
    <row r="8" spans="1:14" ht="18.75" customHeight="1">
      <c r="A8" s="2665" t="s">
        <v>2578</v>
      </c>
      <c r="B8" s="2664">
        <v>9693</v>
      </c>
      <c r="C8" s="2644">
        <f t="shared" si="0"/>
        <v>1E-3</v>
      </c>
      <c r="D8" s="2663">
        <v>0.1</v>
      </c>
      <c r="E8" s="2659">
        <v>2</v>
      </c>
      <c r="F8" s="2659">
        <v>0</v>
      </c>
      <c r="G8" s="2659">
        <v>0</v>
      </c>
      <c r="K8" s="2979"/>
      <c r="L8" s="2648"/>
      <c r="M8" s="2979"/>
      <c r="N8" s="2979"/>
    </row>
    <row r="9" spans="1:14" ht="18" customHeight="1">
      <c r="A9" s="2665" t="s">
        <v>2577</v>
      </c>
      <c r="B9" s="2664">
        <v>12614</v>
      </c>
      <c r="C9" s="2644">
        <f t="shared" si="0"/>
        <v>1E-3</v>
      </c>
      <c r="D9" s="2663">
        <v>0.1</v>
      </c>
      <c r="E9" s="2659">
        <v>2</v>
      </c>
      <c r="F9" s="2667">
        <v>1</v>
      </c>
      <c r="G9" s="2679">
        <v>1</v>
      </c>
      <c r="K9" s="2979"/>
      <c r="L9" s="2648"/>
      <c r="M9" s="2979"/>
      <c r="N9" s="2979"/>
    </row>
    <row r="10" spans="1:14" ht="17.25" customHeight="1">
      <c r="A10" s="2665" t="s">
        <v>2576</v>
      </c>
      <c r="B10" s="2664">
        <v>282958</v>
      </c>
      <c r="C10" s="2644">
        <f t="shared" si="0"/>
        <v>2.3E-2</v>
      </c>
      <c r="D10" s="2663">
        <v>2.2999999999999998</v>
      </c>
      <c r="E10" s="2659">
        <v>38</v>
      </c>
      <c r="F10" s="2659">
        <v>0</v>
      </c>
      <c r="G10" s="2659">
        <v>7</v>
      </c>
      <c r="J10" s="2976"/>
      <c r="K10" s="2984"/>
      <c r="L10" s="2653"/>
      <c r="M10" s="2984"/>
      <c r="N10" s="2984"/>
    </row>
    <row r="11" spans="1:14" ht="17.25" customHeight="1">
      <c r="A11" s="2662" t="s">
        <v>2569</v>
      </c>
      <c r="B11" s="2661">
        <v>11696430</v>
      </c>
      <c r="C11" s="2644"/>
      <c r="D11" s="2660"/>
      <c r="E11" s="2658">
        <v>1156</v>
      </c>
      <c r="F11" s="2659">
        <v>37</v>
      </c>
      <c r="G11" s="2658">
        <v>485</v>
      </c>
      <c r="K11" s="2979"/>
      <c r="L11" s="2648"/>
      <c r="M11" s="2979"/>
      <c r="N11" s="2979"/>
    </row>
    <row r="12" spans="1:14" ht="17.25" customHeight="1">
      <c r="A12" s="2662"/>
      <c r="B12" s="2661"/>
      <c r="C12" s="2644"/>
      <c r="D12" s="2660"/>
      <c r="E12" s="2658"/>
      <c r="F12" s="2659"/>
      <c r="G12" s="2658"/>
      <c r="K12" s="2979"/>
      <c r="L12" s="2648"/>
      <c r="M12" s="2979"/>
      <c r="N12" s="2979"/>
    </row>
    <row r="13" spans="1:14" ht="20.75" customHeight="1">
      <c r="A13" s="2802" t="s">
        <v>2584</v>
      </c>
      <c r="B13" s="2669"/>
      <c r="C13" s="2644"/>
      <c r="D13" s="2660"/>
      <c r="E13" s="2668"/>
      <c r="F13" s="2668"/>
      <c r="G13" s="2668"/>
      <c r="K13" s="2979"/>
      <c r="L13" s="2648"/>
      <c r="M13" s="2979"/>
      <c r="N13" s="2979"/>
    </row>
    <row r="14" spans="1:14" ht="17.25" customHeight="1">
      <c r="A14" s="2665" t="s">
        <v>2574</v>
      </c>
      <c r="B14" s="2664">
        <v>190919</v>
      </c>
      <c r="C14" s="2644">
        <f t="shared" ref="C14:C45" si="1">D14/100</f>
        <v>0.214</v>
      </c>
      <c r="D14" s="2663">
        <v>21.4</v>
      </c>
      <c r="E14" s="2659">
        <v>19</v>
      </c>
      <c r="F14" s="2659">
        <v>1</v>
      </c>
      <c r="G14" s="2659">
        <v>6</v>
      </c>
      <c r="J14" s="2648" t="b">
        <f>J15=J16</f>
        <v>1</v>
      </c>
      <c r="K14" s="2648"/>
      <c r="L14" s="2648" t="b">
        <f>L15=L16</f>
        <v>1</v>
      </c>
      <c r="M14" s="2648" t="b">
        <f>M15=M16</f>
        <v>1</v>
      </c>
      <c r="N14" s="2648" t="b">
        <f>N15=N16</f>
        <v>1</v>
      </c>
    </row>
    <row r="15" spans="1:14" ht="16.5" customHeight="1">
      <c r="A15" s="2665" t="s">
        <v>2573</v>
      </c>
      <c r="B15" s="2664">
        <v>74996</v>
      </c>
      <c r="C15" s="2644">
        <f t="shared" si="1"/>
        <v>8.4000000000000005E-2</v>
      </c>
      <c r="D15" s="2663">
        <v>8.4</v>
      </c>
      <c r="E15" s="2659">
        <v>11</v>
      </c>
      <c r="F15" s="2667">
        <v>1</v>
      </c>
      <c r="G15" s="2659">
        <v>2</v>
      </c>
      <c r="J15" s="2647">
        <f>SUM(B14:B18)</f>
        <v>892700</v>
      </c>
      <c r="K15" s="2647">
        <f>SUM(D14:D18)</f>
        <v>99.999999999999986</v>
      </c>
      <c r="L15" s="2647">
        <f>SUM(E14:E18)</f>
        <v>80</v>
      </c>
      <c r="M15" s="2647">
        <f>SUM(F14:F18)</f>
        <v>4</v>
      </c>
      <c r="N15" s="2647">
        <f>SUM(G14:G18)</f>
        <v>35</v>
      </c>
    </row>
    <row r="16" spans="1:14" ht="17.25" customHeight="1">
      <c r="A16" s="2665" t="s">
        <v>2572</v>
      </c>
      <c r="B16" s="2664">
        <v>230961</v>
      </c>
      <c r="C16" s="2644">
        <f t="shared" si="1"/>
        <v>0.25800000000000001</v>
      </c>
      <c r="D16" s="2663">
        <v>25.8</v>
      </c>
      <c r="E16" s="2659">
        <v>19</v>
      </c>
      <c r="F16" s="2667">
        <v>1</v>
      </c>
      <c r="G16" s="2659">
        <v>8</v>
      </c>
      <c r="J16" s="2975">
        <f>B19</f>
        <v>892700</v>
      </c>
      <c r="K16" s="2975">
        <f>D19</f>
        <v>0</v>
      </c>
      <c r="L16" s="2975">
        <f>E19</f>
        <v>80</v>
      </c>
      <c r="M16" s="2975">
        <f>F19</f>
        <v>4</v>
      </c>
      <c r="N16" s="2975">
        <f>G19</f>
        <v>35</v>
      </c>
    </row>
    <row r="17" spans="1:14" ht="18" customHeight="1">
      <c r="A17" s="2665" t="s">
        <v>2571</v>
      </c>
      <c r="B17" s="2664">
        <v>363568</v>
      </c>
      <c r="C17" s="2644">
        <f t="shared" si="1"/>
        <v>0.40799999999999997</v>
      </c>
      <c r="D17" s="2663">
        <v>40.799999999999997</v>
      </c>
      <c r="E17" s="2659">
        <v>28</v>
      </c>
      <c r="F17" s="2667">
        <v>1</v>
      </c>
      <c r="G17" s="2659">
        <v>18</v>
      </c>
      <c r="K17" s="2979"/>
      <c r="L17" s="2648"/>
      <c r="M17" s="2979"/>
      <c r="N17" s="2979"/>
    </row>
    <row r="18" spans="1:14" ht="17.25" customHeight="1">
      <c r="A18" s="2665" t="s">
        <v>2576</v>
      </c>
      <c r="B18" s="2664">
        <v>32256</v>
      </c>
      <c r="C18" s="2644">
        <f t="shared" si="1"/>
        <v>3.6000000000000004E-2</v>
      </c>
      <c r="D18" s="2663">
        <v>3.6</v>
      </c>
      <c r="E18" s="2659">
        <v>3</v>
      </c>
      <c r="F18" s="2659">
        <v>0</v>
      </c>
      <c r="G18" s="2659">
        <v>1</v>
      </c>
      <c r="K18" s="2979"/>
      <c r="L18" s="2648"/>
      <c r="M18" s="2979"/>
      <c r="N18" s="2979"/>
    </row>
    <row r="19" spans="1:14" ht="20.25" customHeight="1">
      <c r="A19" s="2662" t="s">
        <v>2569</v>
      </c>
      <c r="B19" s="2661">
        <v>892700</v>
      </c>
      <c r="C19" s="2644">
        <f t="shared" si="1"/>
        <v>0</v>
      </c>
      <c r="D19" s="2660"/>
      <c r="E19" s="2658">
        <v>80</v>
      </c>
      <c r="F19" s="2659">
        <v>4</v>
      </c>
      <c r="G19" s="2658">
        <v>35</v>
      </c>
      <c r="K19" s="2979"/>
      <c r="L19" s="2648"/>
      <c r="M19" s="2979"/>
      <c r="N19" s="2979"/>
    </row>
    <row r="20" spans="1:14" ht="20.25" customHeight="1">
      <c r="A20" s="2662"/>
      <c r="B20" s="2661"/>
      <c r="C20" s="2644">
        <f t="shared" si="1"/>
        <v>0</v>
      </c>
      <c r="D20" s="2660"/>
      <c r="E20" s="2658"/>
      <c r="F20" s="2659"/>
      <c r="G20" s="2658"/>
      <c r="K20" s="2979"/>
      <c r="L20" s="2648"/>
      <c r="M20" s="2979"/>
      <c r="N20" s="2979"/>
    </row>
    <row r="21" spans="1:14" ht="20.25" customHeight="1">
      <c r="A21" s="2802" t="s">
        <v>2583</v>
      </c>
      <c r="B21" s="2669"/>
      <c r="C21" s="2644">
        <f t="shared" si="1"/>
        <v>0</v>
      </c>
      <c r="D21" s="2660"/>
      <c r="E21" s="2668"/>
      <c r="F21" s="2668"/>
      <c r="G21" s="2668"/>
      <c r="K21" s="2979"/>
      <c r="L21" s="2648"/>
      <c r="M21" s="2979"/>
      <c r="N21" s="2979"/>
    </row>
    <row r="22" spans="1:14" ht="17.25" customHeight="1">
      <c r="A22" s="2665" t="s">
        <v>2574</v>
      </c>
      <c r="B22" s="2664">
        <v>379396</v>
      </c>
      <c r="C22" s="2644">
        <f t="shared" si="1"/>
        <v>0.251</v>
      </c>
      <c r="D22" s="2663">
        <v>25.1</v>
      </c>
      <c r="E22" s="2659">
        <v>36</v>
      </c>
      <c r="F22" s="2659">
        <v>0</v>
      </c>
      <c r="G22" s="2659">
        <v>13</v>
      </c>
      <c r="J22" s="2648" t="b">
        <f>J23=J24</f>
        <v>1</v>
      </c>
      <c r="K22" s="2648"/>
      <c r="L22" s="2648" t="b">
        <f>L23=L24</f>
        <v>1</v>
      </c>
      <c r="M22" s="2648" t="b">
        <f>M23=M24</f>
        <v>1</v>
      </c>
      <c r="N22" s="2648" t="b">
        <f>N23=N24</f>
        <v>1</v>
      </c>
    </row>
    <row r="23" spans="1:14" ht="18" customHeight="1">
      <c r="A23" s="2665" t="s">
        <v>2573</v>
      </c>
      <c r="B23" s="2664">
        <v>328649</v>
      </c>
      <c r="C23" s="2644">
        <f t="shared" si="1"/>
        <v>0.215</v>
      </c>
      <c r="D23" s="2663">
        <v>21.5</v>
      </c>
      <c r="E23" s="2659">
        <v>48</v>
      </c>
      <c r="F23" s="2659">
        <v>1</v>
      </c>
      <c r="G23" s="2659">
        <v>15</v>
      </c>
      <c r="J23" s="2647">
        <f>SUM(B22:B27)</f>
        <v>1569361</v>
      </c>
      <c r="K23" s="2647">
        <f>SUM(D22:D27)</f>
        <v>100</v>
      </c>
      <c r="L23" s="2647">
        <f>SUM(E22:E27)</f>
        <v>168</v>
      </c>
      <c r="M23" s="2647">
        <f>SUM(F22:F27)</f>
        <v>3</v>
      </c>
      <c r="N23" s="2647">
        <f>SUM(G22:G27)</f>
        <v>71</v>
      </c>
    </row>
    <row r="24" spans="1:14" ht="17.25" customHeight="1">
      <c r="A24" s="2662" t="s">
        <v>2582</v>
      </c>
      <c r="B24" s="2664">
        <v>288529</v>
      </c>
      <c r="C24" s="2644">
        <f t="shared" si="1"/>
        <v>0.17699999999999999</v>
      </c>
      <c r="D24" s="2663">
        <v>17.7</v>
      </c>
      <c r="E24" s="2659">
        <v>33</v>
      </c>
      <c r="F24" s="2659">
        <v>1</v>
      </c>
      <c r="G24" s="2659">
        <v>12</v>
      </c>
      <c r="J24" s="2975">
        <f>B28</f>
        <v>1569361</v>
      </c>
      <c r="K24" s="2975">
        <f>D28</f>
        <v>0</v>
      </c>
      <c r="L24" s="2975">
        <f>E28</f>
        <v>168</v>
      </c>
      <c r="M24" s="2975">
        <f>F28</f>
        <v>3</v>
      </c>
      <c r="N24" s="2975">
        <f>G28</f>
        <v>71</v>
      </c>
    </row>
    <row r="25" spans="1:14" ht="18.75" customHeight="1">
      <c r="A25" s="2665" t="s">
        <v>2571</v>
      </c>
      <c r="B25" s="2664">
        <v>501254</v>
      </c>
      <c r="C25" s="2644">
        <f t="shared" si="1"/>
        <v>0.32200000000000001</v>
      </c>
      <c r="D25" s="2663">
        <v>32.200000000000003</v>
      </c>
      <c r="E25" s="2659">
        <v>43</v>
      </c>
      <c r="F25" s="2659">
        <v>1</v>
      </c>
      <c r="G25" s="2659">
        <v>29</v>
      </c>
      <c r="J25" s="2648"/>
      <c r="K25" s="2648"/>
      <c r="L25" s="2648"/>
      <c r="M25" s="2979"/>
      <c r="N25" s="2979"/>
    </row>
    <row r="26" spans="1:14" ht="18.75" customHeight="1">
      <c r="A26" s="2665" t="s">
        <v>2578</v>
      </c>
      <c r="B26" s="2664">
        <v>23944</v>
      </c>
      <c r="C26" s="2644">
        <f t="shared" si="1"/>
        <v>1.3999999999999999E-2</v>
      </c>
      <c r="D26" s="2663">
        <v>1.4</v>
      </c>
      <c r="E26" s="2659">
        <v>3</v>
      </c>
      <c r="F26" s="2659">
        <v>0</v>
      </c>
      <c r="G26" s="2659">
        <v>1</v>
      </c>
      <c r="J26" s="2647"/>
      <c r="K26" s="2647"/>
      <c r="L26" s="2647"/>
      <c r="M26" s="2647"/>
      <c r="N26" s="2647"/>
    </row>
    <row r="27" spans="1:14" ht="18" customHeight="1">
      <c r="A27" s="2665" t="s">
        <v>2576</v>
      </c>
      <c r="B27" s="2664">
        <v>47589</v>
      </c>
      <c r="C27" s="2644">
        <f t="shared" si="1"/>
        <v>2.1000000000000001E-2</v>
      </c>
      <c r="D27" s="2663">
        <v>2.1</v>
      </c>
      <c r="E27" s="2659">
        <v>5</v>
      </c>
      <c r="F27" s="2659">
        <v>0</v>
      </c>
      <c r="G27" s="2667">
        <v>1</v>
      </c>
      <c r="J27" s="2975"/>
      <c r="K27" s="2975"/>
      <c r="L27" s="2975"/>
      <c r="M27" s="2975"/>
      <c r="N27" s="2975"/>
    </row>
    <row r="28" spans="1:14" ht="17.25" customHeight="1">
      <c r="A28" s="2662" t="s">
        <v>2569</v>
      </c>
      <c r="B28" s="2661">
        <v>1569361</v>
      </c>
      <c r="C28" s="2644">
        <f t="shared" si="1"/>
        <v>0</v>
      </c>
      <c r="D28" s="2660"/>
      <c r="E28" s="2675">
        <v>168</v>
      </c>
      <c r="F28" s="2659">
        <v>3</v>
      </c>
      <c r="G28" s="2658">
        <v>71</v>
      </c>
      <c r="J28" s="2976"/>
      <c r="K28" s="2979"/>
      <c r="L28" s="2648"/>
      <c r="M28" s="2979"/>
      <c r="N28" s="2979"/>
    </row>
    <row r="29" spans="1:14" ht="17.25" customHeight="1">
      <c r="A29" s="2662"/>
      <c r="B29" s="2661"/>
      <c r="C29" s="2644">
        <f t="shared" si="1"/>
        <v>0</v>
      </c>
      <c r="D29" s="2660"/>
      <c r="E29" s="2675"/>
      <c r="F29" s="2659"/>
      <c r="G29" s="2658"/>
      <c r="J29" s="2976"/>
      <c r="K29" s="2979"/>
      <c r="L29" s="2648"/>
      <c r="M29" s="2979"/>
      <c r="N29" s="2979"/>
    </row>
    <row r="30" spans="1:14" ht="20.25" customHeight="1">
      <c r="A30" s="2673" t="s">
        <v>2581</v>
      </c>
      <c r="B30" s="2672"/>
      <c r="C30" s="2644">
        <f t="shared" si="1"/>
        <v>0</v>
      </c>
      <c r="D30" s="2671"/>
      <c r="E30" s="2670"/>
      <c r="F30" s="2670"/>
      <c r="G30" s="2670"/>
      <c r="K30" s="2979"/>
      <c r="L30" s="2648"/>
      <c r="M30" s="2979"/>
      <c r="N30" s="2979"/>
    </row>
    <row r="31" spans="1:14" ht="17.25" customHeight="1">
      <c r="A31" s="2665" t="s">
        <v>2574</v>
      </c>
      <c r="B31" s="2664">
        <v>107972</v>
      </c>
      <c r="C31" s="2644">
        <f t="shared" si="1"/>
        <v>0.55799999999999994</v>
      </c>
      <c r="D31" s="2663">
        <v>55.8</v>
      </c>
      <c r="E31" s="2659">
        <v>12</v>
      </c>
      <c r="F31" s="2659">
        <v>9</v>
      </c>
      <c r="G31" s="2659">
        <v>10</v>
      </c>
      <c r="J31" s="2648" t="b">
        <f>J32=J33</f>
        <v>1</v>
      </c>
      <c r="K31" s="2648"/>
      <c r="L31" s="2648" t="b">
        <f>L32=L33</f>
        <v>1</v>
      </c>
      <c r="M31" s="2648" t="b">
        <f>M32=M33</f>
        <v>1</v>
      </c>
      <c r="N31" s="2648" t="b">
        <f>N32=N33</f>
        <v>1</v>
      </c>
    </row>
    <row r="32" spans="1:14" ht="18" customHeight="1">
      <c r="A32" s="2665" t="s">
        <v>2577</v>
      </c>
      <c r="B32" s="2664">
        <v>90053</v>
      </c>
      <c r="C32" s="2644">
        <f t="shared" si="1"/>
        <v>0.36299999999999999</v>
      </c>
      <c r="D32" s="2663">
        <v>36.299999999999997</v>
      </c>
      <c r="E32" s="2659">
        <v>2</v>
      </c>
      <c r="F32" s="2659">
        <v>0</v>
      </c>
      <c r="G32" s="2659">
        <v>2</v>
      </c>
      <c r="J32" s="2647">
        <f>SUM(B31:B33)</f>
        <v>207886</v>
      </c>
      <c r="K32" s="2647">
        <f>SUM(D31:D33)</f>
        <v>100</v>
      </c>
      <c r="L32" s="2647">
        <f>SUM(E31:E33)</f>
        <v>15</v>
      </c>
      <c r="M32" s="2647">
        <f>SUM(F31:F33)</f>
        <v>9</v>
      </c>
      <c r="N32" s="2647">
        <f>SUM(G31:G33)</f>
        <v>12</v>
      </c>
    </row>
    <row r="33" spans="1:15" ht="17.25" customHeight="1">
      <c r="A33" s="2665" t="s">
        <v>2576</v>
      </c>
      <c r="B33" s="2664">
        <v>9861</v>
      </c>
      <c r="C33" s="2644">
        <f t="shared" si="1"/>
        <v>7.9000000000000001E-2</v>
      </c>
      <c r="D33" s="2663">
        <v>7.9</v>
      </c>
      <c r="E33" s="2667">
        <v>1</v>
      </c>
      <c r="F33" s="2659">
        <v>0</v>
      </c>
      <c r="G33" s="2659">
        <v>0</v>
      </c>
      <c r="J33" s="2975">
        <f>B34</f>
        <v>207886</v>
      </c>
      <c r="K33" s="2975">
        <f>D34</f>
        <v>0</v>
      </c>
      <c r="L33" s="2975">
        <f>E34</f>
        <v>15</v>
      </c>
      <c r="M33" s="2975">
        <f>F34</f>
        <v>9</v>
      </c>
      <c r="N33" s="2975">
        <f>G34</f>
        <v>12</v>
      </c>
    </row>
    <row r="34" spans="1:15" ht="17.25" customHeight="1">
      <c r="A34" s="2662" t="s">
        <v>2569</v>
      </c>
      <c r="B34" s="2661">
        <v>207886</v>
      </c>
      <c r="C34" s="2644">
        <f t="shared" si="1"/>
        <v>0</v>
      </c>
      <c r="D34" s="2660"/>
      <c r="E34" s="2658">
        <v>15</v>
      </c>
      <c r="F34" s="2659">
        <v>9</v>
      </c>
      <c r="G34" s="2658">
        <v>12</v>
      </c>
      <c r="J34" s="2970"/>
      <c r="K34" s="2979"/>
      <c r="L34" s="2648"/>
      <c r="M34" s="2979"/>
      <c r="N34" s="2979"/>
    </row>
    <row r="35" spans="1:15" ht="17.25" customHeight="1">
      <c r="A35" s="2662"/>
      <c r="B35" s="2661"/>
      <c r="C35" s="2644">
        <f t="shared" si="1"/>
        <v>0</v>
      </c>
      <c r="D35" s="2660"/>
      <c r="E35" s="2658"/>
      <c r="F35" s="2659"/>
      <c r="G35" s="2658"/>
      <c r="J35" s="2970"/>
      <c r="K35" s="2979"/>
      <c r="L35" s="2648"/>
      <c r="M35" s="2979"/>
      <c r="N35" s="2979"/>
    </row>
    <row r="36" spans="1:15" ht="17">
      <c r="A36" s="2678" t="s">
        <v>2580</v>
      </c>
      <c r="B36" s="2677"/>
      <c r="C36" s="2644">
        <f t="shared" si="1"/>
        <v>0</v>
      </c>
      <c r="D36" s="2676"/>
      <c r="E36" s="2675"/>
      <c r="F36" s="2675"/>
      <c r="G36" s="2675"/>
      <c r="K36" s="2979"/>
      <c r="L36" s="2648"/>
      <c r="M36" s="2979"/>
      <c r="N36" s="2979"/>
    </row>
    <row r="37" spans="1:15" ht="18.75" customHeight="1">
      <c r="A37" s="2665" t="s">
        <v>2574</v>
      </c>
      <c r="B37" s="2664">
        <v>5394326</v>
      </c>
      <c r="C37" s="2644">
        <f t="shared" si="1"/>
        <v>0.38</v>
      </c>
      <c r="D37" s="2663">
        <v>38</v>
      </c>
      <c r="E37" s="2659">
        <v>470</v>
      </c>
      <c r="F37" s="2659">
        <v>33</v>
      </c>
      <c r="G37" s="2659">
        <v>334</v>
      </c>
      <c r="J37" s="2648" t="b">
        <f>J38=J39</f>
        <v>1</v>
      </c>
      <c r="K37" s="2648"/>
      <c r="L37" s="2648" t="b">
        <f>L38=L39</f>
        <v>1</v>
      </c>
      <c r="M37" s="2648" t="b">
        <f>M38=M39</f>
        <v>1</v>
      </c>
      <c r="N37" s="2648" t="b">
        <f>N38=N39</f>
        <v>1</v>
      </c>
      <c r="O37" s="2648"/>
    </row>
    <row r="38" spans="1:15" ht="18.75" customHeight="1">
      <c r="A38" s="2665" t="s">
        <v>2573</v>
      </c>
      <c r="B38" s="2664">
        <v>2668143</v>
      </c>
      <c r="C38" s="2644">
        <f t="shared" si="1"/>
        <v>0.188</v>
      </c>
      <c r="D38" s="2663">
        <v>18.8</v>
      </c>
      <c r="E38" s="2659">
        <v>334</v>
      </c>
      <c r="F38" s="2659">
        <v>6</v>
      </c>
      <c r="G38" s="2659">
        <v>62</v>
      </c>
      <c r="J38" s="2647">
        <f>SUM(B37:B43)</f>
        <v>14184444</v>
      </c>
      <c r="K38" s="2647">
        <f>SUM(D37:D43)</f>
        <v>99.999999999999986</v>
      </c>
      <c r="L38" s="2647">
        <f>SUM(E37:E43)</f>
        <v>1426</v>
      </c>
      <c r="M38" s="2647">
        <f>SUM(F37:F43)</f>
        <v>48</v>
      </c>
      <c r="N38" s="2647">
        <f>SUM(G37:G43)</f>
        <v>603</v>
      </c>
      <c r="O38" s="2647"/>
    </row>
    <row r="39" spans="1:15" ht="20.25" customHeight="1">
      <c r="A39" s="2665" t="s">
        <v>2572</v>
      </c>
      <c r="B39" s="2664">
        <v>1471317</v>
      </c>
      <c r="C39" s="2644">
        <f t="shared" si="1"/>
        <v>0.10400000000000001</v>
      </c>
      <c r="D39" s="2663">
        <v>10.4</v>
      </c>
      <c r="E39" s="2659">
        <v>151</v>
      </c>
      <c r="F39" s="2659">
        <v>4</v>
      </c>
      <c r="G39" s="2659">
        <v>53</v>
      </c>
      <c r="J39" s="2975">
        <f>B44</f>
        <v>14184444</v>
      </c>
      <c r="K39" s="2975">
        <f>D44</f>
        <v>0</v>
      </c>
      <c r="L39" s="2975">
        <f>E44</f>
        <v>1426</v>
      </c>
      <c r="M39" s="2975">
        <f>F44</f>
        <v>48</v>
      </c>
      <c r="N39" s="2975">
        <f>G44</f>
        <v>603</v>
      </c>
      <c r="O39" s="2975"/>
    </row>
    <row r="40" spans="1:15" ht="17.25" customHeight="1">
      <c r="A40" s="2665" t="s">
        <v>2571</v>
      </c>
      <c r="B40" s="2664">
        <v>4237349</v>
      </c>
      <c r="C40" s="2644">
        <f t="shared" si="1"/>
        <v>0.29899999999999999</v>
      </c>
      <c r="D40" s="2663">
        <v>29.9</v>
      </c>
      <c r="E40" s="2659">
        <v>414</v>
      </c>
      <c r="F40" s="2659">
        <v>4</v>
      </c>
      <c r="G40" s="2659">
        <v>142</v>
      </c>
      <c r="J40" s="2975"/>
      <c r="K40" s="2975"/>
      <c r="L40" s="2975"/>
      <c r="M40" s="2975"/>
      <c r="N40" s="2975"/>
      <c r="O40" s="2975"/>
    </row>
    <row r="41" spans="1:15" ht="18" customHeight="1">
      <c r="A41" s="2665" t="s">
        <v>2578</v>
      </c>
      <c r="B41" s="2664">
        <v>33637</v>
      </c>
      <c r="C41" s="2644">
        <f t="shared" si="1"/>
        <v>2E-3</v>
      </c>
      <c r="D41" s="2663">
        <v>0.2</v>
      </c>
      <c r="E41" s="2674">
        <v>5</v>
      </c>
      <c r="F41" s="2659">
        <v>0</v>
      </c>
      <c r="G41" s="2667">
        <v>1</v>
      </c>
      <c r="K41" s="2979"/>
      <c r="L41" s="2648"/>
      <c r="M41" s="2979"/>
      <c r="N41" s="2979"/>
    </row>
    <row r="42" spans="1:15" ht="17.25" customHeight="1">
      <c r="A42" s="2665" t="s">
        <v>2577</v>
      </c>
      <c r="B42" s="2664">
        <v>12614</v>
      </c>
      <c r="C42" s="2644">
        <f t="shared" si="1"/>
        <v>1E-3</v>
      </c>
      <c r="D42" s="2663">
        <v>0.1</v>
      </c>
      <c r="E42" s="2659">
        <v>2</v>
      </c>
      <c r="F42" s="2659">
        <v>1</v>
      </c>
      <c r="G42" s="2667">
        <v>1</v>
      </c>
      <c r="J42" s="2976"/>
      <c r="K42" s="2979"/>
      <c r="L42" s="2648"/>
      <c r="M42" s="2979"/>
      <c r="N42" s="2979"/>
    </row>
    <row r="43" spans="1:15" ht="16.5" customHeight="1">
      <c r="A43" s="2665" t="s">
        <v>2576</v>
      </c>
      <c r="B43" s="2664">
        <v>367058</v>
      </c>
      <c r="C43" s="2644">
        <f t="shared" si="1"/>
        <v>2.6000000000000002E-2</v>
      </c>
      <c r="D43" s="2663">
        <v>2.6</v>
      </c>
      <c r="E43" s="2659">
        <v>50</v>
      </c>
      <c r="F43" s="2659">
        <v>0</v>
      </c>
      <c r="G43" s="2659">
        <v>10</v>
      </c>
      <c r="K43" s="2979"/>
      <c r="L43" s="2648"/>
      <c r="M43" s="2979"/>
      <c r="N43" s="2979"/>
    </row>
    <row r="44" spans="1:15" ht="18.75" customHeight="1">
      <c r="A44" s="2662" t="s">
        <v>2569</v>
      </c>
      <c r="B44" s="2661">
        <v>14184444</v>
      </c>
      <c r="C44" s="2644">
        <f t="shared" si="1"/>
        <v>0</v>
      </c>
      <c r="D44" s="2660"/>
      <c r="E44" s="2658">
        <v>1426</v>
      </c>
      <c r="F44" s="2658">
        <v>48</v>
      </c>
      <c r="G44" s="2658">
        <v>603</v>
      </c>
      <c r="K44" s="2647"/>
      <c r="L44" s="2651"/>
      <c r="M44" s="2647"/>
      <c r="N44" s="2647"/>
    </row>
    <row r="45" spans="1:15" ht="18.75" customHeight="1">
      <c r="A45" s="2662"/>
      <c r="B45" s="2661"/>
      <c r="C45" s="2644">
        <f t="shared" si="1"/>
        <v>0</v>
      </c>
      <c r="D45" s="2660"/>
      <c r="E45" s="2658"/>
      <c r="F45" s="2658"/>
      <c r="G45" s="2658"/>
      <c r="K45" s="2647"/>
      <c r="L45" s="2651"/>
      <c r="M45" s="2647"/>
      <c r="N45" s="2647"/>
    </row>
    <row r="46" spans="1:15" ht="17">
      <c r="A46" s="2673" t="s">
        <v>2579</v>
      </c>
      <c r="B46" s="2672"/>
      <c r="C46" s="2644">
        <f t="shared" ref="C46:C77" si="2">D46/100</f>
        <v>0</v>
      </c>
      <c r="D46" s="2671"/>
      <c r="E46" s="2670"/>
      <c r="F46" s="2670"/>
      <c r="G46" s="2670"/>
      <c r="K46" s="2979"/>
      <c r="L46" s="2648"/>
      <c r="M46" s="2979"/>
      <c r="N46" s="2979"/>
    </row>
    <row r="47" spans="1:15" ht="18.75" customHeight="1">
      <c r="A47" s="2665" t="s">
        <v>2574</v>
      </c>
      <c r="B47" s="2664">
        <v>5502298</v>
      </c>
      <c r="C47" s="2644">
        <f t="shared" si="2"/>
        <v>0.38500000000000001</v>
      </c>
      <c r="D47" s="2663">
        <v>38.5</v>
      </c>
      <c r="E47" s="2659">
        <v>482</v>
      </c>
      <c r="F47" s="2659">
        <v>42</v>
      </c>
      <c r="G47" s="2659">
        <v>344</v>
      </c>
      <c r="J47" s="2648" t="b">
        <f>J48=J49</f>
        <v>1</v>
      </c>
      <c r="K47" s="2648"/>
      <c r="L47" s="2648" t="b">
        <f>L48=L49</f>
        <v>1</v>
      </c>
      <c r="M47" s="2648" t="b">
        <f>M48=M49</f>
        <v>1</v>
      </c>
      <c r="N47" s="2648" t="b">
        <f>N48=N49</f>
        <v>1</v>
      </c>
    </row>
    <row r="48" spans="1:15" ht="18.75" customHeight="1">
      <c r="A48" s="2665" t="s">
        <v>2573</v>
      </c>
      <c r="B48" s="2664">
        <v>2668143</v>
      </c>
      <c r="C48" s="2644">
        <f t="shared" si="2"/>
        <v>0.18899999999999997</v>
      </c>
      <c r="D48" s="2663">
        <v>18.899999999999999</v>
      </c>
      <c r="E48" s="2659">
        <v>334</v>
      </c>
      <c r="F48" s="2659">
        <v>6</v>
      </c>
      <c r="G48" s="2659">
        <v>62</v>
      </c>
      <c r="J48" s="2647">
        <f>SUM(B47:B53)</f>
        <v>14392330</v>
      </c>
      <c r="K48" s="2647">
        <f>SUM(D47:D53)</f>
        <v>100.00000000000001</v>
      </c>
      <c r="L48" s="2647">
        <f>SUM(E47:E53)</f>
        <v>1441</v>
      </c>
      <c r="M48" s="2647">
        <f>SUM(F47:F53)</f>
        <v>57</v>
      </c>
      <c r="N48" s="2647">
        <f>SUM(G47:G53)</f>
        <v>615</v>
      </c>
    </row>
    <row r="49" spans="1:14" ht="17.25" customHeight="1">
      <c r="A49" s="2665" t="s">
        <v>2572</v>
      </c>
      <c r="B49" s="2664">
        <v>1471317</v>
      </c>
      <c r="C49" s="2644">
        <f t="shared" si="2"/>
        <v>9.9000000000000005E-2</v>
      </c>
      <c r="D49" s="2663">
        <v>9.9</v>
      </c>
      <c r="E49" s="2659">
        <v>151</v>
      </c>
      <c r="F49" s="2659">
        <v>4</v>
      </c>
      <c r="G49" s="2659">
        <v>53</v>
      </c>
      <c r="J49" s="2975">
        <f>B54</f>
        <v>14392330</v>
      </c>
      <c r="K49" s="2975">
        <f>D54</f>
        <v>0</v>
      </c>
      <c r="L49" s="2975">
        <f>E54</f>
        <v>1441</v>
      </c>
      <c r="M49" s="2975">
        <f>F54</f>
        <v>57</v>
      </c>
      <c r="N49" s="2975">
        <f>G54</f>
        <v>615</v>
      </c>
    </row>
    <row r="50" spans="1:14" ht="18.75" customHeight="1">
      <c r="A50" s="2665" t="s">
        <v>2571</v>
      </c>
      <c r="B50" s="2664">
        <v>4237349</v>
      </c>
      <c r="C50" s="2644">
        <f t="shared" si="2"/>
        <v>0.29699999999999999</v>
      </c>
      <c r="D50" s="2663">
        <v>29.7</v>
      </c>
      <c r="E50" s="2659">
        <v>414</v>
      </c>
      <c r="F50" s="2659">
        <v>4</v>
      </c>
      <c r="G50" s="2659">
        <v>142</v>
      </c>
      <c r="J50" s="2970"/>
      <c r="K50" s="2981"/>
      <c r="L50" s="2649"/>
      <c r="M50" s="2981"/>
      <c r="N50" s="2981"/>
    </row>
    <row r="51" spans="1:14" ht="18.75" customHeight="1">
      <c r="A51" s="2665" t="s">
        <v>2578</v>
      </c>
      <c r="B51" s="2664">
        <v>33637</v>
      </c>
      <c r="C51" s="2644">
        <f t="shared" si="2"/>
        <v>2E-3</v>
      </c>
      <c r="D51" s="2663">
        <v>0.2</v>
      </c>
      <c r="E51" s="2667">
        <v>5</v>
      </c>
      <c r="F51" s="2659">
        <v>0</v>
      </c>
      <c r="G51" s="2659">
        <v>1</v>
      </c>
      <c r="K51" s="2979"/>
      <c r="L51" s="2648"/>
      <c r="M51" s="2979"/>
      <c r="N51" s="2979"/>
    </row>
    <row r="52" spans="1:14" ht="18" customHeight="1">
      <c r="A52" s="2665" t="s">
        <v>2577</v>
      </c>
      <c r="B52" s="2664">
        <v>102667</v>
      </c>
      <c r="C52" s="2644">
        <f t="shared" si="2"/>
        <v>4.0000000000000001E-3</v>
      </c>
      <c r="D52" s="2663">
        <v>0.4</v>
      </c>
      <c r="E52" s="2659">
        <v>4</v>
      </c>
      <c r="F52" s="2659">
        <v>1</v>
      </c>
      <c r="G52" s="2659">
        <v>3</v>
      </c>
      <c r="K52" s="2979"/>
      <c r="L52" s="2648"/>
      <c r="M52" s="2979"/>
      <c r="N52" s="2979"/>
    </row>
    <row r="53" spans="1:14" ht="17.25" customHeight="1">
      <c r="A53" s="2665" t="s">
        <v>2576</v>
      </c>
      <c r="B53" s="2664">
        <v>376919</v>
      </c>
      <c r="C53" s="2644">
        <f t="shared" si="2"/>
        <v>2.4E-2</v>
      </c>
      <c r="D53" s="2663">
        <v>2.4</v>
      </c>
      <c r="E53" s="2659">
        <v>51</v>
      </c>
      <c r="F53" s="2659">
        <v>0</v>
      </c>
      <c r="G53" s="2659">
        <v>10</v>
      </c>
      <c r="J53" s="2648"/>
      <c r="K53" s="2648"/>
      <c r="L53" s="2648"/>
      <c r="M53" s="2648"/>
      <c r="N53" s="2648"/>
    </row>
    <row r="54" spans="1:14" ht="23" customHeight="1">
      <c r="A54" s="2662" t="s">
        <v>2569</v>
      </c>
      <c r="B54" s="2661">
        <v>14392330</v>
      </c>
      <c r="C54" s="2644">
        <f t="shared" si="2"/>
        <v>0</v>
      </c>
      <c r="D54" s="2660"/>
      <c r="E54" s="2658">
        <v>1441</v>
      </c>
      <c r="F54" s="2658">
        <v>57</v>
      </c>
      <c r="G54" s="2658">
        <v>615</v>
      </c>
      <c r="J54" s="2652"/>
      <c r="K54" s="2652"/>
      <c r="L54" s="2652"/>
      <c r="M54" s="2652"/>
      <c r="N54" s="2652"/>
    </row>
    <row r="55" spans="1:14" ht="23" customHeight="1">
      <c r="A55" s="2662"/>
      <c r="B55" s="2661"/>
      <c r="C55" s="2644">
        <f t="shared" si="2"/>
        <v>0</v>
      </c>
      <c r="D55" s="2660"/>
      <c r="E55" s="2658"/>
      <c r="F55" s="2658"/>
      <c r="G55" s="2658"/>
      <c r="J55" s="2652"/>
      <c r="K55" s="2652"/>
      <c r="L55" s="2652"/>
      <c r="M55" s="2652"/>
      <c r="N55" s="2652"/>
    </row>
    <row r="56" spans="1:14" ht="17">
      <c r="A56" s="2802" t="s">
        <v>2575</v>
      </c>
      <c r="B56" s="2669"/>
      <c r="C56" s="2644">
        <f t="shared" si="2"/>
        <v>0</v>
      </c>
      <c r="D56" s="2660"/>
      <c r="E56" s="2668"/>
      <c r="F56" s="2668"/>
      <c r="G56" s="2668"/>
      <c r="J56" s="2975"/>
      <c r="K56" s="2975"/>
      <c r="L56" s="2975"/>
      <c r="M56" s="2975"/>
      <c r="N56" s="2975"/>
    </row>
    <row r="57" spans="1:14" ht="17.25" customHeight="1">
      <c r="A57" s="2665" t="s">
        <v>2574</v>
      </c>
      <c r="B57" s="2664">
        <v>14214</v>
      </c>
      <c r="C57" s="2644">
        <f t="shared" si="2"/>
        <v>0.54799999999999993</v>
      </c>
      <c r="D57" s="2663">
        <v>54.8</v>
      </c>
      <c r="E57" s="2659">
        <v>9</v>
      </c>
      <c r="F57" s="2659">
        <v>3</v>
      </c>
      <c r="G57" s="2659">
        <v>8</v>
      </c>
      <c r="J57" s="2648" t="b">
        <f>J58=J59</f>
        <v>1</v>
      </c>
      <c r="K57" s="2648"/>
      <c r="L57" s="2648" t="b">
        <f>L58=L59</f>
        <v>1</v>
      </c>
      <c r="M57" s="2648" t="b">
        <f>M58=M59</f>
        <v>1</v>
      </c>
      <c r="N57" s="2648" t="b">
        <f>N58=N59</f>
        <v>1</v>
      </c>
    </row>
    <row r="58" spans="1:14" ht="17.25" customHeight="1">
      <c r="A58" s="2665" t="s">
        <v>2573</v>
      </c>
      <c r="B58" s="2664">
        <v>4075</v>
      </c>
      <c r="C58" s="2644">
        <f t="shared" si="2"/>
        <v>0.157</v>
      </c>
      <c r="D58" s="2663">
        <v>15.7</v>
      </c>
      <c r="E58" s="2659">
        <v>4</v>
      </c>
      <c r="F58" s="2659">
        <v>1</v>
      </c>
      <c r="G58" s="2667">
        <v>1</v>
      </c>
      <c r="J58" s="2647">
        <f>SUM(B57:B61)</f>
        <v>25953</v>
      </c>
      <c r="K58" s="2647">
        <f>SUM(D57:D61)</f>
        <v>100</v>
      </c>
      <c r="L58" s="2647">
        <f>SUM(E57:E61)</f>
        <v>22</v>
      </c>
      <c r="M58" s="2647">
        <f>SUM(F57:F61)</f>
        <v>4</v>
      </c>
      <c r="N58" s="2647">
        <f>SUM(G57:G61)</f>
        <v>12</v>
      </c>
    </row>
    <row r="59" spans="1:14" ht="17.25" customHeight="1">
      <c r="A59" s="2665" t="s">
        <v>2572</v>
      </c>
      <c r="B59" s="2666">
        <v>1312</v>
      </c>
      <c r="C59" s="2644">
        <f t="shared" si="2"/>
        <v>0.05</v>
      </c>
      <c r="D59" s="2663">
        <v>5</v>
      </c>
      <c r="E59" s="2659">
        <v>2</v>
      </c>
      <c r="F59" s="2659">
        <v>0</v>
      </c>
      <c r="G59" s="2659">
        <v>2</v>
      </c>
      <c r="J59" s="2975">
        <f>B62</f>
        <v>25953</v>
      </c>
      <c r="K59" s="2975">
        <f>D62</f>
        <v>0</v>
      </c>
      <c r="L59" s="2975">
        <f>E62</f>
        <v>22</v>
      </c>
      <c r="M59" s="2975">
        <f>F62</f>
        <v>4</v>
      </c>
      <c r="N59" s="2975">
        <f>G62</f>
        <v>12</v>
      </c>
    </row>
    <row r="60" spans="1:14" ht="17.25" customHeight="1">
      <c r="A60" s="2665" t="s">
        <v>2571</v>
      </c>
      <c r="B60" s="2664">
        <v>2097</v>
      </c>
      <c r="C60" s="2644">
        <f t="shared" si="2"/>
        <v>8.1000000000000003E-2</v>
      </c>
      <c r="D60" s="2663">
        <v>8.1</v>
      </c>
      <c r="E60" s="2659">
        <v>3</v>
      </c>
      <c r="F60" s="2659">
        <v>0</v>
      </c>
      <c r="G60" s="2659">
        <v>0</v>
      </c>
      <c r="K60" s="2979"/>
      <c r="L60" s="2648"/>
      <c r="M60" s="2979"/>
      <c r="N60" s="2979"/>
    </row>
    <row r="61" spans="1:14" ht="16.5" customHeight="1">
      <c r="A61" s="2665" t="s">
        <v>2570</v>
      </c>
      <c r="B61" s="2664">
        <v>4255</v>
      </c>
      <c r="C61" s="2644">
        <f t="shared" si="2"/>
        <v>0.16399999999999998</v>
      </c>
      <c r="D61" s="2663">
        <v>16.399999999999999</v>
      </c>
      <c r="E61" s="2659">
        <v>4</v>
      </c>
      <c r="F61" s="2659">
        <v>0</v>
      </c>
      <c r="G61" s="2659">
        <v>1</v>
      </c>
      <c r="J61" s="2648"/>
      <c r="K61" s="2648"/>
      <c r="L61" s="2648"/>
      <c r="M61" s="2648"/>
      <c r="N61" s="2648"/>
    </row>
    <row r="62" spans="1:14" ht="17.25" customHeight="1">
      <c r="A62" s="2662" t="s">
        <v>2569</v>
      </c>
      <c r="B62" s="2661">
        <v>25953</v>
      </c>
      <c r="C62" s="2644">
        <f t="shared" si="2"/>
        <v>0</v>
      </c>
      <c r="D62" s="2660"/>
      <c r="E62" s="2658">
        <v>22</v>
      </c>
      <c r="F62" s="2659">
        <v>4</v>
      </c>
      <c r="G62" s="2658">
        <v>12</v>
      </c>
      <c r="J62" s="2647"/>
      <c r="K62" s="2647"/>
      <c r="L62" s="2647"/>
      <c r="M62" s="2647"/>
      <c r="N62" s="2647"/>
    </row>
    <row r="63" spans="1:14">
      <c r="B63" s="2657"/>
      <c r="C63" s="2644">
        <f t="shared" si="2"/>
        <v>0</v>
      </c>
      <c r="D63" s="2657"/>
      <c r="E63" s="2657"/>
      <c r="F63" s="2657"/>
      <c r="G63" s="2657"/>
      <c r="J63" s="2975"/>
      <c r="K63" s="2975"/>
      <c r="L63" s="2975"/>
      <c r="M63" s="2975"/>
      <c r="N63" s="2975"/>
    </row>
    <row r="64" spans="1:14">
      <c r="A64" s="2655" t="s">
        <v>2537</v>
      </c>
      <c r="C64" s="2644">
        <f t="shared" si="2"/>
        <v>0</v>
      </c>
      <c r="K64" s="2979"/>
      <c r="L64" s="2648"/>
      <c r="M64" s="2979"/>
      <c r="N64" s="2979"/>
    </row>
    <row r="65" spans="3:14">
      <c r="C65" s="2644">
        <f t="shared" si="2"/>
        <v>0</v>
      </c>
      <c r="K65" s="2979"/>
      <c r="L65" s="2648"/>
      <c r="M65" s="2979"/>
      <c r="N65" s="2979"/>
    </row>
    <row r="66" spans="3:14">
      <c r="C66" s="2644">
        <f t="shared" si="2"/>
        <v>0</v>
      </c>
      <c r="J66" s="2976"/>
      <c r="K66" s="2979"/>
      <c r="L66" s="2648"/>
      <c r="M66" s="2979"/>
      <c r="N66" s="2979"/>
    </row>
    <row r="67" spans="3:14">
      <c r="C67" s="2644">
        <f t="shared" si="2"/>
        <v>0</v>
      </c>
      <c r="K67" s="2979"/>
      <c r="L67" s="2648"/>
      <c r="M67" s="2979"/>
      <c r="N67" s="2979"/>
    </row>
    <row r="68" spans="3:14">
      <c r="C68" s="2644">
        <f t="shared" si="2"/>
        <v>0</v>
      </c>
      <c r="K68" s="2979"/>
      <c r="L68" s="2648"/>
      <c r="M68" s="2979"/>
      <c r="N68" s="2979"/>
    </row>
    <row r="69" spans="3:14">
      <c r="C69" s="2644">
        <f t="shared" si="2"/>
        <v>0</v>
      </c>
      <c r="K69" s="2979"/>
      <c r="L69" s="2648"/>
      <c r="M69" s="2979"/>
      <c r="N69" s="2979"/>
    </row>
    <row r="70" spans="3:14">
      <c r="C70" s="2644">
        <f t="shared" si="2"/>
        <v>0</v>
      </c>
      <c r="K70" s="2979"/>
      <c r="L70" s="2648"/>
      <c r="M70" s="2979"/>
      <c r="N70" s="2979"/>
    </row>
    <row r="71" spans="3:14">
      <c r="C71" s="2644">
        <f t="shared" si="2"/>
        <v>0</v>
      </c>
      <c r="K71" s="2979"/>
      <c r="L71" s="2648"/>
      <c r="M71" s="2979"/>
      <c r="N71" s="2979"/>
    </row>
    <row r="72" spans="3:14">
      <c r="C72" s="2644">
        <f t="shared" si="2"/>
        <v>0</v>
      </c>
      <c r="K72" s="2979"/>
      <c r="L72" s="2648"/>
      <c r="M72" s="2979"/>
      <c r="N72" s="2979"/>
    </row>
    <row r="73" spans="3:14">
      <c r="C73" s="2644">
        <f t="shared" si="2"/>
        <v>0</v>
      </c>
      <c r="K73" s="2979"/>
      <c r="L73" s="2648"/>
      <c r="M73" s="2979"/>
      <c r="N73" s="2979"/>
    </row>
    <row r="74" spans="3:14">
      <c r="C74" s="2644">
        <f t="shared" si="2"/>
        <v>0</v>
      </c>
      <c r="K74" s="2979"/>
      <c r="L74" s="2648"/>
      <c r="M74" s="2979"/>
      <c r="N74" s="2979"/>
    </row>
    <row r="75" spans="3:14">
      <c r="C75" s="2644">
        <f t="shared" si="2"/>
        <v>0</v>
      </c>
      <c r="K75" s="2979"/>
      <c r="L75" s="2648"/>
      <c r="M75" s="2979"/>
      <c r="N75" s="2979"/>
    </row>
    <row r="76" spans="3:14">
      <c r="C76" s="2644">
        <f t="shared" si="2"/>
        <v>0</v>
      </c>
      <c r="K76" s="2979"/>
      <c r="L76" s="2648"/>
      <c r="M76" s="2979"/>
      <c r="N76" s="2979"/>
    </row>
    <row r="77" spans="3:14">
      <c r="C77" s="2644">
        <f t="shared" si="2"/>
        <v>0</v>
      </c>
      <c r="J77" s="2970"/>
      <c r="K77" s="2981"/>
      <c r="L77" s="2649"/>
      <c r="M77" s="2981"/>
      <c r="N77" s="2981"/>
    </row>
    <row r="78" spans="3:14">
      <c r="C78" s="2644">
        <f t="shared" ref="C78:C108" si="3">D78/100</f>
        <v>0</v>
      </c>
      <c r="K78" s="2979"/>
      <c r="L78" s="2648"/>
      <c r="M78" s="2979"/>
      <c r="N78" s="2979"/>
    </row>
    <row r="79" spans="3:14">
      <c r="C79" s="2644">
        <f t="shared" si="3"/>
        <v>0</v>
      </c>
      <c r="K79" s="2979"/>
      <c r="L79" s="2648"/>
      <c r="M79" s="2979"/>
      <c r="N79" s="2979"/>
    </row>
    <row r="80" spans="3:14">
      <c r="C80" s="2644">
        <f t="shared" si="3"/>
        <v>0</v>
      </c>
      <c r="J80" s="2648" t="b">
        <f>J81=J82</f>
        <v>1</v>
      </c>
      <c r="K80" s="2648"/>
      <c r="L80" s="2648" t="b">
        <f>L81=L82</f>
        <v>1</v>
      </c>
      <c r="M80" s="2648" t="b">
        <f>M81=M82</f>
        <v>1</v>
      </c>
      <c r="N80" s="2648" t="b">
        <f>N81=N82</f>
        <v>1</v>
      </c>
    </row>
    <row r="81" spans="3:14">
      <c r="C81" s="2644">
        <f t="shared" si="3"/>
        <v>0</v>
      </c>
      <c r="J81" s="2647">
        <f>SUM(D80:D84,D86:D95)</f>
        <v>0</v>
      </c>
      <c r="K81" s="2647">
        <f>SUM(E80:E84,E86:E95)</f>
        <v>0</v>
      </c>
      <c r="L81" s="2647">
        <f>SUM(F80:F84,F86:F95)</f>
        <v>0</v>
      </c>
      <c r="M81" s="2647">
        <f>SUM(G80:G84,G86:G95)</f>
        <v>0</v>
      </c>
      <c r="N81" s="2647">
        <f>SUM(H80:H84,H86:H95)</f>
        <v>0</v>
      </c>
    </row>
    <row r="82" spans="3:14">
      <c r="C82" s="2644">
        <f t="shared" si="3"/>
        <v>0</v>
      </c>
      <c r="J82" s="2975">
        <f>D96</f>
        <v>0</v>
      </c>
      <c r="K82" s="2975">
        <f>E96</f>
        <v>0</v>
      </c>
      <c r="L82" s="2975">
        <f>F96</f>
        <v>0</v>
      </c>
      <c r="M82" s="2975">
        <f>G96</f>
        <v>0</v>
      </c>
      <c r="N82" s="2975">
        <f>H96</f>
        <v>0</v>
      </c>
    </row>
    <row r="83" spans="3:14">
      <c r="C83" s="2644">
        <f t="shared" si="3"/>
        <v>0</v>
      </c>
    </row>
    <row r="84" spans="3:14">
      <c r="C84" s="2644">
        <f t="shared" si="3"/>
        <v>0</v>
      </c>
    </row>
    <row r="85" spans="3:14">
      <c r="C85" s="2644">
        <f t="shared" si="3"/>
        <v>0</v>
      </c>
      <c r="J85" s="2976"/>
      <c r="K85" s="2974"/>
      <c r="L85" s="2974"/>
      <c r="M85" s="2974"/>
      <c r="N85" s="2974"/>
    </row>
    <row r="86" spans="3:14">
      <c r="C86" s="2644">
        <f t="shared" si="3"/>
        <v>0</v>
      </c>
    </row>
    <row r="87" spans="3:14">
      <c r="C87" s="2644">
        <f t="shared" si="3"/>
        <v>0</v>
      </c>
    </row>
    <row r="88" spans="3:14">
      <c r="C88" s="2644">
        <f t="shared" si="3"/>
        <v>0</v>
      </c>
    </row>
    <row r="89" spans="3:14">
      <c r="C89" s="2644">
        <f t="shared" si="3"/>
        <v>0</v>
      </c>
    </row>
    <row r="90" spans="3:14">
      <c r="C90" s="2644">
        <f t="shared" si="3"/>
        <v>0</v>
      </c>
    </row>
    <row r="91" spans="3:14">
      <c r="C91" s="2644">
        <f t="shared" si="3"/>
        <v>0</v>
      </c>
    </row>
    <row r="92" spans="3:14">
      <c r="C92" s="2644">
        <f t="shared" si="3"/>
        <v>0</v>
      </c>
    </row>
    <row r="93" spans="3:14">
      <c r="C93" s="2644">
        <f t="shared" si="3"/>
        <v>0</v>
      </c>
    </row>
    <row r="94" spans="3:14">
      <c r="C94" s="2644">
        <f t="shared" si="3"/>
        <v>0</v>
      </c>
    </row>
    <row r="95" spans="3:14">
      <c r="C95" s="2644">
        <f t="shared" si="3"/>
        <v>0</v>
      </c>
    </row>
    <row r="96" spans="3:14">
      <c r="C96" s="2644">
        <f t="shared" si="3"/>
        <v>0</v>
      </c>
      <c r="J96" s="2970"/>
      <c r="K96" s="2969"/>
      <c r="L96" s="2969"/>
      <c r="M96" s="2969"/>
      <c r="N96" s="2969"/>
    </row>
    <row r="97" spans="3:14">
      <c r="C97" s="2644">
        <f t="shared" si="3"/>
        <v>0</v>
      </c>
    </row>
    <row r="98" spans="3:14">
      <c r="C98" s="2644">
        <f t="shared" si="3"/>
        <v>0</v>
      </c>
    </row>
    <row r="99" spans="3:14">
      <c r="C99" s="2644">
        <f t="shared" si="3"/>
        <v>0</v>
      </c>
      <c r="J99" s="2648" t="b">
        <f>J100=J101</f>
        <v>1</v>
      </c>
      <c r="K99" s="2648"/>
      <c r="L99" s="2648" t="b">
        <f>L100=L101</f>
        <v>1</v>
      </c>
      <c r="M99" s="2648" t="b">
        <f>M100=M101</f>
        <v>1</v>
      </c>
      <c r="N99" s="2648" t="b">
        <f>N100=N101</f>
        <v>1</v>
      </c>
    </row>
    <row r="100" spans="3:14">
      <c r="C100" s="2644">
        <f t="shared" si="3"/>
        <v>0</v>
      </c>
      <c r="J100" s="2647">
        <f>SUM(D99:D100,D102:D107)</f>
        <v>0</v>
      </c>
      <c r="K100" s="2647">
        <f>SUM(E99:E100,E102:E107)</f>
        <v>0</v>
      </c>
      <c r="L100" s="2647">
        <f>SUM(F99:F100,F102:F107)</f>
        <v>0</v>
      </c>
      <c r="M100" s="2647">
        <f>SUM(G99:G100,G102:G107)</f>
        <v>0</v>
      </c>
      <c r="N100" s="2647">
        <f>SUM(H99:H100,H102:H107)</f>
        <v>0</v>
      </c>
    </row>
    <row r="101" spans="3:14">
      <c r="C101" s="2644">
        <f t="shared" si="3"/>
        <v>0</v>
      </c>
      <c r="J101" s="2975">
        <f>D108</f>
        <v>0</v>
      </c>
      <c r="K101" s="2975">
        <f>E108</f>
        <v>0</v>
      </c>
      <c r="L101" s="2975">
        <f>F108</f>
        <v>0</v>
      </c>
      <c r="M101" s="2975">
        <f>G108</f>
        <v>0</v>
      </c>
      <c r="N101" s="2975">
        <f>H108</f>
        <v>0</v>
      </c>
    </row>
    <row r="102" spans="3:14">
      <c r="C102" s="2644">
        <f t="shared" si="3"/>
        <v>0</v>
      </c>
    </row>
    <row r="103" spans="3:14">
      <c r="C103" s="2644">
        <f t="shared" si="3"/>
        <v>0</v>
      </c>
    </row>
    <row r="104" spans="3:14">
      <c r="C104" s="2644">
        <f t="shared" si="3"/>
        <v>0</v>
      </c>
    </row>
    <row r="105" spans="3:14">
      <c r="C105" s="2644">
        <f t="shared" si="3"/>
        <v>0</v>
      </c>
    </row>
    <row r="106" spans="3:14">
      <c r="C106" s="2644">
        <f t="shared" si="3"/>
        <v>0</v>
      </c>
    </row>
    <row r="107" spans="3:14">
      <c r="C107" s="2644">
        <f t="shared" si="3"/>
        <v>0</v>
      </c>
    </row>
    <row r="108" spans="3:14">
      <c r="C108" s="2644">
        <f t="shared" si="3"/>
        <v>0</v>
      </c>
      <c r="J108" s="2970"/>
      <c r="K108" s="2969"/>
      <c r="L108" s="2969"/>
      <c r="M108" s="2969"/>
      <c r="N108" s="2969"/>
    </row>
  </sheetData>
  <conditionalFormatting sqref="J4:N4">
    <cfRule type="cellIs" dxfId="122" priority="13" operator="equal">
      <formula>"""FALSE"""</formula>
    </cfRule>
  </conditionalFormatting>
  <conditionalFormatting sqref="J61:N61">
    <cfRule type="cellIs" dxfId="121" priority="9" operator="equal">
      <formula>"""FALSE"""</formula>
    </cfRule>
  </conditionalFormatting>
  <conditionalFormatting sqref="K43:N43">
    <cfRule type="cellIs" dxfId="120" priority="12" operator="equal">
      <formula>"""FALSE"""</formula>
    </cfRule>
  </conditionalFormatting>
  <conditionalFormatting sqref="J25:N25">
    <cfRule type="cellIs" dxfId="119" priority="11" operator="equal">
      <formula>"""FALSE"""</formula>
    </cfRule>
  </conditionalFormatting>
  <conditionalFormatting sqref="J80:N80">
    <cfRule type="cellIs" dxfId="118" priority="8" operator="equal">
      <formula>"""FALSE"""</formula>
    </cfRule>
  </conditionalFormatting>
  <conditionalFormatting sqref="J53:N53">
    <cfRule type="cellIs" dxfId="117" priority="10" operator="equal">
      <formula>"""FALSE"""</formula>
    </cfRule>
  </conditionalFormatting>
  <conditionalFormatting sqref="J99:N99">
    <cfRule type="cellIs" dxfId="116" priority="7" operator="equal">
      <formula>"""FALSE"""</formula>
    </cfRule>
  </conditionalFormatting>
  <conditionalFormatting sqref="J14:N14">
    <cfRule type="cellIs" dxfId="115" priority="6" operator="equal">
      <formula>"""FALSE"""</formula>
    </cfRule>
  </conditionalFormatting>
  <conditionalFormatting sqref="J22:N22">
    <cfRule type="cellIs" dxfId="114" priority="5" operator="equal">
      <formula>"""FALSE"""</formula>
    </cfRule>
  </conditionalFormatting>
  <conditionalFormatting sqref="J31:N31">
    <cfRule type="cellIs" dxfId="113" priority="4" operator="equal">
      <formula>"""FALSE"""</formula>
    </cfRule>
  </conditionalFormatting>
  <conditionalFormatting sqref="J37:O37">
    <cfRule type="cellIs" dxfId="112" priority="3" operator="equal">
      <formula>"""FALSE"""</formula>
    </cfRule>
  </conditionalFormatting>
  <conditionalFormatting sqref="J47:N47">
    <cfRule type="cellIs" dxfId="111" priority="2" operator="equal">
      <formula>"""FALSE"""</formula>
    </cfRule>
  </conditionalFormatting>
  <conditionalFormatting sqref="J57:N57">
    <cfRule type="cellIs" dxfId="110" priority="1" operator="equal">
      <formula>"""FALSE"""</formula>
    </cfRule>
  </conditionalFormatting>
  <pageMargins left="0.7" right="0.7" top="0.75" bottom="0.75" header="0.3" footer="0.3"/>
  <pageSetup paperSize="9" orientation="portrait" horizontalDpi="1200" verticalDpi="120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740A-D89C-48F9-A419-1121D7BAF934}">
  <dimension ref="A1:O108"/>
  <sheetViews>
    <sheetView zoomScale="85" zoomScaleNormal="85" workbookViewId="0">
      <pane xSplit="1" ySplit="2" topLeftCell="C24"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4"/>
  <cols>
    <col min="1" max="1" width="23.3984375" style="2690" customWidth="1"/>
    <col min="2" max="2" width="28" style="2691" customWidth="1"/>
    <col min="3" max="3" width="11.3984375" style="2963" customWidth="1"/>
    <col min="4" max="4" width="16.19921875" style="2692" customWidth="1"/>
    <col min="5" max="5" width="22" style="2691" customWidth="1"/>
    <col min="6" max="6" width="19.796875" style="2691" customWidth="1"/>
    <col min="7" max="7" width="12.59765625" style="2691" customWidth="1"/>
    <col min="8" max="8" width="2.19921875" style="2690" customWidth="1"/>
    <col min="9" max="9" width="8.796875" style="2690"/>
    <col min="10" max="10" width="10.3984375" style="2690" customWidth="1"/>
    <col min="11" max="16384" width="8.796875" style="2690"/>
  </cols>
  <sheetData>
    <row r="1" spans="1:14" ht="21" customHeight="1">
      <c r="A1" s="3514" t="s">
        <v>2612</v>
      </c>
      <c r="B1" s="3515"/>
      <c r="C1" s="3515"/>
      <c r="D1" s="3515"/>
      <c r="E1" s="3515"/>
      <c r="F1" s="3515"/>
      <c r="G1" s="3515"/>
      <c r="H1" s="3515"/>
    </row>
    <row r="2" spans="1:14" ht="26" customHeight="1">
      <c r="A2" s="2705"/>
      <c r="B2" s="2703" t="s">
        <v>2611</v>
      </c>
      <c r="C2" s="2986" t="s">
        <v>153</v>
      </c>
      <c r="D2" s="2704" t="s">
        <v>2610</v>
      </c>
      <c r="E2" s="2703" t="s">
        <v>2609</v>
      </c>
      <c r="F2" s="2703" t="s">
        <v>2608</v>
      </c>
      <c r="G2" s="2703" t="s">
        <v>2607</v>
      </c>
      <c r="H2" s="2693"/>
    </row>
    <row r="3" spans="1:14" ht="18" customHeight="1">
      <c r="A3" s="2802" t="s">
        <v>2606</v>
      </c>
      <c r="B3" s="2700"/>
      <c r="D3" s="2695"/>
      <c r="E3" s="2700"/>
      <c r="F3" s="2700"/>
      <c r="G3" s="2700"/>
      <c r="H3" s="2693"/>
    </row>
    <row r="4" spans="1:14" ht="18" customHeight="1">
      <c r="A4" s="2665" t="s">
        <v>2596</v>
      </c>
      <c r="B4" s="2697">
        <v>4732176</v>
      </c>
      <c r="C4" s="2644">
        <f>D4/100</f>
        <v>0.39799999999999996</v>
      </c>
      <c r="D4" s="2698">
        <v>39.799999999999997</v>
      </c>
      <c r="E4" s="2697">
        <v>444</v>
      </c>
      <c r="F4" s="2697">
        <v>24</v>
      </c>
      <c r="G4" s="2697">
        <v>221</v>
      </c>
      <c r="H4" s="2693"/>
      <c r="J4" s="2648" t="b">
        <f>J5=J6</f>
        <v>1</v>
      </c>
      <c r="K4" s="2648"/>
      <c r="L4" s="2648" t="b">
        <f>L5=L6</f>
        <v>1</v>
      </c>
      <c r="M4" s="2648" t="b">
        <f>M5=M6</f>
        <v>1</v>
      </c>
      <c r="N4" s="2648" t="b">
        <f>N5=N6</f>
        <v>1</v>
      </c>
    </row>
    <row r="5" spans="1:14" ht="18" customHeight="1">
      <c r="A5" s="2665" t="s">
        <v>2595</v>
      </c>
      <c r="B5" s="2697">
        <v>3572335</v>
      </c>
      <c r="C5" s="2644">
        <f>D5/100</f>
        <v>0.29899999999999999</v>
      </c>
      <c r="D5" s="2698">
        <v>29.9</v>
      </c>
      <c r="E5" s="2697">
        <v>362</v>
      </c>
      <c r="F5" s="2697">
        <v>3</v>
      </c>
      <c r="G5" s="2697">
        <v>123</v>
      </c>
      <c r="H5" s="2693"/>
      <c r="J5" s="2647">
        <f>SUM(B4:B8)</f>
        <v>11927085</v>
      </c>
      <c r="K5" s="2647">
        <f>SUM(D4:D8)</f>
        <v>99.999999999999986</v>
      </c>
      <c r="L5" s="2647">
        <f>SUM(E4:E8)</f>
        <v>1166</v>
      </c>
      <c r="M5" s="2647">
        <f>SUM(F4:F8)</f>
        <v>29</v>
      </c>
      <c r="N5" s="2647">
        <f>SUM(G4:G8)</f>
        <v>485</v>
      </c>
    </row>
    <row r="6" spans="1:14" ht="18" customHeight="1">
      <c r="A6" s="2665" t="s">
        <v>2594</v>
      </c>
      <c r="B6" s="2697">
        <v>3549888</v>
      </c>
      <c r="C6" s="2644">
        <f>D6/100</f>
        <v>0.29699999999999999</v>
      </c>
      <c r="D6" s="2698">
        <v>29.7</v>
      </c>
      <c r="E6" s="2697">
        <v>350</v>
      </c>
      <c r="F6" s="2696">
        <v>1</v>
      </c>
      <c r="G6" s="2697">
        <v>138</v>
      </c>
      <c r="H6" s="2693"/>
      <c r="J6" s="2989">
        <f>B9</f>
        <v>11927085</v>
      </c>
      <c r="K6" s="2989">
        <f>D9</f>
        <v>0</v>
      </c>
      <c r="L6" s="2989">
        <f>E9</f>
        <v>1166</v>
      </c>
      <c r="M6" s="2989">
        <f>F9</f>
        <v>29</v>
      </c>
      <c r="N6" s="2989">
        <f>G9</f>
        <v>485</v>
      </c>
    </row>
    <row r="7" spans="1:14" ht="18" customHeight="1">
      <c r="A7" s="2665" t="s">
        <v>2598</v>
      </c>
      <c r="B7" s="2697">
        <v>10322</v>
      </c>
      <c r="C7" s="2644">
        <f>D7/100</f>
        <v>1E-3</v>
      </c>
      <c r="D7" s="2698">
        <v>0.1</v>
      </c>
      <c r="E7" s="2697">
        <v>2</v>
      </c>
      <c r="F7" s="2697">
        <v>1</v>
      </c>
      <c r="G7" s="2696">
        <v>1</v>
      </c>
      <c r="H7" s="2693"/>
    </row>
    <row r="8" spans="1:14" ht="18" customHeight="1">
      <c r="A8" s="2665" t="s">
        <v>2593</v>
      </c>
      <c r="B8" s="2697">
        <v>62364</v>
      </c>
      <c r="C8" s="2644">
        <f>D8/100</f>
        <v>5.0000000000000001E-3</v>
      </c>
      <c r="D8" s="2698">
        <v>0.5</v>
      </c>
      <c r="E8" s="2697">
        <v>8</v>
      </c>
      <c r="F8" s="2697">
        <v>0</v>
      </c>
      <c r="G8" s="2697">
        <v>2</v>
      </c>
      <c r="H8" s="2693"/>
    </row>
    <row r="9" spans="1:14" ht="18.75" customHeight="1">
      <c r="A9" s="2662" t="s">
        <v>2592</v>
      </c>
      <c r="B9" s="2694">
        <v>11927085</v>
      </c>
      <c r="C9" s="2644"/>
      <c r="D9" s="2695"/>
      <c r="E9" s="2694">
        <v>1166</v>
      </c>
      <c r="F9" s="2694">
        <v>29</v>
      </c>
      <c r="G9" s="2694">
        <v>485</v>
      </c>
      <c r="H9" s="2693"/>
    </row>
    <row r="10" spans="1:14" ht="18.75" customHeight="1">
      <c r="A10" s="2662"/>
      <c r="B10" s="2694"/>
      <c r="C10" s="2644"/>
      <c r="D10" s="2695"/>
      <c r="E10" s="2694"/>
      <c r="F10" s="2694"/>
      <c r="G10" s="2694"/>
      <c r="H10" s="2693"/>
    </row>
    <row r="11" spans="1:14" ht="20.25" customHeight="1">
      <c r="A11" s="2802" t="s">
        <v>2605</v>
      </c>
      <c r="B11" s="2700"/>
      <c r="C11" s="2644"/>
      <c r="D11" s="2695"/>
      <c r="E11" s="2700"/>
      <c r="F11" s="2700"/>
      <c r="G11" s="2700"/>
      <c r="H11" s="2693"/>
    </row>
    <row r="12" spans="1:14" ht="18" customHeight="1">
      <c r="A12" s="2665" t="s">
        <v>2596</v>
      </c>
      <c r="B12" s="2697">
        <v>178113</v>
      </c>
      <c r="C12" s="2644">
        <f t="shared" ref="C12:C23" si="0">D12/100</f>
        <v>0.21100000000000002</v>
      </c>
      <c r="D12" s="2701">
        <v>21.1</v>
      </c>
      <c r="E12" s="2697">
        <v>19</v>
      </c>
      <c r="F12" s="2697">
        <v>0</v>
      </c>
      <c r="G12" s="2697">
        <v>4</v>
      </c>
      <c r="H12" s="2693"/>
      <c r="J12" s="2648" t="b">
        <f>J13=J14</f>
        <v>1</v>
      </c>
      <c r="K12" s="2648"/>
      <c r="L12" s="2648" t="b">
        <f>L13=L14</f>
        <v>1</v>
      </c>
      <c r="M12" s="2648" t="b">
        <f>M13=M14</f>
        <v>1</v>
      </c>
      <c r="N12" s="2648" t="b">
        <f>N13=N14</f>
        <v>1</v>
      </c>
    </row>
    <row r="13" spans="1:14" ht="18" customHeight="1">
      <c r="A13" s="2665" t="s">
        <v>2595</v>
      </c>
      <c r="B13" s="2697">
        <v>299314</v>
      </c>
      <c r="C13" s="2644">
        <f t="shared" si="0"/>
        <v>0.35399999999999998</v>
      </c>
      <c r="D13" s="2698">
        <v>35.4</v>
      </c>
      <c r="E13" s="2697">
        <v>31</v>
      </c>
      <c r="F13" s="2697">
        <v>3</v>
      </c>
      <c r="G13" s="2697">
        <v>11</v>
      </c>
      <c r="H13" s="2693"/>
      <c r="J13" s="2647">
        <f>SUM(B12:B15)</f>
        <v>845068</v>
      </c>
      <c r="K13" s="2647">
        <f>SUM(D12:D15)</f>
        <v>100</v>
      </c>
      <c r="L13" s="2647">
        <f>SUM(E12:E15)</f>
        <v>78</v>
      </c>
      <c r="M13" s="2647">
        <f>SUM(F12:F15)</f>
        <v>5</v>
      </c>
      <c r="N13" s="2647">
        <f>SUM(G12:G15)</f>
        <v>35</v>
      </c>
    </row>
    <row r="14" spans="1:14" ht="18" customHeight="1">
      <c r="A14" s="2665" t="s">
        <v>2594</v>
      </c>
      <c r="B14" s="2697">
        <v>355172</v>
      </c>
      <c r="C14" s="2644">
        <f t="shared" si="0"/>
        <v>0.42</v>
      </c>
      <c r="D14" s="2698">
        <v>42</v>
      </c>
      <c r="E14" s="2697">
        <v>27</v>
      </c>
      <c r="F14" s="2697">
        <v>2</v>
      </c>
      <c r="G14" s="2697">
        <v>19</v>
      </c>
      <c r="H14" s="2693"/>
      <c r="J14" s="2989">
        <f>B16</f>
        <v>845068</v>
      </c>
      <c r="K14" s="2989">
        <f>D16</f>
        <v>0</v>
      </c>
      <c r="L14" s="2989">
        <f>E16</f>
        <v>78</v>
      </c>
      <c r="M14" s="2989">
        <f>F16</f>
        <v>5</v>
      </c>
      <c r="N14" s="2989">
        <f>G16</f>
        <v>35</v>
      </c>
    </row>
    <row r="15" spans="1:14" ht="18" customHeight="1">
      <c r="A15" s="2665" t="s">
        <v>2593</v>
      </c>
      <c r="B15" s="2697">
        <v>12469</v>
      </c>
      <c r="C15" s="2644">
        <f t="shared" si="0"/>
        <v>1.4999999999999999E-2</v>
      </c>
      <c r="D15" s="2698">
        <v>1.5</v>
      </c>
      <c r="E15" s="2697">
        <v>1</v>
      </c>
      <c r="F15" s="2697">
        <v>0</v>
      </c>
      <c r="G15" s="2697">
        <v>1</v>
      </c>
      <c r="H15" s="2693"/>
    </row>
    <row r="16" spans="1:14" ht="24" customHeight="1">
      <c r="A16" s="2662" t="s">
        <v>2592</v>
      </c>
      <c r="B16" s="2694">
        <v>845068</v>
      </c>
      <c r="C16" s="2644">
        <f t="shared" si="0"/>
        <v>0</v>
      </c>
      <c r="D16" s="2695"/>
      <c r="E16" s="2694">
        <v>78</v>
      </c>
      <c r="F16" s="2702">
        <v>5</v>
      </c>
      <c r="G16" s="2694">
        <v>35</v>
      </c>
      <c r="H16" s="2693"/>
    </row>
    <row r="17" spans="1:14" ht="24" customHeight="1">
      <c r="A17" s="2662"/>
      <c r="B17" s="2694"/>
      <c r="C17" s="2644">
        <f t="shared" si="0"/>
        <v>0</v>
      </c>
      <c r="D17" s="2695"/>
      <c r="E17" s="2694"/>
      <c r="F17" s="2702"/>
      <c r="G17" s="2694"/>
      <c r="H17" s="2693"/>
    </row>
    <row r="18" spans="1:14" ht="18" customHeight="1">
      <c r="A18" s="2802" t="s">
        <v>2604</v>
      </c>
      <c r="B18" s="2700"/>
      <c r="C18" s="2644">
        <f t="shared" si="0"/>
        <v>0</v>
      </c>
      <c r="D18" s="2695"/>
      <c r="E18" s="2700"/>
      <c r="F18" s="2700"/>
      <c r="G18" s="2700"/>
      <c r="H18" s="2693"/>
    </row>
    <row r="19" spans="1:14" ht="18" customHeight="1">
      <c r="A19" s="2665" t="s">
        <v>2596</v>
      </c>
      <c r="B19" s="2697">
        <v>468526</v>
      </c>
      <c r="C19" s="2644">
        <f t="shared" si="0"/>
        <v>0.316</v>
      </c>
      <c r="D19" s="2698">
        <v>31.6</v>
      </c>
      <c r="E19" s="2697">
        <v>52</v>
      </c>
      <c r="F19" s="2697">
        <v>0</v>
      </c>
      <c r="G19" s="2697">
        <v>14</v>
      </c>
      <c r="H19" s="2693"/>
      <c r="J19" s="2648" t="b">
        <f>J20=J21</f>
        <v>1</v>
      </c>
      <c r="K19" s="2648"/>
      <c r="L19" s="2648" t="b">
        <f>L20=L21</f>
        <v>1</v>
      </c>
      <c r="M19" s="2648" t="b">
        <f>M20=M21</f>
        <v>1</v>
      </c>
      <c r="N19" s="2648" t="b">
        <f>N20=N21</f>
        <v>1</v>
      </c>
    </row>
    <row r="20" spans="1:14" ht="19.5" customHeight="1">
      <c r="A20" s="2665" t="s">
        <v>2595</v>
      </c>
      <c r="B20" s="2697">
        <v>422995</v>
      </c>
      <c r="C20" s="2644">
        <f t="shared" si="0"/>
        <v>0.28399999999999997</v>
      </c>
      <c r="D20" s="2698">
        <v>28.4</v>
      </c>
      <c r="E20" s="2697">
        <v>59</v>
      </c>
      <c r="F20" s="2697">
        <v>4</v>
      </c>
      <c r="G20" s="2697">
        <v>22</v>
      </c>
      <c r="H20" s="2693"/>
      <c r="J20" s="2647">
        <f>SUM(B19:B23)</f>
        <v>1501327</v>
      </c>
      <c r="K20" s="2647">
        <f>SUM(D19:D23)</f>
        <v>100.00000000000001</v>
      </c>
      <c r="L20" s="2647">
        <f>SUM(E19:E23)</f>
        <v>167</v>
      </c>
      <c r="M20" s="2647">
        <f>SUM(F19:F23)</f>
        <v>4</v>
      </c>
      <c r="N20" s="2647">
        <f>SUM(G19:G23)</f>
        <v>71</v>
      </c>
    </row>
    <row r="21" spans="1:14" ht="18" customHeight="1">
      <c r="A21" s="2665" t="s">
        <v>2594</v>
      </c>
      <c r="B21" s="2697">
        <v>532450</v>
      </c>
      <c r="C21" s="2644">
        <f t="shared" si="0"/>
        <v>0.35899999999999999</v>
      </c>
      <c r="D21" s="2698">
        <v>35.9</v>
      </c>
      <c r="E21" s="2697">
        <v>48</v>
      </c>
      <c r="F21" s="2697">
        <v>0</v>
      </c>
      <c r="G21" s="2697">
        <v>34</v>
      </c>
      <c r="H21" s="2693"/>
      <c r="J21" s="2989">
        <f>B24</f>
        <v>1501327</v>
      </c>
      <c r="K21" s="2989">
        <f>D24</f>
        <v>0</v>
      </c>
      <c r="L21" s="2989">
        <f>E24</f>
        <v>167</v>
      </c>
      <c r="M21" s="2989">
        <f>F24</f>
        <v>4</v>
      </c>
      <c r="N21" s="2989">
        <f>G24</f>
        <v>71</v>
      </c>
    </row>
    <row r="22" spans="1:14" ht="18" customHeight="1">
      <c r="A22" s="2665" t="s">
        <v>2599</v>
      </c>
      <c r="B22" s="2697">
        <v>39448</v>
      </c>
      <c r="C22" s="2644">
        <f t="shared" si="0"/>
        <v>2.4E-2</v>
      </c>
      <c r="D22" s="2698">
        <v>2.4</v>
      </c>
      <c r="E22" s="2697">
        <v>4</v>
      </c>
      <c r="F22" s="2697">
        <v>0</v>
      </c>
      <c r="G22" s="2697">
        <v>0</v>
      </c>
      <c r="H22" s="2693"/>
    </row>
    <row r="23" spans="1:14" ht="18" customHeight="1">
      <c r="A23" s="2665" t="s">
        <v>2593</v>
      </c>
      <c r="B23" s="2697">
        <v>37908</v>
      </c>
      <c r="C23" s="2644">
        <f t="shared" si="0"/>
        <v>1.7000000000000001E-2</v>
      </c>
      <c r="D23" s="2701">
        <v>1.7</v>
      </c>
      <c r="E23" s="2697">
        <v>4</v>
      </c>
      <c r="F23" s="2697">
        <v>0</v>
      </c>
      <c r="G23" s="2696">
        <v>1</v>
      </c>
      <c r="H23" s="2693"/>
    </row>
    <row r="24" spans="1:14" ht="18" customHeight="1">
      <c r="A24" s="2662" t="s">
        <v>2592</v>
      </c>
      <c r="B24" s="2694">
        <v>1501327</v>
      </c>
      <c r="C24" s="2644"/>
      <c r="D24" s="2695"/>
      <c r="E24" s="2694">
        <v>167</v>
      </c>
      <c r="F24" s="2697">
        <v>4</v>
      </c>
      <c r="G24" s="2697">
        <v>71</v>
      </c>
      <c r="H24" s="2693"/>
    </row>
    <row r="25" spans="1:14" ht="18" customHeight="1">
      <c r="A25" s="2662"/>
      <c r="B25" s="2694"/>
      <c r="C25" s="2644"/>
      <c r="D25" s="2695"/>
      <c r="E25" s="2694"/>
      <c r="F25" s="2697"/>
      <c r="G25" s="2697"/>
      <c r="H25" s="2693"/>
    </row>
    <row r="26" spans="1:14" ht="20.75" customHeight="1">
      <c r="A26" s="3516" t="s">
        <v>2603</v>
      </c>
      <c r="B26" s="3516"/>
      <c r="C26" s="3516"/>
      <c r="D26" s="3516"/>
      <c r="E26" s="3516"/>
      <c r="F26" s="3516"/>
      <c r="G26" s="3516"/>
      <c r="H26" s="2693"/>
    </row>
    <row r="27" spans="1:14" ht="18" customHeight="1">
      <c r="A27" s="2665" t="s">
        <v>2596</v>
      </c>
      <c r="B27" s="2697">
        <v>117161</v>
      </c>
      <c r="C27" s="2644">
        <f>D27/100</f>
        <v>0.49399999999999999</v>
      </c>
      <c r="D27" s="2698">
        <v>49.4</v>
      </c>
      <c r="E27" s="2696">
        <v>12</v>
      </c>
      <c r="F27" s="2697">
        <v>8</v>
      </c>
      <c r="G27" s="2697">
        <v>10</v>
      </c>
      <c r="H27" s="2693"/>
      <c r="J27" s="2648" t="b">
        <f>J28=J29</f>
        <v>1</v>
      </c>
      <c r="K27" s="2648"/>
      <c r="L27" s="2648" t="b">
        <f>L28=L29</f>
        <v>1</v>
      </c>
      <c r="M27" s="2648" t="b">
        <f>M28=M29</f>
        <v>1</v>
      </c>
      <c r="N27" s="2648" t="b">
        <f>N28=N29</f>
        <v>1</v>
      </c>
    </row>
    <row r="28" spans="1:14" ht="18.75" customHeight="1">
      <c r="A28" s="2665" t="s">
        <v>2598</v>
      </c>
      <c r="B28" s="2697">
        <v>87671</v>
      </c>
      <c r="C28" s="2644">
        <f>D28/100</f>
        <v>0.27300000000000002</v>
      </c>
      <c r="D28" s="2698">
        <v>27.3</v>
      </c>
      <c r="E28" s="2697">
        <v>2</v>
      </c>
      <c r="F28" s="2697">
        <v>0</v>
      </c>
      <c r="G28" s="2697">
        <v>2</v>
      </c>
      <c r="H28" s="2693"/>
      <c r="J28" s="2647">
        <f>SUM(B27:B29)</f>
        <v>242258</v>
      </c>
      <c r="K28" s="2647">
        <f>SUM(D27:D29)</f>
        <v>100</v>
      </c>
      <c r="L28" s="2647">
        <f>SUM(E27:E29)</f>
        <v>16</v>
      </c>
      <c r="M28" s="2647">
        <f>SUM(F27:F29)</f>
        <v>8</v>
      </c>
      <c r="N28" s="2647">
        <f>SUM(G27:G29)</f>
        <v>12</v>
      </c>
    </row>
    <row r="29" spans="1:14" ht="18" customHeight="1">
      <c r="A29" s="2665" t="s">
        <v>2593</v>
      </c>
      <c r="B29" s="2697">
        <v>37426</v>
      </c>
      <c r="C29" s="2644">
        <f>D29/100</f>
        <v>0.23300000000000001</v>
      </c>
      <c r="D29" s="2698">
        <v>23.3</v>
      </c>
      <c r="E29" s="2697">
        <v>2</v>
      </c>
      <c r="F29" s="2697">
        <v>0</v>
      </c>
      <c r="G29" s="2697">
        <v>0</v>
      </c>
      <c r="H29" s="2693"/>
      <c r="J29" s="2989">
        <f>B30</f>
        <v>242258</v>
      </c>
      <c r="K29" s="2989">
        <f>D30</f>
        <v>0</v>
      </c>
      <c r="L29" s="2989">
        <f>E30</f>
        <v>16</v>
      </c>
      <c r="M29" s="2989">
        <f>F30</f>
        <v>8</v>
      </c>
      <c r="N29" s="2989">
        <f>G30</f>
        <v>12</v>
      </c>
    </row>
    <row r="30" spans="1:14" ht="18" customHeight="1">
      <c r="A30" s="2662" t="s">
        <v>2592</v>
      </c>
      <c r="B30" s="2694">
        <v>242258</v>
      </c>
      <c r="C30" s="2644"/>
      <c r="D30" s="2695"/>
      <c r="E30" s="2694">
        <v>16</v>
      </c>
      <c r="F30" s="2694">
        <v>8</v>
      </c>
      <c r="G30" s="2694">
        <v>12</v>
      </c>
      <c r="H30" s="2693"/>
    </row>
    <row r="31" spans="1:14" ht="18" customHeight="1">
      <c r="A31" s="2662"/>
      <c r="B31" s="2694"/>
      <c r="C31" s="2644"/>
      <c r="D31" s="2695"/>
      <c r="E31" s="2694"/>
      <c r="F31" s="2694"/>
      <c r="G31" s="2694"/>
      <c r="H31" s="2693"/>
    </row>
    <row r="32" spans="1:14" ht="27.5" customHeight="1">
      <c r="A32" s="3516" t="s">
        <v>2602</v>
      </c>
      <c r="B32" s="3516"/>
      <c r="C32" s="3516"/>
      <c r="D32" s="3516"/>
      <c r="E32" s="3516"/>
      <c r="F32" s="3516"/>
      <c r="G32" s="3516"/>
      <c r="H32" s="2693"/>
    </row>
    <row r="33" spans="1:15" ht="18" customHeight="1">
      <c r="A33" s="2665" t="s">
        <v>2596</v>
      </c>
      <c r="B33" s="2697">
        <v>5397380</v>
      </c>
      <c r="C33" s="2644">
        <f t="shared" ref="C33:C38" si="1">D33/100</f>
        <v>0.377</v>
      </c>
      <c r="D33" s="2698">
        <v>37.700000000000003</v>
      </c>
      <c r="E33" s="2697">
        <v>524</v>
      </c>
      <c r="F33" s="2697">
        <v>27</v>
      </c>
      <c r="G33" s="2697">
        <v>248</v>
      </c>
      <c r="H33" s="2693"/>
      <c r="J33" s="2648" t="b">
        <f>J34=J35</f>
        <v>1</v>
      </c>
      <c r="K33" s="2648"/>
      <c r="L33" s="2648" t="b">
        <f>L34=L35</f>
        <v>1</v>
      </c>
      <c r="M33" s="2648" t="b">
        <f>M34=M35</f>
        <v>1</v>
      </c>
      <c r="N33" s="2648" t="b">
        <f>N34=N35</f>
        <v>1</v>
      </c>
      <c r="O33" s="2648"/>
    </row>
    <row r="34" spans="1:15" ht="18.75" customHeight="1">
      <c r="A34" s="2665" t="s">
        <v>2595</v>
      </c>
      <c r="B34" s="2697">
        <v>4301481</v>
      </c>
      <c r="C34" s="2644">
        <f t="shared" si="1"/>
        <v>0.30099999999999999</v>
      </c>
      <c r="D34" s="2698">
        <v>30.1</v>
      </c>
      <c r="E34" s="2697">
        <v>457</v>
      </c>
      <c r="F34" s="2696">
        <v>11</v>
      </c>
      <c r="G34" s="2697">
        <v>158</v>
      </c>
      <c r="H34" s="2693"/>
      <c r="J34" s="2647">
        <f>SUM(B33:B38)</f>
        <v>14305437</v>
      </c>
      <c r="K34" s="2647">
        <f>SUM(D33:D38)</f>
        <v>100</v>
      </c>
      <c r="L34" s="2647">
        <f>SUM(E33:E38)</f>
        <v>1430</v>
      </c>
      <c r="M34" s="2647">
        <f>SUM(F33:F38)</f>
        <v>42</v>
      </c>
      <c r="N34" s="2647">
        <f>SUM(G33:G38)</f>
        <v>603</v>
      </c>
      <c r="O34" s="2647"/>
    </row>
    <row r="35" spans="1:15" ht="18" customHeight="1">
      <c r="A35" s="2665" t="s">
        <v>2594</v>
      </c>
      <c r="B35" s="2697">
        <v>4439780</v>
      </c>
      <c r="C35" s="2644">
        <f t="shared" si="1"/>
        <v>0.31</v>
      </c>
      <c r="D35" s="2698">
        <v>31</v>
      </c>
      <c r="E35" s="2697">
        <v>427</v>
      </c>
      <c r="F35" s="2697">
        <v>3</v>
      </c>
      <c r="G35" s="2697">
        <v>191</v>
      </c>
      <c r="H35" s="2693"/>
      <c r="J35" s="2989">
        <f>B39</f>
        <v>14305437</v>
      </c>
      <c r="K35" s="2989">
        <f>D39</f>
        <v>0</v>
      </c>
      <c r="L35" s="2989">
        <f>E39</f>
        <v>1430</v>
      </c>
      <c r="M35" s="2989">
        <f>F39</f>
        <v>42</v>
      </c>
      <c r="N35" s="2989">
        <f>G39</f>
        <v>603</v>
      </c>
      <c r="O35" s="2989"/>
    </row>
    <row r="36" spans="1:15" ht="18" customHeight="1">
      <c r="A36" s="2665" t="s">
        <v>2599</v>
      </c>
      <c r="B36" s="2697">
        <v>39448</v>
      </c>
      <c r="C36" s="2644">
        <f t="shared" si="1"/>
        <v>3.0000000000000001E-3</v>
      </c>
      <c r="D36" s="2698">
        <v>0.3</v>
      </c>
      <c r="E36" s="2697">
        <v>4</v>
      </c>
      <c r="F36" s="2697">
        <v>0</v>
      </c>
      <c r="G36" s="2697">
        <v>0</v>
      </c>
      <c r="H36" s="2693"/>
    </row>
    <row r="37" spans="1:15" ht="18" customHeight="1">
      <c r="A37" s="2665" t="s">
        <v>2598</v>
      </c>
      <c r="B37" s="2697">
        <v>10322</v>
      </c>
      <c r="C37" s="2644">
        <f t="shared" si="1"/>
        <v>1E-3</v>
      </c>
      <c r="D37" s="2698">
        <v>0.1</v>
      </c>
      <c r="E37" s="2697">
        <v>2</v>
      </c>
      <c r="F37" s="2697">
        <v>1</v>
      </c>
      <c r="G37" s="2696">
        <v>1</v>
      </c>
      <c r="H37" s="2693"/>
    </row>
    <row r="38" spans="1:15" ht="18" customHeight="1">
      <c r="A38" s="2665" t="s">
        <v>2601</v>
      </c>
      <c r="B38" s="2697">
        <v>117026</v>
      </c>
      <c r="C38" s="2644">
        <f t="shared" si="1"/>
        <v>8.0000000000000002E-3</v>
      </c>
      <c r="D38" s="2698">
        <v>0.8</v>
      </c>
      <c r="E38" s="2697">
        <v>16</v>
      </c>
      <c r="F38" s="2697">
        <v>0</v>
      </c>
      <c r="G38" s="2697">
        <v>5</v>
      </c>
      <c r="H38" s="2693"/>
    </row>
    <row r="39" spans="1:15" ht="18" customHeight="1">
      <c r="A39" s="2662" t="s">
        <v>2592</v>
      </c>
      <c r="B39" s="2694">
        <v>14305437</v>
      </c>
      <c r="C39" s="2644"/>
      <c r="D39" s="2695"/>
      <c r="E39" s="2694">
        <v>1430</v>
      </c>
      <c r="F39" s="2694">
        <v>42</v>
      </c>
      <c r="G39" s="2694">
        <v>603</v>
      </c>
      <c r="H39" s="2693"/>
    </row>
    <row r="40" spans="1:15" ht="18" customHeight="1">
      <c r="A40" s="2662"/>
      <c r="B40" s="2694"/>
      <c r="C40" s="2644"/>
      <c r="D40" s="2695"/>
      <c r="E40" s="2694"/>
      <c r="F40" s="2694"/>
      <c r="G40" s="2694"/>
      <c r="H40" s="2693"/>
    </row>
    <row r="41" spans="1:15" ht="20" customHeight="1">
      <c r="A41" s="3516" t="s">
        <v>2600</v>
      </c>
      <c r="B41" s="3516"/>
      <c r="C41" s="3516"/>
      <c r="D41" s="3516"/>
      <c r="E41" s="3516"/>
      <c r="F41" s="3516"/>
      <c r="G41" s="3516"/>
      <c r="H41" s="2693"/>
    </row>
    <row r="42" spans="1:15" ht="18" customHeight="1">
      <c r="A42" s="2665" t="s">
        <v>2596</v>
      </c>
      <c r="B42" s="2697">
        <v>5514541</v>
      </c>
      <c r="C42" s="2644">
        <f t="shared" ref="C42:C73" si="2">D42/100</f>
        <v>0.38</v>
      </c>
      <c r="D42" s="2698">
        <v>38</v>
      </c>
      <c r="E42" s="2697">
        <v>536</v>
      </c>
      <c r="F42" s="2697">
        <v>35</v>
      </c>
      <c r="G42" s="2697">
        <v>258</v>
      </c>
      <c r="H42" s="2693"/>
      <c r="J42" s="2648" t="b">
        <f>J43=J44</f>
        <v>1</v>
      </c>
      <c r="K42" s="2648"/>
      <c r="L42" s="2648" t="b">
        <f>L43=L44</f>
        <v>1</v>
      </c>
      <c r="M42" s="2648" t="b">
        <f>M43=M44</f>
        <v>1</v>
      </c>
      <c r="N42" s="2648" t="b">
        <f>N43=N44</f>
        <v>1</v>
      </c>
    </row>
    <row r="43" spans="1:15" ht="18" customHeight="1">
      <c r="A43" s="2665" t="s">
        <v>2595</v>
      </c>
      <c r="B43" s="2697">
        <v>4301481</v>
      </c>
      <c r="C43" s="2644">
        <f t="shared" si="2"/>
        <v>0.29699999999999999</v>
      </c>
      <c r="D43" s="2698">
        <v>29.7</v>
      </c>
      <c r="E43" s="2697">
        <v>457</v>
      </c>
      <c r="F43" s="2697">
        <v>11</v>
      </c>
      <c r="G43" s="2697">
        <v>158</v>
      </c>
      <c r="H43" s="2693"/>
      <c r="J43" s="2647">
        <f>SUM(B42:B47)</f>
        <v>14547695</v>
      </c>
      <c r="K43" s="2647">
        <f>SUM(D42:D47)</f>
        <v>100.00000000000001</v>
      </c>
      <c r="L43" s="2647">
        <f>SUM(E42:E47)</f>
        <v>1446</v>
      </c>
      <c r="M43" s="2647">
        <f>SUM(F42:F47)</f>
        <v>50</v>
      </c>
      <c r="N43" s="2647">
        <f>SUM(G42:G47)</f>
        <v>615</v>
      </c>
    </row>
    <row r="44" spans="1:15" ht="18" customHeight="1">
      <c r="A44" s="2665" t="s">
        <v>2594</v>
      </c>
      <c r="B44" s="2697">
        <v>4439780</v>
      </c>
      <c r="C44" s="2644">
        <f t="shared" si="2"/>
        <v>0.307</v>
      </c>
      <c r="D44" s="2698">
        <v>30.7</v>
      </c>
      <c r="E44" s="2697">
        <v>427</v>
      </c>
      <c r="F44" s="2697">
        <v>3</v>
      </c>
      <c r="G44" s="2697">
        <v>191</v>
      </c>
      <c r="H44" s="2693"/>
      <c r="J44" s="2989">
        <f>B48</f>
        <v>14547695</v>
      </c>
      <c r="K44" s="2989">
        <f>D48</f>
        <v>0</v>
      </c>
      <c r="L44" s="2989">
        <f>E48</f>
        <v>1446</v>
      </c>
      <c r="M44" s="2989">
        <f>F48</f>
        <v>50</v>
      </c>
      <c r="N44" s="2989">
        <f>G48</f>
        <v>615</v>
      </c>
    </row>
    <row r="45" spans="1:15" ht="18" customHeight="1">
      <c r="A45" s="2665" t="s">
        <v>2599</v>
      </c>
      <c r="B45" s="2697">
        <v>39448</v>
      </c>
      <c r="C45" s="2644">
        <f t="shared" si="2"/>
        <v>2E-3</v>
      </c>
      <c r="D45" s="2698">
        <v>0.2</v>
      </c>
      <c r="E45" s="2697">
        <v>4</v>
      </c>
      <c r="F45" s="2697">
        <v>0</v>
      </c>
      <c r="G45" s="2697">
        <v>0</v>
      </c>
      <c r="H45" s="2693"/>
    </row>
    <row r="46" spans="1:15" ht="18" customHeight="1">
      <c r="A46" s="2665" t="s">
        <v>2598</v>
      </c>
      <c r="B46" s="2697">
        <v>97993</v>
      </c>
      <c r="C46" s="2644">
        <f t="shared" si="2"/>
        <v>4.0000000000000001E-3</v>
      </c>
      <c r="D46" s="2698">
        <v>0.4</v>
      </c>
      <c r="E46" s="2697">
        <v>4</v>
      </c>
      <c r="F46" s="2697">
        <v>1</v>
      </c>
      <c r="G46" s="2697">
        <v>3</v>
      </c>
      <c r="H46" s="2693"/>
    </row>
    <row r="47" spans="1:15" ht="18" customHeight="1">
      <c r="A47" s="2665" t="s">
        <v>2593</v>
      </c>
      <c r="B47" s="2697">
        <v>154452</v>
      </c>
      <c r="C47" s="2644">
        <f t="shared" si="2"/>
        <v>0.01</v>
      </c>
      <c r="D47" s="2701">
        <v>1</v>
      </c>
      <c r="E47" s="2697">
        <v>18</v>
      </c>
      <c r="F47" s="2697">
        <v>0</v>
      </c>
      <c r="G47" s="2697">
        <v>5</v>
      </c>
      <c r="H47" s="2693"/>
    </row>
    <row r="48" spans="1:15" ht="18" customHeight="1">
      <c r="A48" s="2662" t="s">
        <v>2592</v>
      </c>
      <c r="B48" s="2694">
        <v>14547695</v>
      </c>
      <c r="C48" s="2644">
        <f t="shared" si="2"/>
        <v>0</v>
      </c>
      <c r="D48" s="2695"/>
      <c r="E48" s="2694">
        <v>1446</v>
      </c>
      <c r="F48" s="2694">
        <v>50</v>
      </c>
      <c r="G48" s="2694">
        <v>615</v>
      </c>
      <c r="H48" s="2693"/>
    </row>
    <row r="49" spans="1:14" ht="18" customHeight="1">
      <c r="A49" s="2662"/>
      <c r="B49" s="2694"/>
      <c r="C49" s="2644">
        <f t="shared" si="2"/>
        <v>0</v>
      </c>
      <c r="D49" s="2695"/>
      <c r="E49" s="2694"/>
      <c r="F49" s="2694"/>
      <c r="G49" s="2694"/>
      <c r="H49" s="2693"/>
    </row>
    <row r="50" spans="1:14" ht="23.25" customHeight="1">
      <c r="A50" s="2802" t="s">
        <v>2597</v>
      </c>
      <c r="B50" s="2700"/>
      <c r="C50" s="2644">
        <f t="shared" si="2"/>
        <v>0</v>
      </c>
      <c r="D50" s="2695"/>
      <c r="E50" s="2700"/>
      <c r="F50" s="2700"/>
      <c r="G50" s="2700"/>
      <c r="H50" s="2693"/>
    </row>
    <row r="51" spans="1:14" ht="18" customHeight="1">
      <c r="A51" s="2665" t="s">
        <v>2596</v>
      </c>
      <c r="B51" s="2697">
        <v>18565</v>
      </c>
      <c r="C51" s="2644">
        <f t="shared" si="2"/>
        <v>0.58099999999999996</v>
      </c>
      <c r="D51" s="2698">
        <v>58.1</v>
      </c>
      <c r="E51" s="2697">
        <v>9</v>
      </c>
      <c r="F51" s="2697">
        <v>3</v>
      </c>
      <c r="G51" s="2697">
        <v>9</v>
      </c>
      <c r="H51" s="2693"/>
      <c r="J51" s="2648" t="b">
        <f>J52=J53</f>
        <v>1</v>
      </c>
      <c r="K51" s="2648"/>
      <c r="L51" s="2648" t="b">
        <f>L52=L53</f>
        <v>1</v>
      </c>
      <c r="M51" s="2648" t="b">
        <f>M52=M53</f>
        <v>1</v>
      </c>
      <c r="N51" s="2648" t="b">
        <f>N52=N53</f>
        <v>1</v>
      </c>
    </row>
    <row r="52" spans="1:14" ht="18" customHeight="1">
      <c r="A52" s="2665" t="s">
        <v>2595</v>
      </c>
      <c r="B52" s="2697">
        <v>6837</v>
      </c>
      <c r="C52" s="2644">
        <f t="shared" si="2"/>
        <v>0.214</v>
      </c>
      <c r="D52" s="2698">
        <v>21.4</v>
      </c>
      <c r="E52" s="2699">
        <v>5</v>
      </c>
      <c r="F52" s="2697">
        <v>1</v>
      </c>
      <c r="G52" s="2697">
        <v>2</v>
      </c>
      <c r="H52" s="2693"/>
      <c r="J52" s="2647">
        <f>SUM(B51:B54)</f>
        <v>31957</v>
      </c>
      <c r="K52" s="2647">
        <f>SUM(D51:D54)</f>
        <v>100</v>
      </c>
      <c r="L52" s="2647">
        <f>SUM(E51:E54)</f>
        <v>19</v>
      </c>
      <c r="M52" s="2647">
        <f>SUM(F51:F54)</f>
        <v>4</v>
      </c>
      <c r="N52" s="2647">
        <f>SUM(G51:G54)</f>
        <v>12</v>
      </c>
    </row>
    <row r="53" spans="1:14" ht="18" customHeight="1">
      <c r="A53" s="2665" t="s">
        <v>2594</v>
      </c>
      <c r="B53" s="2697">
        <v>2270</v>
      </c>
      <c r="C53" s="2644">
        <f t="shared" si="2"/>
        <v>7.0999999999999994E-2</v>
      </c>
      <c r="D53" s="2698">
        <v>7.1</v>
      </c>
      <c r="E53" s="2697">
        <v>2</v>
      </c>
      <c r="F53" s="2697">
        <v>0</v>
      </c>
      <c r="G53" s="2697">
        <v>0</v>
      </c>
      <c r="H53" s="2693"/>
      <c r="J53" s="2989">
        <f>B55</f>
        <v>31957</v>
      </c>
      <c r="K53" s="2989">
        <f>D55</f>
        <v>0</v>
      </c>
      <c r="L53" s="2989">
        <f>E55</f>
        <v>19</v>
      </c>
      <c r="M53" s="2989">
        <f>F55</f>
        <v>4</v>
      </c>
      <c r="N53" s="2989">
        <f>G55</f>
        <v>12</v>
      </c>
    </row>
    <row r="54" spans="1:14" ht="18" customHeight="1">
      <c r="A54" s="2665" t="s">
        <v>2593</v>
      </c>
      <c r="B54" s="2697">
        <v>4285</v>
      </c>
      <c r="C54" s="2644">
        <f t="shared" si="2"/>
        <v>0.13400000000000001</v>
      </c>
      <c r="D54" s="2698">
        <v>13.4</v>
      </c>
      <c r="E54" s="2697">
        <v>3</v>
      </c>
      <c r="F54" s="2697">
        <v>0</v>
      </c>
      <c r="G54" s="2696">
        <v>1</v>
      </c>
      <c r="H54" s="2693"/>
    </row>
    <row r="55" spans="1:14" ht="18" customHeight="1">
      <c r="A55" s="2662" t="s">
        <v>2592</v>
      </c>
      <c r="B55" s="2694">
        <v>31957</v>
      </c>
      <c r="C55" s="2644">
        <f t="shared" si="2"/>
        <v>0</v>
      </c>
      <c r="D55" s="2695"/>
      <c r="E55" s="2694">
        <v>19</v>
      </c>
      <c r="F55" s="2694">
        <v>4</v>
      </c>
      <c r="G55" s="2694">
        <v>12</v>
      </c>
      <c r="H55" s="2693"/>
    </row>
    <row r="56" spans="1:14">
      <c r="C56" s="2644">
        <f t="shared" si="2"/>
        <v>0</v>
      </c>
    </row>
    <row r="57" spans="1:14">
      <c r="A57" s="2690" t="s">
        <v>2537</v>
      </c>
      <c r="C57" s="2644">
        <f t="shared" si="2"/>
        <v>0</v>
      </c>
    </row>
    <row r="58" spans="1:14">
      <c r="C58" s="2644">
        <f t="shared" si="2"/>
        <v>0</v>
      </c>
    </row>
    <row r="59" spans="1:14">
      <c r="C59" s="2644">
        <f t="shared" si="2"/>
        <v>0</v>
      </c>
    </row>
    <row r="60" spans="1:14">
      <c r="C60" s="2644">
        <f t="shared" si="2"/>
        <v>0</v>
      </c>
    </row>
    <row r="61" spans="1:14">
      <c r="C61" s="2644">
        <f t="shared" si="2"/>
        <v>0</v>
      </c>
    </row>
    <row r="62" spans="1:14">
      <c r="C62" s="2644">
        <f t="shared" si="2"/>
        <v>0</v>
      </c>
    </row>
    <row r="63" spans="1:14">
      <c r="C63" s="2644">
        <f t="shared" si="2"/>
        <v>0</v>
      </c>
    </row>
    <row r="64" spans="1:14">
      <c r="C64" s="2644">
        <f t="shared" si="2"/>
        <v>0</v>
      </c>
    </row>
    <row r="65" spans="3:3">
      <c r="C65" s="2644">
        <f t="shared" si="2"/>
        <v>0</v>
      </c>
    </row>
    <row r="66" spans="3:3">
      <c r="C66" s="2644">
        <f t="shared" si="2"/>
        <v>0</v>
      </c>
    </row>
    <row r="67" spans="3:3">
      <c r="C67" s="2644">
        <f t="shared" si="2"/>
        <v>0</v>
      </c>
    </row>
    <row r="68" spans="3:3">
      <c r="C68" s="2644">
        <f t="shared" si="2"/>
        <v>0</v>
      </c>
    </row>
    <row r="69" spans="3:3">
      <c r="C69" s="2644">
        <f t="shared" si="2"/>
        <v>0</v>
      </c>
    </row>
    <row r="70" spans="3:3">
      <c r="C70" s="2644">
        <f t="shared" si="2"/>
        <v>0</v>
      </c>
    </row>
    <row r="71" spans="3:3">
      <c r="C71" s="2644">
        <f t="shared" si="2"/>
        <v>0</v>
      </c>
    </row>
    <row r="72" spans="3:3">
      <c r="C72" s="2644">
        <f t="shared" si="2"/>
        <v>0</v>
      </c>
    </row>
    <row r="73" spans="3:3">
      <c r="C73" s="2644">
        <f t="shared" si="2"/>
        <v>0</v>
      </c>
    </row>
    <row r="74" spans="3:3">
      <c r="C74" s="2644">
        <f t="shared" ref="C74:C105" si="3">D74/100</f>
        <v>0</v>
      </c>
    </row>
    <row r="75" spans="3:3">
      <c r="C75" s="2644">
        <f t="shared" si="3"/>
        <v>0</v>
      </c>
    </row>
    <row r="76" spans="3:3">
      <c r="C76" s="2644">
        <f t="shared" si="3"/>
        <v>0</v>
      </c>
    </row>
    <row r="77" spans="3:3">
      <c r="C77" s="2644">
        <f t="shared" si="3"/>
        <v>0</v>
      </c>
    </row>
    <row r="78" spans="3:3">
      <c r="C78" s="2644">
        <f t="shared" si="3"/>
        <v>0</v>
      </c>
    </row>
    <row r="79" spans="3:3">
      <c r="C79" s="2644">
        <f t="shared" si="3"/>
        <v>0</v>
      </c>
    </row>
    <row r="80" spans="3:3">
      <c r="C80" s="2644">
        <f t="shared" si="3"/>
        <v>0</v>
      </c>
    </row>
    <row r="81" spans="3:3">
      <c r="C81" s="2644">
        <f t="shared" si="3"/>
        <v>0</v>
      </c>
    </row>
    <row r="82" spans="3:3">
      <c r="C82" s="2644">
        <f t="shared" si="3"/>
        <v>0</v>
      </c>
    </row>
    <row r="83" spans="3:3">
      <c r="C83" s="2644">
        <f t="shared" si="3"/>
        <v>0</v>
      </c>
    </row>
    <row r="84" spans="3:3">
      <c r="C84" s="2644">
        <f t="shared" si="3"/>
        <v>0</v>
      </c>
    </row>
    <row r="85" spans="3:3">
      <c r="C85" s="2644">
        <f t="shared" si="3"/>
        <v>0</v>
      </c>
    </row>
    <row r="86" spans="3:3">
      <c r="C86" s="2644">
        <f t="shared" si="3"/>
        <v>0</v>
      </c>
    </row>
    <row r="87" spans="3:3">
      <c r="C87" s="2644">
        <f t="shared" si="3"/>
        <v>0</v>
      </c>
    </row>
    <row r="88" spans="3:3">
      <c r="C88" s="2644">
        <f t="shared" si="3"/>
        <v>0</v>
      </c>
    </row>
    <row r="89" spans="3:3">
      <c r="C89" s="2644">
        <f t="shared" si="3"/>
        <v>0</v>
      </c>
    </row>
    <row r="90" spans="3:3">
      <c r="C90" s="2644">
        <f t="shared" si="3"/>
        <v>0</v>
      </c>
    </row>
    <row r="91" spans="3:3">
      <c r="C91" s="2644">
        <f t="shared" si="3"/>
        <v>0</v>
      </c>
    </row>
    <row r="92" spans="3:3">
      <c r="C92" s="2644">
        <f t="shared" si="3"/>
        <v>0</v>
      </c>
    </row>
    <row r="93" spans="3:3">
      <c r="C93" s="2644">
        <f t="shared" si="3"/>
        <v>0</v>
      </c>
    </row>
    <row r="94" spans="3:3">
      <c r="C94" s="2644">
        <f t="shared" si="3"/>
        <v>0</v>
      </c>
    </row>
    <row r="95" spans="3:3">
      <c r="C95" s="2644">
        <f t="shared" si="3"/>
        <v>0</v>
      </c>
    </row>
    <row r="96" spans="3:3">
      <c r="C96" s="2644">
        <f t="shared" si="3"/>
        <v>0</v>
      </c>
    </row>
    <row r="97" spans="3:3">
      <c r="C97" s="2644">
        <f t="shared" si="3"/>
        <v>0</v>
      </c>
    </row>
    <row r="98" spans="3:3">
      <c r="C98" s="2644">
        <f t="shared" si="3"/>
        <v>0</v>
      </c>
    </row>
    <row r="99" spans="3:3">
      <c r="C99" s="2644">
        <f t="shared" si="3"/>
        <v>0</v>
      </c>
    </row>
    <row r="100" spans="3:3">
      <c r="C100" s="2644">
        <f t="shared" si="3"/>
        <v>0</v>
      </c>
    </row>
    <row r="101" spans="3:3">
      <c r="C101" s="2644">
        <f t="shared" si="3"/>
        <v>0</v>
      </c>
    </row>
    <row r="102" spans="3:3">
      <c r="C102" s="2644">
        <f t="shared" si="3"/>
        <v>0</v>
      </c>
    </row>
    <row r="103" spans="3:3">
      <c r="C103" s="2644">
        <f t="shared" si="3"/>
        <v>0</v>
      </c>
    </row>
    <row r="104" spans="3:3">
      <c r="C104" s="2644">
        <f t="shared" si="3"/>
        <v>0</v>
      </c>
    </row>
    <row r="105" spans="3:3">
      <c r="C105" s="2644">
        <f t="shared" si="3"/>
        <v>0</v>
      </c>
    </row>
    <row r="106" spans="3:3">
      <c r="C106" s="2644">
        <f>D106/100</f>
        <v>0</v>
      </c>
    </row>
    <row r="107" spans="3:3">
      <c r="C107" s="2644">
        <f>D107/100</f>
        <v>0</v>
      </c>
    </row>
    <row r="108" spans="3:3">
      <c r="C108" s="2644">
        <f>D108/100</f>
        <v>0</v>
      </c>
    </row>
  </sheetData>
  <mergeCells count="4">
    <mergeCell ref="A1:H1"/>
    <mergeCell ref="A26:G26"/>
    <mergeCell ref="A32:G32"/>
    <mergeCell ref="A41:G41"/>
  </mergeCells>
  <conditionalFormatting sqref="J4:N4">
    <cfRule type="cellIs" dxfId="109" priority="7" operator="equal">
      <formula>"""FALSE"""</formula>
    </cfRule>
  </conditionalFormatting>
  <conditionalFormatting sqref="J12:N12">
    <cfRule type="cellIs" dxfId="108" priority="6" operator="equal">
      <formula>"""FALSE"""</formula>
    </cfRule>
  </conditionalFormatting>
  <conditionalFormatting sqref="J19:N19">
    <cfRule type="cellIs" dxfId="107" priority="5" operator="equal">
      <formula>"""FALSE"""</formula>
    </cfRule>
  </conditionalFormatting>
  <conditionalFormatting sqref="J27:N27">
    <cfRule type="cellIs" dxfId="106" priority="4" operator="equal">
      <formula>"""FALSE"""</formula>
    </cfRule>
  </conditionalFormatting>
  <conditionalFormatting sqref="J33:O33">
    <cfRule type="cellIs" dxfId="105" priority="3" operator="equal">
      <formula>"""FALSE"""</formula>
    </cfRule>
  </conditionalFormatting>
  <conditionalFormatting sqref="J42:N42">
    <cfRule type="cellIs" dxfId="104" priority="2" operator="equal">
      <formula>"""FALSE"""</formula>
    </cfRule>
  </conditionalFormatting>
  <conditionalFormatting sqref="J51:N51">
    <cfRule type="cellIs" dxfId="103" priority="1" operator="equal">
      <formula>"""FALSE"""</formula>
    </cfRule>
  </conditionalFormatting>
  <pageMargins left="0.7" right="0.7" top="0.75" bottom="0.75" header="0.3" footer="0.3"/>
  <pageSetup paperSize="9" orientation="portrait" horizontalDpi="1200" verticalDpi="120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18A95-F7CB-4BEC-A628-F28A53488C59}">
  <dimension ref="A1:M108"/>
  <sheetViews>
    <sheetView zoomScale="85" zoomScaleNormal="85" workbookViewId="0">
      <pane xSplit="1" ySplit="2" topLeftCell="F24"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6"/>
  <cols>
    <col min="1" max="1" width="28" style="2693" customWidth="1"/>
    <col min="2" max="2" width="22" style="2706" customWidth="1"/>
    <col min="3" max="3" width="11.3984375" style="2963" customWidth="1"/>
    <col min="4" max="4" width="17.3984375" style="2693" customWidth="1"/>
    <col min="5" max="5" width="22" style="2693" customWidth="1"/>
    <col min="6" max="6" width="19.796875" style="2693" customWidth="1"/>
    <col min="7" max="7" width="11.3984375" style="2693" customWidth="1"/>
    <col min="8" max="8" width="10.3984375" style="2693" customWidth="1"/>
    <col min="9" max="9" width="10.3984375" style="2693" bestFit="1" customWidth="1"/>
    <col min="10" max="16384" width="8.796875" style="2693"/>
  </cols>
  <sheetData>
    <row r="1" spans="1:13" ht="20.25" customHeight="1">
      <c r="A1" s="2727" t="s">
        <v>2617</v>
      </c>
      <c r="B1" s="2720"/>
      <c r="C1" s="2720"/>
      <c r="D1" s="2673"/>
      <c r="E1" s="2673"/>
      <c r="F1" s="2673"/>
      <c r="G1" s="2673"/>
      <c r="H1" s="2673"/>
    </row>
    <row r="2" spans="1:13" ht="18" customHeight="1">
      <c r="A2" s="2686"/>
      <c r="B2" s="2726" t="s">
        <v>2611</v>
      </c>
      <c r="C2" s="2986" t="s">
        <v>153</v>
      </c>
      <c r="D2" s="2725" t="s">
        <v>2610</v>
      </c>
      <c r="E2" s="2724" t="s">
        <v>2616</v>
      </c>
      <c r="F2" s="2723" t="s">
        <v>2608</v>
      </c>
      <c r="G2" s="2722" t="s">
        <v>2607</v>
      </c>
    </row>
    <row r="3" spans="1:13" ht="18" customHeight="1">
      <c r="A3" s="2802" t="s">
        <v>2606</v>
      </c>
      <c r="B3" s="2711"/>
      <c r="D3" s="2686"/>
      <c r="E3" s="2686"/>
      <c r="F3" s="2686"/>
      <c r="G3" s="2686"/>
    </row>
    <row r="4" spans="1:13" ht="17.25" customHeight="1">
      <c r="A4" s="2665" t="s">
        <v>2596</v>
      </c>
      <c r="B4" s="2714">
        <v>6460266</v>
      </c>
      <c r="C4" s="2644">
        <f t="shared" ref="C4:C10" si="0">D4/100</f>
        <v>0.47700000000000004</v>
      </c>
      <c r="D4" s="2698">
        <v>47.7</v>
      </c>
      <c r="E4" s="2697">
        <v>440</v>
      </c>
      <c r="F4" s="2697">
        <v>13</v>
      </c>
      <c r="G4" s="2697">
        <v>347</v>
      </c>
      <c r="I4" s="2648" t="b">
        <f>I5=I6</f>
        <v>1</v>
      </c>
      <c r="J4" s="2648"/>
      <c r="K4" s="2648" t="b">
        <f>K5=K6</f>
        <v>1</v>
      </c>
      <c r="L4" s="2648" t="b">
        <f>L5=L6</f>
        <v>1</v>
      </c>
      <c r="M4" s="2648" t="b">
        <f>M5=M6</f>
        <v>1</v>
      </c>
    </row>
    <row r="5" spans="1:13" ht="17.25" customHeight="1">
      <c r="A5" s="2665" t="s">
        <v>2595</v>
      </c>
      <c r="B5" s="2709">
        <v>2388429</v>
      </c>
      <c r="C5" s="2644">
        <f t="shared" si="0"/>
        <v>0.17600000000000002</v>
      </c>
      <c r="D5" s="2698">
        <v>17.600000000000001</v>
      </c>
      <c r="E5" s="2697">
        <v>280</v>
      </c>
      <c r="F5" s="2697">
        <v>2</v>
      </c>
      <c r="G5" s="2697">
        <v>19</v>
      </c>
      <c r="I5" s="2647">
        <f>SUM(B4:B10)</f>
        <v>13561558</v>
      </c>
      <c r="J5" s="2647">
        <f>SUM(D4:D10)</f>
        <v>100.00000000000001</v>
      </c>
      <c r="K5" s="2647">
        <f>SUM(E4:E10)</f>
        <v>1159</v>
      </c>
      <c r="L5" s="2647">
        <f>SUM(F4:F10)</f>
        <v>18</v>
      </c>
      <c r="M5" s="2647">
        <f>SUM(G4:G10)</f>
        <v>485</v>
      </c>
    </row>
    <row r="6" spans="1:13" ht="17.25" customHeight="1">
      <c r="A6" s="2665" t="s">
        <v>2594</v>
      </c>
      <c r="B6" s="2709">
        <v>4467236</v>
      </c>
      <c r="C6" s="2644">
        <f t="shared" si="0"/>
        <v>0.32799999999999996</v>
      </c>
      <c r="D6" s="2698">
        <v>32.799999999999997</v>
      </c>
      <c r="E6" s="2697">
        <v>414</v>
      </c>
      <c r="F6" s="2697">
        <v>2</v>
      </c>
      <c r="G6" s="2697">
        <v>109</v>
      </c>
      <c r="I6" s="2989">
        <f>B11</f>
        <v>13561558</v>
      </c>
      <c r="J6" s="2989">
        <f>D11</f>
        <v>0</v>
      </c>
      <c r="K6" s="2989">
        <f>E11</f>
        <v>1159</v>
      </c>
      <c r="L6" s="2989">
        <f>F11</f>
        <v>18</v>
      </c>
      <c r="M6" s="2989">
        <f>G11</f>
        <v>485</v>
      </c>
    </row>
    <row r="7" spans="1:13" ht="18" customHeight="1">
      <c r="A7" s="2665" t="s">
        <v>2599</v>
      </c>
      <c r="B7" s="2721">
        <v>39416</v>
      </c>
      <c r="C7" s="2644">
        <f t="shared" si="0"/>
        <v>3.0000000000000001E-3</v>
      </c>
      <c r="D7" s="2698">
        <v>0.3</v>
      </c>
      <c r="E7" s="2697">
        <v>6</v>
      </c>
      <c r="F7" s="2697">
        <v>0</v>
      </c>
      <c r="G7" s="2696">
        <v>1</v>
      </c>
    </row>
    <row r="8" spans="1:13" ht="17.25" customHeight="1">
      <c r="A8" s="2665" t="s">
        <v>2614</v>
      </c>
      <c r="B8" s="2709">
        <v>185075</v>
      </c>
      <c r="C8" s="2644">
        <f t="shared" si="0"/>
        <v>1.3999999999999999E-2</v>
      </c>
      <c r="D8" s="2698">
        <v>1.4</v>
      </c>
      <c r="E8" s="2697">
        <v>12</v>
      </c>
      <c r="F8" s="2697">
        <v>0</v>
      </c>
      <c r="G8" s="2697">
        <v>7</v>
      </c>
    </row>
    <row r="9" spans="1:13" ht="17.25" customHeight="1">
      <c r="A9" s="2665" t="s">
        <v>2598</v>
      </c>
      <c r="B9" s="2711"/>
      <c r="C9" s="2644">
        <f t="shared" si="0"/>
        <v>0</v>
      </c>
      <c r="D9" s="2695"/>
      <c r="E9" s="2697">
        <v>1</v>
      </c>
      <c r="F9" s="2697">
        <v>1</v>
      </c>
      <c r="G9" s="2697">
        <v>1</v>
      </c>
    </row>
    <row r="10" spans="1:13" ht="17.25" customHeight="1">
      <c r="A10" s="2665" t="s">
        <v>2593</v>
      </c>
      <c r="B10" s="2709">
        <v>21136</v>
      </c>
      <c r="C10" s="2644">
        <f t="shared" si="0"/>
        <v>2E-3</v>
      </c>
      <c r="D10" s="2698">
        <v>0.2</v>
      </c>
      <c r="E10" s="2697">
        <v>6</v>
      </c>
      <c r="F10" s="2697">
        <v>0</v>
      </c>
      <c r="G10" s="2696">
        <v>1</v>
      </c>
    </row>
    <row r="11" spans="1:13" ht="18.75" customHeight="1">
      <c r="A11" s="2662" t="s">
        <v>2592</v>
      </c>
      <c r="B11" s="2708">
        <v>13561558</v>
      </c>
      <c r="C11" s="2644">
        <f>SUM(C4:C10)</f>
        <v>1</v>
      </c>
      <c r="D11" s="2695"/>
      <c r="E11" s="2694">
        <v>1159</v>
      </c>
      <c r="F11" s="2694">
        <v>18</v>
      </c>
      <c r="G11" s="2694">
        <v>485</v>
      </c>
    </row>
    <row r="12" spans="1:13" ht="18.75" customHeight="1">
      <c r="A12" s="2662"/>
      <c r="B12" s="2708"/>
      <c r="C12" s="2644"/>
      <c r="D12" s="2695"/>
      <c r="E12" s="2694"/>
      <c r="F12" s="2694"/>
      <c r="G12" s="2694"/>
    </row>
    <row r="13" spans="1:13" ht="21" customHeight="1">
      <c r="A13" s="2802" t="s">
        <v>2605</v>
      </c>
      <c r="B13" s="2711"/>
      <c r="C13" s="2644"/>
      <c r="D13" s="2695"/>
      <c r="E13" s="2700"/>
      <c r="F13" s="2700"/>
      <c r="G13" s="2700"/>
    </row>
    <row r="14" spans="1:13" ht="17.25" customHeight="1">
      <c r="A14" s="2665" t="s">
        <v>2596</v>
      </c>
      <c r="B14" s="2709">
        <v>224014</v>
      </c>
      <c r="C14" s="2644">
        <f>D14/100</f>
        <v>0.28399999999999997</v>
      </c>
      <c r="D14" s="2698">
        <v>28.4</v>
      </c>
      <c r="E14" s="2697">
        <v>17</v>
      </c>
      <c r="F14" s="2697">
        <v>0</v>
      </c>
      <c r="G14" s="2697">
        <v>9</v>
      </c>
      <c r="I14" s="2648" t="b">
        <f>I15=I16</f>
        <v>1</v>
      </c>
      <c r="J14" s="2648"/>
      <c r="K14" s="2648" t="b">
        <f>K15=K16</f>
        <v>1</v>
      </c>
      <c r="L14" s="2648" t="b">
        <f>L15=L16</f>
        <v>1</v>
      </c>
      <c r="M14" s="2648" t="b">
        <f>M15=M16</f>
        <v>1</v>
      </c>
    </row>
    <row r="15" spans="1:13" ht="17.25" customHeight="1">
      <c r="A15" s="2665" t="s">
        <v>2595</v>
      </c>
      <c r="B15" s="2709">
        <v>244828</v>
      </c>
      <c r="C15" s="2644">
        <f>D15/100</f>
        <v>0.31</v>
      </c>
      <c r="D15" s="2701">
        <v>31</v>
      </c>
      <c r="E15" s="2697">
        <v>21</v>
      </c>
      <c r="F15" s="2696">
        <v>1</v>
      </c>
      <c r="G15" s="2697">
        <v>10</v>
      </c>
      <c r="I15" s="2647">
        <f>SUM(B14:B16)</f>
        <v>789239</v>
      </c>
      <c r="J15" s="2647">
        <f>SUM(D14:D16)</f>
        <v>100</v>
      </c>
      <c r="K15" s="2647">
        <f>SUM(E14:E16)</f>
        <v>71</v>
      </c>
      <c r="L15" s="2647">
        <f>SUM(F14:F16)</f>
        <v>8</v>
      </c>
      <c r="M15" s="2647">
        <f>SUM(G14:G16)</f>
        <v>35</v>
      </c>
    </row>
    <row r="16" spans="1:13" ht="17.25" customHeight="1">
      <c r="A16" s="2665" t="s">
        <v>2594</v>
      </c>
      <c r="B16" s="2709">
        <v>320397</v>
      </c>
      <c r="C16" s="2644">
        <f>D16/100</f>
        <v>0.40600000000000003</v>
      </c>
      <c r="D16" s="2698">
        <v>40.6</v>
      </c>
      <c r="E16" s="2697">
        <v>33</v>
      </c>
      <c r="F16" s="2697">
        <v>7</v>
      </c>
      <c r="G16" s="2697">
        <v>16</v>
      </c>
      <c r="I16" s="2989">
        <f>B17</f>
        <v>789239</v>
      </c>
      <c r="J16" s="2989">
        <f>D17</f>
        <v>0</v>
      </c>
      <c r="K16" s="2989">
        <f>E17</f>
        <v>71</v>
      </c>
      <c r="L16" s="2989">
        <f>F17</f>
        <v>8</v>
      </c>
      <c r="M16" s="2989">
        <f>G17</f>
        <v>35</v>
      </c>
    </row>
    <row r="17" spans="1:13" ht="18" customHeight="1">
      <c r="A17" s="2662" t="s">
        <v>2592</v>
      </c>
      <c r="B17" s="2708">
        <v>789239</v>
      </c>
      <c r="C17" s="2644"/>
      <c r="D17" s="2695"/>
      <c r="E17" s="2697">
        <v>71</v>
      </c>
      <c r="F17" s="2694">
        <v>8</v>
      </c>
      <c r="G17" s="2694">
        <v>35</v>
      </c>
    </row>
    <row r="18" spans="1:13" ht="18" customHeight="1">
      <c r="A18" s="2662"/>
      <c r="B18" s="2708"/>
      <c r="C18" s="2644"/>
      <c r="D18" s="2695"/>
      <c r="E18" s="2697"/>
      <c r="F18" s="2694"/>
      <c r="G18" s="2694"/>
    </row>
    <row r="19" spans="1:13" ht="18" customHeight="1">
      <c r="A19" s="2801" t="s">
        <v>2604</v>
      </c>
      <c r="B19" s="2711"/>
      <c r="C19" s="2644"/>
      <c r="D19" s="2695"/>
      <c r="E19" s="2700"/>
      <c r="F19" s="2700"/>
      <c r="G19" s="2700"/>
    </row>
    <row r="20" spans="1:13" ht="16.5" customHeight="1">
      <c r="A20" s="2665" t="s">
        <v>2596</v>
      </c>
      <c r="B20" s="2709">
        <v>688299</v>
      </c>
      <c r="C20" s="2644">
        <f t="shared" ref="C20:C25" si="1">D20/100</f>
        <v>0.40700000000000003</v>
      </c>
      <c r="D20" s="2698">
        <v>40.700000000000003</v>
      </c>
      <c r="E20" s="2697">
        <v>56</v>
      </c>
      <c r="F20" s="2697">
        <v>0</v>
      </c>
      <c r="G20" s="2697">
        <v>36</v>
      </c>
      <c r="I20" s="2648" t="b">
        <f>I21=I22</f>
        <v>1</v>
      </c>
      <c r="J20" s="2648"/>
      <c r="K20" s="2648" t="b">
        <f>K21=K22</f>
        <v>1</v>
      </c>
      <c r="L20" s="2648" t="b">
        <f>L21=L22</f>
        <v>1</v>
      </c>
      <c r="M20" s="2648" t="b">
        <f>M21=M22</f>
        <v>1</v>
      </c>
    </row>
    <row r="21" spans="1:13" ht="17.25" customHeight="1">
      <c r="A21" s="2665" t="s">
        <v>2595</v>
      </c>
      <c r="B21" s="2709">
        <v>286540</v>
      </c>
      <c r="C21" s="2644">
        <f t="shared" si="1"/>
        <v>0.16600000000000001</v>
      </c>
      <c r="D21" s="2698">
        <v>16.600000000000001</v>
      </c>
      <c r="E21" s="2697">
        <v>34</v>
      </c>
      <c r="F21" s="2697">
        <v>3</v>
      </c>
      <c r="G21" s="2697">
        <v>8</v>
      </c>
      <c r="I21" s="2647">
        <f>SUM(B20:B24)</f>
        <v>1717108</v>
      </c>
      <c r="J21" s="2647">
        <f>SUM(D20:D24)</f>
        <v>100.00000000000001</v>
      </c>
      <c r="K21" s="2647">
        <f>SUM(E20:E24)</f>
        <v>156</v>
      </c>
      <c r="L21" s="2647">
        <f>SUM(F20:F24)</f>
        <v>3</v>
      </c>
      <c r="M21" s="2647">
        <f>SUM(G20:G24)</f>
        <v>71</v>
      </c>
    </row>
    <row r="22" spans="1:13" ht="17.25" customHeight="1">
      <c r="A22" s="2665" t="s">
        <v>2594</v>
      </c>
      <c r="B22" s="2709">
        <v>697146</v>
      </c>
      <c r="C22" s="2644">
        <f t="shared" si="1"/>
        <v>0.41100000000000003</v>
      </c>
      <c r="D22" s="2701">
        <v>41.1</v>
      </c>
      <c r="E22" s="2697">
        <v>63</v>
      </c>
      <c r="F22" s="2697">
        <v>0</v>
      </c>
      <c r="G22" s="2697">
        <v>26</v>
      </c>
      <c r="I22" s="2989">
        <f>B25</f>
        <v>1717108</v>
      </c>
      <c r="J22" s="2989">
        <f>D25</f>
        <v>0</v>
      </c>
      <c r="K22" s="2989">
        <f>E25</f>
        <v>156</v>
      </c>
      <c r="L22" s="2989">
        <f>F25</f>
        <v>3</v>
      </c>
      <c r="M22" s="2989">
        <f>G25</f>
        <v>71</v>
      </c>
    </row>
    <row r="23" spans="1:13" ht="17.25" customHeight="1">
      <c r="A23" s="2665" t="s">
        <v>2599</v>
      </c>
      <c r="B23" s="2709">
        <v>15930</v>
      </c>
      <c r="C23" s="2644">
        <f t="shared" si="1"/>
        <v>6.9999999999999993E-3</v>
      </c>
      <c r="D23" s="2698">
        <v>0.7</v>
      </c>
      <c r="E23" s="2697">
        <v>2</v>
      </c>
      <c r="F23" s="2697">
        <v>0</v>
      </c>
      <c r="G23" s="2697">
        <v>0</v>
      </c>
    </row>
    <row r="24" spans="1:13" ht="17.25" customHeight="1">
      <c r="A24" s="2665" t="s">
        <v>2593</v>
      </c>
      <c r="B24" s="2709">
        <v>29193</v>
      </c>
      <c r="C24" s="2644">
        <f t="shared" si="1"/>
        <v>9.0000000000000011E-3</v>
      </c>
      <c r="D24" s="2698">
        <v>0.9</v>
      </c>
      <c r="E24" s="2697">
        <v>1</v>
      </c>
      <c r="F24" s="2697">
        <v>0</v>
      </c>
      <c r="G24" s="2696">
        <v>1</v>
      </c>
    </row>
    <row r="25" spans="1:13" ht="18" customHeight="1">
      <c r="A25" s="2662" t="s">
        <v>2592</v>
      </c>
      <c r="B25" s="2708">
        <v>1717108</v>
      </c>
      <c r="C25" s="2644">
        <f t="shared" si="1"/>
        <v>0</v>
      </c>
      <c r="D25" s="2695"/>
      <c r="E25" s="2694">
        <v>156</v>
      </c>
      <c r="F25" s="2697">
        <v>3</v>
      </c>
      <c r="G25" s="2697">
        <v>71</v>
      </c>
    </row>
    <row r="26" spans="1:13" ht="18" customHeight="1">
      <c r="A26" s="2662"/>
      <c r="B26" s="2708"/>
      <c r="C26" s="2708"/>
      <c r="D26" s="2695"/>
      <c r="E26" s="2694"/>
      <c r="F26" s="2697"/>
      <c r="G26" s="2697"/>
    </row>
    <row r="27" spans="1:13" ht="18.5" customHeight="1">
      <c r="A27" s="2673" t="s">
        <v>2603</v>
      </c>
      <c r="B27" s="2720"/>
      <c r="C27" s="2644">
        <f>D27/100</f>
        <v>0</v>
      </c>
      <c r="D27" s="2719"/>
      <c r="E27" s="2702"/>
      <c r="F27" s="2702"/>
      <c r="G27" s="2702"/>
    </row>
    <row r="28" spans="1:13" ht="17.25" customHeight="1">
      <c r="A28" s="2665" t="s">
        <v>2596</v>
      </c>
      <c r="B28" s="2709">
        <v>451278</v>
      </c>
      <c r="C28" s="2644">
        <f>D28/100</f>
        <v>0.83799999999999997</v>
      </c>
      <c r="D28" s="2698">
        <v>83.8</v>
      </c>
      <c r="E28" s="2697">
        <v>12</v>
      </c>
      <c r="F28" s="2697">
        <v>2</v>
      </c>
      <c r="G28" s="2697">
        <v>12</v>
      </c>
      <c r="I28" s="2648" t="b">
        <f>I29=I30</f>
        <v>1</v>
      </c>
      <c r="J28" s="2648"/>
      <c r="K28" s="2648" t="b">
        <f>K29=K30</f>
        <v>1</v>
      </c>
      <c r="L28" s="2648" t="b">
        <f>L29=L30</f>
        <v>1</v>
      </c>
      <c r="M28" s="2648" t="b">
        <f>M29=M30</f>
        <v>1</v>
      </c>
    </row>
    <row r="29" spans="1:13" ht="20.25" customHeight="1">
      <c r="A29" s="2665" t="s">
        <v>2615</v>
      </c>
      <c r="B29" s="2709">
        <v>46457</v>
      </c>
      <c r="C29" s="2644">
        <f>D29/100</f>
        <v>9.9000000000000005E-2</v>
      </c>
      <c r="D29" s="2698">
        <v>9.9</v>
      </c>
      <c r="E29" s="2697">
        <v>8</v>
      </c>
      <c r="F29" s="2697">
        <v>0</v>
      </c>
      <c r="G29" s="2697">
        <v>0</v>
      </c>
      <c r="I29" s="2647">
        <f>SUM(B28:B30)</f>
        <v>519374</v>
      </c>
      <c r="J29" s="2647">
        <f>SUM(D28:D30)</f>
        <v>100</v>
      </c>
      <c r="K29" s="2647">
        <f>SUM(E28:E30)</f>
        <v>22</v>
      </c>
      <c r="L29" s="2647">
        <f>SUM(F28:F30)</f>
        <v>2</v>
      </c>
      <c r="M29" s="2647">
        <f>SUM(G28:G30)</f>
        <v>12</v>
      </c>
    </row>
    <row r="30" spans="1:13" ht="18" customHeight="1">
      <c r="A30" s="2665" t="s">
        <v>2593</v>
      </c>
      <c r="B30" s="2709">
        <v>21639</v>
      </c>
      <c r="C30" s="2644">
        <f>D30/100</f>
        <v>6.3E-2</v>
      </c>
      <c r="D30" s="2698">
        <v>6.3</v>
      </c>
      <c r="E30" s="2697">
        <v>2</v>
      </c>
      <c r="F30" s="2697">
        <v>0</v>
      </c>
      <c r="G30" s="2697">
        <v>0</v>
      </c>
      <c r="I30" s="2989">
        <f>B31</f>
        <v>519374</v>
      </c>
      <c r="J30" s="2989">
        <f>D31</f>
        <v>0</v>
      </c>
      <c r="K30" s="2989">
        <f>E31</f>
        <v>22</v>
      </c>
      <c r="L30" s="2989">
        <f>F31</f>
        <v>2</v>
      </c>
      <c r="M30" s="2989">
        <f>G31</f>
        <v>12</v>
      </c>
    </row>
    <row r="31" spans="1:13" ht="18" customHeight="1">
      <c r="A31" s="2662" t="s">
        <v>2592</v>
      </c>
      <c r="B31" s="2708">
        <v>519374</v>
      </c>
      <c r="C31" s="2644">
        <f>D31/100</f>
        <v>0</v>
      </c>
      <c r="D31" s="2695"/>
      <c r="E31" s="2694">
        <v>22</v>
      </c>
      <c r="F31" s="2694">
        <v>2</v>
      </c>
      <c r="G31" s="2694">
        <v>12</v>
      </c>
    </row>
    <row r="32" spans="1:13" ht="18" customHeight="1">
      <c r="A32" s="2662"/>
      <c r="B32" s="2708"/>
      <c r="C32" s="2708"/>
      <c r="D32" s="2695"/>
      <c r="E32" s="2694"/>
      <c r="F32" s="2694"/>
      <c r="G32" s="2694"/>
    </row>
    <row r="33" spans="1:13" ht="17">
      <c r="A33" s="2718" t="s">
        <v>2602</v>
      </c>
      <c r="B33" s="2717"/>
      <c r="C33" s="2644"/>
      <c r="D33" s="2716"/>
      <c r="E33" s="2715"/>
      <c r="F33" s="2715"/>
      <c r="G33" s="2715"/>
    </row>
    <row r="34" spans="1:13" ht="17.25" customHeight="1">
      <c r="A34" s="2665" t="s">
        <v>2596</v>
      </c>
      <c r="B34" s="2709">
        <v>7403245</v>
      </c>
      <c r="C34" s="2644">
        <f t="shared" ref="C34:C42" si="2">D34/100</f>
        <v>0.45899999999999996</v>
      </c>
      <c r="D34" s="2698">
        <v>45.9</v>
      </c>
      <c r="E34" s="2697">
        <v>522</v>
      </c>
      <c r="F34" s="2697">
        <v>14</v>
      </c>
      <c r="G34" s="2697">
        <v>400</v>
      </c>
      <c r="I34" s="2648" t="b">
        <f>I35=I36</f>
        <v>1</v>
      </c>
      <c r="J34" s="2648"/>
      <c r="K34" s="2648" t="b">
        <f>K35=K36</f>
        <v>1</v>
      </c>
      <c r="L34" s="2648" t="b">
        <f>L35=L36</f>
        <v>1</v>
      </c>
      <c r="M34" s="2648" t="b">
        <f>M35=M36</f>
        <v>1</v>
      </c>
    </row>
    <row r="35" spans="1:13" ht="17.25" customHeight="1">
      <c r="A35" s="2665" t="s">
        <v>2595</v>
      </c>
      <c r="B35" s="2709">
        <v>2928737</v>
      </c>
      <c r="C35" s="2644">
        <f t="shared" si="2"/>
        <v>0.182</v>
      </c>
      <c r="D35" s="2698">
        <v>18.2</v>
      </c>
      <c r="E35" s="2697">
        <v>339</v>
      </c>
      <c r="F35" s="2697">
        <v>6</v>
      </c>
      <c r="G35" s="2697">
        <v>40</v>
      </c>
      <c r="I35" s="2647">
        <f>SUM(B34:B41)</f>
        <v>16120905</v>
      </c>
      <c r="J35" s="2647">
        <f>SUM(D34:D41)</f>
        <v>99.899999999999991</v>
      </c>
      <c r="K35" s="2647">
        <f>SUM(E34:E41)</f>
        <v>1406</v>
      </c>
      <c r="L35" s="2647">
        <f>SUM(F34:F41)</f>
        <v>30</v>
      </c>
      <c r="M35" s="2647">
        <f>SUM(G34:G41)</f>
        <v>603</v>
      </c>
    </row>
    <row r="36" spans="1:13" ht="17.25" customHeight="1">
      <c r="A36" s="2665" t="s">
        <v>2594</v>
      </c>
      <c r="B36" s="2709">
        <v>5489087</v>
      </c>
      <c r="C36" s="2644">
        <f t="shared" si="2"/>
        <v>0.34</v>
      </c>
      <c r="D36" s="2698">
        <v>34</v>
      </c>
      <c r="E36" s="2697">
        <v>514</v>
      </c>
      <c r="F36" s="2697">
        <v>9</v>
      </c>
      <c r="G36" s="2697">
        <v>151</v>
      </c>
      <c r="I36" s="2989">
        <f>B42</f>
        <v>16120905</v>
      </c>
      <c r="J36" s="2989">
        <f>D42</f>
        <v>0</v>
      </c>
      <c r="K36" s="2989">
        <f>E42</f>
        <v>1406</v>
      </c>
      <c r="L36" s="2989">
        <f>F42</f>
        <v>30</v>
      </c>
      <c r="M36" s="2989">
        <f>G42</f>
        <v>603</v>
      </c>
    </row>
    <row r="37" spans="1:13" ht="17.25" customHeight="1">
      <c r="A37" s="2665" t="s">
        <v>2615</v>
      </c>
      <c r="B37" s="2709">
        <v>0</v>
      </c>
      <c r="C37" s="2644">
        <f t="shared" si="2"/>
        <v>0</v>
      </c>
      <c r="D37" s="2701">
        <v>0</v>
      </c>
      <c r="E37" s="2697">
        <v>0</v>
      </c>
      <c r="F37" s="2697">
        <v>0</v>
      </c>
      <c r="G37" s="2697">
        <v>0</v>
      </c>
    </row>
    <row r="38" spans="1:13" ht="17.25" customHeight="1">
      <c r="A38" s="2665" t="s">
        <v>2599</v>
      </c>
      <c r="B38" s="2709">
        <v>55346</v>
      </c>
      <c r="C38" s="2644">
        <f t="shared" si="2"/>
        <v>3.0000000000000001E-3</v>
      </c>
      <c r="D38" s="2698">
        <v>0.3</v>
      </c>
      <c r="E38" s="2697">
        <v>8</v>
      </c>
      <c r="F38" s="2697">
        <v>0</v>
      </c>
      <c r="G38" s="2697">
        <v>1</v>
      </c>
    </row>
    <row r="39" spans="1:13" ht="20.25" customHeight="1">
      <c r="A39" s="2665" t="s">
        <v>2614</v>
      </c>
      <c r="B39" s="2709">
        <v>185075</v>
      </c>
      <c r="C39" s="2644">
        <f t="shared" si="2"/>
        <v>1.1000000000000001E-2</v>
      </c>
      <c r="D39" s="2701">
        <v>1.1000000000000001</v>
      </c>
      <c r="E39" s="2697">
        <v>12</v>
      </c>
      <c r="F39" s="2697">
        <v>0</v>
      </c>
      <c r="G39" s="2697">
        <v>7</v>
      </c>
    </row>
    <row r="40" spans="1:13" ht="18" customHeight="1">
      <c r="A40" s="2665" t="s">
        <v>2598</v>
      </c>
      <c r="B40" s="2711"/>
      <c r="C40" s="2644">
        <f t="shared" si="2"/>
        <v>0</v>
      </c>
      <c r="D40" s="2695"/>
      <c r="E40" s="2697">
        <v>1</v>
      </c>
      <c r="F40" s="2696">
        <v>1</v>
      </c>
      <c r="G40" s="2696">
        <v>1</v>
      </c>
    </row>
    <row r="41" spans="1:13" ht="16.5" customHeight="1">
      <c r="A41" s="2665" t="s">
        <v>2593</v>
      </c>
      <c r="B41" s="2709">
        <v>59415</v>
      </c>
      <c r="C41" s="2644">
        <f t="shared" si="2"/>
        <v>4.0000000000000001E-3</v>
      </c>
      <c r="D41" s="2698">
        <v>0.4</v>
      </c>
      <c r="E41" s="2697">
        <v>10</v>
      </c>
      <c r="F41" s="2697">
        <v>0</v>
      </c>
      <c r="G41" s="2697">
        <v>3</v>
      </c>
    </row>
    <row r="42" spans="1:13" ht="18" customHeight="1">
      <c r="A42" s="2662" t="s">
        <v>2592</v>
      </c>
      <c r="B42" s="2708">
        <v>16120905</v>
      </c>
      <c r="C42" s="2644">
        <f t="shared" si="2"/>
        <v>0</v>
      </c>
      <c r="D42" s="2695"/>
      <c r="E42" s="2694">
        <v>1406</v>
      </c>
      <c r="F42" s="2694">
        <v>30</v>
      </c>
      <c r="G42" s="2694">
        <v>603</v>
      </c>
    </row>
    <row r="43" spans="1:13" ht="18" customHeight="1">
      <c r="A43" s="2662"/>
      <c r="B43" s="2708"/>
      <c r="C43" s="2644"/>
      <c r="D43" s="2695"/>
      <c r="E43" s="2694"/>
      <c r="F43" s="2694"/>
      <c r="G43" s="2694"/>
    </row>
    <row r="44" spans="1:13" ht="17">
      <c r="A44" s="2802" t="s">
        <v>2600</v>
      </c>
      <c r="B44" s="2711"/>
      <c r="C44" s="2644"/>
      <c r="D44" s="2695"/>
      <c r="E44" s="2700"/>
      <c r="F44" s="2700"/>
      <c r="G44" s="2700"/>
    </row>
    <row r="45" spans="1:13" ht="17.25" customHeight="1">
      <c r="A45" s="2665" t="s">
        <v>2596</v>
      </c>
      <c r="B45" s="2709">
        <v>7854523</v>
      </c>
      <c r="C45" s="2644">
        <f t="shared" ref="C45:C76" si="3">D45/100</f>
        <v>0.46799999999999997</v>
      </c>
      <c r="D45" s="2698">
        <v>46.8</v>
      </c>
      <c r="E45" s="2697">
        <v>534</v>
      </c>
      <c r="F45" s="2697">
        <v>16</v>
      </c>
      <c r="G45" s="2697">
        <v>412</v>
      </c>
      <c r="I45" s="2648" t="b">
        <f>I46=I47</f>
        <v>1</v>
      </c>
      <c r="J45" s="2648"/>
      <c r="K45" s="2648" t="b">
        <f>K46=K47</f>
        <v>1</v>
      </c>
      <c r="L45" s="2648" t="b">
        <f>L46=L47</f>
        <v>1</v>
      </c>
      <c r="M45" s="2648" t="b">
        <f>M46=M47</f>
        <v>1</v>
      </c>
    </row>
    <row r="46" spans="1:13" ht="19.5" customHeight="1">
      <c r="A46" s="2665" t="s">
        <v>2595</v>
      </c>
      <c r="B46" s="2709">
        <v>2928737</v>
      </c>
      <c r="C46" s="2644">
        <f t="shared" si="3"/>
        <v>0.17800000000000002</v>
      </c>
      <c r="D46" s="2698">
        <v>17.8</v>
      </c>
      <c r="E46" s="2697">
        <v>339</v>
      </c>
      <c r="F46" s="2697">
        <v>6</v>
      </c>
      <c r="G46" s="2697">
        <v>40</v>
      </c>
      <c r="I46" s="2647">
        <f>SUM(B45:B52)</f>
        <v>16640279</v>
      </c>
      <c r="J46" s="2647">
        <f>SUM(D45:D52)</f>
        <v>100</v>
      </c>
      <c r="K46" s="2647">
        <f>SUM(E45:E52)</f>
        <v>1428</v>
      </c>
      <c r="L46" s="2647">
        <f>SUM(F45:F52)</f>
        <v>32</v>
      </c>
      <c r="M46" s="2647">
        <f>SUM(G45:G52)</f>
        <v>615</v>
      </c>
    </row>
    <row r="47" spans="1:13" ht="17.25" customHeight="1">
      <c r="A47" s="2665" t="s">
        <v>2594</v>
      </c>
      <c r="B47" s="2714">
        <v>5489087</v>
      </c>
      <c r="C47" s="2644">
        <f t="shared" si="3"/>
        <v>0.33299999999999996</v>
      </c>
      <c r="D47" s="2698">
        <v>33.299999999999997</v>
      </c>
      <c r="E47" s="2697">
        <v>514</v>
      </c>
      <c r="F47" s="2697">
        <v>9</v>
      </c>
      <c r="G47" s="2697">
        <v>151</v>
      </c>
      <c r="I47" s="2989">
        <f>B53</f>
        <v>16640279</v>
      </c>
      <c r="J47" s="2989">
        <f>D53</f>
        <v>0</v>
      </c>
      <c r="K47" s="2989">
        <f>E53</f>
        <v>1428</v>
      </c>
      <c r="L47" s="2989">
        <f>F53</f>
        <v>32</v>
      </c>
      <c r="M47" s="2989">
        <f>G53</f>
        <v>615</v>
      </c>
    </row>
    <row r="48" spans="1:13" ht="17">
      <c r="A48" s="2665" t="s">
        <v>2615</v>
      </c>
      <c r="B48" s="2714">
        <v>46457</v>
      </c>
      <c r="C48" s="2644">
        <f t="shared" si="3"/>
        <v>2E-3</v>
      </c>
      <c r="D48" s="2698">
        <v>0.2</v>
      </c>
      <c r="E48" s="2697">
        <v>8</v>
      </c>
      <c r="F48" s="2697">
        <v>0</v>
      </c>
      <c r="G48" s="2697">
        <v>0</v>
      </c>
    </row>
    <row r="49" spans="1:13" ht="18.75" customHeight="1">
      <c r="A49" s="2665" t="s">
        <v>2599</v>
      </c>
      <c r="B49" s="2709">
        <v>55346</v>
      </c>
      <c r="C49" s="2644">
        <f t="shared" si="3"/>
        <v>3.0000000000000001E-3</v>
      </c>
      <c r="D49" s="2698">
        <v>0.3</v>
      </c>
      <c r="E49" s="2697">
        <v>8</v>
      </c>
      <c r="F49" s="2697">
        <v>0</v>
      </c>
      <c r="G49" s="2697">
        <v>1</v>
      </c>
    </row>
    <row r="50" spans="1:13" ht="17.25" customHeight="1">
      <c r="A50" s="2665" t="s">
        <v>2614</v>
      </c>
      <c r="B50" s="2709">
        <v>185075</v>
      </c>
      <c r="C50" s="2644">
        <f t="shared" si="3"/>
        <v>1.2E-2</v>
      </c>
      <c r="D50" s="2698">
        <v>1.2</v>
      </c>
      <c r="E50" s="2713">
        <v>12</v>
      </c>
      <c r="F50" s="2697">
        <v>0</v>
      </c>
      <c r="G50" s="2697">
        <v>7</v>
      </c>
    </row>
    <row r="51" spans="1:13" ht="17.25" customHeight="1">
      <c r="A51" s="2665" t="s">
        <v>2598</v>
      </c>
      <c r="B51" s="2711"/>
      <c r="C51" s="2644">
        <f t="shared" si="3"/>
        <v>0</v>
      </c>
      <c r="D51" s="2695"/>
      <c r="E51" s="2697">
        <v>1</v>
      </c>
      <c r="F51" s="2696">
        <v>1</v>
      </c>
      <c r="G51" s="2696">
        <v>1</v>
      </c>
    </row>
    <row r="52" spans="1:13" ht="17.25" customHeight="1">
      <c r="A52" s="2665" t="s">
        <v>2613</v>
      </c>
      <c r="B52" s="2709">
        <v>81054</v>
      </c>
      <c r="C52" s="2644">
        <f t="shared" si="3"/>
        <v>4.0000000000000001E-3</v>
      </c>
      <c r="D52" s="2698">
        <v>0.4</v>
      </c>
      <c r="E52" s="2696">
        <v>12</v>
      </c>
      <c r="F52" s="2697">
        <v>0</v>
      </c>
      <c r="G52" s="2696">
        <v>3</v>
      </c>
    </row>
    <row r="53" spans="1:13" ht="18" customHeight="1">
      <c r="A53" s="2662" t="s">
        <v>2592</v>
      </c>
      <c r="B53" s="2708">
        <v>16640279</v>
      </c>
      <c r="C53" s="2644">
        <f t="shared" si="3"/>
        <v>0</v>
      </c>
      <c r="E53" s="2712">
        <v>1428</v>
      </c>
      <c r="F53" s="2694">
        <v>32</v>
      </c>
      <c r="G53" s="2694">
        <v>615</v>
      </c>
    </row>
    <row r="54" spans="1:13" ht="18" customHeight="1">
      <c r="A54" s="2662"/>
      <c r="B54" s="2708"/>
      <c r="C54" s="2644">
        <f t="shared" si="3"/>
        <v>0</v>
      </c>
      <c r="E54" s="2712"/>
      <c r="F54" s="2694"/>
      <c r="G54" s="2694"/>
    </row>
    <row r="55" spans="1:13" ht="17">
      <c r="A55" s="2802" t="s">
        <v>2597</v>
      </c>
      <c r="B55" s="2711"/>
      <c r="C55" s="2644">
        <f t="shared" si="3"/>
        <v>0</v>
      </c>
      <c r="D55" s="2695"/>
      <c r="E55" s="2700"/>
      <c r="F55" s="2700"/>
      <c r="G55" s="2700"/>
    </row>
    <row r="56" spans="1:13" ht="17.25" customHeight="1">
      <c r="A56" s="2665" t="s">
        <v>2596</v>
      </c>
      <c r="B56" s="2709">
        <v>30666</v>
      </c>
      <c r="C56" s="2644">
        <f t="shared" si="3"/>
        <v>0.57899999999999996</v>
      </c>
      <c r="D56" s="2710">
        <v>57.9</v>
      </c>
      <c r="E56" s="2697">
        <v>9</v>
      </c>
      <c r="F56" s="2696">
        <v>1</v>
      </c>
      <c r="G56" s="2697">
        <v>8</v>
      </c>
      <c r="I56" s="2648" t="b">
        <f>I57=I58</f>
        <v>1</v>
      </c>
      <c r="J56" s="2648"/>
      <c r="K56" s="2648" t="b">
        <f>K57=K58</f>
        <v>1</v>
      </c>
      <c r="L56" s="2648" t="b">
        <f>L57=L58</f>
        <v>1</v>
      </c>
      <c r="M56" s="2648" t="b">
        <f>M57=M58</f>
        <v>1</v>
      </c>
    </row>
    <row r="57" spans="1:13" ht="17.25" customHeight="1">
      <c r="A57" s="2665" t="s">
        <v>2595</v>
      </c>
      <c r="B57" s="2709">
        <v>8940</v>
      </c>
      <c r="C57" s="2644">
        <f t="shared" si="3"/>
        <v>0.16899999999999998</v>
      </c>
      <c r="D57" s="2698">
        <v>16.899999999999999</v>
      </c>
      <c r="E57" s="2697">
        <v>4</v>
      </c>
      <c r="F57" s="2697">
        <v>0</v>
      </c>
      <c r="G57" s="2697">
        <v>3</v>
      </c>
      <c r="I57" s="2647">
        <f>SUM(B56:B59)</f>
        <v>53000</v>
      </c>
      <c r="J57" s="2647">
        <f>SUM(D56:D59)</f>
        <v>100</v>
      </c>
      <c r="K57" s="2647">
        <f>SUM(E56:E59)</f>
        <v>20</v>
      </c>
      <c r="L57" s="2647">
        <f>SUM(F56:F59)</f>
        <v>1</v>
      </c>
      <c r="M57" s="2647">
        <f>SUM(G56:G59)</f>
        <v>12</v>
      </c>
    </row>
    <row r="58" spans="1:13" ht="17.25" customHeight="1">
      <c r="A58" s="2665" t="s">
        <v>2594</v>
      </c>
      <c r="B58" s="2709">
        <v>4308</v>
      </c>
      <c r="C58" s="2644">
        <f t="shared" si="3"/>
        <v>8.1000000000000003E-2</v>
      </c>
      <c r="D58" s="2698">
        <v>8.1</v>
      </c>
      <c r="E58" s="2697">
        <v>4</v>
      </c>
      <c r="F58" s="2697">
        <v>0</v>
      </c>
      <c r="G58" s="2697">
        <v>0</v>
      </c>
      <c r="I58" s="2989">
        <f>B60</f>
        <v>53000</v>
      </c>
      <c r="J58" s="2989">
        <f>D60</f>
        <v>0</v>
      </c>
      <c r="K58" s="2989">
        <f>E60</f>
        <v>20</v>
      </c>
      <c r="L58" s="2989">
        <f>F60</f>
        <v>1</v>
      </c>
      <c r="M58" s="2989">
        <f>G60</f>
        <v>12</v>
      </c>
    </row>
    <row r="59" spans="1:13" ht="16.5" customHeight="1">
      <c r="A59" s="2665" t="s">
        <v>2593</v>
      </c>
      <c r="B59" s="2709">
        <v>9086</v>
      </c>
      <c r="C59" s="2644">
        <f t="shared" si="3"/>
        <v>0.17100000000000001</v>
      </c>
      <c r="D59" s="2698">
        <v>17.100000000000001</v>
      </c>
      <c r="E59" s="2697">
        <v>3</v>
      </c>
      <c r="F59" s="2697">
        <v>0</v>
      </c>
      <c r="G59" s="2697">
        <v>1</v>
      </c>
    </row>
    <row r="60" spans="1:13" ht="18.75" customHeight="1">
      <c r="A60" s="2662" t="s">
        <v>2592</v>
      </c>
      <c r="B60" s="2708">
        <v>53000</v>
      </c>
      <c r="C60" s="2644">
        <f t="shared" si="3"/>
        <v>0</v>
      </c>
      <c r="D60" s="2707"/>
      <c r="E60" s="2694">
        <v>20</v>
      </c>
      <c r="F60" s="2697">
        <v>1</v>
      </c>
      <c r="G60" s="2697">
        <v>12</v>
      </c>
    </row>
    <row r="61" spans="1:13">
      <c r="C61" s="2644">
        <f t="shared" si="3"/>
        <v>0</v>
      </c>
    </row>
    <row r="62" spans="1:13">
      <c r="A62" s="2693" t="s">
        <v>2537</v>
      </c>
      <c r="C62" s="2644">
        <f t="shared" si="3"/>
        <v>0</v>
      </c>
    </row>
    <row r="63" spans="1:13">
      <c r="C63" s="2644">
        <f t="shared" si="3"/>
        <v>0</v>
      </c>
    </row>
    <row r="64" spans="1:13">
      <c r="C64" s="2644">
        <f t="shared" si="3"/>
        <v>0</v>
      </c>
    </row>
    <row r="65" spans="3:3">
      <c r="C65" s="2644">
        <f t="shared" si="3"/>
        <v>0</v>
      </c>
    </row>
    <row r="66" spans="3:3">
      <c r="C66" s="2644">
        <f t="shared" si="3"/>
        <v>0</v>
      </c>
    </row>
    <row r="67" spans="3:3">
      <c r="C67" s="2644">
        <f t="shared" si="3"/>
        <v>0</v>
      </c>
    </row>
    <row r="68" spans="3:3">
      <c r="C68" s="2644">
        <f t="shared" si="3"/>
        <v>0</v>
      </c>
    </row>
    <row r="69" spans="3:3">
      <c r="C69" s="2644">
        <f t="shared" si="3"/>
        <v>0</v>
      </c>
    </row>
    <row r="70" spans="3:3">
      <c r="C70" s="2644">
        <f t="shared" si="3"/>
        <v>0</v>
      </c>
    </row>
    <row r="71" spans="3:3">
      <c r="C71" s="2644">
        <f t="shared" si="3"/>
        <v>0</v>
      </c>
    </row>
    <row r="72" spans="3:3">
      <c r="C72" s="2644">
        <f t="shared" si="3"/>
        <v>0</v>
      </c>
    </row>
    <row r="73" spans="3:3">
      <c r="C73" s="2644">
        <f t="shared" si="3"/>
        <v>0</v>
      </c>
    </row>
    <row r="74" spans="3:3">
      <c r="C74" s="2644">
        <f t="shared" si="3"/>
        <v>0</v>
      </c>
    </row>
    <row r="75" spans="3:3">
      <c r="C75" s="2644">
        <f t="shared" si="3"/>
        <v>0</v>
      </c>
    </row>
    <row r="76" spans="3:3">
      <c r="C76" s="2644">
        <f t="shared" si="3"/>
        <v>0</v>
      </c>
    </row>
    <row r="77" spans="3:3">
      <c r="C77" s="2644">
        <f t="shared" ref="C77:C108" si="4">D77/100</f>
        <v>0</v>
      </c>
    </row>
    <row r="78" spans="3:3">
      <c r="C78" s="2644">
        <f t="shared" si="4"/>
        <v>0</v>
      </c>
    </row>
    <row r="79" spans="3:3">
      <c r="C79" s="2644">
        <f t="shared" si="4"/>
        <v>0</v>
      </c>
    </row>
    <row r="80" spans="3:3">
      <c r="C80" s="2644">
        <f t="shared" si="4"/>
        <v>0</v>
      </c>
    </row>
    <row r="81" spans="3:3">
      <c r="C81" s="2644">
        <f t="shared" si="4"/>
        <v>0</v>
      </c>
    </row>
    <row r="82" spans="3:3">
      <c r="C82" s="2644">
        <f t="shared" si="4"/>
        <v>0</v>
      </c>
    </row>
    <row r="83" spans="3:3">
      <c r="C83" s="2644">
        <f t="shared" si="4"/>
        <v>0</v>
      </c>
    </row>
    <row r="84" spans="3:3">
      <c r="C84" s="2644">
        <f t="shared" si="4"/>
        <v>0</v>
      </c>
    </row>
    <row r="85" spans="3:3">
      <c r="C85" s="2644">
        <f t="shared" si="4"/>
        <v>0</v>
      </c>
    </row>
    <row r="86" spans="3:3">
      <c r="C86" s="2644">
        <f t="shared" si="4"/>
        <v>0</v>
      </c>
    </row>
    <row r="87" spans="3:3">
      <c r="C87" s="2644">
        <f t="shared" si="4"/>
        <v>0</v>
      </c>
    </row>
    <row r="88" spans="3:3">
      <c r="C88" s="2644">
        <f t="shared" si="4"/>
        <v>0</v>
      </c>
    </row>
    <row r="89" spans="3:3">
      <c r="C89" s="2644">
        <f t="shared" si="4"/>
        <v>0</v>
      </c>
    </row>
    <row r="90" spans="3:3">
      <c r="C90" s="2644">
        <f t="shared" si="4"/>
        <v>0</v>
      </c>
    </row>
    <row r="91" spans="3:3">
      <c r="C91" s="2644">
        <f t="shared" si="4"/>
        <v>0</v>
      </c>
    </row>
    <row r="92" spans="3:3">
      <c r="C92" s="2644">
        <f t="shared" si="4"/>
        <v>0</v>
      </c>
    </row>
    <row r="93" spans="3:3">
      <c r="C93" s="2644">
        <f t="shared" si="4"/>
        <v>0</v>
      </c>
    </row>
    <row r="94" spans="3:3">
      <c r="C94" s="2644">
        <f t="shared" si="4"/>
        <v>0</v>
      </c>
    </row>
    <row r="95" spans="3:3">
      <c r="C95" s="2644">
        <f t="shared" si="4"/>
        <v>0</v>
      </c>
    </row>
    <row r="96" spans="3:3">
      <c r="C96" s="2644">
        <f t="shared" si="4"/>
        <v>0</v>
      </c>
    </row>
    <row r="97" spans="3:3">
      <c r="C97" s="2644">
        <f t="shared" si="4"/>
        <v>0</v>
      </c>
    </row>
    <row r="98" spans="3:3">
      <c r="C98" s="2644">
        <f t="shared" si="4"/>
        <v>0</v>
      </c>
    </row>
    <row r="99" spans="3:3">
      <c r="C99" s="2644">
        <f t="shared" si="4"/>
        <v>0</v>
      </c>
    </row>
    <row r="100" spans="3:3">
      <c r="C100" s="2644">
        <f t="shared" si="4"/>
        <v>0</v>
      </c>
    </row>
    <row r="101" spans="3:3">
      <c r="C101" s="2644">
        <f t="shared" si="4"/>
        <v>0</v>
      </c>
    </row>
    <row r="102" spans="3:3">
      <c r="C102" s="2644">
        <f t="shared" si="4"/>
        <v>0</v>
      </c>
    </row>
    <row r="103" spans="3:3">
      <c r="C103" s="2644">
        <f t="shared" si="4"/>
        <v>0</v>
      </c>
    </row>
    <row r="104" spans="3:3">
      <c r="C104" s="2644">
        <f t="shared" si="4"/>
        <v>0</v>
      </c>
    </row>
    <row r="105" spans="3:3">
      <c r="C105" s="2644">
        <f t="shared" si="4"/>
        <v>0</v>
      </c>
    </row>
    <row r="106" spans="3:3">
      <c r="C106" s="2644">
        <f t="shared" si="4"/>
        <v>0</v>
      </c>
    </row>
    <row r="107" spans="3:3">
      <c r="C107" s="2644">
        <f t="shared" si="4"/>
        <v>0</v>
      </c>
    </row>
    <row r="108" spans="3:3">
      <c r="C108" s="2644">
        <f t="shared" si="4"/>
        <v>0</v>
      </c>
    </row>
  </sheetData>
  <conditionalFormatting sqref="I4:M4">
    <cfRule type="cellIs" dxfId="102" priority="7" operator="equal">
      <formula>"""FALSE"""</formula>
    </cfRule>
  </conditionalFormatting>
  <conditionalFormatting sqref="I14:M14">
    <cfRule type="cellIs" dxfId="101" priority="6" operator="equal">
      <formula>"""FALSE"""</formula>
    </cfRule>
  </conditionalFormatting>
  <conditionalFormatting sqref="I20:M20">
    <cfRule type="cellIs" dxfId="100" priority="5" operator="equal">
      <formula>"""FALSE"""</formula>
    </cfRule>
  </conditionalFormatting>
  <conditionalFormatting sqref="I28:M28">
    <cfRule type="cellIs" dxfId="99" priority="4" operator="equal">
      <formula>"""FALSE"""</formula>
    </cfRule>
  </conditionalFormatting>
  <conditionalFormatting sqref="I34:M34">
    <cfRule type="cellIs" dxfId="98" priority="3" operator="equal">
      <formula>"""FALSE"""</formula>
    </cfRule>
  </conditionalFormatting>
  <conditionalFormatting sqref="I45:M45">
    <cfRule type="cellIs" dxfId="97" priority="2" operator="equal">
      <formula>"""FALSE"""</formula>
    </cfRule>
  </conditionalFormatting>
  <conditionalFormatting sqref="I56:M56">
    <cfRule type="cellIs" dxfId="96" priority="1" operator="equal">
      <formula>"""FALSE"""</formula>
    </cfRule>
  </conditionalFormatting>
  <pageMargins left="0.7" right="0.7" top="0.75" bottom="0.75" header="0.3" footer="0.3"/>
  <pageSetup paperSize="9" orientation="portrait" horizontalDpi="1200" verticalDpi="120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53FE-DCCC-4E26-9E97-62BF53334BE7}">
  <dimension ref="A1:M108"/>
  <sheetViews>
    <sheetView zoomScale="85" zoomScaleNormal="85" workbookViewId="0">
      <pane xSplit="1" ySplit="2" topLeftCell="D30"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6"/>
  <cols>
    <col min="1" max="1" width="23.3984375" style="2693" customWidth="1"/>
    <col min="2" max="2" width="28" style="2729" customWidth="1"/>
    <col min="3" max="3" width="11.3984375" style="2963" customWidth="1"/>
    <col min="4" max="4" width="16.19921875" style="2729" customWidth="1"/>
    <col min="5" max="5" width="22" style="2729" customWidth="1"/>
    <col min="6" max="6" width="18.59765625" style="2729" customWidth="1"/>
    <col min="7" max="7" width="12.59765625" style="2729" customWidth="1"/>
    <col min="8" max="8" width="3.3984375" style="2728" customWidth="1"/>
    <col min="9" max="9" width="10.3984375" style="2728" bestFit="1" customWidth="1"/>
    <col min="10" max="16384" width="8.796875" style="2693"/>
  </cols>
  <sheetData>
    <row r="1" spans="1:13" ht="20.25" customHeight="1">
      <c r="A1" s="2749" t="s">
        <v>2623</v>
      </c>
      <c r="B1" s="2748"/>
      <c r="C1" s="2720"/>
      <c r="D1" s="2748"/>
      <c r="E1" s="2748"/>
      <c r="F1" s="2748"/>
      <c r="G1" s="2748"/>
      <c r="H1" s="2747"/>
    </row>
    <row r="2" spans="1:13" ht="17.25" customHeight="1">
      <c r="A2" s="2746"/>
      <c r="B2" s="2744" t="s">
        <v>2611</v>
      </c>
      <c r="C2" s="2986" t="s">
        <v>153</v>
      </c>
      <c r="D2" s="2745" t="s">
        <v>2610</v>
      </c>
      <c r="E2" s="2744" t="s">
        <v>2622</v>
      </c>
      <c r="F2" s="2744" t="s">
        <v>2608</v>
      </c>
      <c r="G2" s="2744" t="s">
        <v>2607</v>
      </c>
    </row>
    <row r="3" spans="1:13" ht="18" customHeight="1">
      <c r="A3" s="2732" t="s">
        <v>2606</v>
      </c>
      <c r="B3" s="2743"/>
      <c r="D3" s="2743"/>
      <c r="E3" s="2743"/>
      <c r="F3" s="2743"/>
      <c r="G3" s="2743"/>
    </row>
    <row r="4" spans="1:13" ht="20.25" customHeight="1">
      <c r="A4" s="2734" t="s">
        <v>2596</v>
      </c>
      <c r="B4" s="2709">
        <v>7177551</v>
      </c>
      <c r="C4" s="2644">
        <f t="shared" ref="C4:C9" si="0">D4/100</f>
        <v>0.38799999999999996</v>
      </c>
      <c r="D4" s="2733">
        <v>38.799999999999997</v>
      </c>
      <c r="E4" s="2709">
        <v>469</v>
      </c>
      <c r="F4" s="2709">
        <v>2</v>
      </c>
      <c r="G4" s="2709">
        <v>221</v>
      </c>
      <c r="I4" s="2648" t="b">
        <f>I5=I6</f>
        <v>1</v>
      </c>
      <c r="J4" s="2648"/>
      <c r="K4" s="2648" t="b">
        <f>K5=K6</f>
        <v>1</v>
      </c>
      <c r="L4" s="2648" t="b">
        <f>L5=L6</f>
        <v>1</v>
      </c>
      <c r="M4" s="2648" t="b">
        <f>M5=M6</f>
        <v>1</v>
      </c>
    </row>
    <row r="5" spans="1:13" ht="20.25" customHeight="1">
      <c r="A5" s="2734" t="s">
        <v>2595</v>
      </c>
      <c r="B5" s="2709">
        <v>4340703</v>
      </c>
      <c r="C5" s="2644">
        <f t="shared" si="0"/>
        <v>0.23600000000000002</v>
      </c>
      <c r="D5" s="2733">
        <v>23.6</v>
      </c>
      <c r="E5" s="2709">
        <v>422</v>
      </c>
      <c r="F5" s="2709">
        <v>0</v>
      </c>
      <c r="G5" s="2709">
        <v>35</v>
      </c>
      <c r="I5" s="2647">
        <f>SUM(B4:B9)</f>
        <v>18502245</v>
      </c>
      <c r="J5" s="2647">
        <f>SUM(D4:D9)</f>
        <v>99.999999999999986</v>
      </c>
      <c r="K5" s="2647">
        <f>SUM(E4:E9)</f>
        <v>1388</v>
      </c>
      <c r="L5" s="2647">
        <f>SUM(F4:F9)</f>
        <v>3</v>
      </c>
      <c r="M5" s="2647">
        <f>SUM(G4:G9)</f>
        <v>485</v>
      </c>
    </row>
    <row r="6" spans="1:13" ht="19.5" customHeight="1">
      <c r="A6" s="2734" t="s">
        <v>2594</v>
      </c>
      <c r="B6" s="2709">
        <v>6850738</v>
      </c>
      <c r="C6" s="2644">
        <f t="shared" si="0"/>
        <v>0.36899999999999999</v>
      </c>
      <c r="D6" s="2733">
        <v>36.9</v>
      </c>
      <c r="E6" s="2709">
        <v>467</v>
      </c>
      <c r="F6" s="2709">
        <v>0</v>
      </c>
      <c r="G6" s="2709">
        <v>226</v>
      </c>
      <c r="I6" s="2989">
        <f>B10</f>
        <v>18502245</v>
      </c>
      <c r="J6" s="2989">
        <f>D10</f>
        <v>0</v>
      </c>
      <c r="K6" s="2989">
        <f>E10</f>
        <v>1388</v>
      </c>
      <c r="L6" s="2989">
        <f>F10</f>
        <v>3</v>
      </c>
      <c r="M6" s="2989">
        <f>G10</f>
        <v>485</v>
      </c>
    </row>
    <row r="7" spans="1:13" ht="20.25" customHeight="1">
      <c r="A7" s="2734" t="s">
        <v>2599</v>
      </c>
      <c r="B7" s="2709">
        <v>15377</v>
      </c>
      <c r="C7" s="2644">
        <f t="shared" si="0"/>
        <v>1E-3</v>
      </c>
      <c r="D7" s="2733">
        <v>0.1</v>
      </c>
      <c r="E7" s="2709">
        <v>12</v>
      </c>
      <c r="F7" s="2709">
        <v>0</v>
      </c>
      <c r="G7" s="2709">
        <v>0</v>
      </c>
    </row>
    <row r="8" spans="1:13" ht="18" customHeight="1">
      <c r="A8" s="2734" t="s">
        <v>2598</v>
      </c>
      <c r="B8" s="2736"/>
      <c r="C8" s="2644">
        <f t="shared" si="0"/>
        <v>0</v>
      </c>
      <c r="D8" s="2731"/>
      <c r="E8" s="2709">
        <v>1</v>
      </c>
      <c r="F8" s="2741">
        <v>1</v>
      </c>
      <c r="G8" s="2741">
        <v>1</v>
      </c>
    </row>
    <row r="9" spans="1:13" ht="16.5" customHeight="1">
      <c r="A9" s="2734" t="s">
        <v>2593</v>
      </c>
      <c r="B9" s="2709">
        <v>117876</v>
      </c>
      <c r="C9" s="2644">
        <f t="shared" si="0"/>
        <v>6.0000000000000001E-3</v>
      </c>
      <c r="D9" s="2733">
        <v>0.6</v>
      </c>
      <c r="E9" s="2709">
        <v>17</v>
      </c>
      <c r="F9" s="2709">
        <v>0</v>
      </c>
      <c r="G9" s="2709">
        <v>2</v>
      </c>
    </row>
    <row r="10" spans="1:13" ht="18" customHeight="1">
      <c r="A10" s="2732" t="s">
        <v>2592</v>
      </c>
      <c r="B10" s="2708">
        <v>18502245</v>
      </c>
      <c r="C10" s="2644"/>
      <c r="D10" s="2731"/>
      <c r="E10" s="2708">
        <v>1388</v>
      </c>
      <c r="F10" s="2708">
        <v>3</v>
      </c>
      <c r="G10" s="2708">
        <v>485</v>
      </c>
    </row>
    <row r="11" spans="1:13" ht="18" customHeight="1">
      <c r="A11" s="2732"/>
      <c r="B11" s="2708"/>
      <c r="C11" s="2644"/>
      <c r="D11" s="2731"/>
      <c r="E11" s="2708"/>
      <c r="F11" s="2708"/>
      <c r="G11" s="2708"/>
    </row>
    <row r="12" spans="1:13" ht="21" customHeight="1">
      <c r="A12" s="2732" t="s">
        <v>2605</v>
      </c>
      <c r="B12" s="2736"/>
      <c r="C12" s="2644"/>
      <c r="D12" s="2731"/>
      <c r="E12" s="2736"/>
      <c r="F12" s="2736"/>
      <c r="G12" s="2736"/>
    </row>
    <row r="13" spans="1:13" ht="17.25" customHeight="1">
      <c r="A13" s="2734" t="s">
        <v>2596</v>
      </c>
      <c r="B13" s="2709">
        <v>289695</v>
      </c>
      <c r="C13" s="2644">
        <f t="shared" ref="C13:C44" si="1">D13/100</f>
        <v>0.22</v>
      </c>
      <c r="D13" s="2733">
        <v>22</v>
      </c>
      <c r="E13" s="2709">
        <v>35</v>
      </c>
      <c r="F13" s="2709">
        <v>0</v>
      </c>
      <c r="G13" s="2741">
        <v>1</v>
      </c>
      <c r="I13" s="2648" t="b">
        <f>I14=I15</f>
        <v>1</v>
      </c>
      <c r="J13" s="2648"/>
      <c r="K13" s="2648" t="b">
        <f>K14=K15</f>
        <v>1</v>
      </c>
      <c r="L13" s="2648" t="b">
        <f>L14=L15</f>
        <v>1</v>
      </c>
      <c r="M13" s="2648" t="b">
        <f>M14=M15</f>
        <v>1</v>
      </c>
    </row>
    <row r="14" spans="1:13" ht="17.25" customHeight="1">
      <c r="A14" s="2734" t="s">
        <v>2595</v>
      </c>
      <c r="B14" s="2741">
        <v>440911</v>
      </c>
      <c r="C14" s="2644">
        <f t="shared" si="1"/>
        <v>0.33500000000000002</v>
      </c>
      <c r="D14" s="2733">
        <v>33.5</v>
      </c>
      <c r="E14" s="2709">
        <v>34</v>
      </c>
      <c r="F14" s="2709">
        <v>0</v>
      </c>
      <c r="G14" s="2738">
        <v>9</v>
      </c>
      <c r="I14" s="2647">
        <f>SUM(B13:B17)</f>
        <v>1316912</v>
      </c>
      <c r="J14" s="2647">
        <f>SUM(D13:D17)</f>
        <v>100</v>
      </c>
      <c r="K14" s="2647">
        <f>SUM(E13:E17)</f>
        <v>106</v>
      </c>
      <c r="L14" s="2647">
        <f>SUM(F13:F17)</f>
        <v>0</v>
      </c>
      <c r="M14" s="2647">
        <f>SUM(G13:G17)</f>
        <v>35</v>
      </c>
    </row>
    <row r="15" spans="1:13" ht="17.25" customHeight="1">
      <c r="A15" s="2734" t="s">
        <v>2594</v>
      </c>
      <c r="B15" s="2709">
        <v>577554</v>
      </c>
      <c r="C15" s="2644">
        <f t="shared" si="1"/>
        <v>0.439</v>
      </c>
      <c r="D15" s="2733">
        <v>43.9</v>
      </c>
      <c r="E15" s="2709">
        <v>33</v>
      </c>
      <c r="F15" s="2709">
        <v>0</v>
      </c>
      <c r="G15" s="2709">
        <v>25</v>
      </c>
      <c r="I15" s="2989">
        <f>B18</f>
        <v>1316912</v>
      </c>
      <c r="J15" s="2989">
        <f>D18</f>
        <v>0</v>
      </c>
      <c r="K15" s="2989">
        <f>E18</f>
        <v>106</v>
      </c>
      <c r="L15" s="2989">
        <f>F18</f>
        <v>0</v>
      </c>
      <c r="M15" s="2989">
        <f>G18</f>
        <v>35</v>
      </c>
    </row>
    <row r="16" spans="1:13" ht="20.25" customHeight="1">
      <c r="A16" s="2734" t="s">
        <v>2619</v>
      </c>
      <c r="B16" s="2709">
        <v>609</v>
      </c>
      <c r="C16" s="2644">
        <f t="shared" si="1"/>
        <v>0</v>
      </c>
      <c r="D16" s="2733">
        <v>0</v>
      </c>
      <c r="E16" s="2741">
        <v>1</v>
      </c>
      <c r="F16" s="2709">
        <v>0</v>
      </c>
      <c r="G16" s="2709">
        <v>0</v>
      </c>
    </row>
    <row r="17" spans="1:13" ht="20.25" customHeight="1">
      <c r="A17" s="2734" t="s">
        <v>2599</v>
      </c>
      <c r="B17" s="2709">
        <v>8143</v>
      </c>
      <c r="C17" s="2644">
        <f t="shared" si="1"/>
        <v>6.0000000000000001E-3</v>
      </c>
      <c r="D17" s="2733">
        <v>0.6</v>
      </c>
      <c r="E17" s="2709">
        <v>3</v>
      </c>
      <c r="F17" s="2709">
        <v>0</v>
      </c>
      <c r="G17" s="2709">
        <v>0</v>
      </c>
    </row>
    <row r="18" spans="1:13" ht="18" customHeight="1">
      <c r="A18" s="2732" t="s">
        <v>2592</v>
      </c>
      <c r="B18" s="2708">
        <v>1316912</v>
      </c>
      <c r="C18" s="2644">
        <f t="shared" si="1"/>
        <v>0</v>
      </c>
      <c r="D18" s="2731"/>
      <c r="E18" s="2708">
        <v>106</v>
      </c>
      <c r="F18" s="2709">
        <v>0</v>
      </c>
      <c r="G18" s="2708">
        <v>35</v>
      </c>
    </row>
    <row r="19" spans="1:13" ht="18" customHeight="1">
      <c r="A19" s="2732"/>
      <c r="B19" s="2708"/>
      <c r="C19" s="2644">
        <f t="shared" si="1"/>
        <v>0</v>
      </c>
      <c r="D19" s="2731"/>
      <c r="E19" s="2708"/>
      <c r="F19" s="2709"/>
      <c r="G19" s="2708"/>
    </row>
    <row r="20" spans="1:13" ht="18" customHeight="1">
      <c r="A20" s="2732" t="s">
        <v>2604</v>
      </c>
      <c r="B20" s="2736"/>
      <c r="C20" s="2644">
        <f t="shared" si="1"/>
        <v>0</v>
      </c>
      <c r="D20" s="2731"/>
      <c r="E20" s="2736"/>
      <c r="F20" s="2736"/>
      <c r="G20" s="2736"/>
    </row>
    <row r="21" spans="1:13" ht="20.25" customHeight="1">
      <c r="A21" s="2734" t="s">
        <v>2596</v>
      </c>
      <c r="B21" s="2709">
        <v>792063</v>
      </c>
      <c r="C21" s="2644">
        <f t="shared" si="1"/>
        <v>0.35899999999999999</v>
      </c>
      <c r="D21" s="2733">
        <v>35.9</v>
      </c>
      <c r="E21" s="2738">
        <v>65</v>
      </c>
      <c r="F21" s="2709">
        <v>0</v>
      </c>
      <c r="G21" s="2709">
        <v>20</v>
      </c>
      <c r="I21" s="2648" t="b">
        <f>I22=I23</f>
        <v>1</v>
      </c>
      <c r="J21" s="2648"/>
      <c r="K21" s="2648" t="b">
        <f>K22=K23</f>
        <v>1</v>
      </c>
      <c r="L21" s="2648" t="b">
        <f>L22=L23</f>
        <v>1</v>
      </c>
      <c r="M21" s="2648" t="b">
        <f>M22=M23</f>
        <v>1</v>
      </c>
    </row>
    <row r="22" spans="1:13" ht="18" customHeight="1">
      <c r="A22" s="2734" t="s">
        <v>2595</v>
      </c>
      <c r="B22" s="2709">
        <v>407081</v>
      </c>
      <c r="C22" s="2644">
        <f t="shared" si="1"/>
        <v>0.18100000000000002</v>
      </c>
      <c r="D22" s="2733">
        <v>18.100000000000001</v>
      </c>
      <c r="E22" s="2709">
        <v>45</v>
      </c>
      <c r="F22" s="2709">
        <v>0</v>
      </c>
      <c r="G22" s="2742">
        <v>13</v>
      </c>
      <c r="I22" s="2647">
        <f>SUM(B21:B26)</f>
        <v>2242941</v>
      </c>
      <c r="J22" s="2647">
        <f>SUM(D21:D26)</f>
        <v>100</v>
      </c>
      <c r="K22" s="2647">
        <f>SUM(E21:E26)</f>
        <v>192</v>
      </c>
      <c r="L22" s="2647">
        <f>SUM(F21:F26)</f>
        <v>0</v>
      </c>
      <c r="M22" s="2647">
        <f>SUM(G21:G26)</f>
        <v>71</v>
      </c>
    </row>
    <row r="23" spans="1:13" ht="18.75" customHeight="1">
      <c r="A23" s="2734" t="s">
        <v>2594</v>
      </c>
      <c r="B23" s="2709">
        <v>937300</v>
      </c>
      <c r="C23" s="2644">
        <f t="shared" si="1"/>
        <v>0.42299999999999999</v>
      </c>
      <c r="D23" s="2733">
        <v>42.3</v>
      </c>
      <c r="E23" s="2709">
        <v>66</v>
      </c>
      <c r="F23" s="2709">
        <v>0</v>
      </c>
      <c r="G23" s="2709">
        <v>36</v>
      </c>
      <c r="I23" s="2989">
        <f>B27</f>
        <v>2242941</v>
      </c>
      <c r="J23" s="2989">
        <f>D27</f>
        <v>0</v>
      </c>
      <c r="K23" s="2989">
        <f>E27</f>
        <v>192</v>
      </c>
      <c r="L23" s="2989">
        <f>F27</f>
        <v>0</v>
      </c>
      <c r="M23" s="2989">
        <f>G27</f>
        <v>71</v>
      </c>
    </row>
    <row r="24" spans="1:13" ht="21" customHeight="1">
      <c r="A24" s="2734" t="s">
        <v>2618</v>
      </c>
      <c r="B24" s="2709">
        <v>3313</v>
      </c>
      <c r="C24" s="2644">
        <f t="shared" si="1"/>
        <v>2E-3</v>
      </c>
      <c r="D24" s="2733">
        <v>0.2</v>
      </c>
      <c r="E24" s="2709">
        <v>2</v>
      </c>
      <c r="F24" s="2709">
        <v>0</v>
      </c>
      <c r="G24" s="2709">
        <v>0</v>
      </c>
    </row>
    <row r="25" spans="1:13" ht="17.25" customHeight="1">
      <c r="A25" s="2734" t="s">
        <v>2599</v>
      </c>
      <c r="B25" s="2709">
        <v>27114</v>
      </c>
      <c r="C25" s="2644">
        <f t="shared" si="1"/>
        <v>1.1000000000000001E-2</v>
      </c>
      <c r="D25" s="2733">
        <v>1.1000000000000001</v>
      </c>
      <c r="E25" s="2709">
        <v>10</v>
      </c>
      <c r="F25" s="2709">
        <v>0</v>
      </c>
      <c r="G25" s="2709">
        <v>0</v>
      </c>
    </row>
    <row r="26" spans="1:13" ht="18" customHeight="1">
      <c r="A26" s="2734" t="s">
        <v>2593</v>
      </c>
      <c r="B26" s="2709">
        <v>76070</v>
      </c>
      <c r="C26" s="2644">
        <f t="shared" si="1"/>
        <v>2.4E-2</v>
      </c>
      <c r="D26" s="2733">
        <v>2.4</v>
      </c>
      <c r="E26" s="2709">
        <v>4</v>
      </c>
      <c r="F26" s="2709">
        <v>0</v>
      </c>
      <c r="G26" s="2709">
        <v>2</v>
      </c>
    </row>
    <row r="27" spans="1:13" ht="18" customHeight="1">
      <c r="A27" s="2732" t="s">
        <v>2592</v>
      </c>
      <c r="B27" s="2708">
        <v>2242941</v>
      </c>
      <c r="C27" s="2644">
        <f t="shared" si="1"/>
        <v>0</v>
      </c>
      <c r="D27" s="2731"/>
      <c r="E27" s="2708">
        <v>192</v>
      </c>
      <c r="F27" s="2709">
        <v>0</v>
      </c>
      <c r="G27" s="2708">
        <v>71</v>
      </c>
    </row>
    <row r="28" spans="1:13" ht="18" customHeight="1">
      <c r="A28" s="2732"/>
      <c r="B28" s="2708"/>
      <c r="C28" s="2644">
        <f t="shared" si="1"/>
        <v>0</v>
      </c>
      <c r="D28" s="2731"/>
      <c r="E28" s="2708"/>
      <c r="F28" s="2709"/>
      <c r="G28" s="2708"/>
    </row>
    <row r="29" spans="1:13" ht="23.25" customHeight="1">
      <c r="A29" s="2732" t="s">
        <v>2603</v>
      </c>
      <c r="B29" s="2730"/>
      <c r="C29" s="2644">
        <f t="shared" si="1"/>
        <v>0</v>
      </c>
      <c r="D29" s="2740"/>
      <c r="E29" s="2730"/>
      <c r="F29" s="2730"/>
      <c r="G29" s="2730"/>
    </row>
    <row r="30" spans="1:13" ht="17.25" customHeight="1">
      <c r="A30" s="2734" t="s">
        <v>2596</v>
      </c>
      <c r="B30" s="2709">
        <v>354657</v>
      </c>
      <c r="C30" s="2644">
        <f t="shared" si="1"/>
        <v>0.68</v>
      </c>
      <c r="D30" s="2733">
        <v>68</v>
      </c>
      <c r="E30" s="2741">
        <v>10</v>
      </c>
      <c r="F30" s="2709">
        <v>1</v>
      </c>
      <c r="G30" s="2709">
        <v>10</v>
      </c>
      <c r="I30" s="2648" t="b">
        <f>I31=I32</f>
        <v>1</v>
      </c>
      <c r="J30" s="2648"/>
      <c r="K30" s="2648" t="b">
        <f>K31=K32</f>
        <v>1</v>
      </c>
      <c r="L30" s="2648" t="b">
        <f>L31=L32</f>
        <v>1</v>
      </c>
      <c r="M30" s="2648" t="b">
        <f>M31=M32</f>
        <v>1</v>
      </c>
    </row>
    <row r="31" spans="1:13" ht="18.75" customHeight="1">
      <c r="A31" s="2734" t="s">
        <v>2621</v>
      </c>
      <c r="B31" s="2709">
        <v>100103</v>
      </c>
      <c r="C31" s="2644">
        <f t="shared" si="1"/>
        <v>0.16800000000000001</v>
      </c>
      <c r="D31" s="2733">
        <v>16.8</v>
      </c>
      <c r="E31" s="2709">
        <v>6</v>
      </c>
      <c r="F31" s="2709">
        <v>0</v>
      </c>
      <c r="G31" s="2709">
        <v>0</v>
      </c>
      <c r="I31" s="2647">
        <f>SUM(B30:B33)</f>
        <v>510053</v>
      </c>
      <c r="J31" s="2647">
        <f>SUM(D30:D33)</f>
        <v>99.999999999999986</v>
      </c>
      <c r="K31" s="2647">
        <f>SUM(E30:E33)</f>
        <v>22</v>
      </c>
      <c r="L31" s="2647">
        <f>SUM(F30:F33)</f>
        <v>3</v>
      </c>
      <c r="M31" s="2647">
        <f>SUM(G30:G33)</f>
        <v>12</v>
      </c>
    </row>
    <row r="32" spans="1:13" ht="18.75" customHeight="1">
      <c r="A32" s="2734" t="s">
        <v>2598</v>
      </c>
      <c r="B32" s="2709">
        <v>24177</v>
      </c>
      <c r="C32" s="2644">
        <f t="shared" si="1"/>
        <v>6.6000000000000003E-2</v>
      </c>
      <c r="D32" s="2733">
        <v>6.6</v>
      </c>
      <c r="E32" s="2709">
        <v>3</v>
      </c>
      <c r="F32" s="2709">
        <v>2</v>
      </c>
      <c r="G32" s="2709">
        <v>2</v>
      </c>
      <c r="I32" s="2989">
        <f>B34</f>
        <v>510053</v>
      </c>
      <c r="J32" s="2989">
        <f>D34</f>
        <v>0</v>
      </c>
      <c r="K32" s="2989">
        <f>E34</f>
        <v>22</v>
      </c>
      <c r="L32" s="2989">
        <f>F34</f>
        <v>3</v>
      </c>
      <c r="M32" s="2989">
        <f>G34</f>
        <v>12</v>
      </c>
    </row>
    <row r="33" spans="1:13" ht="18.75" customHeight="1">
      <c r="A33" s="2734" t="s">
        <v>2593</v>
      </c>
      <c r="B33" s="2741">
        <v>31116</v>
      </c>
      <c r="C33" s="2644">
        <f t="shared" si="1"/>
        <v>8.5999999999999993E-2</v>
      </c>
      <c r="D33" s="2733">
        <v>8.6</v>
      </c>
      <c r="E33" s="2709">
        <v>3</v>
      </c>
      <c r="F33" s="2709">
        <v>0</v>
      </c>
      <c r="G33" s="2709">
        <v>0</v>
      </c>
    </row>
    <row r="34" spans="1:13" ht="19.5" customHeight="1">
      <c r="A34" s="2732" t="s">
        <v>2592</v>
      </c>
      <c r="B34" s="2708">
        <v>510053</v>
      </c>
      <c r="C34" s="2644">
        <f t="shared" si="1"/>
        <v>0</v>
      </c>
      <c r="D34" s="2731"/>
      <c r="E34" s="2708">
        <v>22</v>
      </c>
      <c r="F34" s="2708">
        <v>3</v>
      </c>
      <c r="G34" s="2709">
        <v>12</v>
      </c>
    </row>
    <row r="35" spans="1:13" ht="19.5" customHeight="1">
      <c r="A35" s="2732"/>
      <c r="B35" s="2708"/>
      <c r="C35" s="2644">
        <f t="shared" si="1"/>
        <v>0</v>
      </c>
      <c r="D35" s="2731"/>
      <c r="E35" s="2708"/>
      <c r="F35" s="2708"/>
      <c r="G35" s="2709"/>
    </row>
    <row r="36" spans="1:13" ht="27.5" customHeight="1">
      <c r="A36" s="2732" t="s">
        <v>2602</v>
      </c>
      <c r="B36" s="2730"/>
      <c r="C36" s="2644">
        <f t="shared" si="1"/>
        <v>0</v>
      </c>
      <c r="D36" s="2740"/>
      <c r="E36" s="2730"/>
      <c r="F36" s="2730"/>
      <c r="G36" s="2730"/>
    </row>
    <row r="37" spans="1:13" ht="17.25" customHeight="1">
      <c r="A37" s="2734" t="s">
        <v>2596</v>
      </c>
      <c r="B37" s="2709">
        <v>8301568</v>
      </c>
      <c r="C37" s="2644">
        <f t="shared" si="1"/>
        <v>0.375</v>
      </c>
      <c r="D37" s="2733">
        <v>37.5</v>
      </c>
      <c r="E37" s="2709">
        <v>580</v>
      </c>
      <c r="F37" s="2709">
        <v>3</v>
      </c>
      <c r="G37" s="2709">
        <v>250</v>
      </c>
      <c r="I37" s="2648" t="b">
        <f>I38=I39</f>
        <v>1</v>
      </c>
      <c r="J37" s="2648" t="b">
        <f>J38=J39</f>
        <v>0</v>
      </c>
      <c r="K37" s="2648" t="b">
        <f>K38=K39</f>
        <v>1</v>
      </c>
      <c r="L37" s="2648" t="b">
        <f>L38=L39</f>
        <v>1</v>
      </c>
      <c r="M37" s="2648" t="b">
        <f>M38=M39</f>
        <v>1</v>
      </c>
    </row>
    <row r="38" spans="1:13" ht="19.5" customHeight="1">
      <c r="A38" s="2734" t="s">
        <v>2595</v>
      </c>
      <c r="B38" s="2709">
        <v>5208635</v>
      </c>
      <c r="C38" s="2644">
        <f t="shared" si="1"/>
        <v>0.23499999999999999</v>
      </c>
      <c r="D38" s="2733">
        <v>23.5</v>
      </c>
      <c r="E38" s="2709">
        <v>507</v>
      </c>
      <c r="F38" s="2709">
        <v>0</v>
      </c>
      <c r="G38" s="2738">
        <v>59</v>
      </c>
      <c r="I38" s="2647">
        <f>SUM(B37:B44)</f>
        <v>22138322</v>
      </c>
      <c r="J38" s="2647">
        <f>SUM(D37:D44)</f>
        <v>99.9</v>
      </c>
      <c r="K38" s="2647">
        <f>SUM(E37:E44)</f>
        <v>1708</v>
      </c>
      <c r="L38" s="2647">
        <f>SUM(F37:F44)</f>
        <v>4</v>
      </c>
      <c r="M38" s="2647">
        <f>SUM(G37:G44)</f>
        <v>603</v>
      </c>
    </row>
    <row r="39" spans="1:13" ht="19.5" customHeight="1">
      <c r="A39" s="2734" t="s">
        <v>2594</v>
      </c>
      <c r="B39" s="2709">
        <v>8370417</v>
      </c>
      <c r="C39" s="2644">
        <f t="shared" si="1"/>
        <v>0.37799999999999995</v>
      </c>
      <c r="D39" s="2733">
        <v>37.799999999999997</v>
      </c>
      <c r="E39" s="2709">
        <v>569</v>
      </c>
      <c r="F39" s="2709">
        <v>0</v>
      </c>
      <c r="G39" s="2709">
        <v>287</v>
      </c>
      <c r="I39" s="2989">
        <f>B45</f>
        <v>22138322</v>
      </c>
      <c r="J39" s="2989"/>
      <c r="K39" s="2989">
        <f>E45</f>
        <v>1708</v>
      </c>
      <c r="L39" s="2989">
        <f>F45</f>
        <v>4</v>
      </c>
      <c r="M39" s="2989">
        <f>G45</f>
        <v>603</v>
      </c>
    </row>
    <row r="40" spans="1:13" ht="20.25" customHeight="1">
      <c r="A40" s="2734" t="s">
        <v>2619</v>
      </c>
      <c r="B40" s="2709">
        <v>609</v>
      </c>
      <c r="C40" s="2644">
        <f t="shared" si="1"/>
        <v>0</v>
      </c>
      <c r="D40" s="2733">
        <v>0</v>
      </c>
      <c r="E40" s="2709">
        <v>1</v>
      </c>
      <c r="F40" s="2709">
        <v>0</v>
      </c>
      <c r="G40" s="2709">
        <v>0</v>
      </c>
    </row>
    <row r="41" spans="1:13" ht="17.25" customHeight="1">
      <c r="A41" s="2734" t="s">
        <v>2618</v>
      </c>
      <c r="B41" s="2709">
        <v>3313</v>
      </c>
      <c r="C41" s="2644">
        <f t="shared" si="1"/>
        <v>0</v>
      </c>
      <c r="D41" s="2733">
        <v>0</v>
      </c>
      <c r="E41" s="2709">
        <v>2</v>
      </c>
      <c r="F41" s="2709">
        <v>0</v>
      </c>
      <c r="G41" s="2709">
        <v>0</v>
      </c>
    </row>
    <row r="42" spans="1:13" ht="20.25" customHeight="1">
      <c r="A42" s="2734" t="s">
        <v>2599</v>
      </c>
      <c r="B42" s="2709">
        <v>50634</v>
      </c>
      <c r="C42" s="2644">
        <f t="shared" si="1"/>
        <v>2E-3</v>
      </c>
      <c r="D42" s="2733">
        <v>0.2</v>
      </c>
      <c r="E42" s="2709">
        <v>25</v>
      </c>
      <c r="F42" s="2709">
        <v>0</v>
      </c>
      <c r="G42" s="2709">
        <v>0</v>
      </c>
    </row>
    <row r="43" spans="1:13" ht="18" customHeight="1">
      <c r="A43" s="2734" t="s">
        <v>2598</v>
      </c>
      <c r="B43" s="2736"/>
      <c r="C43" s="2644">
        <f t="shared" si="1"/>
        <v>0</v>
      </c>
      <c r="D43" s="2731"/>
      <c r="E43" s="2709">
        <v>1</v>
      </c>
      <c r="F43" s="2709">
        <v>1</v>
      </c>
      <c r="G43" s="2741">
        <v>1</v>
      </c>
    </row>
    <row r="44" spans="1:13" ht="18" customHeight="1">
      <c r="A44" s="2734" t="s">
        <v>2593</v>
      </c>
      <c r="B44" s="2709">
        <v>203146</v>
      </c>
      <c r="C44" s="2644">
        <f t="shared" si="1"/>
        <v>9.0000000000000011E-3</v>
      </c>
      <c r="D44" s="2733">
        <v>0.9</v>
      </c>
      <c r="E44" s="2709">
        <v>23</v>
      </c>
      <c r="F44" s="2709">
        <v>0</v>
      </c>
      <c r="G44" s="2709">
        <v>6</v>
      </c>
    </row>
    <row r="45" spans="1:13" ht="18" customHeight="1">
      <c r="A45" s="2732" t="s">
        <v>2592</v>
      </c>
      <c r="B45" s="2708">
        <v>22138322</v>
      </c>
      <c r="C45" s="2644">
        <f t="shared" ref="C45:C76" si="2">D45/100</f>
        <v>0</v>
      </c>
      <c r="D45" s="2731"/>
      <c r="E45" s="2730">
        <v>1708</v>
      </c>
      <c r="F45" s="2708">
        <v>4</v>
      </c>
      <c r="G45" s="2708">
        <v>603</v>
      </c>
    </row>
    <row r="46" spans="1:13" ht="18" customHeight="1">
      <c r="A46" s="2732"/>
      <c r="B46" s="2708"/>
      <c r="C46" s="2644">
        <f t="shared" si="2"/>
        <v>0</v>
      </c>
      <c r="D46" s="2731"/>
      <c r="E46" s="2730"/>
      <c r="F46" s="2708"/>
      <c r="G46" s="2708"/>
    </row>
    <row r="47" spans="1:13" ht="20.75" customHeight="1">
      <c r="A47" s="2732" t="s">
        <v>2600</v>
      </c>
      <c r="B47" s="2730"/>
      <c r="C47" s="2644">
        <f t="shared" si="2"/>
        <v>0</v>
      </c>
      <c r="D47" s="2740"/>
      <c r="E47" s="2730"/>
      <c r="F47" s="2730"/>
      <c r="G47" s="2730"/>
    </row>
    <row r="48" spans="1:13" ht="20.25" customHeight="1">
      <c r="A48" s="2734" t="s">
        <v>2596</v>
      </c>
      <c r="B48" s="2709">
        <v>8656225</v>
      </c>
      <c r="C48" s="2644">
        <f t="shared" si="2"/>
        <v>0.38100000000000001</v>
      </c>
      <c r="D48" s="2733">
        <v>38.1</v>
      </c>
      <c r="E48" s="2709">
        <v>590</v>
      </c>
      <c r="F48" s="2709">
        <v>4</v>
      </c>
      <c r="G48" s="2709">
        <v>260</v>
      </c>
      <c r="I48" s="2648" t="b">
        <f>I49=I50</f>
        <v>1</v>
      </c>
      <c r="J48" s="2648"/>
      <c r="K48" s="2648" t="b">
        <f>K49=K50</f>
        <v>1</v>
      </c>
      <c r="L48" s="2648" t="b">
        <f>L49=L50</f>
        <v>1</v>
      </c>
      <c r="M48" s="2648" t="b">
        <f>M49=M50</f>
        <v>1</v>
      </c>
    </row>
    <row r="49" spans="1:13" ht="18.75" customHeight="1">
      <c r="A49" s="2734" t="s">
        <v>2595</v>
      </c>
      <c r="B49" s="2709">
        <v>5308738</v>
      </c>
      <c r="C49" s="2644">
        <f t="shared" si="2"/>
        <v>0.23499999999999999</v>
      </c>
      <c r="D49" s="2739">
        <v>23.5</v>
      </c>
      <c r="E49" s="2709">
        <v>513</v>
      </c>
      <c r="F49" s="2709">
        <v>0</v>
      </c>
      <c r="G49" s="2738">
        <v>59</v>
      </c>
      <c r="I49" s="2647">
        <f>SUM(B48:B55)</f>
        <v>22648375</v>
      </c>
      <c r="J49" s="2737">
        <f>SUM(D48:D55)</f>
        <v>100</v>
      </c>
      <c r="K49" s="2647">
        <f>SUM(E48:E55)</f>
        <v>1730</v>
      </c>
      <c r="L49" s="2647">
        <f>SUM(F48:F55)</f>
        <v>7</v>
      </c>
      <c r="M49" s="2647">
        <f>SUM(G48:G55)</f>
        <v>615</v>
      </c>
    </row>
    <row r="50" spans="1:13" ht="18" customHeight="1">
      <c r="A50" s="2734" t="s">
        <v>2620</v>
      </c>
      <c r="B50" s="2709">
        <v>8370417</v>
      </c>
      <c r="C50" s="2644">
        <f t="shared" si="2"/>
        <v>0.371</v>
      </c>
      <c r="D50" s="2733">
        <v>37.1</v>
      </c>
      <c r="E50" s="2709">
        <v>569</v>
      </c>
      <c r="F50" s="2709">
        <v>0</v>
      </c>
      <c r="G50" s="2709">
        <v>287</v>
      </c>
      <c r="I50" s="2989">
        <f>B56</f>
        <v>22648375</v>
      </c>
      <c r="J50" s="2989"/>
      <c r="K50" s="2989">
        <f>E56</f>
        <v>1730</v>
      </c>
      <c r="L50" s="2989">
        <f>F56</f>
        <v>7</v>
      </c>
      <c r="M50" s="2989">
        <f>G56</f>
        <v>615</v>
      </c>
    </row>
    <row r="51" spans="1:13" ht="17.25" customHeight="1">
      <c r="A51" s="2734" t="s">
        <v>2599</v>
      </c>
      <c r="B51" s="2709">
        <v>50634</v>
      </c>
      <c r="C51" s="2644">
        <f t="shared" si="2"/>
        <v>2E-3</v>
      </c>
      <c r="D51" s="2733">
        <v>0.2</v>
      </c>
      <c r="E51" s="2709">
        <v>25</v>
      </c>
      <c r="F51" s="2709">
        <v>0</v>
      </c>
      <c r="G51" s="2709">
        <v>0</v>
      </c>
      <c r="J51" s="2728"/>
      <c r="K51" s="2728"/>
      <c r="L51" s="2728"/>
      <c r="M51" s="2728"/>
    </row>
    <row r="52" spans="1:13" ht="18.75" customHeight="1">
      <c r="A52" s="2734" t="s">
        <v>2619</v>
      </c>
      <c r="B52" s="2709">
        <v>609</v>
      </c>
      <c r="C52" s="2644">
        <f t="shared" si="2"/>
        <v>0</v>
      </c>
      <c r="D52" s="2733">
        <v>0</v>
      </c>
      <c r="E52" s="2709">
        <v>1</v>
      </c>
      <c r="F52" s="2709">
        <v>0</v>
      </c>
      <c r="G52" s="2709">
        <v>0</v>
      </c>
    </row>
    <row r="53" spans="1:13" ht="21.75" customHeight="1">
      <c r="A53" s="2734" t="s">
        <v>2618</v>
      </c>
      <c r="B53" s="2709">
        <v>3313</v>
      </c>
      <c r="C53" s="2644">
        <f t="shared" si="2"/>
        <v>0</v>
      </c>
      <c r="D53" s="2733">
        <v>0</v>
      </c>
      <c r="E53" s="2709">
        <v>2</v>
      </c>
      <c r="F53" s="2709">
        <v>0</v>
      </c>
      <c r="G53" s="2709">
        <v>0</v>
      </c>
    </row>
    <row r="54" spans="1:13" ht="18" customHeight="1">
      <c r="A54" s="2734" t="s">
        <v>2598</v>
      </c>
      <c r="B54" s="2709">
        <v>24177</v>
      </c>
      <c r="C54" s="2644">
        <f t="shared" si="2"/>
        <v>1E-3</v>
      </c>
      <c r="D54" s="2733">
        <v>0.1</v>
      </c>
      <c r="E54" s="2709">
        <v>4</v>
      </c>
      <c r="F54" s="2709">
        <v>3</v>
      </c>
      <c r="G54" s="2709">
        <v>3</v>
      </c>
    </row>
    <row r="55" spans="1:13" ht="18.75" customHeight="1">
      <c r="A55" s="2734" t="s">
        <v>2593</v>
      </c>
      <c r="B55" s="2709">
        <v>234262</v>
      </c>
      <c r="C55" s="2644">
        <f t="shared" si="2"/>
        <v>0.01</v>
      </c>
      <c r="D55" s="2733">
        <v>1</v>
      </c>
      <c r="E55" s="2709">
        <v>26</v>
      </c>
      <c r="F55" s="2709">
        <v>0</v>
      </c>
      <c r="G55" s="2709">
        <v>6</v>
      </c>
    </row>
    <row r="56" spans="1:13" ht="18" customHeight="1">
      <c r="A56" s="2732" t="s">
        <v>2592</v>
      </c>
      <c r="B56" s="2708">
        <v>22648375</v>
      </c>
      <c r="C56" s="2644">
        <f t="shared" si="2"/>
        <v>0</v>
      </c>
      <c r="D56" s="2731"/>
      <c r="E56" s="2708">
        <v>1730</v>
      </c>
      <c r="F56" s="2709">
        <v>7</v>
      </c>
      <c r="G56" s="2708">
        <v>615</v>
      </c>
    </row>
    <row r="57" spans="1:13" ht="18" customHeight="1">
      <c r="A57" s="2732"/>
      <c r="B57" s="2708"/>
      <c r="C57" s="2644">
        <f t="shared" si="2"/>
        <v>0</v>
      </c>
      <c r="D57" s="2731"/>
      <c r="E57" s="2708"/>
      <c r="F57" s="2709"/>
      <c r="G57" s="2708"/>
    </row>
    <row r="58" spans="1:13" ht="23" customHeight="1">
      <c r="A58" s="2732" t="s">
        <v>2597</v>
      </c>
      <c r="B58" s="2736"/>
      <c r="C58" s="2644">
        <f t="shared" si="2"/>
        <v>0</v>
      </c>
      <c r="D58" s="2731"/>
      <c r="E58" s="2736"/>
      <c r="F58" s="2736"/>
      <c r="G58" s="2736"/>
    </row>
    <row r="59" spans="1:13" ht="17.25" customHeight="1">
      <c r="A59" s="2734" t="s">
        <v>2596</v>
      </c>
      <c r="B59" s="2709">
        <v>42259</v>
      </c>
      <c r="C59" s="2644">
        <f t="shared" si="2"/>
        <v>0.55399999999999994</v>
      </c>
      <c r="D59" s="2735">
        <v>55.4</v>
      </c>
      <c r="E59" s="2709">
        <v>11</v>
      </c>
      <c r="F59" s="2709">
        <v>1</v>
      </c>
      <c r="G59" s="2709">
        <v>8</v>
      </c>
      <c r="I59" s="2648" t="b">
        <f>I60=I61</f>
        <v>1</v>
      </c>
      <c r="J59" s="2648"/>
      <c r="K59" s="2648" t="b">
        <f>K60=K61</f>
        <v>1</v>
      </c>
      <c r="L59" s="2648" t="b">
        <f>L60=L61</f>
        <v>1</v>
      </c>
      <c r="M59" s="2648" t="b">
        <f>M60=M61</f>
        <v>1</v>
      </c>
    </row>
    <row r="60" spans="1:13" ht="18.75" customHeight="1">
      <c r="A60" s="2734" t="s">
        <v>2595</v>
      </c>
      <c r="B60" s="2709">
        <v>19940</v>
      </c>
      <c r="C60" s="2644">
        <f t="shared" si="2"/>
        <v>0.26200000000000001</v>
      </c>
      <c r="D60" s="2733">
        <v>26.2</v>
      </c>
      <c r="E60" s="2709">
        <v>6</v>
      </c>
      <c r="F60" s="2709">
        <v>0</v>
      </c>
      <c r="G60" s="2709">
        <v>2</v>
      </c>
      <c r="I60" s="2647">
        <f>SUM(B59:B62)</f>
        <v>76224</v>
      </c>
      <c r="J60" s="2647">
        <f>SUM(D59:D62)</f>
        <v>99.999999999999986</v>
      </c>
      <c r="K60" s="2647">
        <f>SUM(E59:E62)</f>
        <v>22</v>
      </c>
      <c r="L60" s="2647">
        <f>SUM(F59:F62)</f>
        <v>1</v>
      </c>
      <c r="M60" s="2647">
        <f>SUM(G59:G62)</f>
        <v>12</v>
      </c>
    </row>
    <row r="61" spans="1:13" ht="17.25" customHeight="1">
      <c r="A61" s="2734" t="s">
        <v>2594</v>
      </c>
      <c r="B61" s="2709">
        <v>4825</v>
      </c>
      <c r="C61" s="2644">
        <f t="shared" si="2"/>
        <v>6.3E-2</v>
      </c>
      <c r="D61" s="2733">
        <v>6.3</v>
      </c>
      <c r="E61" s="2709">
        <v>3</v>
      </c>
      <c r="F61" s="2709">
        <v>0</v>
      </c>
      <c r="G61" s="2709">
        <v>0</v>
      </c>
      <c r="I61" s="2989">
        <f>B63</f>
        <v>76224</v>
      </c>
      <c r="J61" s="2989">
        <f>D63</f>
        <v>0</v>
      </c>
      <c r="K61" s="2989">
        <f>E63</f>
        <v>22</v>
      </c>
      <c r="L61" s="2989">
        <f>F63</f>
        <v>1</v>
      </c>
      <c r="M61" s="2989">
        <f>G63</f>
        <v>12</v>
      </c>
    </row>
    <row r="62" spans="1:13" ht="17.25" customHeight="1">
      <c r="A62" s="2734" t="s">
        <v>2593</v>
      </c>
      <c r="B62" s="2709">
        <v>9200</v>
      </c>
      <c r="C62" s="2644">
        <f t="shared" si="2"/>
        <v>0.121</v>
      </c>
      <c r="D62" s="2733">
        <v>12.1</v>
      </c>
      <c r="E62" s="2709">
        <v>2</v>
      </c>
      <c r="F62" s="2709">
        <v>0</v>
      </c>
      <c r="G62" s="2709">
        <v>2</v>
      </c>
    </row>
    <row r="63" spans="1:13" ht="18" customHeight="1">
      <c r="A63" s="2732" t="s">
        <v>2592</v>
      </c>
      <c r="B63" s="2708">
        <v>76224</v>
      </c>
      <c r="C63" s="2644">
        <f t="shared" si="2"/>
        <v>0</v>
      </c>
      <c r="D63" s="2731"/>
      <c r="E63" s="2708">
        <v>22</v>
      </c>
      <c r="F63" s="2730">
        <v>1</v>
      </c>
      <c r="G63" s="2708">
        <v>12</v>
      </c>
    </row>
    <row r="64" spans="1:13">
      <c r="C64" s="2644">
        <f t="shared" si="2"/>
        <v>0</v>
      </c>
    </row>
    <row r="65" spans="1:3">
      <c r="A65" s="2693" t="s">
        <v>2537</v>
      </c>
      <c r="C65" s="2644">
        <f t="shared" si="2"/>
        <v>0</v>
      </c>
    </row>
    <row r="66" spans="1:3">
      <c r="C66" s="2644">
        <f t="shared" si="2"/>
        <v>0</v>
      </c>
    </row>
    <row r="67" spans="1:3">
      <c r="C67" s="2644">
        <f t="shared" si="2"/>
        <v>0</v>
      </c>
    </row>
    <row r="68" spans="1:3">
      <c r="C68" s="2644">
        <f t="shared" si="2"/>
        <v>0</v>
      </c>
    </row>
    <row r="69" spans="1:3">
      <c r="C69" s="2644">
        <f t="shared" si="2"/>
        <v>0</v>
      </c>
    </row>
    <row r="70" spans="1:3">
      <c r="C70" s="2644">
        <f t="shared" si="2"/>
        <v>0</v>
      </c>
    </row>
    <row r="71" spans="1:3">
      <c r="C71" s="2644">
        <f t="shared" si="2"/>
        <v>0</v>
      </c>
    </row>
    <row r="72" spans="1:3">
      <c r="C72" s="2644">
        <f t="shared" si="2"/>
        <v>0</v>
      </c>
    </row>
    <row r="73" spans="1:3">
      <c r="C73" s="2644">
        <f t="shared" si="2"/>
        <v>0</v>
      </c>
    </row>
    <row r="74" spans="1:3">
      <c r="C74" s="2644">
        <f t="shared" si="2"/>
        <v>0</v>
      </c>
    </row>
    <row r="75" spans="1:3">
      <c r="C75" s="2644">
        <f t="shared" si="2"/>
        <v>0</v>
      </c>
    </row>
    <row r="76" spans="1:3">
      <c r="C76" s="2644">
        <f t="shared" si="2"/>
        <v>0</v>
      </c>
    </row>
    <row r="77" spans="1:3">
      <c r="C77" s="2644">
        <f t="shared" ref="C77:C108" si="3">D77/100</f>
        <v>0</v>
      </c>
    </row>
    <row r="78" spans="1:3">
      <c r="C78" s="2644">
        <f t="shared" si="3"/>
        <v>0</v>
      </c>
    </row>
    <row r="79" spans="1:3">
      <c r="C79" s="2644">
        <f t="shared" si="3"/>
        <v>0</v>
      </c>
    </row>
    <row r="80" spans="1:3">
      <c r="C80" s="2644">
        <f t="shared" si="3"/>
        <v>0</v>
      </c>
    </row>
    <row r="81" spans="3:3">
      <c r="C81" s="2644">
        <f t="shared" si="3"/>
        <v>0</v>
      </c>
    </row>
    <row r="82" spans="3:3">
      <c r="C82" s="2644">
        <f t="shared" si="3"/>
        <v>0</v>
      </c>
    </row>
    <row r="83" spans="3:3">
      <c r="C83" s="2644">
        <f t="shared" si="3"/>
        <v>0</v>
      </c>
    </row>
    <row r="84" spans="3:3">
      <c r="C84" s="2644">
        <f t="shared" si="3"/>
        <v>0</v>
      </c>
    </row>
    <row r="85" spans="3:3">
      <c r="C85" s="2644">
        <f t="shared" si="3"/>
        <v>0</v>
      </c>
    </row>
    <row r="86" spans="3:3">
      <c r="C86" s="2644">
        <f t="shared" si="3"/>
        <v>0</v>
      </c>
    </row>
    <row r="87" spans="3:3">
      <c r="C87" s="2644">
        <f t="shared" si="3"/>
        <v>0</v>
      </c>
    </row>
    <row r="88" spans="3:3">
      <c r="C88" s="2644">
        <f t="shared" si="3"/>
        <v>0</v>
      </c>
    </row>
    <row r="89" spans="3:3">
      <c r="C89" s="2644">
        <f t="shared" si="3"/>
        <v>0</v>
      </c>
    </row>
    <row r="90" spans="3:3">
      <c r="C90" s="2644">
        <f t="shared" si="3"/>
        <v>0</v>
      </c>
    </row>
    <row r="91" spans="3:3">
      <c r="C91" s="2644">
        <f t="shared" si="3"/>
        <v>0</v>
      </c>
    </row>
    <row r="92" spans="3:3">
      <c r="C92" s="2644">
        <f t="shared" si="3"/>
        <v>0</v>
      </c>
    </row>
    <row r="93" spans="3:3">
      <c r="C93" s="2644">
        <f t="shared" si="3"/>
        <v>0</v>
      </c>
    </row>
    <row r="94" spans="3:3">
      <c r="C94" s="2644">
        <f t="shared" si="3"/>
        <v>0</v>
      </c>
    </row>
    <row r="95" spans="3:3">
      <c r="C95" s="2644">
        <f t="shared" si="3"/>
        <v>0</v>
      </c>
    </row>
    <row r="96" spans="3:3">
      <c r="C96" s="2644">
        <f t="shared" si="3"/>
        <v>0</v>
      </c>
    </row>
    <row r="97" spans="3:3">
      <c r="C97" s="2644">
        <f t="shared" si="3"/>
        <v>0</v>
      </c>
    </row>
    <row r="98" spans="3:3">
      <c r="C98" s="2644">
        <f t="shared" si="3"/>
        <v>0</v>
      </c>
    </row>
    <row r="99" spans="3:3">
      <c r="C99" s="2644">
        <f t="shared" si="3"/>
        <v>0</v>
      </c>
    </row>
    <row r="100" spans="3:3">
      <c r="C100" s="2644">
        <f t="shared" si="3"/>
        <v>0</v>
      </c>
    </row>
    <row r="101" spans="3:3">
      <c r="C101" s="2644">
        <f t="shared" si="3"/>
        <v>0</v>
      </c>
    </row>
    <row r="102" spans="3:3">
      <c r="C102" s="2644">
        <f t="shared" si="3"/>
        <v>0</v>
      </c>
    </row>
    <row r="103" spans="3:3">
      <c r="C103" s="2644">
        <f t="shared" si="3"/>
        <v>0</v>
      </c>
    </row>
    <row r="104" spans="3:3">
      <c r="C104" s="2644">
        <f t="shared" si="3"/>
        <v>0</v>
      </c>
    </row>
    <row r="105" spans="3:3">
      <c r="C105" s="2644">
        <f t="shared" si="3"/>
        <v>0</v>
      </c>
    </row>
    <row r="106" spans="3:3">
      <c r="C106" s="2644">
        <f t="shared" si="3"/>
        <v>0</v>
      </c>
    </row>
    <row r="107" spans="3:3">
      <c r="C107" s="2644">
        <f t="shared" si="3"/>
        <v>0</v>
      </c>
    </row>
    <row r="108" spans="3:3">
      <c r="C108" s="2644">
        <f t="shared" si="3"/>
        <v>0</v>
      </c>
    </row>
  </sheetData>
  <conditionalFormatting sqref="I4:M4">
    <cfRule type="cellIs" dxfId="95" priority="7" operator="equal">
      <formula>"""FALSE"""</formula>
    </cfRule>
  </conditionalFormatting>
  <conditionalFormatting sqref="I13:M13">
    <cfRule type="cellIs" dxfId="94" priority="6" operator="equal">
      <formula>"""FALSE"""</formula>
    </cfRule>
  </conditionalFormatting>
  <conditionalFormatting sqref="I21:M21">
    <cfRule type="cellIs" dxfId="93" priority="5" operator="equal">
      <formula>"""FALSE"""</formula>
    </cfRule>
  </conditionalFormatting>
  <conditionalFormatting sqref="I30:M30">
    <cfRule type="cellIs" dxfId="92" priority="4" operator="equal">
      <formula>"""FALSE"""</formula>
    </cfRule>
  </conditionalFormatting>
  <conditionalFormatting sqref="I37:M37">
    <cfRule type="cellIs" dxfId="91" priority="3" operator="equal">
      <formula>"""FALSE"""</formula>
    </cfRule>
  </conditionalFormatting>
  <conditionalFormatting sqref="I48:M48">
    <cfRule type="cellIs" dxfId="90" priority="2" operator="equal">
      <formula>"""FALSE"""</formula>
    </cfRule>
  </conditionalFormatting>
  <conditionalFormatting sqref="I59:M59">
    <cfRule type="cellIs" dxfId="89" priority="1" operator="equal">
      <formula>"""FALSE"""</formula>
    </cfRule>
  </conditionalFormatting>
  <pageMargins left="0.7" right="0.7" top="0.75" bottom="0.75" header="0.3" footer="0.3"/>
  <pageSetup paperSize="9" orientation="portrait" horizontalDpi="1200" verticalDpi="120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899C-7863-421D-8FF8-7B20608505F4}">
  <dimension ref="A1:M109"/>
  <sheetViews>
    <sheetView workbookViewId="0">
      <pane xSplit="1" ySplit="3" topLeftCell="G61"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6"/>
  <cols>
    <col min="1" max="1" width="23.3984375" style="2750" customWidth="1"/>
    <col min="2" max="2" width="24.3984375" style="2706" customWidth="1"/>
    <col min="3" max="3" width="11.3984375" style="2963" customWidth="1"/>
    <col min="4" max="4" width="19.796875" style="2752" customWidth="1"/>
    <col min="5" max="5" width="20.796875" style="2706" customWidth="1"/>
    <col min="6" max="6" width="14.796875" style="2706" customWidth="1"/>
    <col min="7" max="7" width="14" style="2706" customWidth="1"/>
    <col min="8" max="8" width="8.796875" style="2751"/>
    <col min="9" max="9" width="11.3984375" style="2751" bestFit="1" customWidth="1"/>
    <col min="10" max="16384" width="8.796875" style="2750"/>
  </cols>
  <sheetData>
    <row r="1" spans="1:13" ht="41.75" customHeight="1">
      <c r="A1" s="2770" t="s">
        <v>2648</v>
      </c>
      <c r="C1" s="2720"/>
    </row>
    <row r="2" spans="1:13">
      <c r="A2" s="2678"/>
      <c r="B2" s="2721"/>
      <c r="D2" s="2769"/>
      <c r="E2" s="2721"/>
      <c r="F2" s="2721"/>
      <c r="G2" s="2721"/>
    </row>
    <row r="3" spans="1:13" ht="17.25" customHeight="1">
      <c r="B3" s="2767" t="s">
        <v>2611</v>
      </c>
      <c r="C3" s="2986" t="s">
        <v>153</v>
      </c>
      <c r="D3" s="2768" t="s">
        <v>2610</v>
      </c>
      <c r="E3" s="2767" t="s">
        <v>2622</v>
      </c>
      <c r="F3" s="2767" t="s">
        <v>2608</v>
      </c>
      <c r="G3" s="2767" t="s">
        <v>2607</v>
      </c>
    </row>
    <row r="4" spans="1:13" ht="17.25" customHeight="1">
      <c r="A4" s="2673" t="s">
        <v>2647</v>
      </c>
      <c r="B4" s="2765"/>
      <c r="D4" s="2766"/>
      <c r="E4" s="2765"/>
      <c r="F4" s="2765"/>
      <c r="G4" s="2765"/>
    </row>
    <row r="5" spans="1:13" ht="18.75" customHeight="1">
      <c r="A5" s="2757" t="s">
        <v>2631</v>
      </c>
      <c r="B5" s="2755">
        <v>10453349</v>
      </c>
      <c r="C5" s="2644">
        <f t="shared" ref="C5:C29" si="0">D5/100</f>
        <v>0.57799999999999996</v>
      </c>
      <c r="D5" s="2756">
        <v>57.8</v>
      </c>
      <c r="E5" s="2755">
        <v>427</v>
      </c>
      <c r="F5" s="2714">
        <v>31</v>
      </c>
      <c r="G5" s="2755">
        <v>398</v>
      </c>
      <c r="I5" s="2648" t="b">
        <f>I6=I7</f>
        <v>1</v>
      </c>
      <c r="J5" s="2648"/>
      <c r="K5" s="2648" t="b">
        <f>K6=K7</f>
        <v>1</v>
      </c>
      <c r="L5" s="2648" t="b">
        <f>L6=L7</f>
        <v>1</v>
      </c>
      <c r="M5" s="2648" t="b">
        <f>M6=M7</f>
        <v>1</v>
      </c>
    </row>
    <row r="6" spans="1:13" ht="18.75" customHeight="1">
      <c r="A6" s="2757" t="s">
        <v>2630</v>
      </c>
      <c r="B6" s="2755">
        <v>1007510</v>
      </c>
      <c r="C6" s="2644">
        <f t="shared" si="0"/>
        <v>5.7999999999999996E-2</v>
      </c>
      <c r="D6" s="2756">
        <v>5.8</v>
      </c>
      <c r="E6" s="2755">
        <v>85</v>
      </c>
      <c r="F6" s="2755">
        <v>1</v>
      </c>
      <c r="G6" s="2755">
        <v>19</v>
      </c>
      <c r="I6" s="2647">
        <f>SUM(B5:B9,B11:B15)</f>
        <v>18083034</v>
      </c>
      <c r="J6" s="2647">
        <f>SUM(D5:D9,D11:D15)</f>
        <v>99.999999999999986</v>
      </c>
      <c r="K6" s="2647">
        <f>SUM(E5:E9,E11:E15)</f>
        <v>1032</v>
      </c>
      <c r="L6" s="2647">
        <f>SUM(F5:F9,F11:F15)</f>
        <v>37</v>
      </c>
      <c r="M6" s="2647">
        <f>SUM(G5:G9,G11:G15)</f>
        <v>485</v>
      </c>
    </row>
    <row r="7" spans="1:13" ht="17.25" customHeight="1">
      <c r="A7" s="2757" t="s">
        <v>2640</v>
      </c>
      <c r="B7" s="2755">
        <v>100193</v>
      </c>
      <c r="C7" s="2644">
        <f t="shared" si="0"/>
        <v>6.0000000000000001E-3</v>
      </c>
      <c r="D7" s="2756">
        <v>0.6</v>
      </c>
      <c r="E7" s="2755">
        <v>4</v>
      </c>
      <c r="F7" s="2755">
        <v>0</v>
      </c>
      <c r="G7" s="2755">
        <v>4</v>
      </c>
      <c r="I7" s="2975">
        <f>B16</f>
        <v>18083034</v>
      </c>
      <c r="J7" s="2975">
        <f>D16</f>
        <v>0</v>
      </c>
      <c r="K7" s="2975">
        <f>E16</f>
        <v>1032</v>
      </c>
      <c r="L7" s="2975">
        <f>F16</f>
        <v>37</v>
      </c>
      <c r="M7" s="2975">
        <f>G16</f>
        <v>485</v>
      </c>
    </row>
    <row r="8" spans="1:13" ht="17.25" customHeight="1">
      <c r="A8" s="2757" t="s">
        <v>2639</v>
      </c>
      <c r="B8" s="2755">
        <v>632155</v>
      </c>
      <c r="C8" s="2644">
        <f t="shared" si="0"/>
        <v>3.4000000000000002E-2</v>
      </c>
      <c r="D8" s="2756">
        <v>3.4</v>
      </c>
      <c r="E8" s="2755">
        <v>28</v>
      </c>
      <c r="F8" s="2755">
        <v>3</v>
      </c>
      <c r="G8" s="2755">
        <v>23</v>
      </c>
    </row>
    <row r="9" spans="1:13" ht="17.25" customHeight="1">
      <c r="A9" s="2757" t="s">
        <v>2629</v>
      </c>
      <c r="B9" s="2755">
        <v>292688</v>
      </c>
      <c r="C9" s="2644">
        <f t="shared" si="0"/>
        <v>1.4999999999999999E-2</v>
      </c>
      <c r="D9" s="2756">
        <v>1.5</v>
      </c>
      <c r="E9" s="2755">
        <v>17</v>
      </c>
      <c r="F9" s="2755">
        <v>0</v>
      </c>
      <c r="G9" s="2755">
        <v>11</v>
      </c>
    </row>
    <row r="10" spans="1:13" ht="16.5" customHeight="1">
      <c r="A10" s="2761" t="s">
        <v>2628</v>
      </c>
      <c r="B10" s="2759">
        <v>12485895</v>
      </c>
      <c r="C10" s="2644">
        <f t="shared" si="0"/>
        <v>0.69099999999999995</v>
      </c>
      <c r="D10" s="2760">
        <v>69.099999999999994</v>
      </c>
      <c r="E10" s="2759">
        <v>561</v>
      </c>
      <c r="F10" s="2764">
        <v>35</v>
      </c>
      <c r="G10" s="2759">
        <v>455</v>
      </c>
    </row>
    <row r="11" spans="1:13" ht="17.25" customHeight="1">
      <c r="A11" s="2757" t="s">
        <v>2637</v>
      </c>
      <c r="B11" s="2755">
        <v>31989</v>
      </c>
      <c r="C11" s="2644">
        <f t="shared" si="0"/>
        <v>2E-3</v>
      </c>
      <c r="D11" s="2756">
        <v>0.2</v>
      </c>
      <c r="E11" s="2755">
        <v>2</v>
      </c>
      <c r="F11" s="2755">
        <v>0</v>
      </c>
      <c r="G11" s="2755">
        <v>0</v>
      </c>
    </row>
    <row r="12" spans="1:13" ht="17.25" customHeight="1">
      <c r="A12" s="2757" t="s">
        <v>2636</v>
      </c>
      <c r="B12" s="2755">
        <v>5464425</v>
      </c>
      <c r="C12" s="2644">
        <f t="shared" si="0"/>
        <v>0.30199999999999999</v>
      </c>
      <c r="D12" s="2756">
        <v>30.2</v>
      </c>
      <c r="E12" s="2755">
        <v>428</v>
      </c>
      <c r="F12" s="2755">
        <v>2</v>
      </c>
      <c r="G12" s="2755">
        <v>29</v>
      </c>
    </row>
    <row r="13" spans="1:13" ht="17.25" customHeight="1">
      <c r="A13" s="2757" t="s">
        <v>2634</v>
      </c>
      <c r="B13" s="2755">
        <v>21452</v>
      </c>
      <c r="C13" s="2644">
        <f t="shared" si="0"/>
        <v>1E-3</v>
      </c>
      <c r="D13" s="2756">
        <v>0.1</v>
      </c>
      <c r="E13" s="2755">
        <v>15</v>
      </c>
      <c r="F13" s="2755">
        <v>0</v>
      </c>
      <c r="G13" s="2755">
        <v>0</v>
      </c>
    </row>
    <row r="14" spans="1:13" ht="17.25" customHeight="1">
      <c r="A14" s="2757" t="s">
        <v>2626</v>
      </c>
      <c r="B14" s="2714">
        <v>20721</v>
      </c>
      <c r="C14" s="2644">
        <f t="shared" si="0"/>
        <v>1E-3</v>
      </c>
      <c r="D14" s="2756">
        <v>0.1</v>
      </c>
      <c r="E14" s="2755">
        <v>16</v>
      </c>
      <c r="F14" s="2755">
        <v>0</v>
      </c>
      <c r="G14" s="2755">
        <v>0</v>
      </c>
    </row>
    <row r="15" spans="1:13" ht="17.25" customHeight="1">
      <c r="A15" s="2757" t="s">
        <v>2625</v>
      </c>
      <c r="B15" s="2755">
        <v>58552</v>
      </c>
      <c r="C15" s="2644">
        <f t="shared" si="0"/>
        <v>3.0000000000000001E-3</v>
      </c>
      <c r="D15" s="2756">
        <v>0.3</v>
      </c>
      <c r="E15" s="2755">
        <v>10</v>
      </c>
      <c r="F15" s="2755">
        <v>0</v>
      </c>
      <c r="G15" s="2755">
        <v>1</v>
      </c>
    </row>
    <row r="16" spans="1:13" ht="17.25" customHeight="1">
      <c r="A16" s="2673" t="s">
        <v>2624</v>
      </c>
      <c r="B16" s="2753">
        <v>18083034</v>
      </c>
      <c r="C16" s="2644">
        <f t="shared" si="0"/>
        <v>0</v>
      </c>
      <c r="D16" s="2754"/>
      <c r="E16" s="2753">
        <v>1032</v>
      </c>
      <c r="F16" s="2753">
        <v>37</v>
      </c>
      <c r="G16" s="2753">
        <v>485</v>
      </c>
    </row>
    <row r="17" spans="1:13" ht="17.25" customHeight="1">
      <c r="A17" s="2673"/>
      <c r="B17" s="2753"/>
      <c r="C17" s="2644">
        <f t="shared" si="0"/>
        <v>0</v>
      </c>
      <c r="D17" s="2754"/>
      <c r="E17" s="2753"/>
      <c r="F17" s="2753"/>
      <c r="G17" s="2753"/>
    </row>
    <row r="18" spans="1:13" ht="20" customHeight="1">
      <c r="A18" s="2673" t="s">
        <v>2646</v>
      </c>
      <c r="B18" s="2711"/>
      <c r="C18" s="2644">
        <f t="shared" si="0"/>
        <v>0</v>
      </c>
      <c r="D18" s="2754"/>
      <c r="E18" s="2711"/>
      <c r="F18" s="2711"/>
      <c r="G18" s="2711"/>
    </row>
    <row r="19" spans="1:13" ht="17.25" customHeight="1">
      <c r="A19" s="2757" t="s">
        <v>2631</v>
      </c>
      <c r="B19" s="2755">
        <v>240861</v>
      </c>
      <c r="C19" s="2644">
        <f t="shared" si="0"/>
        <v>0.221</v>
      </c>
      <c r="D19" s="2756">
        <v>22.1</v>
      </c>
      <c r="E19" s="2755">
        <v>14</v>
      </c>
      <c r="F19" s="2755">
        <v>0</v>
      </c>
      <c r="G19" s="2755">
        <v>6</v>
      </c>
      <c r="I19" s="2648" t="b">
        <f>I20=I21</f>
        <v>1</v>
      </c>
      <c r="J19" s="2648"/>
      <c r="K19" s="2648" t="b">
        <f>K20=K21</f>
        <v>1</v>
      </c>
      <c r="L19" s="2648" t="b">
        <f>L20=L21</f>
        <v>1</v>
      </c>
      <c r="M19" s="2648" t="b">
        <f>M20=M21</f>
        <v>1</v>
      </c>
    </row>
    <row r="20" spans="1:13" ht="17.25" customHeight="1">
      <c r="A20" s="2757" t="s">
        <v>2630</v>
      </c>
      <c r="B20" s="2755">
        <v>157472</v>
      </c>
      <c r="C20" s="2644">
        <f t="shared" si="0"/>
        <v>0.14499999999999999</v>
      </c>
      <c r="D20" s="2756">
        <v>14.5</v>
      </c>
      <c r="E20" s="2755">
        <v>10</v>
      </c>
      <c r="F20" s="2755">
        <v>0</v>
      </c>
      <c r="G20" s="2755">
        <v>4</v>
      </c>
      <c r="I20" s="2647">
        <f>SUM(B19:B22,B24:B29)</f>
        <v>1088546</v>
      </c>
      <c r="J20" s="2647">
        <f>SUM(D19:D22,D24:D29)</f>
        <v>99.999999999999986</v>
      </c>
      <c r="K20" s="2647">
        <f>SUM(E19:E22,E24:E29)</f>
        <v>72</v>
      </c>
      <c r="L20" s="2647">
        <f>SUM(F19:F22,F24:F29)</f>
        <v>6</v>
      </c>
      <c r="M20" s="2647">
        <f>SUM(G19:G22,G24:G29)</f>
        <v>35</v>
      </c>
    </row>
    <row r="21" spans="1:13" ht="18" customHeight="1">
      <c r="A21" s="2673" t="s">
        <v>2645</v>
      </c>
      <c r="B21" s="2755">
        <v>75717</v>
      </c>
      <c r="C21" s="2644">
        <f t="shared" si="0"/>
        <v>7.0000000000000007E-2</v>
      </c>
      <c r="D21" s="2756">
        <v>7</v>
      </c>
      <c r="E21" s="2759">
        <v>5</v>
      </c>
      <c r="F21" s="2755">
        <v>2</v>
      </c>
      <c r="G21" s="2755">
        <v>4</v>
      </c>
      <c r="I21" s="2975">
        <f>B30</f>
        <v>1088546</v>
      </c>
      <c r="J21" s="2975">
        <f>D30</f>
        <v>0</v>
      </c>
      <c r="K21" s="2975">
        <f>E30</f>
        <v>72</v>
      </c>
      <c r="L21" s="2975">
        <f>F30</f>
        <v>6</v>
      </c>
      <c r="M21" s="2975">
        <f>G30</f>
        <v>35</v>
      </c>
    </row>
    <row r="22" spans="1:13" ht="17.25" customHeight="1">
      <c r="A22" s="2757" t="s">
        <v>2629</v>
      </c>
      <c r="B22" s="2755">
        <v>24120</v>
      </c>
      <c r="C22" s="2644">
        <f t="shared" si="0"/>
        <v>2.2000000000000002E-2</v>
      </c>
      <c r="D22" s="2756">
        <v>2.2000000000000002</v>
      </c>
      <c r="E22" s="2714">
        <v>1</v>
      </c>
      <c r="F22" s="2755">
        <v>0</v>
      </c>
      <c r="G22" s="2714">
        <v>1</v>
      </c>
    </row>
    <row r="23" spans="1:13" ht="16.5" customHeight="1">
      <c r="A23" s="2761" t="s">
        <v>2628</v>
      </c>
      <c r="B23" s="2759">
        <v>498170</v>
      </c>
      <c r="C23" s="2644">
        <f t="shared" si="0"/>
        <v>0.45799999999999996</v>
      </c>
      <c r="D23" s="2760">
        <v>45.8</v>
      </c>
      <c r="E23" s="2759">
        <v>30</v>
      </c>
      <c r="F23" s="2759">
        <v>2</v>
      </c>
      <c r="G23" s="2759">
        <v>15</v>
      </c>
    </row>
    <row r="24" spans="1:13" ht="18.75" customHeight="1">
      <c r="A24" s="2757" t="s">
        <v>2637</v>
      </c>
      <c r="B24" s="2755">
        <v>71539</v>
      </c>
      <c r="C24" s="2644">
        <f t="shared" si="0"/>
        <v>6.6000000000000003E-2</v>
      </c>
      <c r="D24" s="2756">
        <v>6.6</v>
      </c>
      <c r="E24" s="2755">
        <v>4</v>
      </c>
      <c r="F24" s="2755">
        <v>0</v>
      </c>
      <c r="G24" s="2755">
        <v>4</v>
      </c>
    </row>
    <row r="25" spans="1:13" ht="17.25" customHeight="1">
      <c r="A25" s="2757" t="s">
        <v>2636</v>
      </c>
      <c r="B25" s="2755">
        <v>479547</v>
      </c>
      <c r="C25" s="2644">
        <f t="shared" si="0"/>
        <v>0.441</v>
      </c>
      <c r="D25" s="2756">
        <v>44.1</v>
      </c>
      <c r="E25" s="2755">
        <v>30</v>
      </c>
      <c r="F25" s="2755">
        <v>4</v>
      </c>
      <c r="G25" s="2755">
        <v>16</v>
      </c>
    </row>
    <row r="26" spans="1:13" ht="17.25" customHeight="1">
      <c r="A26" s="2757" t="s">
        <v>2627</v>
      </c>
      <c r="B26" s="2755">
        <v>1136</v>
      </c>
      <c r="C26" s="2644">
        <f t="shared" si="0"/>
        <v>1E-3</v>
      </c>
      <c r="D26" s="2756">
        <v>0.1</v>
      </c>
      <c r="E26" s="2755">
        <v>1</v>
      </c>
      <c r="F26" s="2755">
        <v>0</v>
      </c>
      <c r="G26" s="2755">
        <v>0</v>
      </c>
    </row>
    <row r="27" spans="1:13" ht="17.25" customHeight="1">
      <c r="A27" s="2757" t="s">
        <v>2634</v>
      </c>
      <c r="B27" s="2755">
        <v>17754</v>
      </c>
      <c r="C27" s="2644">
        <f t="shared" si="0"/>
        <v>1.6E-2</v>
      </c>
      <c r="D27" s="2756">
        <v>1.6</v>
      </c>
      <c r="E27" s="2755">
        <v>3</v>
      </c>
      <c r="F27" s="2755">
        <v>0</v>
      </c>
      <c r="G27" s="2755">
        <v>0</v>
      </c>
    </row>
    <row r="28" spans="1:13" ht="18" customHeight="1">
      <c r="A28" s="2757" t="s">
        <v>2626</v>
      </c>
      <c r="B28" s="2755">
        <v>11300</v>
      </c>
      <c r="C28" s="2644">
        <f t="shared" si="0"/>
        <v>0.01</v>
      </c>
      <c r="D28" s="2756">
        <v>1</v>
      </c>
      <c r="E28" s="2755">
        <v>2</v>
      </c>
      <c r="F28" s="2755">
        <v>0</v>
      </c>
      <c r="G28" s="2755">
        <v>0</v>
      </c>
    </row>
    <row r="29" spans="1:13" ht="16.5" customHeight="1">
      <c r="A29" s="2757" t="s">
        <v>2625</v>
      </c>
      <c r="B29" s="2755">
        <v>9100</v>
      </c>
      <c r="C29" s="2644">
        <f t="shared" si="0"/>
        <v>8.0000000000000002E-3</v>
      </c>
      <c r="D29" s="2756">
        <v>0.8</v>
      </c>
      <c r="E29" s="2755">
        <v>2</v>
      </c>
      <c r="F29" s="2755">
        <v>0</v>
      </c>
      <c r="G29" s="2755">
        <v>0</v>
      </c>
    </row>
    <row r="30" spans="1:13" ht="18.75" customHeight="1">
      <c r="A30" s="2673" t="s">
        <v>2624</v>
      </c>
      <c r="B30" s="2753">
        <v>1088546</v>
      </c>
      <c r="C30" s="2644"/>
      <c r="D30" s="2754"/>
      <c r="E30" s="2753">
        <v>72</v>
      </c>
      <c r="F30" s="2755">
        <v>6</v>
      </c>
      <c r="G30" s="2753">
        <v>35</v>
      </c>
    </row>
    <row r="31" spans="1:13" ht="18.75" customHeight="1">
      <c r="A31" s="2673"/>
      <c r="B31" s="2753"/>
      <c r="C31" s="2644"/>
      <c r="D31" s="2754"/>
      <c r="E31" s="2753"/>
      <c r="F31" s="2755"/>
      <c r="G31" s="2753"/>
    </row>
    <row r="32" spans="1:13" ht="18.5" customHeight="1">
      <c r="A32" s="2673" t="s">
        <v>2644</v>
      </c>
      <c r="B32" s="2711"/>
      <c r="C32" s="2644"/>
      <c r="D32" s="2754"/>
      <c r="E32" s="2711"/>
      <c r="F32" s="2711"/>
      <c r="G32" s="2711"/>
    </row>
    <row r="33" spans="1:13" ht="17.25" customHeight="1">
      <c r="A33" s="2757" t="s">
        <v>2631</v>
      </c>
      <c r="B33" s="2755">
        <v>1056768</v>
      </c>
      <c r="C33" s="2644">
        <f t="shared" ref="C33:C67" si="1">D33/100</f>
        <v>0.495</v>
      </c>
      <c r="D33" s="2756">
        <v>49.5</v>
      </c>
      <c r="E33" s="2755">
        <v>56</v>
      </c>
      <c r="F33" s="2755">
        <v>3</v>
      </c>
      <c r="G33" s="2755">
        <v>48</v>
      </c>
      <c r="I33" s="2648" t="b">
        <f>I34=I35</f>
        <v>1</v>
      </c>
      <c r="J33" s="2648"/>
      <c r="K33" s="2648" t="b">
        <f>K34=K35</f>
        <v>1</v>
      </c>
      <c r="L33" s="2648" t="b">
        <f>L34=L35</f>
        <v>1</v>
      </c>
      <c r="M33" s="2648" t="b">
        <f>M34=M35</f>
        <v>1</v>
      </c>
    </row>
    <row r="34" spans="1:13" ht="17.25" customHeight="1">
      <c r="A34" s="2757" t="s">
        <v>2630</v>
      </c>
      <c r="B34" s="2755">
        <v>205384</v>
      </c>
      <c r="C34" s="2644">
        <f t="shared" si="1"/>
        <v>8.5999999999999993E-2</v>
      </c>
      <c r="D34" s="2756">
        <v>8.6</v>
      </c>
      <c r="E34" s="2755">
        <v>14</v>
      </c>
      <c r="F34" s="2755">
        <v>3</v>
      </c>
      <c r="G34" s="2755">
        <v>7</v>
      </c>
      <c r="I34" s="2647">
        <f>SUM(B33:B36,B38:B42)</f>
        <v>2174329</v>
      </c>
      <c r="J34" s="2647">
        <f>SUM(D33:D36,D38:D42)</f>
        <v>100</v>
      </c>
      <c r="K34" s="2647">
        <f>SUM(E33:E36,E38:E42)</f>
        <v>155</v>
      </c>
      <c r="L34" s="2647">
        <f>SUM(F33:F36,F38:F42)</f>
        <v>8</v>
      </c>
      <c r="M34" s="2647">
        <f>SUM(G33:G36,G38:G42)</f>
        <v>71</v>
      </c>
    </row>
    <row r="35" spans="1:13" ht="18" customHeight="1">
      <c r="A35" s="2757" t="s">
        <v>2639</v>
      </c>
      <c r="B35" s="2755">
        <v>101430</v>
      </c>
      <c r="C35" s="2644">
        <f t="shared" si="1"/>
        <v>4.9000000000000002E-2</v>
      </c>
      <c r="D35" s="2756">
        <v>4.9000000000000004</v>
      </c>
      <c r="E35" s="2755">
        <v>8</v>
      </c>
      <c r="F35" s="2755">
        <v>2</v>
      </c>
      <c r="G35" s="2755">
        <v>8</v>
      </c>
      <c r="I35" s="2975">
        <f>B43</f>
        <v>2174329</v>
      </c>
      <c r="J35" s="2975">
        <f>D43</f>
        <v>0</v>
      </c>
      <c r="K35" s="2975">
        <f>E43</f>
        <v>155</v>
      </c>
      <c r="L35" s="2975">
        <f>F43</f>
        <v>8</v>
      </c>
      <c r="M35" s="2975">
        <f>G43</f>
        <v>71</v>
      </c>
    </row>
    <row r="36" spans="1:13" ht="17.25" customHeight="1">
      <c r="A36" s="2757" t="s">
        <v>2629</v>
      </c>
      <c r="B36" s="2755">
        <v>21803</v>
      </c>
      <c r="C36" s="2644">
        <f t="shared" si="1"/>
        <v>0.01</v>
      </c>
      <c r="D36" s="2756">
        <v>1</v>
      </c>
      <c r="E36" s="2714">
        <v>1</v>
      </c>
      <c r="F36" s="2755">
        <v>0</v>
      </c>
      <c r="G36" s="2755">
        <v>1</v>
      </c>
    </row>
    <row r="37" spans="1:13" ht="16.5" customHeight="1">
      <c r="A37" s="2761" t="s">
        <v>2628</v>
      </c>
      <c r="B37" s="2759">
        <v>1385385</v>
      </c>
      <c r="C37" s="2644">
        <f t="shared" si="1"/>
        <v>0.64</v>
      </c>
      <c r="D37" s="2760">
        <v>64</v>
      </c>
      <c r="E37" s="2759">
        <v>79</v>
      </c>
      <c r="F37" s="2759">
        <v>8</v>
      </c>
      <c r="G37" s="2759">
        <v>64</v>
      </c>
    </row>
    <row r="38" spans="1:13" ht="18" customHeight="1">
      <c r="A38" s="2757" t="s">
        <v>2636</v>
      </c>
      <c r="B38" s="2755">
        <v>696248</v>
      </c>
      <c r="C38" s="2644">
        <f t="shared" si="1"/>
        <v>0.32600000000000001</v>
      </c>
      <c r="D38" s="2756">
        <v>32.6</v>
      </c>
      <c r="E38" s="2755">
        <v>57</v>
      </c>
      <c r="F38" s="2755">
        <v>0</v>
      </c>
      <c r="G38" s="2755">
        <v>7</v>
      </c>
    </row>
    <row r="39" spans="1:13" ht="17.25" customHeight="1">
      <c r="A39" s="2757" t="s">
        <v>2634</v>
      </c>
      <c r="B39" s="2714">
        <v>35618</v>
      </c>
      <c r="C39" s="2644">
        <f t="shared" si="1"/>
        <v>1.3999999999999999E-2</v>
      </c>
      <c r="D39" s="2756">
        <v>1.4</v>
      </c>
      <c r="E39" s="2755">
        <v>8</v>
      </c>
      <c r="F39" s="2755">
        <v>0</v>
      </c>
      <c r="G39" s="2755">
        <v>0</v>
      </c>
    </row>
    <row r="40" spans="1:13" ht="18" customHeight="1">
      <c r="A40" s="2757" t="s">
        <v>2626</v>
      </c>
      <c r="B40" s="2755">
        <v>3895</v>
      </c>
      <c r="C40" s="2644">
        <f t="shared" si="1"/>
        <v>2E-3</v>
      </c>
      <c r="D40" s="2756">
        <v>0.2</v>
      </c>
      <c r="E40" s="2755">
        <v>5</v>
      </c>
      <c r="F40" s="2755">
        <v>0</v>
      </c>
      <c r="G40" s="2755">
        <v>0</v>
      </c>
    </row>
    <row r="41" spans="1:13" ht="19.5" customHeight="1">
      <c r="A41" s="2757" t="s">
        <v>2635</v>
      </c>
      <c r="B41" s="2755">
        <v>20954</v>
      </c>
      <c r="C41" s="2644">
        <f t="shared" si="1"/>
        <v>0.01</v>
      </c>
      <c r="D41" s="2763">
        <v>1</v>
      </c>
      <c r="E41" s="2755">
        <v>5</v>
      </c>
      <c r="F41" s="2755">
        <v>0</v>
      </c>
      <c r="G41" s="2755">
        <v>0</v>
      </c>
    </row>
    <row r="42" spans="1:13" ht="16.5" customHeight="1">
      <c r="A42" s="2757" t="s">
        <v>2625</v>
      </c>
      <c r="B42" s="2755">
        <v>32229</v>
      </c>
      <c r="C42" s="2644">
        <f t="shared" si="1"/>
        <v>8.0000000000000002E-3</v>
      </c>
      <c r="D42" s="2756">
        <v>0.8</v>
      </c>
      <c r="E42" s="2755">
        <v>1</v>
      </c>
      <c r="F42" s="2755">
        <v>0</v>
      </c>
      <c r="G42" s="2755">
        <v>0</v>
      </c>
    </row>
    <row r="43" spans="1:13" ht="17.25" customHeight="1">
      <c r="A43" s="2673" t="s">
        <v>2624</v>
      </c>
      <c r="B43" s="2753">
        <v>2174329</v>
      </c>
      <c r="C43" s="2644">
        <f t="shared" si="1"/>
        <v>0</v>
      </c>
      <c r="D43" s="2754"/>
      <c r="E43" s="2753">
        <v>155</v>
      </c>
      <c r="F43" s="2753">
        <v>8</v>
      </c>
      <c r="G43" s="2753">
        <v>71</v>
      </c>
    </row>
    <row r="44" spans="1:13" ht="17.25" customHeight="1">
      <c r="A44" s="2673"/>
      <c r="B44" s="2753"/>
      <c r="C44" s="2644">
        <f t="shared" si="1"/>
        <v>0</v>
      </c>
      <c r="D44" s="2754"/>
      <c r="E44" s="2753"/>
      <c r="F44" s="2753"/>
      <c r="G44" s="2753"/>
    </row>
    <row r="45" spans="1:13" ht="20" customHeight="1">
      <c r="A45" s="2673" t="s">
        <v>2643</v>
      </c>
      <c r="B45" s="2720"/>
      <c r="C45" s="2644">
        <f t="shared" si="1"/>
        <v>0</v>
      </c>
      <c r="D45" s="2762"/>
      <c r="E45" s="2720"/>
      <c r="F45" s="2720"/>
      <c r="G45" s="2720"/>
    </row>
    <row r="46" spans="1:13" ht="17.25" customHeight="1">
      <c r="A46" s="2757" t="s">
        <v>2631</v>
      </c>
      <c r="B46" s="2755">
        <v>149566</v>
      </c>
      <c r="C46" s="2644">
        <f t="shared" si="1"/>
        <v>0.56100000000000005</v>
      </c>
      <c r="D46" s="2756">
        <v>56.1</v>
      </c>
      <c r="E46" s="2755">
        <v>12</v>
      </c>
      <c r="F46" s="2755">
        <v>8</v>
      </c>
      <c r="G46" s="2755">
        <v>10</v>
      </c>
      <c r="I46" s="2648" t="b">
        <f>I47=I48</f>
        <v>1</v>
      </c>
      <c r="J46" s="2648"/>
      <c r="K46" s="2648" t="b">
        <f>K47=K48</f>
        <v>1</v>
      </c>
      <c r="L46" s="2648" t="b">
        <f>L47=L48</f>
        <v>1</v>
      </c>
      <c r="M46" s="2648" t="b">
        <f>M47=M48</f>
        <v>1</v>
      </c>
    </row>
    <row r="47" spans="1:13" ht="17.25" customHeight="1">
      <c r="A47" s="2761" t="s">
        <v>2628</v>
      </c>
      <c r="B47" s="2759">
        <v>149566</v>
      </c>
      <c r="C47" s="2644">
        <f t="shared" si="1"/>
        <v>0.56100000000000005</v>
      </c>
      <c r="D47" s="2760">
        <v>56.1</v>
      </c>
      <c r="E47" s="2759">
        <v>12</v>
      </c>
      <c r="F47" s="2759">
        <v>8</v>
      </c>
      <c r="G47" s="2759">
        <v>10</v>
      </c>
      <c r="I47" s="2647">
        <f>SUM(B46,B48:B49)</f>
        <v>282029</v>
      </c>
      <c r="J47" s="2647">
        <f>SUM(D46,D48:D49)</f>
        <v>100</v>
      </c>
      <c r="K47" s="2647">
        <f>SUM(E46,E48:E49)</f>
        <v>16</v>
      </c>
      <c r="L47" s="2647">
        <f>SUM(F46,F48:F49)</f>
        <v>8</v>
      </c>
      <c r="M47" s="2647">
        <f>SUM(G46,G48:G49)</f>
        <v>12</v>
      </c>
    </row>
    <row r="48" spans="1:13" ht="17.25" customHeight="1">
      <c r="A48" s="2757" t="s">
        <v>2636</v>
      </c>
      <c r="B48" s="2755">
        <v>9410</v>
      </c>
      <c r="C48" s="2644">
        <f t="shared" si="1"/>
        <v>0.05</v>
      </c>
      <c r="D48" s="2756">
        <v>5</v>
      </c>
      <c r="E48" s="2714">
        <v>1</v>
      </c>
      <c r="F48" s="2755">
        <v>0</v>
      </c>
      <c r="G48" s="2755">
        <v>0</v>
      </c>
      <c r="I48" s="2975">
        <f>B50</f>
        <v>282029</v>
      </c>
      <c r="J48" s="2975">
        <f>D50</f>
        <v>0</v>
      </c>
      <c r="K48" s="2975">
        <f>E50</f>
        <v>16</v>
      </c>
      <c r="L48" s="2975">
        <f>F50</f>
        <v>8</v>
      </c>
      <c r="M48" s="2975">
        <f>G50</f>
        <v>12</v>
      </c>
    </row>
    <row r="49" spans="1:13" ht="18" customHeight="1">
      <c r="A49" s="2757" t="s">
        <v>2633</v>
      </c>
      <c r="B49" s="2755">
        <v>123053</v>
      </c>
      <c r="C49" s="2644">
        <f t="shared" si="1"/>
        <v>0.38900000000000001</v>
      </c>
      <c r="D49" s="2756">
        <v>38.9</v>
      </c>
      <c r="E49" s="2755">
        <v>3</v>
      </c>
      <c r="F49" s="2755">
        <v>0</v>
      </c>
      <c r="G49" s="2755">
        <v>2</v>
      </c>
    </row>
    <row r="50" spans="1:13" ht="17.25" customHeight="1">
      <c r="A50" s="2673" t="s">
        <v>2624</v>
      </c>
      <c r="B50" s="2753">
        <v>282029</v>
      </c>
      <c r="C50" s="2644">
        <f t="shared" si="1"/>
        <v>0</v>
      </c>
      <c r="D50" s="2754"/>
      <c r="E50" s="2753">
        <v>16</v>
      </c>
      <c r="F50" s="2753">
        <v>8</v>
      </c>
      <c r="G50" s="2753">
        <v>12</v>
      </c>
    </row>
    <row r="51" spans="1:13" ht="17.25" customHeight="1">
      <c r="A51" s="2673"/>
      <c r="B51" s="2753"/>
      <c r="C51" s="2644">
        <f t="shared" si="1"/>
        <v>0</v>
      </c>
      <c r="D51" s="2754"/>
      <c r="E51" s="2753"/>
      <c r="F51" s="2753"/>
      <c r="G51" s="2753"/>
    </row>
    <row r="52" spans="1:13" ht="17.25" customHeight="1">
      <c r="A52" s="2673" t="s">
        <v>2642</v>
      </c>
      <c r="B52" s="2720"/>
      <c r="C52" s="2644">
        <f t="shared" si="1"/>
        <v>0</v>
      </c>
      <c r="D52" s="2762"/>
      <c r="E52" s="2720"/>
      <c r="F52" s="2720"/>
      <c r="G52" s="2720"/>
    </row>
    <row r="53" spans="1:13" ht="17.25" customHeight="1">
      <c r="A53" s="2757" t="s">
        <v>2631</v>
      </c>
      <c r="B53" s="2755">
        <v>11756359</v>
      </c>
      <c r="C53" s="2644">
        <f t="shared" si="1"/>
        <v>0.55000000000000004</v>
      </c>
      <c r="D53" s="2756">
        <v>55</v>
      </c>
      <c r="E53" s="2755">
        <v>506</v>
      </c>
      <c r="F53" s="2755">
        <v>41</v>
      </c>
      <c r="G53" s="2755">
        <v>460</v>
      </c>
      <c r="I53" s="2648" t="b">
        <f>I54=I55</f>
        <v>1</v>
      </c>
      <c r="J53" s="2648"/>
      <c r="K53" s="2648" t="b">
        <f>K54=K55</f>
        <v>1</v>
      </c>
      <c r="L53" s="2648" t="b">
        <f>L54=L55</f>
        <v>1</v>
      </c>
      <c r="M53" s="2648" t="b">
        <f>M54=M55</f>
        <v>1</v>
      </c>
    </row>
    <row r="54" spans="1:13" ht="17.25" customHeight="1">
      <c r="A54" s="2757" t="s">
        <v>2630</v>
      </c>
      <c r="B54" s="2755">
        <v>1372595</v>
      </c>
      <c r="C54" s="2644">
        <f t="shared" si="1"/>
        <v>6.4000000000000001E-2</v>
      </c>
      <c r="D54" s="2756">
        <v>6.4</v>
      </c>
      <c r="E54" s="2714">
        <v>111</v>
      </c>
      <c r="F54" s="2755">
        <v>5</v>
      </c>
      <c r="G54" s="2755">
        <v>32</v>
      </c>
      <c r="I54" s="2647">
        <f>SUM(B53:B57,B59:B65)</f>
        <v>21374344</v>
      </c>
      <c r="J54" s="2647">
        <f>SUM(D53:D57,D59:D65)</f>
        <v>100.10000000000001</v>
      </c>
      <c r="K54" s="2647">
        <f>SUM(E53:E57,E59:E65)</f>
        <v>1276</v>
      </c>
      <c r="L54" s="2647">
        <f>SUM(F53:F57,F59:F65)</f>
        <v>59</v>
      </c>
      <c r="M54" s="2647">
        <f>SUM(G53:G57,G59:G65)</f>
        <v>603</v>
      </c>
    </row>
    <row r="55" spans="1:13" ht="17.25" customHeight="1">
      <c r="A55" s="2757" t="s">
        <v>2640</v>
      </c>
      <c r="B55" s="2755">
        <v>100193</v>
      </c>
      <c r="C55" s="2644">
        <f t="shared" si="1"/>
        <v>5.0000000000000001E-3</v>
      </c>
      <c r="D55" s="2756">
        <v>0.5</v>
      </c>
      <c r="E55" s="2755">
        <v>4</v>
      </c>
      <c r="F55" s="2755">
        <v>0</v>
      </c>
      <c r="G55" s="2755">
        <v>4</v>
      </c>
      <c r="I55" s="2975">
        <f>B66</f>
        <v>21374344</v>
      </c>
      <c r="J55" s="2975">
        <f>D66</f>
        <v>0</v>
      </c>
      <c r="K55" s="2975">
        <f>E66</f>
        <v>1276</v>
      </c>
      <c r="L55" s="2975">
        <f>F66</f>
        <v>59</v>
      </c>
      <c r="M55" s="2975">
        <f>G66</f>
        <v>603</v>
      </c>
    </row>
    <row r="56" spans="1:13" ht="17.25" customHeight="1">
      <c r="A56" s="2757" t="s">
        <v>2639</v>
      </c>
      <c r="B56" s="2755">
        <v>809302</v>
      </c>
      <c r="C56" s="2644">
        <f t="shared" si="1"/>
        <v>3.7999999999999999E-2</v>
      </c>
      <c r="D56" s="2756">
        <v>3.8</v>
      </c>
      <c r="E56" s="2755">
        <v>41</v>
      </c>
      <c r="F56" s="2755">
        <v>7</v>
      </c>
      <c r="G56" s="2755">
        <v>35</v>
      </c>
    </row>
    <row r="57" spans="1:13" ht="17.25" customHeight="1">
      <c r="A57" s="2757" t="s">
        <v>2629</v>
      </c>
      <c r="B57" s="2755">
        <v>341370</v>
      </c>
      <c r="C57" s="2644">
        <f t="shared" si="1"/>
        <v>1.6E-2</v>
      </c>
      <c r="D57" s="2756">
        <v>1.6</v>
      </c>
      <c r="E57" s="2755">
        <v>20</v>
      </c>
      <c r="F57" s="2755">
        <v>0</v>
      </c>
      <c r="G57" s="2755">
        <v>13</v>
      </c>
    </row>
    <row r="58" spans="1:13" ht="16.5" customHeight="1">
      <c r="A58" s="2761" t="s">
        <v>2628</v>
      </c>
      <c r="B58" s="2759">
        <v>14379819</v>
      </c>
      <c r="C58" s="2644">
        <f t="shared" si="1"/>
        <v>0.67299999999999993</v>
      </c>
      <c r="D58" s="2760">
        <v>67.3</v>
      </c>
      <c r="E58" s="2759">
        <v>682</v>
      </c>
      <c r="F58" s="2759">
        <v>53</v>
      </c>
      <c r="G58" s="2759">
        <v>544</v>
      </c>
    </row>
    <row r="59" spans="1:13" ht="17.25" customHeight="1">
      <c r="A59" s="2757" t="s">
        <v>2637</v>
      </c>
      <c r="B59" s="2755">
        <v>103528</v>
      </c>
      <c r="C59" s="2644">
        <f t="shared" si="1"/>
        <v>5.0000000000000001E-3</v>
      </c>
      <c r="D59" s="2756">
        <v>0.5</v>
      </c>
      <c r="E59" s="2755">
        <v>6</v>
      </c>
      <c r="F59" s="2755">
        <v>0</v>
      </c>
      <c r="G59" s="2755">
        <v>4</v>
      </c>
    </row>
    <row r="60" spans="1:13" ht="17.25" customHeight="1">
      <c r="A60" s="2757" t="s">
        <v>2636</v>
      </c>
      <c r="B60" s="2755">
        <v>6640220</v>
      </c>
      <c r="C60" s="2644">
        <f t="shared" si="1"/>
        <v>0.311</v>
      </c>
      <c r="D60" s="2756">
        <v>31.1</v>
      </c>
      <c r="E60" s="2755">
        <v>515</v>
      </c>
      <c r="F60" s="2755">
        <v>6</v>
      </c>
      <c r="G60" s="2755">
        <v>52</v>
      </c>
    </row>
    <row r="61" spans="1:13" ht="17.25" customHeight="1">
      <c r="A61" s="2757" t="s">
        <v>2627</v>
      </c>
      <c r="B61" s="2755">
        <v>2050</v>
      </c>
      <c r="C61" s="2644">
        <f t="shared" si="1"/>
        <v>0</v>
      </c>
      <c r="D61" s="2756">
        <v>0</v>
      </c>
      <c r="E61" s="2755">
        <v>2</v>
      </c>
      <c r="F61" s="2755">
        <v>0</v>
      </c>
      <c r="G61" s="2755">
        <v>0</v>
      </c>
    </row>
    <row r="62" spans="1:13" ht="17.25" customHeight="1">
      <c r="A62" s="2757" t="s">
        <v>2635</v>
      </c>
      <c r="B62" s="2755">
        <v>20954</v>
      </c>
      <c r="C62" s="2644">
        <f t="shared" si="1"/>
        <v>1E-3</v>
      </c>
      <c r="D62" s="2756">
        <v>0.1</v>
      </c>
      <c r="E62" s="2755">
        <v>5</v>
      </c>
      <c r="F62" s="2755">
        <v>0</v>
      </c>
      <c r="G62" s="2755">
        <v>0</v>
      </c>
    </row>
    <row r="63" spans="1:13" ht="17.25" customHeight="1">
      <c r="A63" s="2757" t="s">
        <v>2634</v>
      </c>
      <c r="B63" s="2714">
        <v>74824</v>
      </c>
      <c r="C63" s="2644">
        <f t="shared" si="1"/>
        <v>4.0000000000000001E-3</v>
      </c>
      <c r="D63" s="2756">
        <v>0.4</v>
      </c>
      <c r="E63" s="2755">
        <v>26</v>
      </c>
      <c r="F63" s="2755">
        <v>0</v>
      </c>
      <c r="G63" s="2755">
        <v>0</v>
      </c>
    </row>
    <row r="64" spans="1:13" ht="16.5" customHeight="1">
      <c r="A64" s="2757" t="s">
        <v>2626</v>
      </c>
      <c r="B64" s="2755">
        <v>36377</v>
      </c>
      <c r="C64" s="2644">
        <f t="shared" si="1"/>
        <v>2E-3</v>
      </c>
      <c r="D64" s="2756">
        <v>0.2</v>
      </c>
      <c r="E64" s="2755">
        <v>24</v>
      </c>
      <c r="F64" s="2755">
        <v>0</v>
      </c>
      <c r="G64" s="2755">
        <v>0</v>
      </c>
    </row>
    <row r="65" spans="1:13" ht="17.25" customHeight="1">
      <c r="A65" s="2757" t="s">
        <v>2625</v>
      </c>
      <c r="B65" s="2755">
        <v>116572</v>
      </c>
      <c r="C65" s="2644">
        <f t="shared" si="1"/>
        <v>5.0000000000000001E-3</v>
      </c>
      <c r="D65" s="2756">
        <v>0.5</v>
      </c>
      <c r="E65" s="2755">
        <v>16</v>
      </c>
      <c r="F65" s="2755">
        <v>0</v>
      </c>
      <c r="G65" s="2755">
        <v>3</v>
      </c>
    </row>
    <row r="66" spans="1:13" ht="18.75" customHeight="1">
      <c r="A66" s="2673" t="s">
        <v>2624</v>
      </c>
      <c r="B66" s="2753">
        <v>21374344</v>
      </c>
      <c r="C66" s="2644">
        <f t="shared" si="1"/>
        <v>0</v>
      </c>
      <c r="D66" s="2754"/>
      <c r="E66" s="2753">
        <v>1276</v>
      </c>
      <c r="F66" s="2753">
        <v>59</v>
      </c>
      <c r="G66" s="2755">
        <v>603</v>
      </c>
    </row>
    <row r="67" spans="1:13" ht="18.75" customHeight="1">
      <c r="A67" s="2673"/>
      <c r="B67" s="2753"/>
      <c r="C67" s="2644">
        <f t="shared" si="1"/>
        <v>0</v>
      </c>
      <c r="D67" s="2754"/>
      <c r="E67" s="2753"/>
      <c r="F67" s="2753"/>
      <c r="G67" s="2755"/>
    </row>
    <row r="68" spans="1:13" s="2990" customFormat="1">
      <c r="A68" s="3517" t="s">
        <v>2641</v>
      </c>
      <c r="B68" s="3517"/>
      <c r="C68" s="3517"/>
      <c r="D68" s="3517"/>
      <c r="E68" s="3517"/>
      <c r="F68" s="3517"/>
      <c r="G68" s="3517"/>
      <c r="H68" s="3517"/>
      <c r="I68" s="3517"/>
    </row>
    <row r="69" spans="1:13" s="2990" customFormat="1" ht="17">
      <c r="A69" s="2999" t="s">
        <v>2631</v>
      </c>
      <c r="B69" s="2996">
        <v>11905925</v>
      </c>
      <c r="C69" s="2644">
        <f t="shared" ref="C69:C109" si="2">D69/100</f>
        <v>0.55000000000000004</v>
      </c>
      <c r="D69" s="2997">
        <v>55</v>
      </c>
      <c r="E69" s="3003">
        <v>518</v>
      </c>
      <c r="F69" s="3003">
        <v>49</v>
      </c>
      <c r="G69" s="2996">
        <v>470</v>
      </c>
      <c r="H69" s="2991"/>
      <c r="I69" s="2648" t="b">
        <f>I70=I71</f>
        <v>1</v>
      </c>
      <c r="J69" s="2648"/>
      <c r="K69" s="2648" t="b">
        <f>K70=K71</f>
        <v>1</v>
      </c>
      <c r="L69" s="2648" t="b">
        <f>L70=L71</f>
        <v>1</v>
      </c>
      <c r="M69" s="2648" t="b">
        <f>M70=M71</f>
        <v>1</v>
      </c>
    </row>
    <row r="70" spans="1:13" s="2990" customFormat="1" ht="17.25" customHeight="1">
      <c r="A70" s="2999" t="s">
        <v>2630</v>
      </c>
      <c r="B70" s="2996">
        <v>1372595</v>
      </c>
      <c r="C70" s="2644">
        <f t="shared" si="2"/>
        <v>6.5000000000000002E-2</v>
      </c>
      <c r="D70" s="2997">
        <v>6.5</v>
      </c>
      <c r="E70" s="2996">
        <v>111</v>
      </c>
      <c r="F70" s="3000">
        <v>5</v>
      </c>
      <c r="G70" s="2996">
        <v>32</v>
      </c>
      <c r="H70" s="2991"/>
      <c r="I70" s="2647">
        <f>SUM(B69:B73,B75:B82)</f>
        <v>21656373</v>
      </c>
      <c r="J70" s="2647">
        <f>SUM(D69:D73,D75:D82)</f>
        <v>99.999999999999986</v>
      </c>
      <c r="K70" s="2647">
        <f>SUM(E69:E73,E75:E82)</f>
        <v>1292</v>
      </c>
      <c r="L70" s="2647">
        <f>SUM(F69:F73,F75:F82)</f>
        <v>67</v>
      </c>
      <c r="M70" s="2647">
        <f>SUM(G69:G73,G75:G82)</f>
        <v>615</v>
      </c>
    </row>
    <row r="71" spans="1:13" s="2990" customFormat="1" ht="17.25" customHeight="1">
      <c r="A71" s="2999" t="s">
        <v>2640</v>
      </c>
      <c r="B71" s="2996">
        <v>100193</v>
      </c>
      <c r="C71" s="2644">
        <f t="shared" si="2"/>
        <v>5.0000000000000001E-3</v>
      </c>
      <c r="D71" s="2997">
        <v>0.5</v>
      </c>
      <c r="E71" s="2996">
        <v>4</v>
      </c>
      <c r="F71" s="2996">
        <v>0</v>
      </c>
      <c r="G71" s="2996">
        <v>4</v>
      </c>
      <c r="H71" s="2991"/>
      <c r="I71" s="2975">
        <f>B83</f>
        <v>21656373</v>
      </c>
      <c r="J71" s="2975">
        <f>D83</f>
        <v>0</v>
      </c>
      <c r="K71" s="2975">
        <f>E83</f>
        <v>1292</v>
      </c>
      <c r="L71" s="2975">
        <f>F83</f>
        <v>67</v>
      </c>
      <c r="M71" s="2975">
        <f>G83</f>
        <v>615</v>
      </c>
    </row>
    <row r="72" spans="1:13" s="2990" customFormat="1" ht="17.25" customHeight="1">
      <c r="A72" s="2999" t="s">
        <v>2639</v>
      </c>
      <c r="B72" s="2996">
        <v>809302</v>
      </c>
      <c r="C72" s="2644">
        <f t="shared" si="2"/>
        <v>3.7000000000000005E-2</v>
      </c>
      <c r="D72" s="2997">
        <v>3.7</v>
      </c>
      <c r="E72" s="2996">
        <v>41</v>
      </c>
      <c r="F72" s="2996">
        <v>7</v>
      </c>
      <c r="G72" s="2996">
        <v>35</v>
      </c>
      <c r="H72" s="2991"/>
      <c r="I72" s="2991"/>
    </row>
    <row r="73" spans="1:13" s="2990" customFormat="1" ht="18" customHeight="1">
      <c r="A73" s="2999" t="s">
        <v>2629</v>
      </c>
      <c r="B73" s="2996">
        <v>341370</v>
      </c>
      <c r="C73" s="2644">
        <f t="shared" si="2"/>
        <v>1.4999999999999999E-2</v>
      </c>
      <c r="D73" s="3001">
        <v>1.5</v>
      </c>
      <c r="E73" s="2996">
        <v>20</v>
      </c>
      <c r="F73" s="2996">
        <v>0</v>
      </c>
      <c r="G73" s="2996">
        <v>13</v>
      </c>
      <c r="H73" s="2991"/>
      <c r="I73" s="2991"/>
    </row>
    <row r="74" spans="1:13" s="2990" customFormat="1" ht="17.25" customHeight="1">
      <c r="A74" s="3002" t="s">
        <v>2638</v>
      </c>
      <c r="B74" s="3000">
        <v>14529385</v>
      </c>
      <c r="C74" s="2644">
        <f t="shared" si="2"/>
        <v>0.67200000000000004</v>
      </c>
      <c r="D74" s="3001">
        <v>67.2</v>
      </c>
      <c r="E74" s="3000">
        <v>694</v>
      </c>
      <c r="F74" s="3000">
        <v>61</v>
      </c>
      <c r="G74" s="3000">
        <v>554</v>
      </c>
      <c r="H74" s="2991"/>
      <c r="I74" s="2991"/>
    </row>
    <row r="75" spans="1:13" s="2990" customFormat="1" ht="18" customHeight="1">
      <c r="A75" s="2999" t="s">
        <v>2637</v>
      </c>
      <c r="B75" s="2998">
        <v>103528</v>
      </c>
      <c r="C75" s="2644">
        <f t="shared" si="2"/>
        <v>5.0000000000000001E-3</v>
      </c>
      <c r="D75" s="2997">
        <v>0.5</v>
      </c>
      <c r="E75" s="2996">
        <v>6</v>
      </c>
      <c r="F75" s="2996">
        <v>0</v>
      </c>
      <c r="G75" s="2996">
        <v>4</v>
      </c>
      <c r="H75" s="2991"/>
      <c r="I75" s="2991"/>
    </row>
    <row r="76" spans="1:13" s="2990" customFormat="1" ht="18" customHeight="1">
      <c r="A76" s="2999" t="s">
        <v>2636</v>
      </c>
      <c r="B76" s="2996">
        <v>6649630</v>
      </c>
      <c r="C76" s="2644">
        <f t="shared" si="2"/>
        <v>0.309</v>
      </c>
      <c r="D76" s="2997">
        <v>30.9</v>
      </c>
      <c r="E76" s="2996">
        <v>516</v>
      </c>
      <c r="F76" s="2996">
        <v>6</v>
      </c>
      <c r="G76" s="2996">
        <v>52</v>
      </c>
      <c r="H76" s="2991"/>
      <c r="I76" s="2991"/>
    </row>
    <row r="77" spans="1:13" s="2990" customFormat="1" ht="17.25" customHeight="1">
      <c r="A77" s="2999" t="s">
        <v>2627</v>
      </c>
      <c r="B77" s="2996">
        <v>2050</v>
      </c>
      <c r="C77" s="2644">
        <f t="shared" si="2"/>
        <v>0</v>
      </c>
      <c r="D77" s="2997">
        <v>0</v>
      </c>
      <c r="E77" s="2996">
        <v>2</v>
      </c>
      <c r="F77" s="2996">
        <v>0</v>
      </c>
      <c r="G77" s="2996">
        <v>0</v>
      </c>
      <c r="H77" s="2991"/>
      <c r="I77" s="2991"/>
    </row>
    <row r="78" spans="1:13" s="2990" customFormat="1" ht="18" customHeight="1">
      <c r="A78" s="2999" t="s">
        <v>2635</v>
      </c>
      <c r="B78" s="2996">
        <v>20954</v>
      </c>
      <c r="C78" s="2644">
        <f t="shared" si="2"/>
        <v>1E-3</v>
      </c>
      <c r="D78" s="2997">
        <v>0.1</v>
      </c>
      <c r="E78" s="2996">
        <v>5</v>
      </c>
      <c r="F78" s="2996">
        <v>0</v>
      </c>
      <c r="G78" s="2996">
        <v>0</v>
      </c>
      <c r="H78" s="2991"/>
      <c r="I78" s="2991"/>
    </row>
    <row r="79" spans="1:13" s="2990" customFormat="1" ht="18" customHeight="1">
      <c r="A79" s="2999" t="s">
        <v>2634</v>
      </c>
      <c r="B79" s="2996">
        <v>74824</v>
      </c>
      <c r="C79" s="2644">
        <f t="shared" si="2"/>
        <v>3.0000000000000001E-3</v>
      </c>
      <c r="D79" s="2997">
        <v>0.3</v>
      </c>
      <c r="E79" s="2996">
        <v>26</v>
      </c>
      <c r="F79" s="2996">
        <v>0</v>
      </c>
      <c r="G79" s="2996">
        <v>0</v>
      </c>
      <c r="H79" s="2991"/>
      <c r="I79" s="2991"/>
    </row>
    <row r="80" spans="1:13" s="2990" customFormat="1" ht="18" customHeight="1">
      <c r="A80" s="2999" t="s">
        <v>2633</v>
      </c>
      <c r="B80" s="2996">
        <v>123053</v>
      </c>
      <c r="C80" s="2644">
        <f t="shared" si="2"/>
        <v>3.0000000000000001E-3</v>
      </c>
      <c r="D80" s="2997">
        <v>0.3</v>
      </c>
      <c r="E80" s="2996">
        <v>3</v>
      </c>
      <c r="F80" s="2996">
        <v>0</v>
      </c>
      <c r="G80" s="2996">
        <v>2</v>
      </c>
      <c r="H80" s="2991"/>
      <c r="I80" s="2991"/>
    </row>
    <row r="81" spans="1:13" s="2990" customFormat="1" ht="17.25" customHeight="1">
      <c r="A81" s="2999" t="s">
        <v>2626</v>
      </c>
      <c r="B81" s="2996">
        <v>36377</v>
      </c>
      <c r="C81" s="2644">
        <f t="shared" si="2"/>
        <v>2E-3</v>
      </c>
      <c r="D81" s="2997">
        <v>0.2</v>
      </c>
      <c r="E81" s="2996">
        <v>24</v>
      </c>
      <c r="F81" s="2996">
        <v>0</v>
      </c>
      <c r="G81" s="2996">
        <v>0</v>
      </c>
      <c r="H81" s="2991"/>
      <c r="I81" s="2991"/>
    </row>
    <row r="82" spans="1:13" s="2990" customFormat="1" ht="17.25" customHeight="1">
      <c r="A82" s="2999" t="s">
        <v>2625</v>
      </c>
      <c r="B82" s="2998">
        <v>116572</v>
      </c>
      <c r="C82" s="2644">
        <f t="shared" si="2"/>
        <v>5.0000000000000001E-3</v>
      </c>
      <c r="D82" s="2997">
        <v>0.5</v>
      </c>
      <c r="E82" s="2996">
        <v>16</v>
      </c>
      <c r="F82" s="2996">
        <v>0</v>
      </c>
      <c r="G82" s="2996">
        <v>3</v>
      </c>
      <c r="H82" s="2991"/>
      <c r="I82" s="2991"/>
    </row>
    <row r="83" spans="1:13" s="2990" customFormat="1" ht="17.25" customHeight="1">
      <c r="A83" s="3004" t="s">
        <v>2624</v>
      </c>
      <c r="B83" s="2994">
        <v>21656373</v>
      </c>
      <c r="C83" s="2644">
        <f t="shared" si="2"/>
        <v>0</v>
      </c>
      <c r="D83" s="2995"/>
      <c r="E83" s="2994">
        <v>1292</v>
      </c>
      <c r="F83" s="2994">
        <v>67</v>
      </c>
      <c r="G83" s="2994">
        <v>615</v>
      </c>
      <c r="H83" s="2991"/>
      <c r="I83" s="2991"/>
    </row>
    <row r="84" spans="1:13" s="2990" customFormat="1">
      <c r="B84" s="2992"/>
      <c r="C84" s="2644">
        <f t="shared" si="2"/>
        <v>0</v>
      </c>
      <c r="D84" s="2993"/>
      <c r="E84" s="2992"/>
      <c r="F84" s="2992"/>
      <c r="G84" s="2992"/>
      <c r="H84" s="2991"/>
      <c r="I84" s="2991"/>
    </row>
    <row r="85" spans="1:13" ht="16.5" customHeight="1">
      <c r="A85" s="2673" t="s">
        <v>2632</v>
      </c>
      <c r="B85" s="2711"/>
      <c r="C85" s="2644">
        <f t="shared" si="2"/>
        <v>0</v>
      </c>
      <c r="D85" s="2754"/>
      <c r="E85" s="2711"/>
      <c r="F85" s="2711"/>
      <c r="G85" s="2711"/>
    </row>
    <row r="86" spans="1:13" ht="17.25" customHeight="1">
      <c r="A86" s="2757" t="s">
        <v>2631</v>
      </c>
      <c r="B86" s="2755">
        <v>5381</v>
      </c>
      <c r="C86" s="2644">
        <f t="shared" si="2"/>
        <v>0.18899999999999997</v>
      </c>
      <c r="D86" s="2756">
        <v>18.899999999999999</v>
      </c>
      <c r="E86" s="2755">
        <v>9</v>
      </c>
      <c r="F86" s="2755">
        <v>7</v>
      </c>
      <c r="G86" s="2755">
        <v>8</v>
      </c>
      <c r="I86" s="2648" t="b">
        <f>I87=I88</f>
        <v>0</v>
      </c>
      <c r="J86" s="2648"/>
      <c r="K86" s="2648" t="b">
        <f>K87=K88</f>
        <v>0</v>
      </c>
      <c r="L86" s="2648" t="b">
        <f>L87=L88</f>
        <v>1</v>
      </c>
      <c r="M86" s="2648" t="b">
        <f>M87=M88</f>
        <v>1</v>
      </c>
    </row>
    <row r="87" spans="1:13" ht="18" customHeight="1">
      <c r="A87" s="2757" t="s">
        <v>2630</v>
      </c>
      <c r="B87" s="2755">
        <v>2229</v>
      </c>
      <c r="C87" s="2644">
        <f t="shared" si="2"/>
        <v>7.9000000000000001E-2</v>
      </c>
      <c r="D87" s="2756">
        <v>7.9</v>
      </c>
      <c r="E87" s="2755">
        <v>2</v>
      </c>
      <c r="F87" s="2720">
        <v>1</v>
      </c>
      <c r="G87" s="2755">
        <v>2</v>
      </c>
      <c r="I87" s="2647">
        <f>SUM(B86:B88,B91:B92)</f>
        <v>27521</v>
      </c>
      <c r="J87" s="2647">
        <f>SUM(D86:D88,D91:D92)</f>
        <v>96.800000000000011</v>
      </c>
      <c r="K87" s="2647">
        <f>SUM(E86:E88,E91:E92)</f>
        <v>16</v>
      </c>
      <c r="L87" s="2647">
        <f>SUM(F86:F88,F91:F92)</f>
        <v>8</v>
      </c>
      <c r="M87" s="2647">
        <f>SUM(G86:G88,G91:G92)</f>
        <v>12</v>
      </c>
    </row>
    <row r="88" spans="1:13" ht="17.25" customHeight="1">
      <c r="A88" s="2757" t="s">
        <v>2629</v>
      </c>
      <c r="B88" s="2755">
        <v>2759</v>
      </c>
      <c r="C88" s="2644">
        <f t="shared" si="2"/>
        <v>9.6999999999999989E-2</v>
      </c>
      <c r="D88" s="2756">
        <v>9.6999999999999993</v>
      </c>
      <c r="E88" s="2755">
        <v>1</v>
      </c>
      <c r="F88" s="2755">
        <v>0</v>
      </c>
      <c r="G88" s="2755">
        <v>0</v>
      </c>
      <c r="I88" s="2975">
        <f>B93</f>
        <v>28435</v>
      </c>
      <c r="J88" s="2975">
        <f>D93</f>
        <v>0</v>
      </c>
      <c r="K88" s="2975">
        <f>E93</f>
        <v>17</v>
      </c>
      <c r="L88" s="2975">
        <f>F93</f>
        <v>8</v>
      </c>
      <c r="M88" s="2975">
        <f>G93</f>
        <v>12</v>
      </c>
    </row>
    <row r="89" spans="1:13" ht="17.25" customHeight="1">
      <c r="A89" s="2761" t="s">
        <v>2628</v>
      </c>
      <c r="B89" s="2759">
        <v>10369</v>
      </c>
      <c r="C89" s="2644">
        <f t="shared" si="2"/>
        <v>0.36499999999999999</v>
      </c>
      <c r="D89" s="2760">
        <v>36.5</v>
      </c>
      <c r="E89" s="2759">
        <v>12</v>
      </c>
      <c r="F89" s="2759">
        <v>8</v>
      </c>
      <c r="G89" s="2758">
        <v>10</v>
      </c>
    </row>
    <row r="90" spans="1:13" ht="17.25" customHeight="1">
      <c r="A90" s="2757" t="s">
        <v>2627</v>
      </c>
      <c r="B90" s="2755">
        <v>914</v>
      </c>
      <c r="C90" s="2644">
        <f t="shared" si="2"/>
        <v>3.2000000000000001E-2</v>
      </c>
      <c r="D90" s="2756">
        <v>3.2</v>
      </c>
      <c r="E90" s="2755">
        <v>1</v>
      </c>
      <c r="F90" s="2755">
        <v>0</v>
      </c>
      <c r="G90" s="2755">
        <v>0</v>
      </c>
    </row>
    <row r="91" spans="1:13" ht="18" customHeight="1">
      <c r="A91" s="2757" t="s">
        <v>2626</v>
      </c>
      <c r="B91" s="2755">
        <v>461</v>
      </c>
      <c r="C91" s="2644">
        <f t="shared" si="2"/>
        <v>1.6E-2</v>
      </c>
      <c r="D91" s="2756">
        <v>1.6</v>
      </c>
      <c r="E91" s="2714">
        <v>1</v>
      </c>
      <c r="F91" s="2755">
        <v>0</v>
      </c>
      <c r="G91" s="2755">
        <v>0</v>
      </c>
    </row>
    <row r="92" spans="1:13" ht="17.25" customHeight="1">
      <c r="A92" s="2757" t="s">
        <v>2625</v>
      </c>
      <c r="B92" s="2714">
        <v>16691</v>
      </c>
      <c r="C92" s="2644">
        <f t="shared" si="2"/>
        <v>0.58700000000000008</v>
      </c>
      <c r="D92" s="2756">
        <v>58.7</v>
      </c>
      <c r="E92" s="2755">
        <v>3</v>
      </c>
      <c r="F92" s="2755">
        <v>0</v>
      </c>
      <c r="G92" s="2755">
        <v>2</v>
      </c>
    </row>
    <row r="93" spans="1:13" ht="18" customHeight="1">
      <c r="A93" s="2673" t="s">
        <v>2624</v>
      </c>
      <c r="B93" s="2753">
        <v>28435</v>
      </c>
      <c r="C93" s="2644">
        <f t="shared" si="2"/>
        <v>0</v>
      </c>
      <c r="D93" s="2754"/>
      <c r="E93" s="2753">
        <v>17</v>
      </c>
      <c r="F93" s="2753">
        <v>8</v>
      </c>
      <c r="G93" s="2753">
        <v>12</v>
      </c>
    </row>
    <row r="94" spans="1:13">
      <c r="C94" s="2644">
        <f t="shared" si="2"/>
        <v>0</v>
      </c>
    </row>
    <row r="95" spans="1:13">
      <c r="A95" s="2750" t="s">
        <v>2537</v>
      </c>
      <c r="C95" s="2644">
        <f t="shared" si="2"/>
        <v>0</v>
      </c>
    </row>
    <row r="96" spans="1:13">
      <c r="C96" s="2644">
        <f t="shared" si="2"/>
        <v>0</v>
      </c>
    </row>
    <row r="97" spans="3:3">
      <c r="C97" s="2644">
        <f t="shared" si="2"/>
        <v>0</v>
      </c>
    </row>
    <row r="98" spans="3:3">
      <c r="C98" s="2644">
        <f t="shared" si="2"/>
        <v>0</v>
      </c>
    </row>
    <row r="99" spans="3:3">
      <c r="C99" s="2644">
        <f t="shared" si="2"/>
        <v>0</v>
      </c>
    </row>
    <row r="100" spans="3:3">
      <c r="C100" s="2644">
        <f t="shared" si="2"/>
        <v>0</v>
      </c>
    </row>
    <row r="101" spans="3:3">
      <c r="C101" s="2644">
        <f t="shared" si="2"/>
        <v>0</v>
      </c>
    </row>
    <row r="102" spans="3:3">
      <c r="C102" s="2644">
        <f t="shared" si="2"/>
        <v>0</v>
      </c>
    </row>
    <row r="103" spans="3:3">
      <c r="C103" s="2644">
        <f t="shared" si="2"/>
        <v>0</v>
      </c>
    </row>
    <row r="104" spans="3:3">
      <c r="C104" s="2644">
        <f t="shared" si="2"/>
        <v>0</v>
      </c>
    </row>
    <row r="105" spans="3:3">
      <c r="C105" s="2644">
        <f t="shared" si="2"/>
        <v>0</v>
      </c>
    </row>
    <row r="106" spans="3:3">
      <c r="C106" s="2644">
        <f t="shared" si="2"/>
        <v>0</v>
      </c>
    </row>
    <row r="107" spans="3:3">
      <c r="C107" s="2644">
        <f t="shared" si="2"/>
        <v>0</v>
      </c>
    </row>
    <row r="108" spans="3:3">
      <c r="C108" s="2644">
        <f t="shared" si="2"/>
        <v>0</v>
      </c>
    </row>
    <row r="109" spans="3:3">
      <c r="C109" s="2644">
        <f t="shared" si="2"/>
        <v>0</v>
      </c>
    </row>
  </sheetData>
  <mergeCells count="1">
    <mergeCell ref="A68:I68"/>
  </mergeCells>
  <conditionalFormatting sqref="I5:M5">
    <cfRule type="cellIs" dxfId="88" priority="7" operator="equal">
      <formula>"""FALSE"""</formula>
    </cfRule>
  </conditionalFormatting>
  <conditionalFormatting sqref="I19:M19">
    <cfRule type="cellIs" dxfId="87" priority="6" operator="equal">
      <formula>"""FALSE"""</formula>
    </cfRule>
  </conditionalFormatting>
  <conditionalFormatting sqref="I33:M33">
    <cfRule type="cellIs" dxfId="86" priority="5" operator="equal">
      <formula>"""FALSE"""</formula>
    </cfRule>
  </conditionalFormatting>
  <conditionalFormatting sqref="I46:M46">
    <cfRule type="cellIs" dxfId="85" priority="4" operator="equal">
      <formula>"""FALSE"""</formula>
    </cfRule>
  </conditionalFormatting>
  <conditionalFormatting sqref="I53:M53">
    <cfRule type="cellIs" dxfId="84" priority="3" operator="equal">
      <formula>"""FALSE"""</formula>
    </cfRule>
  </conditionalFormatting>
  <conditionalFormatting sqref="I69:M69">
    <cfRule type="cellIs" dxfId="83" priority="2" operator="equal">
      <formula>"""FALSE"""</formula>
    </cfRule>
  </conditionalFormatting>
  <conditionalFormatting sqref="I86:M86">
    <cfRule type="cellIs" dxfId="82" priority="1" operator="equal">
      <formula>"""FALSE"""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0"/>
  </sheetPr>
  <dimension ref="A1:AK100"/>
  <sheetViews>
    <sheetView showGridLines="0" zoomScale="85" zoomScaleNormal="85" workbookViewId="0">
      <selection activeCell="K21" sqref="K21"/>
    </sheetView>
  </sheetViews>
  <sheetFormatPr baseColWidth="10" defaultColWidth="9.3984375" defaultRowHeight="13"/>
  <cols>
    <col min="1" max="1" width="9.3984375" style="113"/>
    <col min="2" max="2" width="32.19921875" style="113" bestFit="1" customWidth="1"/>
    <col min="3" max="3" width="12.3984375" style="113" customWidth="1"/>
    <col min="4" max="5" width="11.3984375" style="113" bestFit="1" customWidth="1"/>
    <col min="6" max="6" width="16.796875" style="113" bestFit="1" customWidth="1"/>
    <col min="7" max="7" width="10.3984375" style="113" bestFit="1" customWidth="1"/>
    <col min="8" max="32" width="9.3984375" style="113"/>
    <col min="33" max="33" width="9.3984375" style="1026" customWidth="1"/>
    <col min="34" max="34" width="9.3984375" style="113"/>
    <col min="35" max="35" width="3.19921875" style="113" customWidth="1"/>
    <col min="36" max="16384" width="9.3984375" style="113"/>
  </cols>
  <sheetData>
    <row r="1" spans="1:33">
      <c r="A1" s="113" t="s">
        <v>1660</v>
      </c>
      <c r="D1" s="113" t="s">
        <v>1652</v>
      </c>
      <c r="E1" s="113" t="s">
        <v>1653</v>
      </c>
      <c r="F1" s="113" t="s">
        <v>1661</v>
      </c>
      <c r="G1" s="113" t="s">
        <v>1662</v>
      </c>
    </row>
    <row r="2" spans="1:33">
      <c r="A2" s="113">
        <v>1</v>
      </c>
      <c r="B2" s="113" t="s">
        <v>1638</v>
      </c>
      <c r="D2" s="582">
        <v>1</v>
      </c>
      <c r="E2" s="582">
        <v>924</v>
      </c>
      <c r="F2" s="133">
        <f>E2-D2</f>
        <v>923</v>
      </c>
      <c r="G2" s="583">
        <f>+F2/365</f>
        <v>2.5287671232876714</v>
      </c>
      <c r="H2" s="101"/>
    </row>
    <row r="3" spans="1:33">
      <c r="A3" s="113">
        <v>1</v>
      </c>
      <c r="B3" s="113" t="s">
        <v>1639</v>
      </c>
      <c r="D3" s="582">
        <v>924</v>
      </c>
      <c r="E3" s="582">
        <v>2166</v>
      </c>
      <c r="F3" s="133">
        <f t="shared" ref="F3:F13" si="0">E3-D3</f>
        <v>1242</v>
      </c>
      <c r="G3" s="583">
        <f t="shared" ref="G3:G34" si="1">+F3/365</f>
        <v>3.4027397260273973</v>
      </c>
    </row>
    <row r="4" spans="1:33">
      <c r="A4" s="113">
        <v>1</v>
      </c>
      <c r="B4" s="113" t="s">
        <v>1640</v>
      </c>
      <c r="D4" s="582">
        <v>2166</v>
      </c>
      <c r="E4" s="582">
        <v>3018</v>
      </c>
      <c r="F4" s="133">
        <f t="shared" si="0"/>
        <v>852</v>
      </c>
      <c r="G4" s="583">
        <f t="shared" si="1"/>
        <v>2.3342465753424659</v>
      </c>
    </row>
    <row r="5" spans="1:33">
      <c r="A5" s="113">
        <v>1</v>
      </c>
      <c r="B5" s="113" t="s">
        <v>1654</v>
      </c>
      <c r="D5" s="582">
        <v>3018</v>
      </c>
      <c r="E5" s="582">
        <v>6185</v>
      </c>
      <c r="F5" s="133">
        <f t="shared" si="0"/>
        <v>3167</v>
      </c>
      <c r="G5" s="583">
        <f t="shared" si="1"/>
        <v>8.6767123287671239</v>
      </c>
    </row>
    <row r="6" spans="1:33">
      <c r="A6" s="113">
        <v>1</v>
      </c>
      <c r="B6" s="113" t="s">
        <v>197</v>
      </c>
      <c r="D6" s="582">
        <v>6185</v>
      </c>
      <c r="E6" s="582">
        <v>8332</v>
      </c>
      <c r="F6" s="133">
        <f t="shared" si="0"/>
        <v>2147</v>
      </c>
      <c r="G6" s="583">
        <f t="shared" si="1"/>
        <v>5.882191780821918</v>
      </c>
    </row>
    <row r="7" spans="1:33">
      <c r="A7" s="113">
        <v>1</v>
      </c>
      <c r="B7" s="113" t="s">
        <v>198</v>
      </c>
      <c r="D7" s="582">
        <v>8332</v>
      </c>
      <c r="E7" s="582">
        <v>8543</v>
      </c>
      <c r="F7" s="133">
        <f t="shared" si="0"/>
        <v>211</v>
      </c>
      <c r="G7" s="583">
        <f t="shared" si="1"/>
        <v>0.57808219178082187</v>
      </c>
    </row>
    <row r="8" spans="1:33">
      <c r="A8" s="113">
        <v>0</v>
      </c>
      <c r="B8" s="113" t="s">
        <v>200</v>
      </c>
      <c r="D8" s="582">
        <v>8543</v>
      </c>
      <c r="E8" s="582">
        <v>8788</v>
      </c>
      <c r="F8" s="133">
        <f t="shared" si="0"/>
        <v>245</v>
      </c>
      <c r="G8" s="583">
        <f t="shared" si="1"/>
        <v>0.67123287671232879</v>
      </c>
    </row>
    <row r="9" spans="1:33">
      <c r="A9" s="113">
        <v>0</v>
      </c>
      <c r="B9" s="113" t="s">
        <v>200</v>
      </c>
      <c r="D9" s="582">
        <v>9075</v>
      </c>
      <c r="E9" s="582">
        <v>10749</v>
      </c>
      <c r="F9" s="133">
        <f t="shared" si="0"/>
        <v>1674</v>
      </c>
      <c r="G9" s="583">
        <f t="shared" si="1"/>
        <v>4.5863013698630137</v>
      </c>
    </row>
    <row r="10" spans="1:33">
      <c r="A10" s="113">
        <v>0</v>
      </c>
      <c r="B10" s="113" t="s">
        <v>200</v>
      </c>
      <c r="D10" s="582">
        <v>12942</v>
      </c>
      <c r="E10" s="582">
        <v>13663</v>
      </c>
      <c r="F10" s="133">
        <f t="shared" si="0"/>
        <v>721</v>
      </c>
      <c r="G10" s="583">
        <f t="shared" si="1"/>
        <v>1.9753424657534246</v>
      </c>
    </row>
    <row r="11" spans="1:33" s="178" customFormat="1">
      <c r="A11" s="178">
        <v>1</v>
      </c>
      <c r="B11" s="178" t="s">
        <v>200</v>
      </c>
      <c r="D11" s="584"/>
      <c r="E11" s="584"/>
      <c r="F11" s="585">
        <f>SUM(F8:F10)</f>
        <v>2640</v>
      </c>
      <c r="G11" s="586">
        <f t="shared" si="1"/>
        <v>7.2328767123287667</v>
      </c>
      <c r="AG11" s="1027"/>
    </row>
    <row r="12" spans="1:33">
      <c r="A12" s="113">
        <v>0</v>
      </c>
      <c r="B12" s="113" t="s">
        <v>201</v>
      </c>
      <c r="D12" s="582">
        <v>8788</v>
      </c>
      <c r="E12" s="582">
        <v>9075</v>
      </c>
      <c r="F12" s="133">
        <f t="shared" si="0"/>
        <v>287</v>
      </c>
      <c r="G12" s="583">
        <f t="shared" si="1"/>
        <v>0.78630136986301369</v>
      </c>
    </row>
    <row r="13" spans="1:33">
      <c r="A13" s="113">
        <v>0</v>
      </c>
      <c r="B13" s="113" t="s">
        <v>201</v>
      </c>
      <c r="D13" s="582">
        <v>10749</v>
      </c>
      <c r="E13" s="582">
        <v>12942</v>
      </c>
      <c r="F13" s="133">
        <f t="shared" si="0"/>
        <v>2193</v>
      </c>
      <c r="G13" s="583">
        <f t="shared" si="1"/>
        <v>6.0082191780821921</v>
      </c>
      <c r="M13" s="113">
        <v>1</v>
      </c>
      <c r="N13" s="113" t="s">
        <v>1641</v>
      </c>
    </row>
    <row r="14" spans="1:33" s="178" customFormat="1">
      <c r="A14" s="178">
        <v>1</v>
      </c>
      <c r="B14" s="178" t="s">
        <v>201</v>
      </c>
      <c r="D14" s="584"/>
      <c r="E14" s="584"/>
      <c r="F14" s="585">
        <f>SUM(F12:F13)</f>
        <v>2480</v>
      </c>
      <c r="G14" s="583">
        <f>+F14/365</f>
        <v>6.7945205479452051</v>
      </c>
      <c r="AG14" s="1027"/>
    </row>
    <row r="15" spans="1:33">
      <c r="A15" s="113">
        <v>1</v>
      </c>
      <c r="B15" s="113" t="s">
        <v>1655</v>
      </c>
      <c r="D15" s="582">
        <v>13663</v>
      </c>
      <c r="E15" s="582">
        <v>14741</v>
      </c>
      <c r="F15" s="133">
        <f>E15-D15</f>
        <v>1078</v>
      </c>
      <c r="G15" s="583">
        <f t="shared" si="1"/>
        <v>2.9534246575342467</v>
      </c>
      <c r="M15" s="113">
        <v>2</v>
      </c>
      <c r="N15" s="113" t="s">
        <v>82</v>
      </c>
    </row>
    <row r="16" spans="1:33">
      <c r="A16" s="113">
        <v>0</v>
      </c>
      <c r="B16" s="113" t="s">
        <v>1656</v>
      </c>
      <c r="D16" s="582">
        <v>14741</v>
      </c>
      <c r="E16" s="582">
        <v>16644</v>
      </c>
      <c r="F16" s="133">
        <f>E16-D16</f>
        <v>1903</v>
      </c>
      <c r="G16" s="583">
        <f t="shared" si="1"/>
        <v>5.2136986301369861</v>
      </c>
      <c r="M16" s="113">
        <v>3</v>
      </c>
      <c r="N16" s="113" t="s">
        <v>1642</v>
      </c>
    </row>
    <row r="17" spans="1:33">
      <c r="A17" s="113">
        <v>0</v>
      </c>
      <c r="B17" s="113" t="s">
        <v>1656</v>
      </c>
      <c r="D17" s="582">
        <v>18927</v>
      </c>
      <c r="E17" s="582">
        <v>20185</v>
      </c>
      <c r="F17" s="133">
        <f t="shared" ref="F17:F34" si="2">E17-D17</f>
        <v>1258</v>
      </c>
      <c r="G17" s="583">
        <f t="shared" si="1"/>
        <v>3.4465753424657533</v>
      </c>
    </row>
    <row r="18" spans="1:33" s="178" customFormat="1">
      <c r="A18" s="178">
        <v>1</v>
      </c>
      <c r="B18" s="178" t="s">
        <v>1656</v>
      </c>
      <c r="D18" s="584"/>
      <c r="E18" s="584"/>
      <c r="F18" s="585">
        <f>SUM(F16:F17)</f>
        <v>3161</v>
      </c>
      <c r="G18" s="586">
        <f t="shared" si="1"/>
        <v>8.6602739726027398</v>
      </c>
      <c r="AG18" s="1027"/>
    </row>
    <row r="19" spans="1:33">
      <c r="A19" s="113">
        <v>1</v>
      </c>
      <c r="B19" s="113" t="s">
        <v>202</v>
      </c>
      <c r="D19" s="582">
        <v>16644</v>
      </c>
      <c r="E19" s="582">
        <v>18927</v>
      </c>
      <c r="F19" s="133">
        <f t="shared" si="2"/>
        <v>2283</v>
      </c>
      <c r="G19" s="583">
        <f t="shared" si="1"/>
        <v>6.2547945205479456</v>
      </c>
      <c r="M19" s="113">
        <v>4</v>
      </c>
      <c r="N19" s="113" t="s">
        <v>1643</v>
      </c>
    </row>
    <row r="20" spans="1:33">
      <c r="A20" s="113">
        <v>1</v>
      </c>
      <c r="B20" s="113" t="s">
        <v>1657</v>
      </c>
      <c r="D20" s="582">
        <v>20185</v>
      </c>
      <c r="E20" s="582">
        <v>20830</v>
      </c>
      <c r="F20" s="133">
        <f t="shared" si="2"/>
        <v>645</v>
      </c>
      <c r="G20" s="583">
        <f t="shared" si="1"/>
        <v>1.7671232876712328</v>
      </c>
      <c r="M20" s="113">
        <v>5</v>
      </c>
      <c r="N20" s="113" t="s">
        <v>1644</v>
      </c>
    </row>
    <row r="21" spans="1:33">
      <c r="A21" s="113">
        <v>1</v>
      </c>
      <c r="B21" s="113" t="s">
        <v>727</v>
      </c>
      <c r="D21" s="582">
        <v>20830</v>
      </c>
      <c r="E21" s="582">
        <v>23302</v>
      </c>
      <c r="F21" s="133">
        <f t="shared" si="2"/>
        <v>2472</v>
      </c>
      <c r="G21" s="583">
        <f t="shared" si="1"/>
        <v>6.7726027397260271</v>
      </c>
      <c r="M21" s="113">
        <v>6</v>
      </c>
      <c r="N21" s="113" t="s">
        <v>1645</v>
      </c>
    </row>
    <row r="22" spans="1:33">
      <c r="A22" s="113">
        <v>1</v>
      </c>
      <c r="B22" s="113" t="s">
        <v>1658</v>
      </c>
      <c r="D22" s="582">
        <v>23302</v>
      </c>
      <c r="E22" s="582">
        <v>23666</v>
      </c>
      <c r="F22" s="133">
        <f t="shared" si="2"/>
        <v>364</v>
      </c>
      <c r="G22" s="583">
        <f t="shared" si="1"/>
        <v>0.99726027397260275</v>
      </c>
      <c r="M22" s="113">
        <v>7</v>
      </c>
      <c r="N22" s="113" t="s">
        <v>1646</v>
      </c>
    </row>
    <row r="23" spans="1:33">
      <c r="A23" s="113">
        <v>0</v>
      </c>
      <c r="B23" s="113" t="s">
        <v>205</v>
      </c>
      <c r="D23" s="582">
        <v>23666</v>
      </c>
      <c r="E23" s="582">
        <v>25738</v>
      </c>
      <c r="F23" s="133">
        <f t="shared" si="2"/>
        <v>2072</v>
      </c>
      <c r="G23" s="583">
        <f t="shared" si="1"/>
        <v>5.6767123287671231</v>
      </c>
      <c r="M23" s="113">
        <v>8</v>
      </c>
      <c r="N23" s="113" t="s">
        <v>1647</v>
      </c>
    </row>
    <row r="24" spans="1:33">
      <c r="A24" s="113">
        <v>0</v>
      </c>
      <c r="B24" s="113" t="s">
        <v>205</v>
      </c>
      <c r="D24" s="582">
        <v>27092</v>
      </c>
      <c r="E24" s="582">
        <v>27855</v>
      </c>
      <c r="F24" s="133">
        <f t="shared" si="2"/>
        <v>763</v>
      </c>
      <c r="G24" s="583">
        <f t="shared" si="1"/>
        <v>2.0904109589041098</v>
      </c>
    </row>
    <row r="25" spans="1:33" s="178" customFormat="1">
      <c r="A25" s="178">
        <v>1</v>
      </c>
      <c r="B25" s="178" t="s">
        <v>205</v>
      </c>
      <c r="D25" s="584"/>
      <c r="E25" s="584"/>
      <c r="F25" s="585">
        <f>SUM(F23:F24)</f>
        <v>2835</v>
      </c>
      <c r="G25" s="586">
        <f t="shared" si="1"/>
        <v>7.7671232876712333</v>
      </c>
      <c r="AG25" s="1027"/>
    </row>
    <row r="26" spans="1:33">
      <c r="A26" s="113">
        <v>1</v>
      </c>
      <c r="B26" s="113" t="s">
        <v>206</v>
      </c>
      <c r="D26" s="582">
        <v>25738</v>
      </c>
      <c r="E26" s="582">
        <v>27092</v>
      </c>
      <c r="F26" s="133">
        <f>E26-D26</f>
        <v>1354</v>
      </c>
      <c r="G26" s="583">
        <f t="shared" si="1"/>
        <v>3.7095890410958905</v>
      </c>
      <c r="M26" s="113">
        <v>9</v>
      </c>
      <c r="N26" s="113" t="s">
        <v>1648</v>
      </c>
    </row>
    <row r="27" spans="1:33">
      <c r="A27" s="113">
        <v>1</v>
      </c>
      <c r="B27" s="113" t="s">
        <v>1659</v>
      </c>
      <c r="D27" s="582">
        <v>27855</v>
      </c>
      <c r="E27" s="582">
        <v>28979</v>
      </c>
      <c r="F27" s="133">
        <f t="shared" si="2"/>
        <v>1124</v>
      </c>
      <c r="G27" s="583">
        <f t="shared" si="1"/>
        <v>3.0794520547945203</v>
      </c>
      <c r="M27" s="113">
        <v>10</v>
      </c>
      <c r="N27" s="113" t="s">
        <v>1649</v>
      </c>
    </row>
    <row r="28" spans="1:33">
      <c r="A28" s="113">
        <v>1</v>
      </c>
      <c r="B28" s="113" t="s">
        <v>207</v>
      </c>
      <c r="D28" s="582">
        <v>28979</v>
      </c>
      <c r="E28" s="582">
        <v>33205</v>
      </c>
      <c r="F28" s="133">
        <f t="shared" si="2"/>
        <v>4226</v>
      </c>
      <c r="G28" s="583">
        <f t="shared" si="1"/>
        <v>11.578082191780823</v>
      </c>
      <c r="M28" s="113">
        <v>11</v>
      </c>
      <c r="N28" s="113" t="s">
        <v>1650</v>
      </c>
    </row>
    <row r="29" spans="1:33">
      <c r="A29" s="113">
        <v>1</v>
      </c>
      <c r="B29" s="113" t="s">
        <v>208</v>
      </c>
      <c r="D29" s="582">
        <v>33205</v>
      </c>
      <c r="E29" s="582">
        <v>35552</v>
      </c>
      <c r="F29" s="133">
        <f t="shared" si="2"/>
        <v>2347</v>
      </c>
      <c r="G29" s="583">
        <f t="shared" si="1"/>
        <v>6.4301369863013695</v>
      </c>
      <c r="M29" s="113">
        <v>12</v>
      </c>
      <c r="N29" s="113" t="s">
        <v>1651</v>
      </c>
      <c r="P29" s="587" t="s">
        <v>1666</v>
      </c>
    </row>
    <row r="30" spans="1:33">
      <c r="A30" s="113">
        <v>1</v>
      </c>
      <c r="B30" s="113" t="s">
        <v>209</v>
      </c>
      <c r="D30" s="582">
        <v>35552</v>
      </c>
      <c r="E30" s="582">
        <v>39260</v>
      </c>
      <c r="F30" s="133">
        <f t="shared" si="2"/>
        <v>3708</v>
      </c>
      <c r="G30" s="583">
        <f t="shared" si="1"/>
        <v>10.158904109589042</v>
      </c>
    </row>
    <row r="31" spans="1:33">
      <c r="A31" s="113">
        <v>1</v>
      </c>
      <c r="B31" s="582" t="s">
        <v>1299</v>
      </c>
      <c r="C31" s="582"/>
      <c r="D31" s="582">
        <v>39260</v>
      </c>
      <c r="E31" s="582">
        <v>40309</v>
      </c>
      <c r="F31" s="133">
        <f t="shared" si="2"/>
        <v>1049</v>
      </c>
      <c r="G31" s="583">
        <f t="shared" si="1"/>
        <v>2.8739726027397259</v>
      </c>
    </row>
    <row r="32" spans="1:33">
      <c r="A32" s="113">
        <v>1</v>
      </c>
      <c r="B32" s="113" t="s">
        <v>975</v>
      </c>
      <c r="D32" s="582">
        <v>40309</v>
      </c>
      <c r="E32" s="582">
        <v>42564</v>
      </c>
      <c r="F32" s="133">
        <f t="shared" si="2"/>
        <v>2255</v>
      </c>
      <c r="G32" s="583">
        <f t="shared" si="1"/>
        <v>6.1780821917808222</v>
      </c>
    </row>
    <row r="33" spans="1:17">
      <c r="B33" s="113" t="s">
        <v>2075</v>
      </c>
      <c r="D33" s="582">
        <v>42564</v>
      </c>
      <c r="E33" s="582">
        <v>43670</v>
      </c>
      <c r="F33" s="133">
        <f t="shared" si="2"/>
        <v>1106</v>
      </c>
      <c r="G33" s="583">
        <f t="shared" si="1"/>
        <v>3.0301369863013701</v>
      </c>
    </row>
    <row r="34" spans="1:17">
      <c r="B34" s="113" t="s">
        <v>968</v>
      </c>
      <c r="D34" s="582">
        <v>43670</v>
      </c>
      <c r="E34" s="582">
        <v>44399</v>
      </c>
      <c r="F34" s="133">
        <f t="shared" si="2"/>
        <v>729</v>
      </c>
      <c r="G34" s="583">
        <f t="shared" si="1"/>
        <v>1.9972602739726026</v>
      </c>
    </row>
    <row r="35" spans="1:17">
      <c r="D35" s="582"/>
      <c r="E35" s="582"/>
      <c r="F35" s="133"/>
      <c r="G35" s="583"/>
    </row>
    <row r="36" spans="1:17">
      <c r="A36" s="113" t="s">
        <v>1663</v>
      </c>
      <c r="D36" s="582"/>
      <c r="E36" s="582"/>
      <c r="F36" s="133"/>
      <c r="G36" s="583"/>
    </row>
    <row r="37" spans="1:17">
      <c r="B37" s="113" t="s">
        <v>1638</v>
      </c>
      <c r="D37" s="582">
        <v>1</v>
      </c>
      <c r="E37" s="582">
        <v>924</v>
      </c>
      <c r="F37" s="133">
        <v>923</v>
      </c>
      <c r="G37" s="583">
        <v>2.5287671232876714</v>
      </c>
    </row>
    <row r="38" spans="1:17">
      <c r="B38" s="113" t="s">
        <v>1639</v>
      </c>
      <c r="D38" s="582">
        <v>924</v>
      </c>
      <c r="E38" s="582">
        <v>2166</v>
      </c>
      <c r="F38" s="133">
        <v>1242</v>
      </c>
      <c r="G38" s="583">
        <v>3.4027397260273973</v>
      </c>
    </row>
    <row r="39" spans="1:17">
      <c r="B39" s="113" t="s">
        <v>1640</v>
      </c>
      <c r="D39" s="582">
        <v>2166</v>
      </c>
      <c r="E39" s="582">
        <v>3018</v>
      </c>
      <c r="F39" s="133">
        <v>852</v>
      </c>
      <c r="G39" s="583">
        <v>2.3342465753424659</v>
      </c>
    </row>
    <row r="40" spans="1:17">
      <c r="B40" s="113" t="s">
        <v>1654</v>
      </c>
      <c r="D40" s="582">
        <v>3018</v>
      </c>
      <c r="E40" s="582">
        <v>6185</v>
      </c>
      <c r="F40" s="133">
        <v>3167</v>
      </c>
      <c r="G40" s="583">
        <v>8.6767123287671239</v>
      </c>
    </row>
    <row r="41" spans="1:17">
      <c r="A41" s="113" t="s">
        <v>1664</v>
      </c>
      <c r="D41" s="582"/>
      <c r="E41" s="582"/>
      <c r="F41" s="133"/>
      <c r="G41" s="583"/>
      <c r="H41" s="113" t="s">
        <v>1665</v>
      </c>
    </row>
    <row r="42" spans="1:17">
      <c r="A42" s="583">
        <v>0.57808219178082187</v>
      </c>
      <c r="B42" s="113" t="s">
        <v>198</v>
      </c>
      <c r="D42" s="582">
        <v>8332</v>
      </c>
      <c r="E42" s="582">
        <v>8543</v>
      </c>
      <c r="F42" s="133">
        <v>211</v>
      </c>
      <c r="G42" s="583">
        <v>0.57808219178082187</v>
      </c>
      <c r="H42" s="113">
        <v>2</v>
      </c>
      <c r="I42" s="113" t="s">
        <v>1678</v>
      </c>
    </row>
    <row r="43" spans="1:17">
      <c r="A43" s="583">
        <v>0.99726027397260275</v>
      </c>
      <c r="B43" s="113" t="s">
        <v>1658</v>
      </c>
      <c r="D43" s="582">
        <v>23302</v>
      </c>
      <c r="E43" s="582">
        <v>23666</v>
      </c>
      <c r="F43" s="133">
        <v>364</v>
      </c>
      <c r="G43" s="583">
        <v>0.99726027397260275</v>
      </c>
      <c r="H43" s="113">
        <v>10</v>
      </c>
      <c r="I43" s="113" t="s">
        <v>1679</v>
      </c>
    </row>
    <row r="44" spans="1:17">
      <c r="A44" s="583">
        <v>1.7671232876712328</v>
      </c>
      <c r="B44" s="113" t="s">
        <v>1657</v>
      </c>
      <c r="D44" s="582">
        <v>20185</v>
      </c>
      <c r="E44" s="582">
        <v>20830</v>
      </c>
      <c r="F44" s="133">
        <v>645</v>
      </c>
      <c r="G44" s="583">
        <v>1.7671232876712328</v>
      </c>
      <c r="H44" s="113">
        <v>8</v>
      </c>
      <c r="I44" s="113" t="s">
        <v>1680</v>
      </c>
      <c r="K44" s="583"/>
      <c r="N44" s="582"/>
      <c r="O44" s="582"/>
      <c r="P44" s="133"/>
      <c r="Q44" s="583"/>
    </row>
    <row r="45" spans="1:17">
      <c r="A45" s="839">
        <v>1.9972602739726026</v>
      </c>
      <c r="B45" s="113" t="s">
        <v>968</v>
      </c>
      <c r="D45" s="582">
        <v>43670</v>
      </c>
      <c r="E45" s="582">
        <v>44399</v>
      </c>
      <c r="F45" s="133">
        <f>E45-D45</f>
        <v>729</v>
      </c>
      <c r="G45" s="583">
        <f>+F45/365</f>
        <v>1.9972602739726026</v>
      </c>
      <c r="H45" s="113">
        <v>20</v>
      </c>
      <c r="K45" s="583"/>
      <c r="N45" s="582"/>
      <c r="O45" s="582"/>
      <c r="P45" s="133"/>
      <c r="Q45" s="583"/>
    </row>
    <row r="46" spans="1:17">
      <c r="A46" s="583">
        <v>2.8739726027397259</v>
      </c>
      <c r="B46" s="582" t="s">
        <v>1299</v>
      </c>
      <c r="C46" s="582"/>
      <c r="D46" s="582">
        <v>39260</v>
      </c>
      <c r="E46" s="582">
        <v>40309</v>
      </c>
      <c r="F46" s="133">
        <v>1049</v>
      </c>
      <c r="G46" s="583">
        <v>2.8739726027397259</v>
      </c>
      <c r="H46" s="113">
        <v>17</v>
      </c>
      <c r="I46" s="113" t="s">
        <v>1681</v>
      </c>
    </row>
    <row r="47" spans="1:17">
      <c r="A47" s="583">
        <v>2.9534246575342467</v>
      </c>
      <c r="B47" s="113" t="s">
        <v>1655</v>
      </c>
      <c r="D47" s="582">
        <v>13663</v>
      </c>
      <c r="E47" s="582">
        <v>14741</v>
      </c>
      <c r="F47" s="133">
        <v>1078</v>
      </c>
      <c r="G47" s="583">
        <v>2.9534246575342467</v>
      </c>
      <c r="H47" s="113">
        <v>5</v>
      </c>
      <c r="I47" s="113" t="s">
        <v>1682</v>
      </c>
    </row>
    <row r="48" spans="1:17">
      <c r="A48" s="839">
        <v>1.0520547945205478</v>
      </c>
      <c r="B48" s="113" t="s">
        <v>2075</v>
      </c>
      <c r="D48" s="582">
        <v>42564</v>
      </c>
      <c r="E48" s="582">
        <v>43670</v>
      </c>
      <c r="F48" s="133">
        <f>E48-D48</f>
        <v>1106</v>
      </c>
      <c r="G48" s="583">
        <f>+F48/365</f>
        <v>3.0301369863013701</v>
      </c>
      <c r="H48" s="113">
        <v>19</v>
      </c>
      <c r="I48" s="113" t="s">
        <v>2531</v>
      </c>
    </row>
    <row r="49" spans="1:12">
      <c r="A49" s="583">
        <v>3.0794520547945203</v>
      </c>
      <c r="B49" s="113" t="s">
        <v>1659</v>
      </c>
      <c r="D49" s="582">
        <v>27855</v>
      </c>
      <c r="E49" s="582">
        <v>28979</v>
      </c>
      <c r="F49" s="133">
        <v>1124</v>
      </c>
      <c r="G49" s="583">
        <v>3.0794520547945203</v>
      </c>
      <c r="H49" s="113">
        <v>13</v>
      </c>
      <c r="I49" s="113" t="s">
        <v>1683</v>
      </c>
    </row>
    <row r="50" spans="1:12">
      <c r="A50" s="583">
        <v>3.7095890410958905</v>
      </c>
      <c r="B50" s="113" t="s">
        <v>206</v>
      </c>
      <c r="D50" s="582">
        <v>25738</v>
      </c>
      <c r="E50" s="582">
        <v>27092</v>
      </c>
      <c r="F50" s="133">
        <v>1354</v>
      </c>
      <c r="G50" s="583">
        <v>3.7095890410958905</v>
      </c>
      <c r="H50" s="113">
        <v>12</v>
      </c>
      <c r="I50" s="113" t="s">
        <v>1684</v>
      </c>
    </row>
    <row r="51" spans="1:12">
      <c r="A51" s="583">
        <v>5.882191780821918</v>
      </c>
      <c r="B51" s="113" t="s">
        <v>197</v>
      </c>
      <c r="D51" s="582">
        <v>6185</v>
      </c>
      <c r="E51" s="582">
        <v>8332</v>
      </c>
      <c r="F51" s="133">
        <v>2147</v>
      </c>
      <c r="G51" s="583">
        <v>5.8821917808219197</v>
      </c>
      <c r="H51" s="113">
        <v>1</v>
      </c>
      <c r="I51" s="113" t="s">
        <v>1686</v>
      </c>
    </row>
    <row r="52" spans="1:12">
      <c r="A52" s="583">
        <v>6.1780821917808222</v>
      </c>
      <c r="B52" s="113" t="s">
        <v>975</v>
      </c>
      <c r="D52" s="582">
        <v>40309</v>
      </c>
      <c r="E52" s="582">
        <v>42564</v>
      </c>
      <c r="F52" s="133">
        <f>E52-D52</f>
        <v>2255</v>
      </c>
      <c r="G52" s="583">
        <f>+F52/365</f>
        <v>6.1780821917808222</v>
      </c>
      <c r="H52" s="113">
        <v>18</v>
      </c>
      <c r="I52" s="113" t="s">
        <v>2024</v>
      </c>
      <c r="L52" s="113">
        <f>E52-D52</f>
        <v>2255</v>
      </c>
    </row>
    <row r="53" spans="1:12">
      <c r="A53" s="583">
        <v>6.2547945205479456</v>
      </c>
      <c r="B53" s="113" t="s">
        <v>202</v>
      </c>
      <c r="D53" s="582">
        <v>16644</v>
      </c>
      <c r="E53" s="582">
        <v>18927</v>
      </c>
      <c r="F53" s="133">
        <v>2283</v>
      </c>
      <c r="G53" s="583">
        <v>6.2547945205479456</v>
      </c>
      <c r="H53" s="113">
        <v>7</v>
      </c>
      <c r="I53" s="113" t="s">
        <v>1687</v>
      </c>
    </row>
    <row r="54" spans="1:12">
      <c r="A54" s="583">
        <v>6.4301369863013695</v>
      </c>
      <c r="B54" s="113" t="s">
        <v>208</v>
      </c>
      <c r="D54" s="582">
        <v>33205</v>
      </c>
      <c r="E54" s="582">
        <v>35552</v>
      </c>
      <c r="F54" s="133">
        <v>2347</v>
      </c>
      <c r="G54" s="583">
        <v>6.4301369863013695</v>
      </c>
      <c r="H54" s="113">
        <v>15</v>
      </c>
      <c r="I54" s="113" t="s">
        <v>1688</v>
      </c>
    </row>
    <row r="55" spans="1:12">
      <c r="A55" s="583">
        <v>6.7726027397260271</v>
      </c>
      <c r="B55" s="113" t="s">
        <v>727</v>
      </c>
      <c r="D55" s="582">
        <v>20830</v>
      </c>
      <c r="E55" s="582">
        <v>23302</v>
      </c>
      <c r="F55" s="133">
        <v>2472</v>
      </c>
      <c r="G55" s="583">
        <v>6.7726027397260271</v>
      </c>
      <c r="H55" s="113">
        <v>9</v>
      </c>
      <c r="I55" s="113" t="s">
        <v>1689</v>
      </c>
    </row>
    <row r="56" spans="1:12">
      <c r="A56" s="583">
        <v>6.7945205479452051</v>
      </c>
      <c r="B56" s="178" t="s">
        <v>201</v>
      </c>
      <c r="C56" s="178"/>
      <c r="D56" s="584"/>
      <c r="E56" s="584"/>
      <c r="F56" s="585">
        <v>2480</v>
      </c>
      <c r="G56" s="583">
        <v>6.7945205479452051</v>
      </c>
      <c r="H56" s="113">
        <v>4</v>
      </c>
      <c r="I56" s="113" t="s">
        <v>1695</v>
      </c>
    </row>
    <row r="57" spans="1:12">
      <c r="A57" s="586">
        <v>7.2328767123287667</v>
      </c>
      <c r="B57" s="178" t="s">
        <v>200</v>
      </c>
      <c r="C57" s="178"/>
      <c r="D57" s="584"/>
      <c r="E57" s="584"/>
      <c r="F57" s="585">
        <v>2640</v>
      </c>
      <c r="G57" s="586">
        <v>7.2328767123287667</v>
      </c>
      <c r="H57" s="113">
        <v>3</v>
      </c>
      <c r="I57" s="113" t="s">
        <v>1694</v>
      </c>
    </row>
    <row r="58" spans="1:12">
      <c r="A58" s="586">
        <v>7.7671232876712333</v>
      </c>
      <c r="B58" s="178" t="s">
        <v>205</v>
      </c>
      <c r="C58" s="178"/>
      <c r="D58" s="584"/>
      <c r="E58" s="584"/>
      <c r="F58" s="585">
        <v>2835</v>
      </c>
      <c r="G58" s="586">
        <v>7.7671232876712333</v>
      </c>
      <c r="H58" s="113">
        <v>11</v>
      </c>
      <c r="I58" s="113" t="s">
        <v>1693</v>
      </c>
    </row>
    <row r="59" spans="1:12">
      <c r="A59" s="586">
        <v>8.6602739726027398</v>
      </c>
      <c r="B59" s="178" t="s">
        <v>1656</v>
      </c>
      <c r="C59" s="178"/>
      <c r="D59" s="584"/>
      <c r="E59" s="584"/>
      <c r="F59" s="585">
        <v>3161</v>
      </c>
      <c r="G59" s="586">
        <v>8.6602739726027398</v>
      </c>
      <c r="H59" s="113">
        <v>6</v>
      </c>
      <c r="I59" s="113" t="s">
        <v>1692</v>
      </c>
    </row>
    <row r="60" spans="1:12">
      <c r="A60" s="583">
        <v>10.158904109589042</v>
      </c>
      <c r="B60" s="113" t="s">
        <v>209</v>
      </c>
      <c r="D60" s="582">
        <v>35552</v>
      </c>
      <c r="E60" s="582">
        <v>39260</v>
      </c>
      <c r="F60" s="133">
        <v>3708</v>
      </c>
      <c r="G60" s="583">
        <v>10.158904109589042</v>
      </c>
      <c r="H60" s="113">
        <v>16</v>
      </c>
      <c r="I60" s="113" t="s">
        <v>1690</v>
      </c>
    </row>
    <row r="61" spans="1:12">
      <c r="A61" s="583">
        <v>11.578082191780823</v>
      </c>
      <c r="B61" s="113" t="s">
        <v>207</v>
      </c>
      <c r="D61" s="582">
        <v>28979</v>
      </c>
      <c r="E61" s="582">
        <v>33206</v>
      </c>
      <c r="F61" s="133">
        <v>4226</v>
      </c>
      <c r="G61" s="583">
        <v>11.578082191780823</v>
      </c>
      <c r="H61" s="113">
        <v>14</v>
      </c>
      <c r="I61" s="113" t="s">
        <v>1691</v>
      </c>
    </row>
    <row r="62" spans="1:12">
      <c r="D62" s="582"/>
      <c r="E62" s="582"/>
      <c r="F62" s="133"/>
      <c r="G62" s="583"/>
    </row>
    <row r="63" spans="1:12" ht="17">
      <c r="I63" s="2579" t="s">
        <v>2513</v>
      </c>
    </row>
    <row r="64" spans="1:12" ht="15">
      <c r="I64" s="2580" t="s">
        <v>2514</v>
      </c>
    </row>
    <row r="67" spans="1:16">
      <c r="A67" s="583">
        <v>0.57808219178082199</v>
      </c>
      <c r="B67" s="113" t="s">
        <v>1678</v>
      </c>
      <c r="C67" s="113" t="s">
        <v>198</v>
      </c>
      <c r="D67" s="582">
        <v>8332</v>
      </c>
      <c r="E67" s="582">
        <v>8543</v>
      </c>
      <c r="F67" s="133"/>
      <c r="G67" s="113" t="s">
        <v>2733</v>
      </c>
    </row>
    <row r="68" spans="1:16">
      <c r="A68" s="583">
        <v>0.99726027397260275</v>
      </c>
      <c r="B68" s="113" t="s">
        <v>1679</v>
      </c>
      <c r="C68" s="113" t="s">
        <v>1658</v>
      </c>
      <c r="D68" s="582">
        <v>23302</v>
      </c>
      <c r="E68" s="582">
        <v>23666</v>
      </c>
      <c r="F68" s="133"/>
      <c r="G68" s="113" t="s">
        <v>1678</v>
      </c>
    </row>
    <row r="69" spans="1:16">
      <c r="A69" s="583">
        <v>1.7671232876712328</v>
      </c>
      <c r="B69" s="113" t="s">
        <v>1680</v>
      </c>
      <c r="C69" s="113" t="s">
        <v>1657</v>
      </c>
      <c r="D69" s="582">
        <v>20185</v>
      </c>
      <c r="E69" s="582">
        <v>20830</v>
      </c>
      <c r="F69" s="133"/>
      <c r="G69" s="113" t="s">
        <v>1679</v>
      </c>
    </row>
    <row r="70" spans="1:16">
      <c r="A70" s="583">
        <v>2.8739726027397259</v>
      </c>
      <c r="B70" s="113" t="s">
        <v>1681</v>
      </c>
      <c r="C70" s="582" t="s">
        <v>1299</v>
      </c>
      <c r="D70" s="582">
        <v>39260</v>
      </c>
      <c r="E70" s="582">
        <v>40309</v>
      </c>
      <c r="F70" s="133"/>
      <c r="G70" s="113" t="s">
        <v>1680</v>
      </c>
    </row>
    <row r="71" spans="1:16">
      <c r="A71" s="583">
        <v>2.9534246575342467</v>
      </c>
      <c r="B71" s="113" t="s">
        <v>1682</v>
      </c>
      <c r="C71" s="113" t="s">
        <v>1655</v>
      </c>
      <c r="D71" s="582">
        <v>13663</v>
      </c>
      <c r="E71" s="582">
        <v>14741</v>
      </c>
      <c r="F71" s="133"/>
      <c r="G71" s="113" t="s">
        <v>1681</v>
      </c>
    </row>
    <row r="72" spans="1:16">
      <c r="A72" s="583">
        <v>3.0794520547945203</v>
      </c>
      <c r="B72" s="113" t="s">
        <v>1683</v>
      </c>
      <c r="C72" s="113" t="s">
        <v>1659</v>
      </c>
      <c r="D72" s="582">
        <v>27855</v>
      </c>
      <c r="E72" s="582">
        <v>28979</v>
      </c>
      <c r="F72" s="133"/>
      <c r="G72" s="113" t="s">
        <v>1682</v>
      </c>
    </row>
    <row r="73" spans="1:16">
      <c r="A73" s="583">
        <v>3.7095890410958905</v>
      </c>
      <c r="B73" s="113" t="s">
        <v>1684</v>
      </c>
      <c r="C73" s="113" t="s">
        <v>206</v>
      </c>
      <c r="D73" s="582">
        <v>25738</v>
      </c>
      <c r="E73" s="582">
        <v>27092</v>
      </c>
      <c r="F73" s="133"/>
      <c r="G73" s="113" t="s">
        <v>1683</v>
      </c>
    </row>
    <row r="74" spans="1:16">
      <c r="A74" s="583">
        <v>5.5780821917808217</v>
      </c>
      <c r="B74" s="113" t="s">
        <v>1685</v>
      </c>
      <c r="C74" s="113" t="s">
        <v>1696</v>
      </c>
      <c r="D74" s="582">
        <v>40309</v>
      </c>
      <c r="E74" s="582">
        <v>42345</v>
      </c>
      <c r="F74" s="133"/>
      <c r="G74" s="113" t="s">
        <v>1684</v>
      </c>
    </row>
    <row r="75" spans="1:16">
      <c r="A75" s="583">
        <v>5.882191780821918</v>
      </c>
      <c r="B75" s="113" t="s">
        <v>1686</v>
      </c>
      <c r="C75" s="113" t="s">
        <v>197</v>
      </c>
      <c r="D75" s="582">
        <v>6185</v>
      </c>
      <c r="E75" s="582">
        <v>8332</v>
      </c>
      <c r="F75" s="133"/>
      <c r="G75" s="113" t="s">
        <v>1685</v>
      </c>
    </row>
    <row r="76" spans="1:16">
      <c r="A76" s="583">
        <v>6.2547945205479456</v>
      </c>
      <c r="B76" s="113" t="s">
        <v>1687</v>
      </c>
      <c r="C76" s="113" t="s">
        <v>202</v>
      </c>
      <c r="D76" s="582">
        <v>16644</v>
      </c>
      <c r="E76" s="582">
        <v>18927</v>
      </c>
      <c r="F76" s="133"/>
      <c r="G76" s="113" t="s">
        <v>1686</v>
      </c>
      <c r="P76" s="113" t="s">
        <v>2447</v>
      </c>
    </row>
    <row r="77" spans="1:16">
      <c r="A77" s="583">
        <v>6.4301369863013695</v>
      </c>
      <c r="B77" s="113" t="s">
        <v>1688</v>
      </c>
      <c r="C77" s="113" t="s">
        <v>208</v>
      </c>
      <c r="D77" s="582">
        <v>33205</v>
      </c>
      <c r="E77" s="582">
        <v>35552</v>
      </c>
      <c r="F77" s="133"/>
      <c r="G77" s="113" t="s">
        <v>1687</v>
      </c>
    </row>
    <row r="78" spans="1:16">
      <c r="A78" s="583">
        <v>6.7726027397260271</v>
      </c>
      <c r="B78" s="113" t="s">
        <v>1689</v>
      </c>
      <c r="C78" s="113" t="s">
        <v>727</v>
      </c>
      <c r="D78" s="582">
        <v>20830</v>
      </c>
      <c r="E78" s="582">
        <v>23302</v>
      </c>
      <c r="F78" s="133"/>
      <c r="G78" s="113" t="s">
        <v>1688</v>
      </c>
    </row>
    <row r="79" spans="1:16">
      <c r="A79" s="583">
        <v>6.7945205479452051</v>
      </c>
      <c r="B79" s="113" t="s">
        <v>2532</v>
      </c>
      <c r="C79" s="178" t="s">
        <v>201</v>
      </c>
      <c r="D79" s="584"/>
      <c r="E79" s="584"/>
      <c r="F79" s="585"/>
      <c r="G79" s="113" t="s">
        <v>1689</v>
      </c>
    </row>
    <row r="80" spans="1:16">
      <c r="A80" s="586">
        <v>7.2328767123287667</v>
      </c>
      <c r="B80" s="113" t="s">
        <v>1694</v>
      </c>
      <c r="C80" s="178" t="s">
        <v>200</v>
      </c>
      <c r="D80" s="584"/>
      <c r="E80" s="584"/>
      <c r="F80" s="585"/>
      <c r="G80" s="113" t="s">
        <v>1695</v>
      </c>
    </row>
    <row r="81" spans="1:37">
      <c r="A81" s="586">
        <v>7.7671232876712333</v>
      </c>
      <c r="B81" s="113" t="s">
        <v>1693</v>
      </c>
      <c r="C81" s="178" t="s">
        <v>205</v>
      </c>
      <c r="D81" s="584"/>
      <c r="E81" s="584"/>
      <c r="F81" s="585"/>
      <c r="G81" s="113" t="s">
        <v>1694</v>
      </c>
    </row>
    <row r="82" spans="1:37">
      <c r="A82" s="586">
        <v>8.6602739726027398</v>
      </c>
      <c r="B82" s="113" t="s">
        <v>1692</v>
      </c>
      <c r="C82" s="178" t="s">
        <v>1656</v>
      </c>
      <c r="D82" s="584"/>
      <c r="E82" s="584"/>
      <c r="F82" s="585"/>
      <c r="G82" s="113" t="s">
        <v>1693</v>
      </c>
    </row>
    <row r="83" spans="1:37">
      <c r="A83" s="583">
        <v>10.158904109589042</v>
      </c>
      <c r="B83" s="113" t="s">
        <v>1690</v>
      </c>
      <c r="C83" s="113" t="s">
        <v>209</v>
      </c>
      <c r="D83" s="582">
        <v>35552</v>
      </c>
      <c r="E83" s="582">
        <v>39260</v>
      </c>
      <c r="F83" s="133"/>
      <c r="G83" s="113" t="s">
        <v>1692</v>
      </c>
    </row>
    <row r="84" spans="1:37">
      <c r="A84" s="583">
        <v>11.578082191780823</v>
      </c>
      <c r="B84" s="113" t="s">
        <v>1691</v>
      </c>
      <c r="C84" s="113" t="s">
        <v>207</v>
      </c>
      <c r="D84" s="582">
        <v>28979</v>
      </c>
      <c r="E84" s="582">
        <v>33205</v>
      </c>
      <c r="F84" s="133"/>
      <c r="G84" s="113" t="s">
        <v>1690</v>
      </c>
    </row>
    <row r="85" spans="1:37">
      <c r="G85" s="113" t="s">
        <v>1691</v>
      </c>
    </row>
    <row r="93" spans="1:37" ht="14">
      <c r="AH93" s="896"/>
      <c r="AI93" s="896"/>
      <c r="AJ93" s="896"/>
      <c r="AK93" s="896"/>
    </row>
    <row r="94" spans="1:37" ht="17" thickBot="1">
      <c r="AH94" s="896"/>
      <c r="AI94" s="1033" t="s">
        <v>2297</v>
      </c>
      <c r="AJ94" s="896"/>
      <c r="AK94" s="896"/>
    </row>
    <row r="95" spans="1:37" ht="15" thickBot="1">
      <c r="X95" s="650" t="s">
        <v>2296</v>
      </c>
      <c r="AH95" s="896"/>
      <c r="AI95" s="1028"/>
      <c r="AJ95" s="896" t="s">
        <v>698</v>
      </c>
      <c r="AK95" s="896"/>
    </row>
    <row r="96" spans="1:37" ht="15" thickBot="1">
      <c r="AH96" s="896"/>
      <c r="AI96" s="1029"/>
      <c r="AJ96" s="896" t="s">
        <v>699</v>
      </c>
      <c r="AK96" s="896"/>
    </row>
    <row r="97" spans="34:37" ht="15" hidden="1" thickBot="1">
      <c r="AH97" s="896"/>
      <c r="AI97" s="1030"/>
      <c r="AJ97" s="896" t="s">
        <v>827</v>
      </c>
      <c r="AK97" s="896"/>
    </row>
    <row r="98" spans="34:37" ht="15" thickBot="1">
      <c r="AH98" s="896"/>
      <c r="AI98" s="1031"/>
      <c r="AJ98" s="896" t="s">
        <v>1271</v>
      </c>
      <c r="AK98" s="896"/>
    </row>
    <row r="99" spans="34:37" ht="15" thickBot="1">
      <c r="AH99" s="896"/>
      <c r="AI99" s="1032"/>
      <c r="AJ99" s="896" t="s">
        <v>38</v>
      </c>
      <c r="AK99" s="896"/>
    </row>
    <row r="100" spans="34:37" ht="14">
      <c r="AH100" s="896"/>
      <c r="AI100" s="896"/>
      <c r="AJ100" s="896"/>
      <c r="AK100" s="896"/>
    </row>
  </sheetData>
  <autoFilter ref="A1:G32" xr:uid="{00000000-0009-0000-0000-000009000000}"/>
  <sortState xmlns:xlrd2="http://schemas.microsoft.com/office/spreadsheetml/2017/richdata2" ref="A44:K61">
    <sortCondition ref="G44:G61"/>
  </sortState>
  <hyperlinks>
    <hyperlink ref="X95" r:id="rId1" xr:uid="{00000000-0004-0000-0900-000000000000}"/>
  </hyperlinks>
  <pageMargins left="0.7" right="0.7" top="0.75" bottom="0.75" header="0.3" footer="0.3"/>
  <pageSetup paperSize="9" orientation="portrait" verticalDpi="1200" r:id="rId2"/>
  <drawing r:id="rId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EE43-C286-4653-B510-1D2E21E5A5B1}">
  <dimension ref="A1:M112"/>
  <sheetViews>
    <sheetView zoomScaleNormal="100" workbookViewId="0">
      <pane xSplit="1" ySplit="3" topLeftCell="D67" activePane="bottomRight" state="frozen"/>
      <selection activeCell="G30" sqref="G30"/>
      <selection pane="topRight" activeCell="G30" sqref="G30"/>
      <selection pane="bottomLeft" activeCell="G30" sqref="G30"/>
      <selection pane="bottomRight" activeCell="G30" sqref="G30"/>
    </sheetView>
  </sheetViews>
  <sheetFormatPr baseColWidth="10" defaultColWidth="8.796875" defaultRowHeight="16"/>
  <cols>
    <col min="1" max="1" width="18.59765625" style="2771" customWidth="1"/>
    <col min="2" max="2" width="23.3984375" style="2773" customWidth="1"/>
    <col min="3" max="3" width="11.3984375" style="2963" customWidth="1"/>
    <col min="4" max="4" width="19.796875" style="2774" customWidth="1"/>
    <col min="5" max="5" width="19.796875" style="2773" customWidth="1"/>
    <col min="6" max="6" width="18.59765625" style="2773" customWidth="1"/>
    <col min="7" max="7" width="12.59765625" style="2773" customWidth="1"/>
    <col min="8" max="8" width="9.3984375" style="2772" customWidth="1"/>
    <col min="9" max="9" width="11.3984375" style="2772" bestFit="1" customWidth="1"/>
    <col min="10" max="16384" width="8.796875" style="2771"/>
  </cols>
  <sheetData>
    <row r="1" spans="1:13" ht="9" customHeight="1">
      <c r="A1" s="3520"/>
      <c r="B1" s="3520"/>
      <c r="C1" s="3520"/>
      <c r="D1" s="3520"/>
      <c r="E1" s="3520"/>
      <c r="F1" s="3520"/>
      <c r="G1" s="3520"/>
      <c r="H1" s="3520"/>
    </row>
    <row r="2" spans="1:13">
      <c r="A2" s="2796" t="s">
        <v>2690</v>
      </c>
      <c r="B2" s="2781"/>
      <c r="D2" s="2780"/>
      <c r="E2" s="2781"/>
      <c r="F2" s="2781"/>
      <c r="G2" s="2781"/>
      <c r="H2" s="2793"/>
    </row>
    <row r="3" spans="1:13" ht="17">
      <c r="A3" s="2804"/>
      <c r="B3" s="2794" t="s">
        <v>1196</v>
      </c>
      <c r="C3" s="2986" t="s">
        <v>153</v>
      </c>
      <c r="D3" s="2795" t="s">
        <v>153</v>
      </c>
      <c r="E3" s="2794" t="s">
        <v>37</v>
      </c>
      <c r="F3" s="2794" t="s">
        <v>1412</v>
      </c>
      <c r="G3" s="2794" t="s">
        <v>2689</v>
      </c>
      <c r="H3" s="2793"/>
    </row>
    <row r="4" spans="1:13" ht="19.5" customHeight="1">
      <c r="A4" s="2803" t="s">
        <v>2606</v>
      </c>
      <c r="B4" s="2791"/>
      <c r="D4" s="2792"/>
      <c r="E4" s="2791"/>
      <c r="F4" s="2791"/>
      <c r="G4" s="2791"/>
      <c r="H4" s="2790"/>
    </row>
    <row r="5" spans="1:13" ht="17.25" customHeight="1">
      <c r="A5" s="2779" t="s">
        <v>2596</v>
      </c>
      <c r="B5" s="2777">
        <v>8997348</v>
      </c>
      <c r="C5" s="2644">
        <f t="shared" ref="C5:C14" si="0">D5/100</f>
        <v>0.49399999999999999</v>
      </c>
      <c r="D5" s="2778">
        <v>49.4</v>
      </c>
      <c r="E5" s="2777">
        <v>423</v>
      </c>
      <c r="F5" s="2777">
        <v>14</v>
      </c>
      <c r="G5" s="2777">
        <v>329</v>
      </c>
      <c r="I5" s="2648" t="b">
        <f>I6=I7</f>
        <v>1</v>
      </c>
      <c r="J5" s="2648"/>
      <c r="K5" s="2648" t="b">
        <f>K6=K7</f>
        <v>1</v>
      </c>
      <c r="L5" s="2648" t="b">
        <f>L6=L7</f>
        <v>1</v>
      </c>
      <c r="M5" s="2648" t="b">
        <f>M6=M7</f>
        <v>1</v>
      </c>
    </row>
    <row r="6" spans="1:13" ht="17.25" customHeight="1">
      <c r="A6" s="2779" t="s">
        <v>2685</v>
      </c>
      <c r="B6" s="2777">
        <v>13250</v>
      </c>
      <c r="C6" s="2644">
        <f t="shared" si="0"/>
        <v>1E-3</v>
      </c>
      <c r="D6" s="2778">
        <v>0.1</v>
      </c>
      <c r="E6" s="2781">
        <v>1</v>
      </c>
      <c r="F6" s="2777">
        <v>0</v>
      </c>
      <c r="G6" s="2777">
        <v>0</v>
      </c>
      <c r="I6" s="2647">
        <f>SUM(B5:B8,B10:B13)</f>
        <v>18273035</v>
      </c>
      <c r="J6" s="2647">
        <f>SUM(D5:D8,D10:D13)</f>
        <v>99.999999999999986</v>
      </c>
      <c r="K6" s="2647">
        <f>SUM(E5:E8,E10:E13)</f>
        <v>1078</v>
      </c>
      <c r="L6" s="2647">
        <f>SUM(F5:F8,F10:F13)</f>
        <v>19</v>
      </c>
      <c r="M6" s="2647">
        <f>SUM(G5:G8,G10:G13)</f>
        <v>485</v>
      </c>
    </row>
    <row r="7" spans="1:13" ht="19.5" customHeight="1">
      <c r="A7" s="2779" t="s">
        <v>2684</v>
      </c>
      <c r="B7" s="2777">
        <v>673597</v>
      </c>
      <c r="C7" s="2644">
        <f t="shared" si="0"/>
        <v>3.4000000000000002E-2</v>
      </c>
      <c r="D7" s="2778">
        <v>3.4</v>
      </c>
      <c r="E7" s="2777">
        <v>31</v>
      </c>
      <c r="F7" s="2777">
        <v>2</v>
      </c>
      <c r="G7" s="2777">
        <v>22</v>
      </c>
      <c r="I7" s="2975">
        <f>B14</f>
        <v>18273035</v>
      </c>
      <c r="J7" s="2975">
        <f>D14</f>
        <v>0</v>
      </c>
      <c r="K7" s="2975">
        <f>E14</f>
        <v>1078</v>
      </c>
      <c r="L7" s="2975">
        <f>F14</f>
        <v>19</v>
      </c>
      <c r="M7" s="2975">
        <f>G14</f>
        <v>485</v>
      </c>
    </row>
    <row r="8" spans="1:13" ht="17.25" customHeight="1">
      <c r="A8" s="2779" t="s">
        <v>2683</v>
      </c>
      <c r="B8" s="2777">
        <v>303742</v>
      </c>
      <c r="C8" s="2644">
        <f t="shared" si="0"/>
        <v>1.6E-2</v>
      </c>
      <c r="D8" s="2778">
        <v>1.6</v>
      </c>
      <c r="E8" s="2781">
        <v>18</v>
      </c>
      <c r="F8" s="2777">
        <v>0</v>
      </c>
      <c r="G8" s="2777">
        <v>6</v>
      </c>
    </row>
    <row r="9" spans="1:13" ht="16.5" customHeight="1">
      <c r="A9" s="2787" t="s">
        <v>2651</v>
      </c>
      <c r="B9" s="2782">
        <v>9987937</v>
      </c>
      <c r="C9" s="2644">
        <f t="shared" si="0"/>
        <v>0.54500000000000004</v>
      </c>
      <c r="D9" s="2783">
        <v>54.5</v>
      </c>
      <c r="E9" s="2782">
        <v>473</v>
      </c>
      <c r="F9" s="2782">
        <v>16</v>
      </c>
      <c r="G9" s="2782">
        <v>357</v>
      </c>
    </row>
    <row r="10" spans="1:13" ht="17.25" customHeight="1">
      <c r="A10" s="2779" t="s">
        <v>2686</v>
      </c>
      <c r="B10" s="2781">
        <v>1108971</v>
      </c>
      <c r="C10" s="2644">
        <f t="shared" si="0"/>
        <v>6.3E-2</v>
      </c>
      <c r="D10" s="2780">
        <v>6.3</v>
      </c>
      <c r="E10" s="2777">
        <v>132</v>
      </c>
      <c r="F10" s="2777">
        <v>0</v>
      </c>
      <c r="G10" s="2777">
        <v>11</v>
      </c>
    </row>
    <row r="11" spans="1:13" ht="17.25" customHeight="1">
      <c r="A11" s="2779" t="s">
        <v>2594</v>
      </c>
      <c r="B11" s="2777">
        <v>7054050</v>
      </c>
      <c r="C11" s="2644">
        <f t="shared" si="0"/>
        <v>0.38500000000000001</v>
      </c>
      <c r="D11" s="2778">
        <v>38.5</v>
      </c>
      <c r="E11" s="2777">
        <v>452</v>
      </c>
      <c r="F11" s="2777">
        <v>3</v>
      </c>
      <c r="G11" s="2777">
        <v>116</v>
      </c>
    </row>
    <row r="12" spans="1:13" ht="18" customHeight="1">
      <c r="A12" s="2779" t="s">
        <v>2688</v>
      </c>
      <c r="B12" s="2781">
        <v>18681</v>
      </c>
      <c r="C12" s="2644">
        <f t="shared" si="0"/>
        <v>1E-3</v>
      </c>
      <c r="D12" s="2778">
        <v>0.1</v>
      </c>
      <c r="E12" s="2782">
        <v>5</v>
      </c>
      <c r="F12" s="2777">
        <v>0</v>
      </c>
      <c r="G12" s="2777">
        <v>0</v>
      </c>
    </row>
    <row r="13" spans="1:13" ht="16.5" customHeight="1">
      <c r="A13" s="2779" t="s">
        <v>2593</v>
      </c>
      <c r="B13" s="2777">
        <v>103396</v>
      </c>
      <c r="C13" s="2644">
        <f t="shared" si="0"/>
        <v>6.0000000000000001E-3</v>
      </c>
      <c r="D13" s="2778">
        <v>0.6</v>
      </c>
      <c r="E13" s="2777">
        <v>16</v>
      </c>
      <c r="F13" s="2777">
        <v>0</v>
      </c>
      <c r="G13" s="2777">
        <v>1</v>
      </c>
    </row>
    <row r="14" spans="1:13" ht="17.25" customHeight="1">
      <c r="A14" s="2803" t="s">
        <v>2592</v>
      </c>
      <c r="B14" s="2775">
        <v>18273035</v>
      </c>
      <c r="C14" s="2644">
        <f t="shared" si="0"/>
        <v>0</v>
      </c>
      <c r="D14" s="2776"/>
      <c r="E14" s="2775">
        <v>1078</v>
      </c>
      <c r="F14" s="2775">
        <v>19</v>
      </c>
      <c r="G14" s="2775">
        <v>485</v>
      </c>
    </row>
    <row r="15" spans="1:13" ht="17.25" customHeight="1">
      <c r="A15" s="2803"/>
      <c r="B15" s="2775"/>
      <c r="C15" s="2644"/>
      <c r="D15" s="2776"/>
      <c r="E15" s="2775"/>
      <c r="F15" s="2775"/>
      <c r="G15" s="2775"/>
    </row>
    <row r="16" spans="1:13" ht="17.25" customHeight="1">
      <c r="A16" s="3519" t="s">
        <v>2605</v>
      </c>
      <c r="B16" s="3519"/>
      <c r="C16" s="3519"/>
      <c r="D16" s="3519"/>
      <c r="E16" s="3519"/>
      <c r="F16" s="3519"/>
      <c r="G16" s="3519"/>
      <c r="H16" s="3519"/>
    </row>
    <row r="17" spans="1:13" ht="17.25" customHeight="1">
      <c r="A17" s="2779" t="s">
        <v>2596</v>
      </c>
      <c r="B17" s="2777">
        <v>204099</v>
      </c>
      <c r="C17" s="2644">
        <f t="shared" ref="C17:C27" si="1">D17/100</f>
        <v>0.23399999999999999</v>
      </c>
      <c r="D17" s="2778">
        <v>23.4</v>
      </c>
      <c r="E17" s="2777">
        <v>14</v>
      </c>
      <c r="F17" s="2777">
        <v>0</v>
      </c>
      <c r="G17" s="2777">
        <v>6</v>
      </c>
      <c r="I17" s="2648" t="b">
        <f>I18=I19</f>
        <v>1</v>
      </c>
      <c r="J17" s="2648"/>
      <c r="K17" s="2648" t="b">
        <f>K18=K19</f>
        <v>1</v>
      </c>
      <c r="L17" s="2648" t="b">
        <f>L18=L19</f>
        <v>1</v>
      </c>
      <c r="M17" s="2648" t="b">
        <f>M18=M19</f>
        <v>1</v>
      </c>
    </row>
    <row r="18" spans="1:13" ht="17.25" customHeight="1">
      <c r="A18" s="2779" t="s">
        <v>2687</v>
      </c>
      <c r="B18" s="2777">
        <v>35318</v>
      </c>
      <c r="C18" s="2644">
        <f t="shared" si="1"/>
        <v>4.0999999999999995E-2</v>
      </c>
      <c r="D18" s="2780">
        <v>4.0999999999999996</v>
      </c>
      <c r="E18" s="2777">
        <v>2</v>
      </c>
      <c r="F18" s="2777">
        <v>0</v>
      </c>
      <c r="G18" s="2781">
        <v>1</v>
      </c>
      <c r="I18" s="2647">
        <f>SUM(B17:B20,B22:B26)</f>
        <v>871277</v>
      </c>
      <c r="J18" s="2647">
        <f>SUM(D17:D20,D22:D26)</f>
        <v>99.999999999999986</v>
      </c>
      <c r="K18" s="2647">
        <f>SUM(E17:E20,E22:E26)</f>
        <v>68</v>
      </c>
      <c r="L18" s="2647">
        <f>SUM(F17:F20,F22:F26)</f>
        <v>11</v>
      </c>
      <c r="M18" s="2647">
        <f>SUM(G17:G20,G22:G26)</f>
        <v>35</v>
      </c>
    </row>
    <row r="19" spans="1:13" ht="17.25" customHeight="1">
      <c r="A19" s="2779" t="s">
        <v>2684</v>
      </c>
      <c r="B19" s="2777">
        <v>36156</v>
      </c>
      <c r="C19" s="2644">
        <f t="shared" si="1"/>
        <v>4.2000000000000003E-2</v>
      </c>
      <c r="D19" s="2778">
        <v>4.2</v>
      </c>
      <c r="E19" s="2777">
        <v>3</v>
      </c>
      <c r="F19" s="2777">
        <v>1</v>
      </c>
      <c r="G19" s="2777">
        <v>3</v>
      </c>
      <c r="I19" s="2975">
        <f>B27</f>
        <v>871277</v>
      </c>
      <c r="J19" s="2975">
        <f>D27</f>
        <v>0</v>
      </c>
      <c r="K19" s="2975">
        <f>E27</f>
        <v>68</v>
      </c>
      <c r="L19" s="2975">
        <f>F27</f>
        <v>11</v>
      </c>
      <c r="M19" s="2975">
        <f>G27</f>
        <v>35</v>
      </c>
    </row>
    <row r="20" spans="1:13" ht="17.25" customHeight="1">
      <c r="A20" s="2779" t="s">
        <v>2683</v>
      </c>
      <c r="B20" s="2777">
        <v>16954</v>
      </c>
      <c r="C20" s="2644">
        <f t="shared" si="1"/>
        <v>1.9E-2</v>
      </c>
      <c r="D20" s="2778">
        <v>1.9</v>
      </c>
      <c r="E20" s="2781">
        <v>1</v>
      </c>
      <c r="F20" s="2777">
        <v>0</v>
      </c>
      <c r="G20" s="2777">
        <v>1</v>
      </c>
    </row>
    <row r="21" spans="1:13" ht="16.5" customHeight="1">
      <c r="A21" s="2787" t="s">
        <v>2651</v>
      </c>
      <c r="B21" s="2782">
        <v>292527</v>
      </c>
      <c r="C21" s="2644">
        <f t="shared" si="1"/>
        <v>0.33600000000000002</v>
      </c>
      <c r="D21" s="2783">
        <v>33.6</v>
      </c>
      <c r="E21" s="2782">
        <v>20</v>
      </c>
      <c r="F21" s="2782">
        <v>1</v>
      </c>
      <c r="G21" s="2788">
        <v>11</v>
      </c>
    </row>
    <row r="22" spans="1:13" ht="18.75" customHeight="1">
      <c r="A22" s="2779" t="s">
        <v>2686</v>
      </c>
      <c r="B22" s="2781">
        <v>157091</v>
      </c>
      <c r="C22" s="2644">
        <f t="shared" si="1"/>
        <v>0.18</v>
      </c>
      <c r="D22" s="2778">
        <v>18</v>
      </c>
      <c r="E22" s="2777">
        <v>12</v>
      </c>
      <c r="F22" s="2777">
        <v>0</v>
      </c>
      <c r="G22" s="2777">
        <v>6</v>
      </c>
    </row>
    <row r="23" spans="1:13" ht="17.25" customHeight="1">
      <c r="A23" s="2779" t="s">
        <v>2649</v>
      </c>
      <c r="B23" s="2777">
        <v>395830</v>
      </c>
      <c r="C23" s="2644">
        <f t="shared" si="1"/>
        <v>0.45399999999999996</v>
      </c>
      <c r="D23" s="2778">
        <v>45.4</v>
      </c>
      <c r="E23" s="2777">
        <v>33</v>
      </c>
      <c r="F23" s="2775">
        <v>10</v>
      </c>
      <c r="G23" s="2777">
        <v>18</v>
      </c>
    </row>
    <row r="24" spans="1:13" ht="17.25" customHeight="1">
      <c r="A24" s="2779" t="s">
        <v>2619</v>
      </c>
      <c r="B24" s="2777">
        <v>2534</v>
      </c>
      <c r="C24" s="2644">
        <f t="shared" si="1"/>
        <v>3.0000000000000001E-3</v>
      </c>
      <c r="D24" s="2778">
        <v>0.3</v>
      </c>
      <c r="E24" s="2781">
        <v>1</v>
      </c>
      <c r="F24" s="2777">
        <v>0</v>
      </c>
      <c r="G24" s="2777">
        <v>0</v>
      </c>
    </row>
    <row r="25" spans="1:13" ht="18.75" customHeight="1">
      <c r="A25" s="2779" t="s">
        <v>2599</v>
      </c>
      <c r="B25" s="2777">
        <v>13655</v>
      </c>
      <c r="C25" s="2644">
        <f t="shared" si="1"/>
        <v>1.6E-2</v>
      </c>
      <c r="D25" s="2778">
        <v>1.6</v>
      </c>
      <c r="E25" s="2777">
        <v>1</v>
      </c>
      <c r="F25" s="2777">
        <v>0</v>
      </c>
      <c r="G25" s="2777">
        <v>0</v>
      </c>
    </row>
    <row r="26" spans="1:13" ht="17.25" customHeight="1">
      <c r="A26" s="2779" t="s">
        <v>2682</v>
      </c>
      <c r="B26" s="2777">
        <v>9640</v>
      </c>
      <c r="C26" s="2644">
        <f t="shared" si="1"/>
        <v>1.1000000000000001E-2</v>
      </c>
      <c r="D26" s="2778">
        <v>1.1000000000000001</v>
      </c>
      <c r="E26" s="2781">
        <v>1</v>
      </c>
      <c r="F26" s="2777">
        <v>0</v>
      </c>
      <c r="G26" s="2777">
        <v>0</v>
      </c>
    </row>
    <row r="27" spans="1:13" ht="18" customHeight="1">
      <c r="A27" s="2803" t="s">
        <v>2592</v>
      </c>
      <c r="B27" s="2775">
        <v>871277</v>
      </c>
      <c r="C27" s="2644">
        <f t="shared" si="1"/>
        <v>0</v>
      </c>
      <c r="D27" s="2776"/>
      <c r="E27" s="2775">
        <v>68</v>
      </c>
      <c r="F27" s="2775">
        <v>11</v>
      </c>
      <c r="G27" s="2775">
        <v>35</v>
      </c>
    </row>
    <row r="28" spans="1:13" ht="18" customHeight="1">
      <c r="A28" s="2803"/>
      <c r="B28" s="2775"/>
      <c r="C28" s="2644"/>
      <c r="D28" s="2776"/>
      <c r="E28" s="2775"/>
      <c r="F28" s="2775"/>
      <c r="G28" s="2775"/>
    </row>
    <row r="29" spans="1:13" ht="19.5" customHeight="1">
      <c r="A29" s="3519" t="s">
        <v>2604</v>
      </c>
      <c r="B29" s="3519"/>
      <c r="C29" s="3519"/>
      <c r="D29" s="3519"/>
      <c r="E29" s="3519"/>
      <c r="F29" s="3519"/>
      <c r="G29" s="3519"/>
      <c r="H29" s="3519"/>
    </row>
    <row r="30" spans="1:13" ht="18" customHeight="1">
      <c r="A30" s="2779" t="s">
        <v>2596</v>
      </c>
      <c r="B30" s="2777">
        <v>962595</v>
      </c>
      <c r="C30" s="2644">
        <f t="shared" ref="C30:C40" si="2">D30/100</f>
        <v>0.42</v>
      </c>
      <c r="D30" s="2778">
        <v>42</v>
      </c>
      <c r="E30" s="2777">
        <v>58</v>
      </c>
      <c r="F30" s="2777">
        <v>1</v>
      </c>
      <c r="G30" s="2777">
        <v>35</v>
      </c>
      <c r="I30" s="2648" t="b">
        <f>I31=I32</f>
        <v>1</v>
      </c>
      <c r="J30" s="2648"/>
      <c r="K30" s="2648" t="b">
        <f>K31=K32</f>
        <v>1</v>
      </c>
      <c r="L30" s="2648" t="b">
        <f>L31=L32</f>
        <v>1</v>
      </c>
      <c r="M30" s="2648" t="b">
        <f>M31=M32</f>
        <v>1</v>
      </c>
    </row>
    <row r="31" spans="1:13" ht="18.75" customHeight="1">
      <c r="A31" s="2779" t="s">
        <v>2685</v>
      </c>
      <c r="B31" s="2777">
        <v>4621</v>
      </c>
      <c r="C31" s="2644">
        <f t="shared" si="2"/>
        <v>2E-3</v>
      </c>
      <c r="D31" s="2778">
        <v>0.2</v>
      </c>
      <c r="E31" s="2781">
        <v>1</v>
      </c>
      <c r="F31" s="2777">
        <v>0</v>
      </c>
      <c r="G31" s="2777">
        <v>0</v>
      </c>
      <c r="I31" s="2647">
        <f>SUM(B30:B33,B35:B39)</f>
        <v>2323797</v>
      </c>
      <c r="J31" s="2647">
        <f>SUM(D30:D33,D35:D39)</f>
        <v>100</v>
      </c>
      <c r="K31" s="2647">
        <f>SUM(E30:E33,E35:E39)</f>
        <v>167</v>
      </c>
      <c r="L31" s="2647">
        <f>SUM(F30:F33,F35:F39)</f>
        <v>1</v>
      </c>
      <c r="M31" s="2647">
        <f>SUM(G30:G33,G35:G39)</f>
        <v>71</v>
      </c>
    </row>
    <row r="32" spans="1:13" ht="18.75" customHeight="1">
      <c r="A32" s="2779" t="s">
        <v>2684</v>
      </c>
      <c r="B32" s="2777">
        <v>149072</v>
      </c>
      <c r="C32" s="2644">
        <f t="shared" si="2"/>
        <v>6.7000000000000004E-2</v>
      </c>
      <c r="D32" s="2778">
        <v>6.7</v>
      </c>
      <c r="E32" s="2777">
        <v>9</v>
      </c>
      <c r="F32" s="2777">
        <v>0</v>
      </c>
      <c r="G32" s="2777">
        <v>7</v>
      </c>
      <c r="I32" s="2975">
        <f>B40</f>
        <v>2323797</v>
      </c>
      <c r="J32" s="2975">
        <f>D40</f>
        <v>0</v>
      </c>
      <c r="K32" s="2975">
        <f>E40</f>
        <v>167</v>
      </c>
      <c r="L32" s="2975">
        <f>F40</f>
        <v>1</v>
      </c>
      <c r="M32" s="2975">
        <f>G40</f>
        <v>71</v>
      </c>
    </row>
    <row r="33" spans="1:13" ht="17.25" customHeight="1">
      <c r="A33" s="2779" t="s">
        <v>2683</v>
      </c>
      <c r="B33" s="2777">
        <v>19115</v>
      </c>
      <c r="C33" s="2644">
        <f t="shared" si="2"/>
        <v>9.0000000000000011E-3</v>
      </c>
      <c r="D33" s="2780">
        <v>0.9</v>
      </c>
      <c r="E33" s="2777">
        <v>1</v>
      </c>
      <c r="F33" s="2777">
        <v>0</v>
      </c>
      <c r="G33" s="2781">
        <v>1</v>
      </c>
    </row>
    <row r="34" spans="1:13" ht="17.25" customHeight="1">
      <c r="A34" s="2787" t="s">
        <v>2651</v>
      </c>
      <c r="B34" s="2788">
        <v>1135403</v>
      </c>
      <c r="C34" s="2644">
        <f t="shared" si="2"/>
        <v>0.498</v>
      </c>
      <c r="D34" s="2789">
        <v>49.8</v>
      </c>
      <c r="E34" s="2782">
        <v>69</v>
      </c>
      <c r="F34" s="2788">
        <v>1</v>
      </c>
      <c r="G34" s="2782">
        <v>43</v>
      </c>
    </row>
    <row r="35" spans="1:13" ht="17.25" customHeight="1">
      <c r="A35" s="2779" t="s">
        <v>2595</v>
      </c>
      <c r="B35" s="2777">
        <v>174235</v>
      </c>
      <c r="C35" s="2644">
        <f t="shared" si="2"/>
        <v>6.7000000000000004E-2</v>
      </c>
      <c r="D35" s="2780">
        <v>6.7</v>
      </c>
      <c r="E35" s="2777">
        <v>16</v>
      </c>
      <c r="F35" s="2777">
        <v>0</v>
      </c>
      <c r="G35" s="2777">
        <v>3</v>
      </c>
    </row>
    <row r="36" spans="1:13" ht="18" customHeight="1">
      <c r="A36" s="2779" t="s">
        <v>2594</v>
      </c>
      <c r="B36" s="2777">
        <v>863789</v>
      </c>
      <c r="C36" s="2644">
        <f t="shared" si="2"/>
        <v>0.36799999999999999</v>
      </c>
      <c r="D36" s="2778">
        <v>36.799999999999997</v>
      </c>
      <c r="E36" s="2777">
        <v>63</v>
      </c>
      <c r="F36" s="2777">
        <v>0</v>
      </c>
      <c r="G36" s="2777">
        <v>20</v>
      </c>
    </row>
    <row r="37" spans="1:13" ht="17.25" customHeight="1">
      <c r="A37" s="2779" t="s">
        <v>2618</v>
      </c>
      <c r="B37" s="2777">
        <v>25652</v>
      </c>
      <c r="C37" s="2644">
        <f t="shared" si="2"/>
        <v>1.1000000000000001E-2</v>
      </c>
      <c r="D37" s="2778">
        <v>1.1000000000000001</v>
      </c>
      <c r="E37" s="2777">
        <v>7</v>
      </c>
      <c r="F37" s="2777">
        <v>0</v>
      </c>
      <c r="G37" s="2777">
        <v>0</v>
      </c>
    </row>
    <row r="38" spans="1:13" ht="18" customHeight="1">
      <c r="A38" s="2779" t="s">
        <v>2599</v>
      </c>
      <c r="B38" s="2777">
        <v>13462</v>
      </c>
      <c r="C38" s="2644">
        <f t="shared" si="2"/>
        <v>6.0000000000000001E-3</v>
      </c>
      <c r="D38" s="2778">
        <v>0.6</v>
      </c>
      <c r="E38" s="2781">
        <v>1</v>
      </c>
      <c r="F38" s="2777">
        <v>0</v>
      </c>
      <c r="G38" s="2777">
        <v>1</v>
      </c>
    </row>
    <row r="39" spans="1:13" ht="18.75" customHeight="1">
      <c r="A39" s="2779" t="s">
        <v>2682</v>
      </c>
      <c r="B39" s="2777">
        <v>111256</v>
      </c>
      <c r="C39" s="2644">
        <f t="shared" si="2"/>
        <v>0.05</v>
      </c>
      <c r="D39" s="2783">
        <v>5</v>
      </c>
      <c r="E39" s="2777">
        <v>11</v>
      </c>
      <c r="F39" s="2777">
        <v>0</v>
      </c>
      <c r="G39" s="2777">
        <v>4</v>
      </c>
    </row>
    <row r="40" spans="1:13" ht="20.25" customHeight="1">
      <c r="A40" s="2803" t="s">
        <v>2592</v>
      </c>
      <c r="B40" s="2775">
        <v>2323797</v>
      </c>
      <c r="C40" s="2644">
        <f t="shared" si="2"/>
        <v>0</v>
      </c>
      <c r="D40" s="2776"/>
      <c r="E40" s="2775">
        <v>167</v>
      </c>
      <c r="F40" s="2775">
        <v>1</v>
      </c>
      <c r="G40" s="2777">
        <v>71</v>
      </c>
    </row>
    <row r="41" spans="1:13" ht="20.25" customHeight="1">
      <c r="A41" s="2803"/>
      <c r="B41" s="2775"/>
      <c r="C41" s="2644"/>
      <c r="D41" s="2776"/>
      <c r="E41" s="2775"/>
      <c r="F41" s="2775"/>
      <c r="G41" s="2777"/>
    </row>
    <row r="42" spans="1:13" ht="20.25" customHeight="1">
      <c r="A42" s="3518" t="s">
        <v>2681</v>
      </c>
      <c r="B42" s="3519"/>
      <c r="C42" s="3519"/>
      <c r="D42" s="3519"/>
      <c r="E42" s="3519"/>
      <c r="F42" s="3519"/>
      <c r="G42" s="3519"/>
      <c r="H42" s="3519"/>
    </row>
    <row r="43" spans="1:13" ht="17.25" customHeight="1">
      <c r="A43" s="2779" t="s">
        <v>2596</v>
      </c>
      <c r="B43" s="2777">
        <v>292840</v>
      </c>
      <c r="C43" s="2644">
        <f>D43/100</f>
        <v>0.64900000000000002</v>
      </c>
      <c r="D43" s="2778">
        <v>64.900000000000006</v>
      </c>
      <c r="E43" s="2777">
        <v>12</v>
      </c>
      <c r="F43" s="2777">
        <v>6</v>
      </c>
      <c r="G43" s="2777">
        <v>10</v>
      </c>
      <c r="I43" s="2648" t="b">
        <f>I44=I45</f>
        <v>1</v>
      </c>
      <c r="J43" s="2648"/>
      <c r="K43" s="2648" t="b">
        <f>K44=K45</f>
        <v>1</v>
      </c>
      <c r="L43" s="2648" t="b">
        <f>L44=L45</f>
        <v>1</v>
      </c>
      <c r="M43" s="2648" t="b">
        <f>M44=M45</f>
        <v>1</v>
      </c>
    </row>
    <row r="44" spans="1:13" ht="17.25" customHeight="1">
      <c r="A44" s="2787" t="s">
        <v>2680</v>
      </c>
      <c r="B44" s="2782">
        <v>292840</v>
      </c>
      <c r="C44" s="2644">
        <f>D44/100</f>
        <v>0.64900000000000002</v>
      </c>
      <c r="D44" s="2783">
        <v>64.900000000000006</v>
      </c>
      <c r="E44" s="2788">
        <v>12</v>
      </c>
      <c r="F44" s="2782">
        <v>6</v>
      </c>
      <c r="G44" s="2782">
        <v>10</v>
      </c>
      <c r="I44" s="2647">
        <f>SUM(B43,B45:B46)</f>
        <v>451167</v>
      </c>
      <c r="J44" s="2647">
        <f>SUM(D43,D45:D46)</f>
        <v>100</v>
      </c>
      <c r="K44" s="2647">
        <f>SUM(E43,E45:E46)</f>
        <v>17</v>
      </c>
      <c r="L44" s="2647">
        <f>SUM(F43,F45:F46)</f>
        <v>6</v>
      </c>
      <c r="M44" s="2647">
        <f>SUM(G43,G45:G46)</f>
        <v>12</v>
      </c>
    </row>
    <row r="45" spans="1:13" ht="17.25" customHeight="1">
      <c r="A45" s="2779" t="s">
        <v>2679</v>
      </c>
      <c r="B45" s="2777">
        <v>101494</v>
      </c>
      <c r="C45" s="2644">
        <f>D45/100</f>
        <v>0.183</v>
      </c>
      <c r="D45" s="2778">
        <v>18.3</v>
      </c>
      <c r="E45" s="2777">
        <v>2</v>
      </c>
      <c r="F45" s="2777">
        <v>0</v>
      </c>
      <c r="G45" s="2777">
        <v>2</v>
      </c>
      <c r="I45" s="2975">
        <f>B47</f>
        <v>451167</v>
      </c>
      <c r="J45" s="2975">
        <f>D47</f>
        <v>0</v>
      </c>
      <c r="K45" s="2975">
        <f>E47</f>
        <v>17</v>
      </c>
      <c r="L45" s="2975">
        <f>F47</f>
        <v>6</v>
      </c>
      <c r="M45" s="2975">
        <f>G47</f>
        <v>12</v>
      </c>
    </row>
    <row r="46" spans="1:13" ht="16.5" customHeight="1">
      <c r="A46" s="2779" t="s">
        <v>2678</v>
      </c>
      <c r="B46" s="2777">
        <v>56833</v>
      </c>
      <c r="C46" s="2644">
        <f>D46/100</f>
        <v>0.16800000000000001</v>
      </c>
      <c r="D46" s="2778">
        <v>16.8</v>
      </c>
      <c r="E46" s="2777">
        <v>3</v>
      </c>
      <c r="F46" s="2777">
        <v>0</v>
      </c>
      <c r="G46" s="2777">
        <v>0</v>
      </c>
    </row>
    <row r="47" spans="1:13" ht="18" customHeight="1">
      <c r="A47" s="2803" t="s">
        <v>2677</v>
      </c>
      <c r="B47" s="2775">
        <v>451167</v>
      </c>
      <c r="C47" s="2644">
        <f>D47/100</f>
        <v>0</v>
      </c>
      <c r="D47" s="2776"/>
      <c r="E47" s="2775">
        <v>17</v>
      </c>
      <c r="F47" s="2777">
        <v>6</v>
      </c>
      <c r="G47" s="2775">
        <v>12</v>
      </c>
    </row>
    <row r="48" spans="1:13">
      <c r="C48" s="2644"/>
    </row>
    <row r="49" spans="1:13">
      <c r="A49" s="3520" t="s">
        <v>2676</v>
      </c>
      <c r="B49" s="3520"/>
      <c r="C49" s="3520"/>
      <c r="D49" s="3520"/>
      <c r="E49" s="3520"/>
      <c r="F49" s="3520"/>
      <c r="G49" s="3520"/>
      <c r="H49" s="3520"/>
    </row>
    <row r="50" spans="1:13" ht="17">
      <c r="A50" s="2779" t="s">
        <v>2675</v>
      </c>
      <c r="B50" s="2777">
        <v>10203460</v>
      </c>
      <c r="C50" s="2644">
        <f t="shared" ref="C50:C63" si="3">D50/100</f>
        <v>0.47399999999999998</v>
      </c>
      <c r="D50" s="2778">
        <v>47.4</v>
      </c>
      <c r="E50" s="2777">
        <v>503</v>
      </c>
      <c r="F50" s="2777">
        <v>17</v>
      </c>
      <c r="G50" s="2777">
        <v>377</v>
      </c>
      <c r="I50" s="2648" t="b">
        <f>I51=I52</f>
        <v>1</v>
      </c>
      <c r="J50" s="2648"/>
      <c r="K50" s="2648" t="b">
        <f>K51=K52</f>
        <v>1</v>
      </c>
      <c r="L50" s="2648" t="b">
        <f>L51=L52</f>
        <v>1</v>
      </c>
      <c r="M50" s="2648" t="b">
        <f>M51=M52</f>
        <v>1</v>
      </c>
    </row>
    <row r="51" spans="1:13" ht="17">
      <c r="A51" s="2779" t="s">
        <v>2664</v>
      </c>
      <c r="B51" s="2777">
        <v>53189</v>
      </c>
      <c r="C51" s="2644">
        <f t="shared" si="3"/>
        <v>2E-3</v>
      </c>
      <c r="D51" s="2778">
        <v>0.2</v>
      </c>
      <c r="E51" s="2777">
        <v>4</v>
      </c>
      <c r="F51" s="2777">
        <v>0</v>
      </c>
      <c r="G51" s="2777">
        <v>1</v>
      </c>
      <c r="I51" s="2647">
        <f>SUM(B50:B53,B55:B61)</f>
        <v>21545887</v>
      </c>
      <c r="J51" s="2647">
        <f>SUM(D50:D53,D55:D61)</f>
        <v>99.799999999999983</v>
      </c>
      <c r="K51" s="2647">
        <f>SUM(E50:E53,E55:E61)</f>
        <v>1331</v>
      </c>
      <c r="L51" s="2647">
        <f>SUM(F50:F53,F55:F61)</f>
        <v>34</v>
      </c>
      <c r="M51" s="2647">
        <f>SUM(G50:G53,G55:G61)</f>
        <v>603</v>
      </c>
    </row>
    <row r="52" spans="1:13" ht="17">
      <c r="A52" s="2779" t="s">
        <v>2663</v>
      </c>
      <c r="B52" s="2777">
        <v>866354</v>
      </c>
      <c r="C52" s="2644">
        <f t="shared" si="3"/>
        <v>0.04</v>
      </c>
      <c r="D52" s="2778">
        <v>4</v>
      </c>
      <c r="E52" s="2777">
        <v>44</v>
      </c>
      <c r="F52" s="2777">
        <v>3</v>
      </c>
      <c r="G52" s="2777">
        <v>33</v>
      </c>
      <c r="I52" s="2975">
        <f>B62</f>
        <v>21545887</v>
      </c>
      <c r="J52" s="2975">
        <f>D62</f>
        <v>0</v>
      </c>
      <c r="K52" s="2975">
        <f>E62</f>
        <v>1331</v>
      </c>
      <c r="L52" s="2975">
        <f>F62</f>
        <v>34</v>
      </c>
      <c r="M52" s="2975">
        <f>G62</f>
        <v>603</v>
      </c>
    </row>
    <row r="53" spans="1:13" ht="17">
      <c r="A53" s="2779" t="s">
        <v>2674</v>
      </c>
      <c r="B53" s="2777">
        <v>339811</v>
      </c>
      <c r="C53" s="2644">
        <f t="shared" si="3"/>
        <v>1.6E-2</v>
      </c>
      <c r="D53" s="2778">
        <v>1.6</v>
      </c>
      <c r="E53" s="2777">
        <v>20</v>
      </c>
      <c r="F53" s="2777">
        <v>0</v>
      </c>
      <c r="G53" s="2777">
        <v>8</v>
      </c>
    </row>
    <row r="54" spans="1:13" ht="17">
      <c r="A54" s="2787" t="s">
        <v>2673</v>
      </c>
      <c r="B54" s="2788">
        <v>11462814</v>
      </c>
      <c r="C54" s="2644">
        <f t="shared" si="3"/>
        <v>0.53200000000000003</v>
      </c>
      <c r="D54" s="2783">
        <v>53.2</v>
      </c>
      <c r="E54" s="2782">
        <v>571</v>
      </c>
      <c r="F54" s="2782">
        <v>20</v>
      </c>
      <c r="G54" s="2788">
        <v>419</v>
      </c>
    </row>
    <row r="55" spans="1:13" ht="17">
      <c r="A55" s="2779" t="s">
        <v>2672</v>
      </c>
      <c r="B55" s="2777">
        <v>1443093</v>
      </c>
      <c r="C55" s="2644">
        <f t="shared" si="3"/>
        <v>6.7000000000000004E-2</v>
      </c>
      <c r="D55" s="2778">
        <v>6.7</v>
      </c>
      <c r="E55" s="2777">
        <v>161</v>
      </c>
      <c r="F55" s="2777">
        <v>0</v>
      </c>
      <c r="G55" s="2777">
        <v>21</v>
      </c>
    </row>
    <row r="56" spans="1:13" ht="17">
      <c r="A56" s="2779" t="s">
        <v>2659</v>
      </c>
      <c r="B56" s="2777">
        <v>8325491</v>
      </c>
      <c r="C56" s="2644">
        <f t="shared" si="3"/>
        <v>0.38600000000000001</v>
      </c>
      <c r="D56" s="2778">
        <v>38.6</v>
      </c>
      <c r="E56" s="2777">
        <v>552</v>
      </c>
      <c r="F56" s="2777">
        <v>13</v>
      </c>
      <c r="G56" s="2777">
        <v>154</v>
      </c>
    </row>
    <row r="57" spans="1:13" ht="17">
      <c r="A57" s="2779" t="s">
        <v>2671</v>
      </c>
      <c r="B57" s="2777">
        <v>27117</v>
      </c>
      <c r="C57" s="2644">
        <f t="shared" si="3"/>
        <v>1E-3</v>
      </c>
      <c r="D57" s="2778">
        <v>0.1</v>
      </c>
      <c r="E57" s="2777">
        <v>2</v>
      </c>
      <c r="F57" s="2777">
        <v>0</v>
      </c>
      <c r="G57" s="2777">
        <v>1</v>
      </c>
    </row>
    <row r="58" spans="1:13" ht="17">
      <c r="A58" s="2779" t="s">
        <v>2658</v>
      </c>
      <c r="B58" s="2777">
        <v>2534</v>
      </c>
      <c r="C58" s="2644">
        <f t="shared" si="3"/>
        <v>0</v>
      </c>
      <c r="D58" s="2778">
        <v>0</v>
      </c>
      <c r="E58" s="2781">
        <v>1</v>
      </c>
      <c r="F58" s="2777">
        <v>0</v>
      </c>
      <c r="G58" s="2777">
        <v>0</v>
      </c>
    </row>
    <row r="59" spans="1:13" ht="17">
      <c r="A59" s="2779" t="s">
        <v>2670</v>
      </c>
      <c r="B59" s="2777">
        <v>29517</v>
      </c>
      <c r="C59" s="2644">
        <f t="shared" si="3"/>
        <v>1E-3</v>
      </c>
      <c r="D59" s="2778">
        <v>0.1</v>
      </c>
      <c r="E59" s="2777">
        <v>8</v>
      </c>
      <c r="F59" s="2777">
        <v>0</v>
      </c>
      <c r="G59" s="2777">
        <v>0</v>
      </c>
    </row>
    <row r="60" spans="1:13" ht="17">
      <c r="A60" s="2779" t="s">
        <v>2669</v>
      </c>
      <c r="B60" s="2777">
        <v>139577</v>
      </c>
      <c r="C60" s="2644">
        <f t="shared" si="3"/>
        <v>6.0000000000000001E-3</v>
      </c>
      <c r="D60" s="2778">
        <v>0.6</v>
      </c>
      <c r="E60" s="2777">
        <v>17</v>
      </c>
      <c r="F60" s="2777">
        <v>0</v>
      </c>
      <c r="G60" s="2777">
        <v>4</v>
      </c>
    </row>
    <row r="61" spans="1:13" ht="17">
      <c r="A61" s="2779" t="s">
        <v>2668</v>
      </c>
      <c r="B61" s="2781">
        <v>115744</v>
      </c>
      <c r="C61" s="2644">
        <f t="shared" si="3"/>
        <v>5.0000000000000001E-3</v>
      </c>
      <c r="D61" s="2778">
        <v>0.5</v>
      </c>
      <c r="E61" s="2782">
        <v>19</v>
      </c>
      <c r="F61" s="2781">
        <v>1</v>
      </c>
      <c r="G61" s="2775">
        <v>4</v>
      </c>
    </row>
    <row r="62" spans="1:13" ht="17">
      <c r="A62" s="2803" t="s">
        <v>2667</v>
      </c>
      <c r="B62" s="2775">
        <v>21545887</v>
      </c>
      <c r="C62" s="2644">
        <f t="shared" si="3"/>
        <v>0</v>
      </c>
      <c r="D62" s="2776"/>
      <c r="E62" s="2775">
        <v>1331</v>
      </c>
      <c r="F62" s="2775">
        <v>34</v>
      </c>
      <c r="G62" s="2775">
        <v>603</v>
      </c>
    </row>
    <row r="63" spans="1:13">
      <c r="A63" s="2803"/>
      <c r="B63" s="2775"/>
      <c r="C63" s="2644">
        <f t="shared" si="3"/>
        <v>0</v>
      </c>
      <c r="D63" s="2776"/>
      <c r="E63" s="2775"/>
      <c r="F63" s="2775"/>
      <c r="G63" s="2775"/>
    </row>
    <row r="64" spans="1:13">
      <c r="A64" s="3520" t="s">
        <v>2666</v>
      </c>
      <c r="B64" s="3520"/>
      <c r="C64" s="3520"/>
      <c r="D64" s="3520"/>
      <c r="E64" s="3520"/>
      <c r="F64" s="3520"/>
      <c r="G64" s="3520"/>
      <c r="H64" s="3520"/>
    </row>
    <row r="65" spans="1:13" ht="17">
      <c r="A65" s="2779" t="s">
        <v>2665</v>
      </c>
      <c r="B65" s="2777">
        <v>10496300</v>
      </c>
      <c r="C65" s="2644">
        <f t="shared" ref="C65:C80" si="4">D65/100</f>
        <v>0.47799999999999998</v>
      </c>
      <c r="D65" s="2778">
        <v>47.8</v>
      </c>
      <c r="E65" s="2777">
        <v>515</v>
      </c>
      <c r="F65" s="2777">
        <v>23</v>
      </c>
      <c r="G65" s="2777">
        <v>387</v>
      </c>
      <c r="I65" s="2648" t="b">
        <f>I66=I67</f>
        <v>1</v>
      </c>
      <c r="J65" s="2648"/>
      <c r="K65" s="2648" t="b">
        <f>K66=K67</f>
        <v>1</v>
      </c>
      <c r="L65" s="2648" t="b">
        <f>L66=L67</f>
        <v>1</v>
      </c>
      <c r="M65" s="2648" t="b">
        <f>M66=M67</f>
        <v>1</v>
      </c>
    </row>
    <row r="66" spans="1:13" ht="17">
      <c r="A66" s="2779" t="s">
        <v>2664</v>
      </c>
      <c r="B66" s="2777">
        <v>53189</v>
      </c>
      <c r="C66" s="2644">
        <f t="shared" si="4"/>
        <v>3.0000000000000001E-3</v>
      </c>
      <c r="D66" s="2778">
        <v>0.3</v>
      </c>
      <c r="E66" s="2777">
        <v>4</v>
      </c>
      <c r="F66" s="2777">
        <v>0</v>
      </c>
      <c r="G66" s="2777">
        <v>1</v>
      </c>
      <c r="I66" s="2647">
        <f>SUM(B65:B68,B70:B78)</f>
        <v>21997054</v>
      </c>
      <c r="J66" s="2647">
        <f>SUM(D65:D68,D70:D78)</f>
        <v>99.999999999999986</v>
      </c>
      <c r="K66" s="2647">
        <f>SUM(E65:E68,E70:E78)</f>
        <v>1348</v>
      </c>
      <c r="L66" s="2647">
        <f>SUM(F65:F68,F70:F78)</f>
        <v>40</v>
      </c>
      <c r="M66" s="2647">
        <f>SUM(G65:G68,G70:G78)</f>
        <v>615</v>
      </c>
    </row>
    <row r="67" spans="1:13" ht="17">
      <c r="A67" s="2779" t="s">
        <v>2663</v>
      </c>
      <c r="B67" s="2777">
        <v>866354</v>
      </c>
      <c r="C67" s="2644">
        <f t="shared" si="4"/>
        <v>3.7000000000000005E-2</v>
      </c>
      <c r="D67" s="2778">
        <v>3.7</v>
      </c>
      <c r="E67" s="2777">
        <v>44</v>
      </c>
      <c r="F67" s="2777">
        <v>3</v>
      </c>
      <c r="G67" s="2777">
        <v>33</v>
      </c>
      <c r="I67" s="2975">
        <f>B79</f>
        <v>21997054</v>
      </c>
      <c r="J67" s="2975">
        <f>D79</f>
        <v>0</v>
      </c>
      <c r="K67" s="2975">
        <f>E79</f>
        <v>1348</v>
      </c>
      <c r="L67" s="2975">
        <f>F79</f>
        <v>40</v>
      </c>
      <c r="M67" s="2975">
        <f>G79</f>
        <v>615</v>
      </c>
    </row>
    <row r="68" spans="1:13" ht="17">
      <c r="A68" s="2779" t="s">
        <v>2662</v>
      </c>
      <c r="B68" s="2777">
        <v>339811</v>
      </c>
      <c r="C68" s="2644">
        <f t="shared" si="4"/>
        <v>1.4999999999999999E-2</v>
      </c>
      <c r="D68" s="2783">
        <v>1.5</v>
      </c>
      <c r="E68" s="2777">
        <v>20</v>
      </c>
      <c r="F68" s="2777">
        <v>0</v>
      </c>
      <c r="G68" s="2777">
        <v>8</v>
      </c>
    </row>
    <row r="69" spans="1:13" ht="17">
      <c r="A69" s="2787" t="s">
        <v>2661</v>
      </c>
      <c r="B69" s="2782">
        <v>11755654</v>
      </c>
      <c r="C69" s="2644">
        <f t="shared" si="4"/>
        <v>0.53299999999999992</v>
      </c>
      <c r="D69" s="2783">
        <v>53.3</v>
      </c>
      <c r="E69" s="2782">
        <v>583</v>
      </c>
      <c r="F69" s="2782">
        <v>26</v>
      </c>
      <c r="G69" s="2782">
        <v>429</v>
      </c>
    </row>
    <row r="70" spans="1:13" ht="17">
      <c r="A70" s="2803" t="s">
        <v>2660</v>
      </c>
      <c r="B70" s="2777">
        <v>1443093</v>
      </c>
      <c r="C70" s="2644">
        <f t="shared" si="4"/>
        <v>6.7000000000000004E-2</v>
      </c>
      <c r="D70" s="2778">
        <v>6.7</v>
      </c>
      <c r="E70" s="2777">
        <v>161</v>
      </c>
      <c r="F70" s="2777">
        <v>0</v>
      </c>
      <c r="G70" s="2781">
        <v>21</v>
      </c>
    </row>
    <row r="71" spans="1:13" ht="17">
      <c r="A71" s="2779" t="s">
        <v>2659</v>
      </c>
      <c r="B71" s="2781">
        <v>8325491</v>
      </c>
      <c r="C71" s="2644">
        <f t="shared" si="4"/>
        <v>0.38</v>
      </c>
      <c r="D71" s="2778">
        <v>38</v>
      </c>
      <c r="E71" s="2777">
        <v>552</v>
      </c>
      <c r="F71" s="2777">
        <v>13</v>
      </c>
      <c r="G71" s="2777">
        <v>154</v>
      </c>
    </row>
    <row r="72" spans="1:13" ht="17">
      <c r="A72" s="2779" t="s">
        <v>2658</v>
      </c>
      <c r="B72" s="2777">
        <v>2534</v>
      </c>
      <c r="C72" s="2644">
        <f t="shared" si="4"/>
        <v>0</v>
      </c>
      <c r="D72" s="2778">
        <v>0</v>
      </c>
      <c r="E72" s="2781">
        <v>1</v>
      </c>
      <c r="F72" s="2777">
        <v>0</v>
      </c>
      <c r="G72" s="2777">
        <v>0</v>
      </c>
    </row>
    <row r="73" spans="1:13" ht="17">
      <c r="A73" s="2779" t="s">
        <v>2657</v>
      </c>
      <c r="B73" s="2777">
        <v>29517</v>
      </c>
      <c r="C73" s="2644">
        <f t="shared" si="4"/>
        <v>1E-3</v>
      </c>
      <c r="D73" s="2778">
        <v>0.1</v>
      </c>
      <c r="E73" s="2777">
        <v>8</v>
      </c>
      <c r="F73" s="2777">
        <v>0</v>
      </c>
      <c r="G73" s="2777">
        <v>0</v>
      </c>
    </row>
    <row r="74" spans="1:13" ht="17">
      <c r="A74" s="2779" t="s">
        <v>2656</v>
      </c>
      <c r="B74" s="2777">
        <v>27117</v>
      </c>
      <c r="C74" s="2644">
        <f t="shared" si="4"/>
        <v>1E-3</v>
      </c>
      <c r="D74" s="2778">
        <v>0.1</v>
      </c>
      <c r="E74" s="2777">
        <v>2</v>
      </c>
      <c r="F74" s="2777">
        <v>0</v>
      </c>
      <c r="G74" s="2781">
        <v>1</v>
      </c>
    </row>
    <row r="75" spans="1:13" ht="17">
      <c r="A75" s="2779" t="s">
        <v>2655</v>
      </c>
      <c r="B75" s="2777">
        <v>139577</v>
      </c>
      <c r="C75" s="2644">
        <f t="shared" si="4"/>
        <v>6.9999999999999993E-3</v>
      </c>
      <c r="D75" s="2778">
        <v>0.7</v>
      </c>
      <c r="E75" s="2777">
        <v>17</v>
      </c>
      <c r="F75" s="2777">
        <v>0</v>
      </c>
      <c r="G75" s="2777">
        <v>4</v>
      </c>
    </row>
    <row r="76" spans="1:13" ht="17">
      <c r="A76" s="2779" t="s">
        <v>2654</v>
      </c>
      <c r="B76" s="2777">
        <v>101494</v>
      </c>
      <c r="C76" s="2644">
        <f t="shared" si="4"/>
        <v>3.0000000000000001E-3</v>
      </c>
      <c r="D76" s="2778">
        <v>0.3</v>
      </c>
      <c r="E76" s="2777">
        <v>2</v>
      </c>
      <c r="F76" s="2777">
        <v>0</v>
      </c>
      <c r="G76" s="2777">
        <v>2</v>
      </c>
    </row>
    <row r="77" spans="1:13" ht="17">
      <c r="A77" s="2779" t="s">
        <v>2653</v>
      </c>
      <c r="B77" s="2777">
        <v>56833</v>
      </c>
      <c r="C77" s="2644">
        <f t="shared" si="4"/>
        <v>2E-3</v>
      </c>
      <c r="D77" s="2778">
        <v>0.2</v>
      </c>
      <c r="E77" s="2777">
        <v>3</v>
      </c>
      <c r="F77" s="2777">
        <v>0</v>
      </c>
      <c r="G77" s="2777">
        <v>0</v>
      </c>
    </row>
    <row r="78" spans="1:13" ht="17">
      <c r="A78" s="2779" t="s">
        <v>28</v>
      </c>
      <c r="B78" s="2777">
        <v>115744</v>
      </c>
      <c r="C78" s="2644">
        <f t="shared" si="4"/>
        <v>6.0000000000000001E-3</v>
      </c>
      <c r="D78" s="2778">
        <v>0.6</v>
      </c>
      <c r="E78" s="2777">
        <v>19</v>
      </c>
      <c r="F78" s="2777">
        <v>1</v>
      </c>
      <c r="G78" s="2777">
        <v>4</v>
      </c>
    </row>
    <row r="79" spans="1:13" s="2784" customFormat="1" ht="17">
      <c r="A79" s="2803" t="s">
        <v>16</v>
      </c>
      <c r="B79" s="2775">
        <v>21997054</v>
      </c>
      <c r="C79" s="2644">
        <f t="shared" si="4"/>
        <v>0</v>
      </c>
      <c r="D79" s="2786"/>
      <c r="E79" s="2775">
        <v>1348</v>
      </c>
      <c r="F79" s="2775">
        <v>40</v>
      </c>
      <c r="G79" s="2775">
        <v>615</v>
      </c>
      <c r="H79" s="2785"/>
      <c r="I79" s="2785"/>
    </row>
    <row r="80" spans="1:13">
      <c r="C80" s="2644">
        <f t="shared" si="4"/>
        <v>0</v>
      </c>
    </row>
    <row r="81" spans="1:13" ht="18" customHeight="1">
      <c r="A81" s="3519" t="s">
        <v>2597</v>
      </c>
      <c r="B81" s="3519"/>
      <c r="C81" s="3519"/>
      <c r="D81" s="3519"/>
      <c r="E81" s="3519"/>
      <c r="F81" s="3519"/>
      <c r="G81" s="3519"/>
      <c r="H81" s="3519"/>
    </row>
    <row r="82" spans="1:13" ht="18.75" customHeight="1">
      <c r="A82" s="2779" t="s">
        <v>2596</v>
      </c>
      <c r="B82" s="2777">
        <v>39418</v>
      </c>
      <c r="C82" s="2644">
        <f t="shared" ref="C82:C112" si="5">D82/100</f>
        <v>0.50700000000000001</v>
      </c>
      <c r="D82" s="2778">
        <v>50.7</v>
      </c>
      <c r="E82" s="2777">
        <v>8</v>
      </c>
      <c r="F82" s="2777">
        <v>2</v>
      </c>
      <c r="G82" s="2777">
        <v>7</v>
      </c>
      <c r="I82" s="2648" t="b">
        <f>I83=I84</f>
        <v>1</v>
      </c>
      <c r="J82" s="2648"/>
      <c r="K82" s="2648" t="b">
        <f>K83=K84</f>
        <v>0</v>
      </c>
      <c r="L82" s="2648" t="b">
        <f>L83=L84</f>
        <v>1</v>
      </c>
      <c r="M82" s="2648" t="b">
        <f>M83=M84</f>
        <v>1</v>
      </c>
    </row>
    <row r="83" spans="1:13" ht="19.5" customHeight="1">
      <c r="A83" s="2803" t="s">
        <v>2652</v>
      </c>
      <c r="B83" s="2777">
        <v>7529</v>
      </c>
      <c r="C83" s="2644">
        <f t="shared" si="5"/>
        <v>9.6000000000000002E-2</v>
      </c>
      <c r="D83" s="2778">
        <v>9.6</v>
      </c>
      <c r="E83" s="2777">
        <v>1</v>
      </c>
      <c r="F83" s="2777">
        <v>0</v>
      </c>
      <c r="G83" s="2777">
        <v>1</v>
      </c>
      <c r="I83" s="2647">
        <f>SUM(B82:B83,B85:B88)</f>
        <v>77778</v>
      </c>
      <c r="J83" s="2647">
        <f>SUM(D82:D83,D85:D88)</f>
        <v>100.00000000000001</v>
      </c>
      <c r="K83" s="2647">
        <f>SUM(E82:E83,E85:E88)</f>
        <v>18</v>
      </c>
      <c r="L83" s="2647">
        <f>SUM(F82:F83,F85:F88)</f>
        <v>3</v>
      </c>
      <c r="M83" s="2647">
        <f>SUM(G82:G83,G85:G88)</f>
        <v>12</v>
      </c>
    </row>
    <row r="84" spans="1:13" ht="16.5" customHeight="1">
      <c r="A84" s="2804" t="s">
        <v>2651</v>
      </c>
      <c r="B84" s="2782">
        <v>46947</v>
      </c>
      <c r="C84" s="2644">
        <f t="shared" si="5"/>
        <v>0.60299999999999998</v>
      </c>
      <c r="D84" s="2783">
        <v>60.3</v>
      </c>
      <c r="E84" s="2782">
        <v>9</v>
      </c>
      <c r="F84" s="2782">
        <v>2</v>
      </c>
      <c r="G84" s="2782">
        <v>8</v>
      </c>
      <c r="I84" s="2975">
        <f>B89</f>
        <v>77778</v>
      </c>
      <c r="J84" s="2975">
        <f>D89</f>
        <v>0</v>
      </c>
      <c r="K84" s="2975">
        <f>E89</f>
        <v>8</v>
      </c>
      <c r="L84" s="2975">
        <f>F89</f>
        <v>3</v>
      </c>
      <c r="M84" s="2975">
        <f>G89</f>
        <v>12</v>
      </c>
    </row>
    <row r="85" spans="1:13" ht="17.25" customHeight="1">
      <c r="A85" s="2803" t="s">
        <v>2650</v>
      </c>
      <c r="B85" s="2777">
        <v>2796</v>
      </c>
      <c r="C85" s="2644">
        <f t="shared" si="5"/>
        <v>3.6000000000000004E-2</v>
      </c>
      <c r="D85" s="2778">
        <v>3.6</v>
      </c>
      <c r="E85" s="2777">
        <v>1</v>
      </c>
      <c r="F85" s="2777">
        <v>0</v>
      </c>
      <c r="G85" s="2781">
        <v>1</v>
      </c>
    </row>
    <row r="86" spans="1:13" ht="18" customHeight="1">
      <c r="A86" s="2779" t="s">
        <v>2649</v>
      </c>
      <c r="B86" s="2777">
        <v>11822</v>
      </c>
      <c r="C86" s="2644">
        <f t="shared" si="5"/>
        <v>0.152</v>
      </c>
      <c r="D86" s="2780">
        <v>15.2</v>
      </c>
      <c r="E86" s="2777">
        <v>4</v>
      </c>
      <c r="F86" s="2777">
        <v>0</v>
      </c>
      <c r="G86" s="2777">
        <v>0</v>
      </c>
    </row>
    <row r="87" spans="1:13" ht="17.25" customHeight="1">
      <c r="A87" s="2779" t="s">
        <v>2618</v>
      </c>
      <c r="B87" s="2777">
        <v>3865</v>
      </c>
      <c r="C87" s="2644">
        <f t="shared" si="5"/>
        <v>0.05</v>
      </c>
      <c r="D87" s="2778">
        <v>5</v>
      </c>
      <c r="E87" s="2777">
        <v>1</v>
      </c>
      <c r="F87" s="2777">
        <v>0</v>
      </c>
      <c r="G87" s="2777">
        <v>0</v>
      </c>
    </row>
    <row r="88" spans="1:13" ht="17.25" customHeight="1">
      <c r="A88" s="2779" t="s">
        <v>2593</v>
      </c>
      <c r="B88" s="2777">
        <v>12348</v>
      </c>
      <c r="C88" s="2644">
        <f t="shared" si="5"/>
        <v>0.159</v>
      </c>
      <c r="D88" s="2778">
        <v>15.9</v>
      </c>
      <c r="E88" s="2777">
        <v>3</v>
      </c>
      <c r="F88" s="2777">
        <v>1</v>
      </c>
      <c r="G88" s="2777">
        <v>3</v>
      </c>
    </row>
    <row r="89" spans="1:13" ht="18" customHeight="1">
      <c r="A89" s="2803" t="s">
        <v>2592</v>
      </c>
      <c r="B89" s="2775">
        <v>77778</v>
      </c>
      <c r="C89" s="2644">
        <f t="shared" si="5"/>
        <v>0</v>
      </c>
      <c r="D89" s="2776"/>
      <c r="E89" s="2775">
        <v>8</v>
      </c>
      <c r="F89" s="2775">
        <v>3</v>
      </c>
      <c r="G89" s="2775">
        <v>12</v>
      </c>
    </row>
    <row r="90" spans="1:13">
      <c r="C90" s="2644">
        <f t="shared" si="5"/>
        <v>0</v>
      </c>
    </row>
    <row r="91" spans="1:13">
      <c r="A91" s="2771" t="s">
        <v>2537</v>
      </c>
      <c r="C91" s="2644">
        <f t="shared" si="5"/>
        <v>0</v>
      </c>
    </row>
    <row r="92" spans="1:13">
      <c r="C92" s="2644">
        <f t="shared" si="5"/>
        <v>0</v>
      </c>
    </row>
    <row r="93" spans="1:13">
      <c r="C93" s="2644">
        <f t="shared" si="5"/>
        <v>0</v>
      </c>
    </row>
    <row r="94" spans="1:13">
      <c r="C94" s="2644">
        <f t="shared" si="5"/>
        <v>0</v>
      </c>
    </row>
    <row r="95" spans="1:13">
      <c r="C95" s="2644">
        <f t="shared" si="5"/>
        <v>0</v>
      </c>
    </row>
    <row r="96" spans="1:13">
      <c r="C96" s="2644">
        <f t="shared" si="5"/>
        <v>0</v>
      </c>
    </row>
    <row r="97" spans="3:3">
      <c r="C97" s="2644">
        <f t="shared" si="5"/>
        <v>0</v>
      </c>
    </row>
    <row r="98" spans="3:3">
      <c r="C98" s="2644">
        <f t="shared" si="5"/>
        <v>0</v>
      </c>
    </row>
    <row r="99" spans="3:3">
      <c r="C99" s="2644">
        <f t="shared" si="5"/>
        <v>0</v>
      </c>
    </row>
    <row r="100" spans="3:3">
      <c r="C100" s="2644">
        <f t="shared" si="5"/>
        <v>0</v>
      </c>
    </row>
    <row r="101" spans="3:3">
      <c r="C101" s="2644">
        <f t="shared" si="5"/>
        <v>0</v>
      </c>
    </row>
    <row r="102" spans="3:3">
      <c r="C102" s="2644">
        <f t="shared" si="5"/>
        <v>0</v>
      </c>
    </row>
    <row r="103" spans="3:3">
      <c r="C103" s="2644">
        <f t="shared" si="5"/>
        <v>0</v>
      </c>
    </row>
    <row r="104" spans="3:3">
      <c r="C104" s="2644">
        <f t="shared" si="5"/>
        <v>0</v>
      </c>
    </row>
    <row r="105" spans="3:3">
      <c r="C105" s="2644">
        <f t="shared" si="5"/>
        <v>0</v>
      </c>
    </row>
    <row r="106" spans="3:3">
      <c r="C106" s="2644">
        <f t="shared" si="5"/>
        <v>0</v>
      </c>
    </row>
    <row r="107" spans="3:3">
      <c r="C107" s="2644">
        <f t="shared" si="5"/>
        <v>0</v>
      </c>
    </row>
    <row r="108" spans="3:3">
      <c r="C108" s="2644">
        <f t="shared" si="5"/>
        <v>0</v>
      </c>
    </row>
    <row r="109" spans="3:3">
      <c r="C109" s="2644">
        <f t="shared" si="5"/>
        <v>0</v>
      </c>
    </row>
    <row r="110" spans="3:3">
      <c r="C110" s="2644">
        <f t="shared" si="5"/>
        <v>0</v>
      </c>
    </row>
    <row r="111" spans="3:3">
      <c r="C111" s="2644">
        <f t="shared" si="5"/>
        <v>0</v>
      </c>
    </row>
    <row r="112" spans="3:3">
      <c r="C112" s="2644">
        <f t="shared" si="5"/>
        <v>0</v>
      </c>
    </row>
  </sheetData>
  <mergeCells count="7">
    <mergeCell ref="A42:H42"/>
    <mergeCell ref="A81:H81"/>
    <mergeCell ref="A49:H49"/>
    <mergeCell ref="A64:H64"/>
    <mergeCell ref="A1:H1"/>
    <mergeCell ref="A16:H16"/>
    <mergeCell ref="A29:H29"/>
  </mergeCells>
  <conditionalFormatting sqref="I5:M5">
    <cfRule type="cellIs" dxfId="81" priority="7" operator="equal">
      <formula>"""FALSE"""</formula>
    </cfRule>
  </conditionalFormatting>
  <conditionalFormatting sqref="I17:M17">
    <cfRule type="cellIs" dxfId="80" priority="6" operator="equal">
      <formula>"""FALSE"""</formula>
    </cfRule>
  </conditionalFormatting>
  <conditionalFormatting sqref="I30:M30">
    <cfRule type="cellIs" dxfId="79" priority="5" operator="equal">
      <formula>"""FALSE"""</formula>
    </cfRule>
  </conditionalFormatting>
  <conditionalFormatting sqref="I43:M43">
    <cfRule type="cellIs" dxfId="78" priority="4" operator="equal">
      <formula>"""FALSE"""</formula>
    </cfRule>
  </conditionalFormatting>
  <conditionalFormatting sqref="I50:M50">
    <cfRule type="cellIs" dxfId="77" priority="3" operator="equal">
      <formula>"""FALSE"""</formula>
    </cfRule>
  </conditionalFormatting>
  <conditionalFormatting sqref="I65:M65">
    <cfRule type="cellIs" dxfId="76" priority="2" operator="equal">
      <formula>"""FALSE"""</formula>
    </cfRule>
  </conditionalFormatting>
  <conditionalFormatting sqref="I82:M82">
    <cfRule type="cellIs" dxfId="75" priority="1" operator="equal">
      <formula>"""FALSE"""</formula>
    </cfRule>
  </conditionalFormatting>
  <pageMargins left="0.7" right="0.7" top="0.75" bottom="0.75" header="0.3" footer="0.3"/>
  <pageSetup paperSize="9" orientation="portrait" horizontalDpi="1200" verticalDpi="120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B4F91-4D35-44E1-8C84-57DF76A43F13}">
  <sheetPr>
    <pageSetUpPr fitToPage="1"/>
  </sheetPr>
  <dimension ref="A1:K73"/>
  <sheetViews>
    <sheetView topLeftCell="A48" zoomScale="145" zoomScaleNormal="145" workbookViewId="0">
      <selection activeCell="C62" sqref="C62"/>
    </sheetView>
  </sheetViews>
  <sheetFormatPr baseColWidth="10" defaultColWidth="8.796875" defaultRowHeight="13"/>
  <cols>
    <col min="1" max="1" width="7.19921875" style="3005" customWidth="1"/>
    <col min="2" max="2" width="18.796875" style="3005" customWidth="1"/>
    <col min="3" max="3" width="11.59765625"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9"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33</v>
      </c>
      <c r="B1" s="3013"/>
      <c r="C1" s="3006"/>
    </row>
    <row r="2" spans="1:11">
      <c r="A2" s="3018">
        <v>37077</v>
      </c>
      <c r="B2" s="3018"/>
      <c r="C2" s="3006"/>
    </row>
    <row r="3" spans="1:11" ht="3.5" customHeight="1">
      <c r="A3" s="3013"/>
      <c r="B3" s="3013"/>
      <c r="C3" s="3006"/>
    </row>
    <row r="4" spans="1:11">
      <c r="C4" s="3006" t="s">
        <v>34</v>
      </c>
      <c r="D4" s="3008" t="s">
        <v>36</v>
      </c>
      <c r="E4" s="3007" t="s">
        <v>37</v>
      </c>
      <c r="F4" s="3006" t="s">
        <v>25</v>
      </c>
    </row>
    <row r="5" spans="1:11">
      <c r="H5" s="3005" t="b">
        <f>H6=H7</f>
        <v>1</v>
      </c>
      <c r="I5" s="2599" t="b">
        <f>I6=I7</f>
        <v>1</v>
      </c>
      <c r="J5" s="3005" t="b">
        <f>J6=J7</f>
        <v>1</v>
      </c>
      <c r="K5" s="3005" t="b">
        <f>K6=K7</f>
        <v>1</v>
      </c>
    </row>
    <row r="6" spans="1:11" s="3013" customFormat="1">
      <c r="A6" s="3013" t="s">
        <v>17</v>
      </c>
      <c r="C6" s="3012">
        <v>20539020</v>
      </c>
      <c r="D6" s="15">
        <f>+C6/C$6</f>
        <v>1</v>
      </c>
      <c r="E6" s="3012">
        <v>1363</v>
      </c>
      <c r="F6" s="3017">
        <v>510</v>
      </c>
      <c r="G6" s="3012"/>
      <c r="H6" s="2586">
        <f>SUM(C7:C9,C11:C13)</f>
        <v>20539020</v>
      </c>
      <c r="I6" s="2597">
        <f>SUM(D7:D9,D11:D13)</f>
        <v>1</v>
      </c>
      <c r="J6" s="2589">
        <f>SUM(E7:E9,E11:E13)</f>
        <v>1363</v>
      </c>
      <c r="K6" s="2589">
        <f>SUM(F7:F9,F11:F13)</f>
        <v>510</v>
      </c>
    </row>
    <row r="7" spans="1:11">
      <c r="A7" s="3005" t="s">
        <v>13</v>
      </c>
      <c r="C7" s="3006">
        <f>7575577</f>
        <v>7575577</v>
      </c>
      <c r="D7" s="13">
        <v>0.37</v>
      </c>
      <c r="E7" s="3007">
        <v>461</v>
      </c>
      <c r="F7" s="3007">
        <v>159</v>
      </c>
      <c r="H7" s="3005">
        <f>C6</f>
        <v>20539020</v>
      </c>
      <c r="I7" s="2599">
        <f>D6</f>
        <v>1</v>
      </c>
      <c r="J7" s="3005">
        <f>E6</f>
        <v>1363</v>
      </c>
      <c r="K7" s="3005">
        <f>F6</f>
        <v>510</v>
      </c>
    </row>
    <row r="8" spans="1:11">
      <c r="A8" s="3005" t="s">
        <v>38</v>
      </c>
      <c r="C8" s="3006">
        <v>105862</v>
      </c>
      <c r="D8" s="13">
        <v>5.0000000000000001E-3</v>
      </c>
      <c r="E8" s="3007">
        <v>8</v>
      </c>
      <c r="F8" s="3007">
        <v>1</v>
      </c>
    </row>
    <row r="9" spans="1:11">
      <c r="A9" s="3005" t="s">
        <v>39</v>
      </c>
      <c r="C9" s="3006">
        <v>587752</v>
      </c>
      <c r="D9" s="13">
        <v>2.7E-2</v>
      </c>
      <c r="E9" s="3007">
        <v>38</v>
      </c>
      <c r="F9" s="3007">
        <v>7</v>
      </c>
    </row>
    <row r="10" spans="1:11" s="3011" customFormat="1">
      <c r="A10" s="3011" t="s">
        <v>40</v>
      </c>
      <c r="C10" s="3010">
        <f>SUM(C7:C9)</f>
        <v>8269191</v>
      </c>
      <c r="D10" s="14">
        <v>0.40200000000000002</v>
      </c>
      <c r="E10" s="3010">
        <f>SUM(E7:E9)</f>
        <v>507</v>
      </c>
      <c r="F10" s="3010">
        <f>SUM(F7:F9)</f>
        <v>167</v>
      </c>
      <c r="G10" s="3010"/>
      <c r="I10" s="2600"/>
    </row>
    <row r="11" spans="1:11">
      <c r="A11" s="3005" t="s">
        <v>14</v>
      </c>
      <c r="C11" s="3006">
        <v>9972519</v>
      </c>
      <c r="D11" s="13">
        <v>0.48499999999999999</v>
      </c>
      <c r="E11" s="3007">
        <v>494</v>
      </c>
      <c r="F11" s="3007">
        <v>331</v>
      </c>
    </row>
    <row r="12" spans="1:11">
      <c r="A12" s="3005" t="s">
        <v>15</v>
      </c>
      <c r="C12" s="3006">
        <v>1913917</v>
      </c>
      <c r="D12" s="13">
        <v>9.4E-2</v>
      </c>
      <c r="E12" s="3007">
        <v>265</v>
      </c>
      <c r="F12" s="3007">
        <v>5</v>
      </c>
    </row>
    <row r="13" spans="1:11">
      <c r="A13" s="3005" t="s">
        <v>28</v>
      </c>
      <c r="C13" s="3006">
        <f>C6-(C10+C11+C12)</f>
        <v>383393</v>
      </c>
      <c r="D13" s="13">
        <v>1.9E-2</v>
      </c>
      <c r="E13" s="3007">
        <f>E6-(E10+E11+E12)</f>
        <v>97</v>
      </c>
      <c r="F13" s="3007">
        <f>F6-(F10+F11+F12)</f>
        <v>7</v>
      </c>
    </row>
    <row r="14" spans="1:11">
      <c r="H14" s="3005" t="b">
        <f>H15=H16</f>
        <v>1</v>
      </c>
      <c r="I14" s="2599" t="b">
        <f>I15=I16</f>
        <v>1</v>
      </c>
      <c r="J14" s="3005" t="b">
        <f>J15=J16</f>
        <v>1</v>
      </c>
      <c r="K14" s="3005" t="b">
        <f>K15=K16</f>
        <v>1</v>
      </c>
    </row>
    <row r="15" spans="1:11">
      <c r="A15" s="3013" t="s">
        <v>18</v>
      </c>
      <c r="B15" s="3013"/>
      <c r="C15" s="3012">
        <v>1330671</v>
      </c>
      <c r="D15" s="15">
        <f>+C15/C$15</f>
        <v>1</v>
      </c>
      <c r="E15" s="3017">
        <v>87</v>
      </c>
      <c r="F15" s="3017">
        <v>35</v>
      </c>
      <c r="H15" s="2586">
        <f>SUM(C16:C18,C20:C23)</f>
        <v>1330671</v>
      </c>
      <c r="I15" s="2597">
        <f>SUM(D16:D18,D20:D23)</f>
        <v>1</v>
      </c>
      <c r="J15" s="2588">
        <f>SUM(E16:E18,E20:E23)</f>
        <v>87</v>
      </c>
      <c r="K15" s="2588">
        <f>SUM(F16:F18,F20:F23)</f>
        <v>35</v>
      </c>
    </row>
    <row r="16" spans="1:11">
      <c r="A16" s="3005" t="s">
        <v>13</v>
      </c>
      <c r="C16" s="3006">
        <v>241380</v>
      </c>
      <c r="D16" s="13">
        <v>0.18099999999999999</v>
      </c>
      <c r="E16" s="3007">
        <v>21</v>
      </c>
      <c r="F16" s="3007">
        <v>3</v>
      </c>
      <c r="H16" s="3005">
        <f>C15</f>
        <v>1330671</v>
      </c>
      <c r="I16" s="2599">
        <f>D15</f>
        <v>1</v>
      </c>
      <c r="J16" s="3005">
        <f>E15</f>
        <v>87</v>
      </c>
      <c r="K16" s="3005">
        <f>F15</f>
        <v>35</v>
      </c>
    </row>
    <row r="17" spans="1:11">
      <c r="A17" s="3005" t="s">
        <v>38</v>
      </c>
      <c r="C17" s="3006">
        <v>11306</v>
      </c>
      <c r="D17" s="13">
        <v>8.9999999999999993E-3</v>
      </c>
      <c r="E17" s="3007">
        <v>1</v>
      </c>
      <c r="F17" s="3007">
        <v>0</v>
      </c>
    </row>
    <row r="18" spans="1:11">
      <c r="A18" s="3005" t="s">
        <v>39</v>
      </c>
      <c r="C18" s="3006">
        <v>64043</v>
      </c>
      <c r="D18" s="13">
        <v>4.8000000000000001E-2</v>
      </c>
      <c r="E18" s="3007">
        <v>5</v>
      </c>
      <c r="F18" s="3007">
        <v>1</v>
      </c>
    </row>
    <row r="19" spans="1:11">
      <c r="A19" s="3011" t="s">
        <v>40</v>
      </c>
      <c r="B19" s="3011"/>
      <c r="C19" s="3010">
        <f>+C18+C16+C17</f>
        <v>316729</v>
      </c>
      <c r="D19" s="14">
        <v>0.23799999999999999</v>
      </c>
      <c r="E19" s="3010">
        <f>+E18+E16+E17</f>
        <v>27</v>
      </c>
      <c r="F19" s="3010">
        <f>+F18+F16+F17</f>
        <v>4</v>
      </c>
    </row>
    <row r="20" spans="1:11">
      <c r="A20" s="3005" t="s">
        <v>14</v>
      </c>
      <c r="C20" s="3006">
        <v>779184</v>
      </c>
      <c r="D20" s="13">
        <v>0.58499999999999996</v>
      </c>
      <c r="E20" s="3007">
        <v>34</v>
      </c>
      <c r="F20" s="3007">
        <v>25</v>
      </c>
    </row>
    <row r="21" spans="1:11">
      <c r="A21" s="3005" t="s">
        <v>15</v>
      </c>
      <c r="C21" s="3006">
        <v>198553</v>
      </c>
      <c r="D21" s="13">
        <v>0.14899999999999999</v>
      </c>
      <c r="E21" s="3007">
        <v>17</v>
      </c>
      <c r="F21" s="3007">
        <v>6</v>
      </c>
    </row>
    <row r="22" spans="1:11">
      <c r="A22" s="3005" t="s">
        <v>23</v>
      </c>
      <c r="C22" s="3006">
        <v>14321</v>
      </c>
      <c r="D22" s="13">
        <v>1.0999999999999999E-2</v>
      </c>
      <c r="E22" s="3006">
        <v>6</v>
      </c>
      <c r="F22" s="3007">
        <v>0</v>
      </c>
    </row>
    <row r="23" spans="1:11">
      <c r="A23" s="3005" t="s">
        <v>28</v>
      </c>
      <c r="C23" s="3006">
        <f>6123+15761</f>
        <v>21884</v>
      </c>
      <c r="D23" s="13">
        <v>1.7000000000000001E-2</v>
      </c>
      <c r="E23" s="3006">
        <f>+E15-SUM(E19:E22)</f>
        <v>3</v>
      </c>
      <c r="F23" s="3006">
        <f>+F15-SUM(F19:F22)</f>
        <v>0</v>
      </c>
    </row>
    <row r="24" spans="1:11">
      <c r="H24" s="3005" t="b">
        <f>H25=H26</f>
        <v>1</v>
      </c>
      <c r="I24" s="2599" t="b">
        <f>I25=I26</f>
        <v>1</v>
      </c>
      <c r="J24" s="3005" t="b">
        <f>J25=J26</f>
        <v>1</v>
      </c>
      <c r="K24" s="3005" t="b">
        <f>K25=K26</f>
        <v>1</v>
      </c>
    </row>
    <row r="25" spans="1:11">
      <c r="A25" s="3013" t="s">
        <v>19</v>
      </c>
      <c r="B25" s="3013"/>
      <c r="C25" s="3012">
        <v>2389892</v>
      </c>
      <c r="D25" s="15">
        <f t="shared" ref="D25:D32" si="0">+C25/C$25</f>
        <v>1</v>
      </c>
      <c r="E25" s="3017">
        <v>184</v>
      </c>
      <c r="F25" s="3017">
        <v>71</v>
      </c>
      <c r="H25" s="2586">
        <f>SUM(C26:C27,C29:C32)</f>
        <v>2389892</v>
      </c>
      <c r="I25" s="2597">
        <f>SUM(D26:D27,D29:D32)</f>
        <v>0.99999999999999989</v>
      </c>
      <c r="J25" s="2586">
        <f>SUM(E26:E27,E29:E32)</f>
        <v>184</v>
      </c>
      <c r="K25" s="2586">
        <f>SUM(F26:F27,F29:F32)</f>
        <v>71</v>
      </c>
    </row>
    <row r="26" spans="1:11">
      <c r="A26" s="3005" t="s">
        <v>13</v>
      </c>
      <c r="C26" s="3006">
        <v>878206</v>
      </c>
      <c r="D26" s="18">
        <f t="shared" si="0"/>
        <v>0.36746681439998125</v>
      </c>
      <c r="E26" s="3007">
        <v>62</v>
      </c>
      <c r="F26" s="3007">
        <v>24</v>
      </c>
      <c r="H26" s="3005">
        <f>C25</f>
        <v>2389892</v>
      </c>
      <c r="I26" s="2599">
        <f>D25</f>
        <v>1</v>
      </c>
      <c r="J26" s="3005">
        <f>E25</f>
        <v>184</v>
      </c>
      <c r="K26" s="3005">
        <f>F25</f>
        <v>71</v>
      </c>
    </row>
    <row r="27" spans="1:11">
      <c r="A27" s="3005" t="s">
        <v>39</v>
      </c>
      <c r="C27" s="3006">
        <v>85937</v>
      </c>
      <c r="D27" s="18">
        <f t="shared" si="0"/>
        <v>3.5958528669914794E-2</v>
      </c>
      <c r="E27" s="3007">
        <v>6</v>
      </c>
      <c r="F27" s="3007">
        <v>3</v>
      </c>
    </row>
    <row r="28" spans="1:11" s="3011" customFormat="1">
      <c r="A28" s="3011" t="s">
        <v>40</v>
      </c>
      <c r="C28" s="3010">
        <f>+C27+C26</f>
        <v>964143</v>
      </c>
      <c r="D28" s="14">
        <f t="shared" si="0"/>
        <v>0.40342534306989603</v>
      </c>
      <c r="E28" s="3010">
        <f>+E27+E26</f>
        <v>68</v>
      </c>
      <c r="F28" s="3010">
        <f>+F27+F26</f>
        <v>27</v>
      </c>
      <c r="G28" s="3010"/>
      <c r="I28" s="2600"/>
    </row>
    <row r="29" spans="1:11">
      <c r="A29" s="3005" t="s">
        <v>14</v>
      </c>
      <c r="C29" s="3006">
        <v>1144310</v>
      </c>
      <c r="D29" s="18">
        <f t="shared" si="0"/>
        <v>0.47881243169147392</v>
      </c>
      <c r="E29" s="3007">
        <v>68</v>
      </c>
      <c r="F29" s="3006">
        <v>37</v>
      </c>
    </row>
    <row r="30" spans="1:11">
      <c r="A30" s="3005" t="s">
        <v>15</v>
      </c>
      <c r="C30" s="3009">
        <v>132849</v>
      </c>
      <c r="D30" s="18">
        <f t="shared" si="0"/>
        <v>5.5587867568911063E-2</v>
      </c>
      <c r="E30" s="3007">
        <v>22</v>
      </c>
      <c r="F30" s="3006">
        <v>0</v>
      </c>
    </row>
    <row r="31" spans="1:11">
      <c r="A31" s="3005" t="s">
        <v>24</v>
      </c>
      <c r="C31" s="3006">
        <v>30595</v>
      </c>
      <c r="D31" s="18">
        <f t="shared" si="0"/>
        <v>1.2801833723030162E-2</v>
      </c>
      <c r="E31" s="3007">
        <v>8</v>
      </c>
      <c r="F31" s="3007">
        <v>0</v>
      </c>
    </row>
    <row r="32" spans="1:11">
      <c r="A32" s="3005" t="s">
        <v>28</v>
      </c>
      <c r="C32" s="3006">
        <f>+C25-SUM(C28:C31)</f>
        <v>117995</v>
      </c>
      <c r="D32" s="18">
        <f t="shared" si="0"/>
        <v>4.9372523946688805E-2</v>
      </c>
      <c r="E32" s="3006">
        <f>+E25-SUM(E28:E31)</f>
        <v>18</v>
      </c>
      <c r="F32" s="3006">
        <f>+F25-SUM(F28:F31)</f>
        <v>7</v>
      </c>
    </row>
    <row r="33" spans="1:11">
      <c r="H33" s="3005" t="b">
        <f>H34=H35</f>
        <v>1</v>
      </c>
      <c r="I33" s="2599" t="b">
        <f>I34=I35</f>
        <v>1</v>
      </c>
      <c r="J33" s="3005" t="b">
        <f>J34=J35</f>
        <v>1</v>
      </c>
      <c r="K33" s="3005" t="b">
        <f>K34=K35</f>
        <v>1</v>
      </c>
    </row>
    <row r="34" spans="1:11">
      <c r="A34" s="3013" t="s">
        <v>20</v>
      </c>
      <c r="B34" s="3013"/>
      <c r="C34" s="3012">
        <v>719765</v>
      </c>
      <c r="D34" s="15">
        <f>+C34/C$34</f>
        <v>1</v>
      </c>
      <c r="E34" s="3017">
        <v>24</v>
      </c>
      <c r="F34" s="3017">
        <v>12</v>
      </c>
      <c r="H34" s="2586">
        <f>SUM(C35:C38)</f>
        <v>719765</v>
      </c>
      <c r="I34" s="2597">
        <f>SUM(D35:D38)</f>
        <v>1</v>
      </c>
      <c r="J34" s="2586">
        <f>SUM(E35:E38)</f>
        <v>24</v>
      </c>
      <c r="K34" s="2586">
        <f>SUM(F35:F38)</f>
        <v>12</v>
      </c>
    </row>
    <row r="35" spans="1:11">
      <c r="A35" s="3005" t="s">
        <v>13</v>
      </c>
      <c r="C35" s="3006">
        <v>392450</v>
      </c>
      <c r="D35" s="18">
        <v>0.53700000000000003</v>
      </c>
      <c r="E35" s="3007">
        <v>12</v>
      </c>
      <c r="F35" s="3007">
        <v>8</v>
      </c>
      <c r="H35" s="3005">
        <f>C34</f>
        <v>719765</v>
      </c>
      <c r="I35" s="2599">
        <f>D34</f>
        <v>1</v>
      </c>
      <c r="J35" s="3005">
        <f>E34</f>
        <v>24</v>
      </c>
      <c r="K35" s="3005">
        <f>F34</f>
        <v>12</v>
      </c>
    </row>
    <row r="36" spans="1:11">
      <c r="A36" s="3005" t="s">
        <v>14</v>
      </c>
      <c r="C36" s="3006">
        <v>65459</v>
      </c>
      <c r="D36" s="18">
        <v>0.114</v>
      </c>
      <c r="E36" s="3007">
        <v>5</v>
      </c>
      <c r="F36" s="3007">
        <v>0</v>
      </c>
    </row>
    <row r="37" spans="1:11">
      <c r="A37" s="3005" t="s">
        <v>26</v>
      </c>
      <c r="C37" s="3006">
        <v>148078</v>
      </c>
      <c r="D37" s="18">
        <v>0.188</v>
      </c>
      <c r="E37" s="3007">
        <v>3</v>
      </c>
      <c r="F37" s="3007">
        <v>2</v>
      </c>
    </row>
    <row r="38" spans="1:11">
      <c r="A38" s="3005" t="s">
        <v>28</v>
      </c>
      <c r="C38" s="3009">
        <f>+C34-SUM(C35:C37)</f>
        <v>113778</v>
      </c>
      <c r="D38" s="18">
        <f>D34-D35-D36-D37</f>
        <v>0.16099999999999998</v>
      </c>
      <c r="E38" s="3009">
        <f>+E34-SUM(E35:E37)</f>
        <v>4</v>
      </c>
      <c r="F38" s="3009">
        <f>+F34-SUM(F35:F37)</f>
        <v>2</v>
      </c>
    </row>
    <row r="39" spans="1:11">
      <c r="H39" s="3005" t="b">
        <f>H40=H41</f>
        <v>1</v>
      </c>
      <c r="I39" s="2599" t="b">
        <f>I40=I41</f>
        <v>1</v>
      </c>
      <c r="J39" s="3005" t="b">
        <f>J40=J41</f>
        <v>1</v>
      </c>
      <c r="K39" s="3005" t="b">
        <f>K40=K41</f>
        <v>1</v>
      </c>
    </row>
    <row r="40" spans="1:11">
      <c r="A40" s="3013" t="s">
        <v>35</v>
      </c>
      <c r="B40" s="3013"/>
      <c r="C40" s="3012">
        <f>+C25+C15+C6+C66</f>
        <v>24375430</v>
      </c>
      <c r="D40" s="15">
        <f t="shared" ref="D40:D49" si="1">+C40/C$40</f>
        <v>1</v>
      </c>
      <c r="E40" s="3012">
        <f>+E25+E15+E6+E66</f>
        <v>1659</v>
      </c>
      <c r="F40" s="3012">
        <f>+F25+F15+F6+F66</f>
        <v>628</v>
      </c>
      <c r="H40" s="2586">
        <f>SUM(C41:C43,C45:C49)</f>
        <v>24375430</v>
      </c>
      <c r="I40" s="2597">
        <f>SUM(D41:D43,D45:D49)</f>
        <v>1</v>
      </c>
      <c r="J40" s="2586">
        <f>SUM(E41:E43,E45:E49)</f>
        <v>1659</v>
      </c>
      <c r="K40" s="2586">
        <f>SUM(F41:F43,F45:F49)</f>
        <v>628</v>
      </c>
    </row>
    <row r="41" spans="1:11">
      <c r="A41" s="3005" t="s">
        <v>13</v>
      </c>
      <c r="C41" s="3006">
        <f>SUMIF(A$7:A$32,A41,C$7:C$32)+C67</f>
        <v>8708649</v>
      </c>
      <c r="D41" s="18">
        <f t="shared" si="1"/>
        <v>0.35727160505476213</v>
      </c>
      <c r="E41" s="3006">
        <f>SUMIF(A$7:A$32,A41,E$7:E$32)+E67</f>
        <v>547</v>
      </c>
      <c r="F41" s="3006">
        <f>SUMIF(A$7:A$32,A41,F$7:F$32)+F67</f>
        <v>189</v>
      </c>
      <c r="H41" s="3005">
        <f>C40</f>
        <v>24375430</v>
      </c>
      <c r="I41" s="2599">
        <f>D40</f>
        <v>1</v>
      </c>
      <c r="J41" s="3005">
        <f>E40</f>
        <v>1659</v>
      </c>
      <c r="K41" s="3005">
        <f>F40</f>
        <v>628</v>
      </c>
    </row>
    <row r="42" spans="1:11">
      <c r="A42" s="3005" t="s">
        <v>38</v>
      </c>
      <c r="C42" s="3006">
        <f>SUMIF(A$7:A$32,A42,C$7:C$32)+C68</f>
        <v>133179</v>
      </c>
      <c r="D42" s="18">
        <f t="shared" si="1"/>
        <v>5.4636574616324721E-3</v>
      </c>
      <c r="E42" s="3006">
        <f>SUMIF(A$7:A$32,A42,E$7:E$32)+E68</f>
        <v>10</v>
      </c>
      <c r="F42" s="3006">
        <f>SUMIF(A$7:A$32,A42,F$7:F$32)+F68</f>
        <v>2</v>
      </c>
    </row>
    <row r="43" spans="1:11">
      <c r="A43" s="3005" t="s">
        <v>39</v>
      </c>
      <c r="C43" s="3006">
        <f>SUMIF(A$7:A$32,A43,C$7:C$32)</f>
        <v>737732</v>
      </c>
      <c r="D43" s="18">
        <f t="shared" si="1"/>
        <v>3.0265394292531455E-2</v>
      </c>
      <c r="E43" s="3006">
        <f>SUMIF(A$7:A$32,A43,E$7:E$32)</f>
        <v>49</v>
      </c>
      <c r="F43" s="3006">
        <f>SUMIF(A$7:A$32,A43,F$7:F$32)</f>
        <v>11</v>
      </c>
    </row>
    <row r="44" spans="1:11" s="3011" customFormat="1">
      <c r="A44" s="3011" t="s">
        <v>40</v>
      </c>
      <c r="C44" s="3010">
        <f>SUMIF(A$7:A$32,A44,C$7:C$32)+C69</f>
        <v>9579560</v>
      </c>
      <c r="D44" s="14">
        <f t="shared" si="1"/>
        <v>0.39300065680892604</v>
      </c>
      <c r="E44" s="3010">
        <f>SUMIF(A$7:A$32,A44,E$7:E$32)+E69</f>
        <v>606</v>
      </c>
      <c r="F44" s="3010">
        <f>SUMIF(A$7:A$32,A44,F$7:F$32)+F69</f>
        <v>202</v>
      </c>
      <c r="G44" s="3010"/>
      <c r="I44" s="2600"/>
    </row>
    <row r="45" spans="1:11">
      <c r="A45" s="3005" t="s">
        <v>14</v>
      </c>
      <c r="C45" s="3006">
        <f>SUMIF(A$7:A$32,A45,C$7:C$32)+C70</f>
        <v>11902287</v>
      </c>
      <c r="D45" s="18">
        <f t="shared" si="1"/>
        <v>0.48829033990374732</v>
      </c>
      <c r="E45" s="3006">
        <f>SUMIF(A$7:A$32,A45,E$7:E$32)+E70</f>
        <v>598</v>
      </c>
      <c r="F45" s="3006">
        <f>SUMIF(A$7:A$32,A45,F$7:F$32)+F70</f>
        <v>393</v>
      </c>
    </row>
    <row r="46" spans="1:11">
      <c r="A46" s="3005" t="s">
        <v>15</v>
      </c>
      <c r="C46" s="3006">
        <f>SUMIF(A$7:A$32,A46,C$7:C$32)+C71</f>
        <v>2252430</v>
      </c>
      <c r="D46" s="18">
        <f t="shared" si="1"/>
        <v>9.24057544831004E-2</v>
      </c>
      <c r="E46" s="3006">
        <f>SUMIF(A$7:A$32,A46,E$7:E$32)+E71</f>
        <v>306</v>
      </c>
      <c r="F46" s="3006">
        <f>SUMIF(A$7:A$32,A46,F$7:F$32)+F71</f>
        <v>12</v>
      </c>
    </row>
    <row r="47" spans="1:11">
      <c r="A47" s="3005" t="s">
        <v>23</v>
      </c>
      <c r="C47" s="3006">
        <f>SUMIF(A$7:A$32,A47,C$7:C$32)+C72</f>
        <v>16017</v>
      </c>
      <c r="D47" s="18">
        <f t="shared" si="1"/>
        <v>6.570961004585355E-4</v>
      </c>
      <c r="E47" s="3006">
        <f>SUMIF(A$7:A$32,A47,E$7:E$32)+E72</f>
        <v>7</v>
      </c>
      <c r="F47" s="3006">
        <f>SUMIF(A$7:A$32,A47,F$7:F$32)+F72</f>
        <v>0</v>
      </c>
    </row>
    <row r="48" spans="1:11">
      <c r="A48" s="3005" t="s">
        <v>24</v>
      </c>
      <c r="C48" s="3006">
        <f>SUMIF(A$7:A$32,A48,C$7:C$32)</f>
        <v>30595</v>
      </c>
      <c r="D48" s="18">
        <f t="shared" si="1"/>
        <v>1.2551573449165821E-3</v>
      </c>
      <c r="E48" s="3006">
        <f>SUMIF(A$7:A$32,A48,E$7:E$32)</f>
        <v>8</v>
      </c>
      <c r="F48" s="3006">
        <f>SUMIF(A$7:A$32,A48,F$7:F$32)</f>
        <v>0</v>
      </c>
    </row>
    <row r="49" spans="1:11">
      <c r="A49" s="3005" t="s">
        <v>28</v>
      </c>
      <c r="C49" s="3006">
        <f>SUMIF(A$7:A$32,A49,C$7:C$32)+C73</f>
        <v>594541</v>
      </c>
      <c r="D49" s="18">
        <f t="shared" si="1"/>
        <v>2.4390995358851104E-2</v>
      </c>
      <c r="E49" s="3006">
        <f>SUMIF(A$7:A$32,A49,E$7:E$32)+E73</f>
        <v>134</v>
      </c>
      <c r="F49" s="3006">
        <f>SUMIF(A$7:A$32,A49,F$7:F$32)+F73</f>
        <v>21</v>
      </c>
    </row>
    <row r="50" spans="1:11">
      <c r="A50" s="3013"/>
      <c r="B50" s="3013"/>
      <c r="H50" s="3005" t="b">
        <f>H51=H52</f>
        <v>1</v>
      </c>
      <c r="I50" s="2599" t="b">
        <f>I51=I52</f>
        <v>1</v>
      </c>
      <c r="J50" s="3005" t="b">
        <f>J51=J52</f>
        <v>1</v>
      </c>
      <c r="K50" s="3005" t="b">
        <f>K51=K52</f>
        <v>1</v>
      </c>
    </row>
    <row r="51" spans="1:11">
      <c r="A51" s="3013" t="s">
        <v>46</v>
      </c>
      <c r="B51" s="3013"/>
      <c r="C51" s="3012">
        <f>+C40+C34</f>
        <v>25095195</v>
      </c>
      <c r="D51" s="15">
        <f>+C51/C$51</f>
        <v>1</v>
      </c>
      <c r="E51" s="3012">
        <f>+E40+E34</f>
        <v>1683</v>
      </c>
      <c r="F51" s="3012">
        <f>+F40+F34</f>
        <v>640</v>
      </c>
      <c r="H51" s="2586">
        <f>SUM(C52:C54,C56:C60)</f>
        <v>25095195</v>
      </c>
      <c r="I51" s="2597">
        <f>SUM(D52:D54,D56:D60)</f>
        <v>1</v>
      </c>
      <c r="J51" s="2586">
        <f>SUM(E52:E54,E56:E60)</f>
        <v>1683</v>
      </c>
      <c r="K51" s="2586">
        <f>SUM(F52:F54,F56:F60)</f>
        <v>640</v>
      </c>
    </row>
    <row r="52" spans="1:11">
      <c r="A52" s="3005" t="s">
        <v>13</v>
      </c>
      <c r="C52" s="3006">
        <f>+C41+C35</f>
        <v>9101099</v>
      </c>
      <c r="D52" s="18">
        <v>0.36199999999999999</v>
      </c>
      <c r="E52" s="3006">
        <f>+E41+E35</f>
        <v>559</v>
      </c>
      <c r="F52" s="3006">
        <f>+F41+F35</f>
        <v>197</v>
      </c>
      <c r="H52" s="3005">
        <f>C51</f>
        <v>25095195</v>
      </c>
      <c r="I52" s="2599">
        <f>D51</f>
        <v>1</v>
      </c>
      <c r="J52" s="3005">
        <f>E51</f>
        <v>1683</v>
      </c>
      <c r="K52" s="3005">
        <f>F51</f>
        <v>640</v>
      </c>
    </row>
    <row r="53" spans="1:11">
      <c r="A53" s="3005" t="s">
        <v>38</v>
      </c>
      <c r="C53" s="3006">
        <f>+C42</f>
        <v>133179</v>
      </c>
      <c r="D53" s="18">
        <v>5.0000000000000001E-3</v>
      </c>
      <c r="E53" s="3006">
        <f>+E42</f>
        <v>10</v>
      </c>
      <c r="F53" s="3006">
        <f>+F42</f>
        <v>2</v>
      </c>
    </row>
    <row r="54" spans="1:11">
      <c r="A54" s="3005" t="s">
        <v>39</v>
      </c>
      <c r="C54" s="3006">
        <f>+C43</f>
        <v>737732</v>
      </c>
      <c r="D54" s="18">
        <v>2.9000000000000001E-2</v>
      </c>
      <c r="E54" s="3006">
        <f>+E43</f>
        <v>49</v>
      </c>
      <c r="F54" s="3006">
        <f>+F43</f>
        <v>11</v>
      </c>
    </row>
    <row r="55" spans="1:11">
      <c r="A55" s="3011" t="s">
        <v>40</v>
      </c>
      <c r="B55" s="3011"/>
      <c r="C55" s="3010">
        <f>+C54+C52+C53</f>
        <v>9972010</v>
      </c>
      <c r="D55" s="14">
        <v>0.39600000000000002</v>
      </c>
      <c r="E55" s="3010">
        <f>+E54+E52+E53</f>
        <v>618</v>
      </c>
      <c r="F55" s="3010">
        <f>+F54+F52+F53</f>
        <v>210</v>
      </c>
    </row>
    <row r="56" spans="1:11">
      <c r="A56" s="3005" t="s">
        <v>14</v>
      </c>
      <c r="C56" s="3006">
        <f>+C45+C36</f>
        <v>11967746</v>
      </c>
      <c r="D56" s="18">
        <v>0.48</v>
      </c>
      <c r="E56" s="3006">
        <f>+E45+E36</f>
        <v>603</v>
      </c>
      <c r="F56" s="3006">
        <f>+F45+F36</f>
        <v>393</v>
      </c>
      <c r="G56" s="13"/>
    </row>
    <row r="57" spans="1:11">
      <c r="A57" s="3005" t="s">
        <v>15</v>
      </c>
      <c r="C57" s="3006">
        <f>+C46</f>
        <v>2252430</v>
      </c>
      <c r="D57" s="18">
        <v>0.09</v>
      </c>
      <c r="E57" s="3006">
        <f t="shared" ref="E57:F59" si="2">+E46</f>
        <v>306</v>
      </c>
      <c r="F57" s="3006">
        <f t="shared" si="2"/>
        <v>12</v>
      </c>
    </row>
    <row r="58" spans="1:11">
      <c r="A58" s="3005" t="s">
        <v>23</v>
      </c>
      <c r="C58" s="3006">
        <f>+C47</f>
        <v>16017</v>
      </c>
      <c r="D58" s="18">
        <v>1E-3</v>
      </c>
      <c r="E58" s="3006">
        <f t="shared" si="2"/>
        <v>7</v>
      </c>
      <c r="F58" s="3006">
        <f t="shared" si="2"/>
        <v>0</v>
      </c>
    </row>
    <row r="59" spans="1:11">
      <c r="A59" s="3005" t="s">
        <v>24</v>
      </c>
      <c r="C59" s="3006">
        <f>+C48</f>
        <v>30595</v>
      </c>
      <c r="D59" s="18">
        <v>1E-3</v>
      </c>
      <c r="E59" s="3006">
        <f t="shared" si="2"/>
        <v>8</v>
      </c>
      <c r="F59" s="3006">
        <f t="shared" si="2"/>
        <v>0</v>
      </c>
    </row>
    <row r="60" spans="1:11">
      <c r="A60" s="3005" t="s">
        <v>28</v>
      </c>
      <c r="C60" s="3006">
        <f>+C51-SUM(C55:C59)</f>
        <v>856397</v>
      </c>
      <c r="D60" s="18">
        <v>3.2000000000000001E-2</v>
      </c>
      <c r="E60" s="3006">
        <f>+E51-SUM(E55:E59)</f>
        <v>141</v>
      </c>
      <c r="F60" s="3006">
        <f>+F51-SUM(F55:F59)</f>
        <v>25</v>
      </c>
    </row>
    <row r="62" spans="1:11">
      <c r="A62" s="3016" t="s">
        <v>42</v>
      </c>
    </row>
    <row r="64" spans="1:11">
      <c r="A64" s="3015" t="s">
        <v>21</v>
      </c>
      <c r="B64" s="3014" t="s">
        <v>2537</v>
      </c>
      <c r="D64" s="3005"/>
      <c r="E64" s="3005"/>
      <c r="F64" s="3005"/>
      <c r="G64" s="3005"/>
    </row>
    <row r="66" spans="1:6">
      <c r="A66" s="3013" t="s">
        <v>41</v>
      </c>
      <c r="B66" s="3013"/>
      <c r="C66" s="3012">
        <v>115847</v>
      </c>
      <c r="D66" s="15"/>
      <c r="E66" s="3012">
        <v>25</v>
      </c>
      <c r="F66" s="3012">
        <v>12</v>
      </c>
    </row>
    <row r="67" spans="1:6">
      <c r="A67" s="3005" t="s">
        <v>13</v>
      </c>
      <c r="C67" s="3006">
        <v>13486</v>
      </c>
      <c r="D67" s="18"/>
      <c r="E67" s="3006">
        <v>3</v>
      </c>
      <c r="F67" s="3006">
        <v>3</v>
      </c>
    </row>
    <row r="68" spans="1:6">
      <c r="A68" s="3005" t="s">
        <v>38</v>
      </c>
      <c r="C68" s="3006">
        <v>16011</v>
      </c>
      <c r="D68" s="18"/>
      <c r="E68" s="3006">
        <v>1</v>
      </c>
      <c r="F68" s="3006">
        <v>1</v>
      </c>
    </row>
    <row r="69" spans="1:6">
      <c r="A69" s="3011" t="s">
        <v>40</v>
      </c>
      <c r="B69" s="3011"/>
      <c r="C69" s="3010">
        <f>+C68+C67</f>
        <v>29497</v>
      </c>
      <c r="D69" s="14"/>
      <c r="E69" s="3010">
        <v>4</v>
      </c>
      <c r="F69" s="3010">
        <v>4</v>
      </c>
    </row>
    <row r="70" spans="1:6">
      <c r="A70" s="3005" t="s">
        <v>14</v>
      </c>
      <c r="C70" s="3006">
        <v>6274</v>
      </c>
      <c r="D70" s="18"/>
      <c r="E70" s="3006">
        <v>2</v>
      </c>
      <c r="F70" s="3006">
        <v>0</v>
      </c>
    </row>
    <row r="71" spans="1:6">
      <c r="A71" s="3005" t="s">
        <v>15</v>
      </c>
      <c r="C71" s="3006">
        <v>7111</v>
      </c>
      <c r="D71" s="18"/>
      <c r="E71" s="3006">
        <v>2</v>
      </c>
      <c r="F71" s="3006">
        <v>1</v>
      </c>
    </row>
    <row r="72" spans="1:6">
      <c r="A72" s="3005" t="s">
        <v>23</v>
      </c>
      <c r="C72" s="3006">
        <v>1696</v>
      </c>
      <c r="D72" s="18"/>
      <c r="E72" s="3006">
        <v>1</v>
      </c>
      <c r="F72" s="3006">
        <v>0</v>
      </c>
    </row>
    <row r="73" spans="1:6">
      <c r="A73" s="3005" t="s">
        <v>28</v>
      </c>
      <c r="C73" s="3006">
        <v>71269</v>
      </c>
      <c r="D73" s="18"/>
      <c r="E73" s="3006">
        <v>16</v>
      </c>
      <c r="F73" s="3006">
        <v>7</v>
      </c>
    </row>
  </sheetData>
  <conditionalFormatting sqref="H50:K50">
    <cfRule type="cellIs" dxfId="74" priority="1" operator="equal">
      <formula>"""FALSE"""</formula>
    </cfRule>
  </conditionalFormatting>
  <conditionalFormatting sqref="H5:K5">
    <cfRule type="cellIs" dxfId="73" priority="6" operator="equal">
      <formula>"""FALSE"""</formula>
    </cfRule>
  </conditionalFormatting>
  <conditionalFormatting sqref="H14:K14">
    <cfRule type="cellIs" dxfId="72" priority="5" operator="equal">
      <formula>"""FALSE"""</formula>
    </cfRule>
  </conditionalFormatting>
  <conditionalFormatting sqref="H24:K24">
    <cfRule type="cellIs" dxfId="71" priority="4" operator="equal">
      <formula>"""FALSE"""</formula>
    </cfRule>
  </conditionalFormatting>
  <conditionalFormatting sqref="H33:K33">
    <cfRule type="cellIs" dxfId="70" priority="3" operator="equal">
      <formula>"""FALSE"""</formula>
    </cfRule>
  </conditionalFormatting>
  <conditionalFormatting sqref="H39:K39">
    <cfRule type="cellIs" dxfId="69" priority="2" operator="equal">
      <formula>"""FALSE"""</formula>
    </cfRule>
  </conditionalFormatting>
  <pageMargins left="0.75" right="0.75" top="1" bottom="1" header="0.5" footer="0.5"/>
  <pageSetup paperSize="9" scale="86" orientation="portrait" horizontalDpi="1200"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5D54-8ED7-4C39-813E-E55FF2CDBBB0}">
  <sheetPr>
    <pageSetUpPr fitToPage="1"/>
  </sheetPr>
  <dimension ref="A1:K59"/>
  <sheetViews>
    <sheetView topLeftCell="A25" zoomScale="145" zoomScaleNormal="145" workbookViewId="0">
      <selection activeCell="O68" sqref="O68"/>
    </sheetView>
  </sheetViews>
  <sheetFormatPr baseColWidth="10" defaultColWidth="8.796875" defaultRowHeight="13"/>
  <cols>
    <col min="1" max="1" width="7.19921875" style="3005" customWidth="1"/>
    <col min="2" max="2" width="18.796875" style="3005" customWidth="1"/>
    <col min="3" max="3" width="20" style="3009" customWidth="1"/>
    <col min="4" max="4" width="11.59765625" style="13" customWidth="1"/>
    <col min="5" max="5" width="9.796875" style="3007" customWidth="1"/>
    <col min="6" max="6" width="10.19921875" style="3006" customWidth="1"/>
    <col min="7" max="7" width="13" style="3006" customWidth="1"/>
    <col min="8" max="8" width="12" style="3005" customWidth="1"/>
    <col min="9" max="9" width="11.3984375" style="2599"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44</v>
      </c>
      <c r="B1" s="3013"/>
      <c r="C1" s="3006"/>
    </row>
    <row r="2" spans="1:11">
      <c r="A2" s="3521">
        <v>36945</v>
      </c>
      <c r="B2" s="3521"/>
      <c r="C2" s="3006"/>
    </row>
    <row r="3" spans="1:11" ht="3.5" customHeight="1">
      <c r="A3" s="3013"/>
      <c r="B3" s="3013"/>
      <c r="C3" s="3006"/>
    </row>
    <row r="4" spans="1:11">
      <c r="C4" s="3006" t="s">
        <v>34</v>
      </c>
      <c r="D4" s="13" t="s">
        <v>36</v>
      </c>
      <c r="E4" s="3007" t="s">
        <v>37</v>
      </c>
      <c r="F4" s="3006" t="s">
        <v>25</v>
      </c>
    </row>
    <row r="5" spans="1:11">
      <c r="H5" s="3005" t="b">
        <f>H6=H7</f>
        <v>1</v>
      </c>
      <c r="I5" s="2599" t="b">
        <f>I6=I7</f>
        <v>1</v>
      </c>
      <c r="J5" s="3005" t="b">
        <f>J6=J7</f>
        <v>1</v>
      </c>
      <c r="K5" s="3005" t="b">
        <f>K6=K7</f>
        <v>1</v>
      </c>
    </row>
    <row r="6" spans="1:11" s="3013" customFormat="1">
      <c r="A6" s="3013" t="s">
        <v>17</v>
      </c>
      <c r="C6" s="3012">
        <v>23954448</v>
      </c>
      <c r="D6" s="15">
        <f t="shared" ref="D6:D12" si="0">+C6/C$6</f>
        <v>1</v>
      </c>
      <c r="E6" s="3012">
        <v>1528</v>
      </c>
      <c r="F6" s="3017">
        <v>506</v>
      </c>
      <c r="G6" s="3012"/>
      <c r="H6" s="2586">
        <f>SUM(C7:C8,C10:C12)</f>
        <v>23954448</v>
      </c>
      <c r="I6" s="2597">
        <f>SUM(D7:D8,D10:D12)</f>
        <v>1</v>
      </c>
      <c r="J6" s="2586">
        <f>SUM(E7:E8,E10:E12)</f>
        <v>1528</v>
      </c>
      <c r="K6" s="2586">
        <f>SUM(F7:F8,F10:F12)</f>
        <v>506</v>
      </c>
    </row>
    <row r="7" spans="1:11">
      <c r="A7" s="3005" t="s">
        <v>13</v>
      </c>
      <c r="C7" s="3019">
        <f>9820068</f>
        <v>9820068</v>
      </c>
      <c r="D7" s="13">
        <f t="shared" si="0"/>
        <v>0.40994758050780383</v>
      </c>
      <c r="E7" s="3007">
        <v>466</v>
      </c>
      <c r="F7" s="3007">
        <v>243</v>
      </c>
      <c r="H7" s="3005">
        <f>C6</f>
        <v>23954448</v>
      </c>
      <c r="I7" s="2599">
        <f>D6</f>
        <v>1</v>
      </c>
      <c r="J7" s="3005">
        <f>E6</f>
        <v>1528</v>
      </c>
      <c r="K7" s="3005">
        <f>F6</f>
        <v>506</v>
      </c>
    </row>
    <row r="8" spans="1:11">
      <c r="A8" s="3005" t="s">
        <v>45</v>
      </c>
      <c r="C8" s="3006">
        <v>679324</v>
      </c>
      <c r="D8" s="13">
        <f t="shared" si="0"/>
        <v>2.8358992033546339E-2</v>
      </c>
      <c r="E8" s="3007">
        <v>38</v>
      </c>
      <c r="F8" s="3007">
        <v>10</v>
      </c>
    </row>
    <row r="9" spans="1:11" s="3011" customFormat="1">
      <c r="A9" s="3011" t="s">
        <v>63</v>
      </c>
      <c r="C9" s="3010">
        <f>SUM(C7:C8)</f>
        <v>10499392</v>
      </c>
      <c r="D9" s="14">
        <f t="shared" si="0"/>
        <v>0.43830657254135014</v>
      </c>
      <c r="E9" s="3010">
        <f>SUM(E7:E8)</f>
        <v>504</v>
      </c>
      <c r="F9" s="3010">
        <f>SUM(F7:F8)</f>
        <v>253</v>
      </c>
      <c r="G9" s="3010"/>
      <c r="H9" s="3005"/>
      <c r="I9" s="2599"/>
      <c r="J9" s="3005"/>
      <c r="K9" s="3005"/>
    </row>
    <row r="10" spans="1:11">
      <c r="A10" s="3005" t="s">
        <v>14</v>
      </c>
      <c r="C10" s="3006">
        <v>11050966</v>
      </c>
      <c r="D10" s="13">
        <f t="shared" si="0"/>
        <v>0.46133252580063627</v>
      </c>
      <c r="E10" s="3007">
        <v>505</v>
      </c>
      <c r="F10" s="3007">
        <v>251</v>
      </c>
      <c r="H10" s="3011"/>
      <c r="I10" s="2600"/>
      <c r="J10" s="3011"/>
      <c r="K10" s="3011"/>
    </row>
    <row r="11" spans="1:11">
      <c r="A11" s="3005" t="s">
        <v>15</v>
      </c>
      <c r="C11" s="3006">
        <v>2248127</v>
      </c>
      <c r="D11" s="13">
        <f t="shared" si="0"/>
        <v>9.3850085796174473E-2</v>
      </c>
      <c r="E11" s="3007">
        <v>413</v>
      </c>
      <c r="F11" s="3007">
        <v>2</v>
      </c>
    </row>
    <row r="12" spans="1:11">
      <c r="A12" s="3005" t="s">
        <v>28</v>
      </c>
      <c r="C12" s="3006">
        <f>C6-(C9+C10+C11)</f>
        <v>155963</v>
      </c>
      <c r="D12" s="13">
        <f t="shared" si="0"/>
        <v>6.5108158618391041E-3</v>
      </c>
      <c r="E12" s="3007">
        <f>E6-(E9+E10+E11)</f>
        <v>106</v>
      </c>
      <c r="F12" s="3007">
        <f>F6-(F9+F10+F11)</f>
        <v>0</v>
      </c>
    </row>
    <row r="13" spans="1:11">
      <c r="H13" s="3005" t="b">
        <f>H14=H15</f>
        <v>1</v>
      </c>
      <c r="I13" s="2599" t="b">
        <f>I14=I15</f>
        <v>1</v>
      </c>
      <c r="J13" s="3005" t="b">
        <f>J14=J15</f>
        <v>1</v>
      </c>
      <c r="K13" s="3005" t="b">
        <f>K14=K15</f>
        <v>1</v>
      </c>
    </row>
    <row r="14" spans="1:11">
      <c r="A14" s="3013" t="s">
        <v>18</v>
      </c>
      <c r="B14" s="3013"/>
      <c r="C14" s="3012">
        <v>1528554</v>
      </c>
      <c r="D14" s="15">
        <f t="shared" ref="D14:D21" si="1">+C14/C$14</f>
        <v>1</v>
      </c>
      <c r="E14" s="3017">
        <v>105</v>
      </c>
      <c r="F14" s="3017">
        <v>36</v>
      </c>
      <c r="H14" s="2586">
        <f>SUM(C15:C16,C18:C21)</f>
        <v>1528554</v>
      </c>
      <c r="I14" s="2597">
        <f>SUM(D15:D16,D18:D21)</f>
        <v>1</v>
      </c>
      <c r="J14" s="2586">
        <f>SUM(E15:E16,E18:E21)</f>
        <v>105</v>
      </c>
      <c r="K14" s="2586">
        <f>SUM(F15:F16,F18:F21)</f>
        <v>36</v>
      </c>
    </row>
    <row r="15" spans="1:11">
      <c r="A15" s="3005" t="s">
        <v>13</v>
      </c>
      <c r="C15" s="3006">
        <v>320750</v>
      </c>
      <c r="D15" s="13">
        <f t="shared" si="1"/>
        <v>0.20983884115314211</v>
      </c>
      <c r="E15" s="3007">
        <v>29</v>
      </c>
      <c r="F15" s="3007">
        <v>3</v>
      </c>
      <c r="H15" s="3005">
        <f>C14</f>
        <v>1528554</v>
      </c>
      <c r="I15" s="2599">
        <f>D14</f>
        <v>1</v>
      </c>
      <c r="J15" s="3005">
        <f>E14</f>
        <v>105</v>
      </c>
      <c r="K15" s="3005">
        <f>F14</f>
        <v>36</v>
      </c>
    </row>
    <row r="16" spans="1:11">
      <c r="A16" s="3005" t="s">
        <v>45</v>
      </c>
      <c r="C16" s="3006">
        <v>97918</v>
      </c>
      <c r="D16" s="13">
        <f t="shared" si="1"/>
        <v>6.4059235067913861E-2</v>
      </c>
      <c r="E16" s="3007">
        <v>6</v>
      </c>
      <c r="F16" s="3007">
        <v>1</v>
      </c>
    </row>
    <row r="17" spans="1:11">
      <c r="A17" s="3011" t="s">
        <v>63</v>
      </c>
      <c r="B17" s="3011"/>
      <c r="C17" s="3010">
        <f>+C16+C15</f>
        <v>418668</v>
      </c>
      <c r="D17" s="14">
        <f t="shared" si="1"/>
        <v>0.273898076221056</v>
      </c>
      <c r="E17" s="3010">
        <f>+E16+E15</f>
        <v>35</v>
      </c>
      <c r="F17" s="3010">
        <f>+F16+F15</f>
        <v>4</v>
      </c>
    </row>
    <row r="18" spans="1:11">
      <c r="A18" s="3005" t="s">
        <v>14</v>
      </c>
      <c r="C18" s="3006">
        <v>887984</v>
      </c>
      <c r="D18" s="13">
        <f t="shared" si="1"/>
        <v>0.58093073584577315</v>
      </c>
      <c r="E18" s="3007">
        <v>36</v>
      </c>
      <c r="F18" s="3007">
        <v>27</v>
      </c>
    </row>
    <row r="19" spans="1:11">
      <c r="A19" s="3005" t="s">
        <v>15</v>
      </c>
      <c r="C19" s="3006">
        <v>193090</v>
      </c>
      <c r="D19" s="13">
        <f t="shared" si="1"/>
        <v>0.12632200105459146</v>
      </c>
      <c r="E19" s="3007">
        <v>21</v>
      </c>
      <c r="F19" s="3007">
        <v>5</v>
      </c>
    </row>
    <row r="20" spans="1:11">
      <c r="A20" s="3005" t="s">
        <v>23</v>
      </c>
      <c r="C20" s="3006">
        <v>17580</v>
      </c>
      <c r="D20" s="13">
        <f t="shared" si="1"/>
        <v>1.1501065713085701E-2</v>
      </c>
      <c r="E20" s="3006">
        <v>7</v>
      </c>
      <c r="F20" s="3007">
        <v>0</v>
      </c>
    </row>
    <row r="21" spans="1:11">
      <c r="A21" s="3005" t="s">
        <v>28</v>
      </c>
      <c r="C21" s="3006">
        <f>+C14-SUM(C17:C20)</f>
        <v>11232</v>
      </c>
      <c r="D21" s="13">
        <f t="shared" si="1"/>
        <v>7.348121165493663E-3</v>
      </c>
      <c r="E21" s="3006">
        <f>+E14-SUM(E17:E20)</f>
        <v>6</v>
      </c>
      <c r="F21" s="3006">
        <f>+F14-SUM(F17:F20)</f>
        <v>0</v>
      </c>
    </row>
    <row r="22" spans="1:11">
      <c r="H22" s="3005" t="b">
        <f>H23=H24</f>
        <v>1</v>
      </c>
      <c r="I22" s="2599" t="b">
        <f>I23=I24</f>
        <v>1</v>
      </c>
      <c r="J22" s="3005" t="b">
        <f>J23=J24</f>
        <v>1</v>
      </c>
      <c r="K22" s="3005" t="b">
        <f>K23=K24</f>
        <v>1</v>
      </c>
    </row>
    <row r="23" spans="1:11">
      <c r="A23" s="3013" t="s">
        <v>19</v>
      </c>
      <c r="B23" s="3013"/>
      <c r="C23" s="3012">
        <v>2726684</v>
      </c>
      <c r="D23" s="15">
        <f t="shared" ref="D23:D30" si="2">+C23/C$23</f>
        <v>1</v>
      </c>
      <c r="E23" s="3017">
        <v>212</v>
      </c>
      <c r="F23" s="3017">
        <v>71</v>
      </c>
      <c r="H23" s="2586">
        <f>SUM(C24:C25,C27:C30)</f>
        <v>2726684</v>
      </c>
      <c r="I23" s="2597">
        <f>SUM(D24:D25,D27:D30)</f>
        <v>1</v>
      </c>
      <c r="J23" s="2586">
        <f>SUM(E24:E25,E27:E30)</f>
        <v>212</v>
      </c>
      <c r="K23" s="2586">
        <f>SUM(F24:F25,F27:F30)</f>
        <v>71</v>
      </c>
    </row>
    <row r="24" spans="1:11">
      <c r="A24" s="3005" t="s">
        <v>13</v>
      </c>
      <c r="C24" s="3006">
        <v>1013909</v>
      </c>
      <c r="D24" s="18">
        <f t="shared" si="2"/>
        <v>0.3718469026847262</v>
      </c>
      <c r="E24" s="3007">
        <v>57</v>
      </c>
      <c r="F24" s="3007">
        <v>26</v>
      </c>
      <c r="H24" s="3005">
        <f>C23</f>
        <v>2726684</v>
      </c>
      <c r="I24" s="2599">
        <f>D23</f>
        <v>1</v>
      </c>
      <c r="J24" s="3005">
        <f>E23</f>
        <v>212</v>
      </c>
      <c r="K24" s="3005">
        <f>F23</f>
        <v>71</v>
      </c>
    </row>
    <row r="25" spans="1:11">
      <c r="A25" s="3005" t="s">
        <v>45</v>
      </c>
      <c r="C25" s="3006">
        <v>208101</v>
      </c>
      <c r="D25" s="18">
        <f t="shared" si="2"/>
        <v>7.6320174981772737E-2</v>
      </c>
      <c r="E25" s="3007">
        <v>11</v>
      </c>
      <c r="F25" s="3007">
        <v>5</v>
      </c>
    </row>
    <row r="26" spans="1:11" s="3011" customFormat="1">
      <c r="A26" s="3011" t="s">
        <v>63</v>
      </c>
      <c r="C26" s="3010">
        <f>+C25+C24</f>
        <v>1222010</v>
      </c>
      <c r="D26" s="14">
        <f t="shared" si="2"/>
        <v>0.44816707766649894</v>
      </c>
      <c r="E26" s="3010">
        <f>+E25+E24</f>
        <v>68</v>
      </c>
      <c r="F26" s="3010">
        <f>+F25+F24</f>
        <v>31</v>
      </c>
      <c r="G26" s="3010"/>
      <c r="I26" s="2600"/>
    </row>
    <row r="27" spans="1:11">
      <c r="A27" s="3005" t="s">
        <v>14</v>
      </c>
      <c r="C27" s="3006">
        <v>1259410</v>
      </c>
      <c r="D27" s="18">
        <f t="shared" si="2"/>
        <v>0.46188337189054546</v>
      </c>
      <c r="E27" s="3007">
        <v>71</v>
      </c>
      <c r="F27" s="3006">
        <v>37</v>
      </c>
    </row>
    <row r="28" spans="1:11">
      <c r="A28" s="3005" t="s">
        <v>15</v>
      </c>
      <c r="C28" s="3009">
        <v>180270</v>
      </c>
      <c r="D28" s="18">
        <f t="shared" si="2"/>
        <v>6.6113271651573852E-2</v>
      </c>
      <c r="E28" s="3007">
        <v>41</v>
      </c>
      <c r="F28" s="3006">
        <v>2</v>
      </c>
      <c r="H28" s="3011"/>
      <c r="I28" s="2600"/>
      <c r="J28" s="3011"/>
      <c r="K28" s="3011"/>
    </row>
    <row r="29" spans="1:11">
      <c r="A29" s="3005" t="s">
        <v>24</v>
      </c>
      <c r="C29" s="3006">
        <v>9708</v>
      </c>
      <c r="D29" s="18">
        <f t="shared" si="2"/>
        <v>3.5603685648942086E-3</v>
      </c>
      <c r="E29" s="3007">
        <v>3</v>
      </c>
      <c r="F29" s="3007">
        <v>0</v>
      </c>
    </row>
    <row r="30" spans="1:11">
      <c r="A30" s="3005" t="s">
        <v>28</v>
      </c>
      <c r="C30" s="3006">
        <f>+C23-SUM(C26:C29)</f>
        <v>55286</v>
      </c>
      <c r="D30" s="18">
        <f t="shared" si="2"/>
        <v>2.0275910226487559E-2</v>
      </c>
      <c r="E30" s="3006">
        <f>+E23-SUM(E26:E29)</f>
        <v>29</v>
      </c>
      <c r="F30" s="3006">
        <f>+F23-SUM(F26:F29)</f>
        <v>1</v>
      </c>
    </row>
    <row r="31" spans="1:11">
      <c r="H31" s="3005" t="b">
        <f>H32=H33</f>
        <v>1</v>
      </c>
      <c r="I31" s="2599" t="b">
        <f>I32=I33</f>
        <v>1</v>
      </c>
      <c r="J31" s="3005" t="b">
        <f>J32=J33</f>
        <v>1</v>
      </c>
      <c r="K31" s="3005" t="b">
        <f>K32=K33</f>
        <v>1</v>
      </c>
    </row>
    <row r="32" spans="1:11">
      <c r="A32" s="3013" t="s">
        <v>20</v>
      </c>
      <c r="B32" s="3013"/>
      <c r="C32" s="3012">
        <v>561438</v>
      </c>
      <c r="D32" s="15">
        <f t="shared" ref="D32:D37" si="3">+C32/C$32</f>
        <v>1</v>
      </c>
      <c r="E32" s="3017">
        <v>23</v>
      </c>
      <c r="F32" s="3017">
        <v>12</v>
      </c>
      <c r="H32" s="2586">
        <f>SUM(C33:C37)</f>
        <v>561438</v>
      </c>
      <c r="I32" s="2597">
        <f>SUM(D33:D37)</f>
        <v>1</v>
      </c>
      <c r="J32" s="2586">
        <f>SUM(E33:E37)</f>
        <v>23</v>
      </c>
      <c r="K32" s="2586">
        <f>SUM(F33:F37)</f>
        <v>12</v>
      </c>
    </row>
    <row r="33" spans="1:11">
      <c r="A33" s="3005" t="s">
        <v>13</v>
      </c>
      <c r="C33" s="3006">
        <v>352334</v>
      </c>
      <c r="D33" s="18">
        <f t="shared" si="3"/>
        <v>0.62755638200478059</v>
      </c>
      <c r="E33" s="3007">
        <v>12</v>
      </c>
      <c r="F33" s="3007">
        <v>10</v>
      </c>
      <c r="H33" s="3005">
        <f>C32</f>
        <v>561438</v>
      </c>
      <c r="I33" s="2599">
        <f>D32</f>
        <v>1</v>
      </c>
      <c r="J33" s="3005">
        <f>E32</f>
        <v>23</v>
      </c>
      <c r="K33" s="3005">
        <f>F32</f>
        <v>12</v>
      </c>
    </row>
    <row r="34" spans="1:11">
      <c r="A34" s="3005" t="s">
        <v>14</v>
      </c>
      <c r="C34" s="3006">
        <v>67816</v>
      </c>
      <c r="D34" s="18">
        <f t="shared" si="3"/>
        <v>0.12078982897488236</v>
      </c>
      <c r="E34" s="3007">
        <v>5</v>
      </c>
      <c r="F34" s="3007">
        <v>0</v>
      </c>
    </row>
    <row r="35" spans="1:11">
      <c r="A35" s="3005" t="s">
        <v>30</v>
      </c>
      <c r="C35" s="3006">
        <v>52715</v>
      </c>
      <c r="D35" s="18">
        <f t="shared" si="3"/>
        <v>9.3892825209551195E-2</v>
      </c>
      <c r="E35" s="3007">
        <v>2</v>
      </c>
      <c r="F35" s="3007">
        <v>0</v>
      </c>
    </row>
    <row r="36" spans="1:11">
      <c r="A36" s="3005" t="s">
        <v>26</v>
      </c>
      <c r="C36" s="3009">
        <v>65211</v>
      </c>
      <c r="D36" s="18">
        <f t="shared" si="3"/>
        <v>0.11614995778696846</v>
      </c>
      <c r="E36" s="3007">
        <v>2</v>
      </c>
      <c r="F36" s="3006">
        <v>2</v>
      </c>
    </row>
    <row r="37" spans="1:11">
      <c r="A37" s="3005" t="s">
        <v>27</v>
      </c>
      <c r="C37" s="3009">
        <v>23362</v>
      </c>
      <c r="D37" s="18">
        <f t="shared" si="3"/>
        <v>4.1611006023817412E-2</v>
      </c>
      <c r="E37" s="3007">
        <v>2</v>
      </c>
      <c r="F37" s="3006">
        <v>0</v>
      </c>
    </row>
    <row r="38" spans="1:11">
      <c r="H38" s="3005" t="b">
        <f>H39=H40</f>
        <v>1</v>
      </c>
      <c r="I38" s="2599" t="b">
        <f>I39=I40</f>
        <v>1</v>
      </c>
      <c r="J38" s="3005" t="b">
        <f>J39=J40</f>
        <v>1</v>
      </c>
      <c r="K38" s="3005" t="b">
        <f>K39=K40</f>
        <v>1</v>
      </c>
    </row>
    <row r="39" spans="1:11">
      <c r="A39" s="3013" t="s">
        <v>35</v>
      </c>
      <c r="B39" s="3013"/>
      <c r="C39" s="3012">
        <f>+C23+C14+C6</f>
        <v>28209686</v>
      </c>
      <c r="D39" s="15">
        <f t="shared" ref="D39:D47" si="4">+C39/C$39</f>
        <v>1</v>
      </c>
      <c r="E39" s="3012">
        <f>+E23+E14+E6</f>
        <v>1845</v>
      </c>
      <c r="F39" s="3012">
        <f>+F23+F14+F6</f>
        <v>613</v>
      </c>
      <c r="H39" s="2586">
        <f>SUM(C40:C41,C43:C47)</f>
        <v>28209686</v>
      </c>
      <c r="I39" s="2597">
        <f>SUM(D40:D41,D43:D47)</f>
        <v>1</v>
      </c>
      <c r="J39" s="2586">
        <f>SUM(E40:E41,E43:E47)</f>
        <v>1845</v>
      </c>
      <c r="K39" s="2586">
        <f>SUM(F40:F41,F43:F47)</f>
        <v>613</v>
      </c>
    </row>
    <row r="40" spans="1:11">
      <c r="A40" s="3005" t="s">
        <v>13</v>
      </c>
      <c r="C40" s="3006">
        <f t="shared" ref="C40:C47" si="5">SUMIF(A$7:A$30,A40,C$7:C$30)</f>
        <v>11154727</v>
      </c>
      <c r="D40" s="18">
        <f t="shared" si="4"/>
        <v>0.39542187743599838</v>
      </c>
      <c r="E40" s="3006">
        <f t="shared" ref="E40:E47" si="6">SUMIF(A$7:A$30,A40,E$7:E$30)</f>
        <v>552</v>
      </c>
      <c r="F40" s="3006">
        <f t="shared" ref="F40:F47" si="7">SUMIF(A$7:A$30,A40,F$7:F$30)</f>
        <v>272</v>
      </c>
      <c r="H40" s="3005">
        <f>C39</f>
        <v>28209686</v>
      </c>
      <c r="I40" s="2599">
        <f>D39</f>
        <v>1</v>
      </c>
      <c r="J40" s="3005">
        <f>E39</f>
        <v>1845</v>
      </c>
      <c r="K40" s="3005">
        <f>F39</f>
        <v>613</v>
      </c>
    </row>
    <row r="41" spans="1:11">
      <c r="A41" s="3005" t="s">
        <v>45</v>
      </c>
      <c r="C41" s="3006">
        <f t="shared" si="5"/>
        <v>985343</v>
      </c>
      <c r="D41" s="18">
        <f t="shared" si="4"/>
        <v>3.4929243806542193E-2</v>
      </c>
      <c r="E41" s="3006">
        <f t="shared" si="6"/>
        <v>55</v>
      </c>
      <c r="F41" s="3006">
        <f t="shared" si="7"/>
        <v>16</v>
      </c>
    </row>
    <row r="42" spans="1:11" s="3011" customFormat="1">
      <c r="A42" s="3011" t="s">
        <v>63</v>
      </c>
      <c r="C42" s="3010">
        <f t="shared" si="5"/>
        <v>12140070</v>
      </c>
      <c r="D42" s="14">
        <f t="shared" si="4"/>
        <v>0.4303511212425406</v>
      </c>
      <c r="E42" s="3010">
        <f t="shared" si="6"/>
        <v>607</v>
      </c>
      <c r="F42" s="3010">
        <f t="shared" si="7"/>
        <v>288</v>
      </c>
      <c r="G42" s="3010"/>
      <c r="H42" s="3005"/>
      <c r="I42" s="2599"/>
      <c r="J42" s="3005"/>
      <c r="K42" s="3005"/>
    </row>
    <row r="43" spans="1:11">
      <c r="A43" s="3005" t="s">
        <v>14</v>
      </c>
      <c r="C43" s="3006">
        <f t="shared" si="5"/>
        <v>13198360</v>
      </c>
      <c r="D43" s="18">
        <f t="shared" si="4"/>
        <v>0.46786624991146658</v>
      </c>
      <c r="E43" s="3006">
        <f t="shared" si="6"/>
        <v>612</v>
      </c>
      <c r="F43" s="3006">
        <f t="shared" si="7"/>
        <v>315</v>
      </c>
    </row>
    <row r="44" spans="1:11">
      <c r="A44" s="3005" t="s">
        <v>15</v>
      </c>
      <c r="C44" s="3006">
        <f t="shared" si="5"/>
        <v>2621487</v>
      </c>
      <c r="D44" s="18">
        <f t="shared" si="4"/>
        <v>9.292861324298328E-2</v>
      </c>
      <c r="E44" s="3006">
        <f t="shared" si="6"/>
        <v>475</v>
      </c>
      <c r="F44" s="3006">
        <f t="shared" si="7"/>
        <v>9</v>
      </c>
      <c r="H44" s="3011"/>
      <c r="I44" s="2600"/>
      <c r="J44" s="3011"/>
      <c r="K44" s="3011"/>
    </row>
    <row r="45" spans="1:11">
      <c r="A45" s="3005" t="s">
        <v>23</v>
      </c>
      <c r="C45" s="3006">
        <f t="shared" si="5"/>
        <v>17580</v>
      </c>
      <c r="D45" s="18">
        <f t="shared" si="4"/>
        <v>6.2319020495300794E-4</v>
      </c>
      <c r="E45" s="3006">
        <f t="shared" si="6"/>
        <v>7</v>
      </c>
      <c r="F45" s="3006">
        <f t="shared" si="7"/>
        <v>0</v>
      </c>
    </row>
    <row r="46" spans="1:11">
      <c r="A46" s="3005" t="s">
        <v>24</v>
      </c>
      <c r="C46" s="3006">
        <f t="shared" si="5"/>
        <v>9708</v>
      </c>
      <c r="D46" s="18">
        <f t="shared" si="4"/>
        <v>3.4413711659179758E-4</v>
      </c>
      <c r="E46" s="3006">
        <f t="shared" si="6"/>
        <v>3</v>
      </c>
      <c r="F46" s="3006">
        <f t="shared" si="7"/>
        <v>0</v>
      </c>
    </row>
    <row r="47" spans="1:11">
      <c r="A47" s="3005" t="s">
        <v>28</v>
      </c>
      <c r="C47" s="3006">
        <f t="shared" si="5"/>
        <v>222481</v>
      </c>
      <c r="D47" s="18">
        <f t="shared" si="4"/>
        <v>7.8866882814647415E-3</v>
      </c>
      <c r="E47" s="3006">
        <f t="shared" si="6"/>
        <v>141</v>
      </c>
      <c r="F47" s="3006">
        <f t="shared" si="7"/>
        <v>1</v>
      </c>
    </row>
    <row r="48" spans="1:11">
      <c r="A48" s="3013"/>
      <c r="B48" s="3013"/>
      <c r="H48" s="3005" t="b">
        <f>H49=H50</f>
        <v>1</v>
      </c>
      <c r="I48" s="2599" t="b">
        <f>I49=I50</f>
        <v>1</v>
      </c>
      <c r="J48" s="3005" t="b">
        <f>J49=J50</f>
        <v>1</v>
      </c>
      <c r="K48" s="3005" t="b">
        <f>K49=K50</f>
        <v>1</v>
      </c>
    </row>
    <row r="49" spans="1:11">
      <c r="A49" s="3013" t="s">
        <v>46</v>
      </c>
      <c r="B49" s="3013"/>
      <c r="C49" s="3012">
        <f>+C39+C32</f>
        <v>28771124</v>
      </c>
      <c r="D49" s="15">
        <f t="shared" ref="D49:D57" si="8">+C49/C$49</f>
        <v>1</v>
      </c>
      <c r="E49" s="3012">
        <f>+E39+E32</f>
        <v>1868</v>
      </c>
      <c r="F49" s="3012">
        <f>+F39+F32</f>
        <v>625</v>
      </c>
      <c r="H49" s="2586">
        <f>SUM(C50:C51,C53:C57)</f>
        <v>28771124</v>
      </c>
      <c r="I49" s="2597">
        <f>SUM(D50:D51,D53:D57)</f>
        <v>1</v>
      </c>
      <c r="J49" s="2586">
        <f>SUM(E50:E51,E53:E57)</f>
        <v>1868</v>
      </c>
      <c r="K49" s="2586">
        <f>SUM(F50:F51,F53:F57)</f>
        <v>625</v>
      </c>
    </row>
    <row r="50" spans="1:11">
      <c r="A50" s="3005" t="s">
        <v>13</v>
      </c>
      <c r="C50" s="3006">
        <f>+C40+C33</f>
        <v>11507061</v>
      </c>
      <c r="D50" s="18">
        <f t="shared" si="8"/>
        <v>0.39995173633119097</v>
      </c>
      <c r="E50" s="3006">
        <f>+E40+E33</f>
        <v>564</v>
      </c>
      <c r="F50" s="3006">
        <f>+F40+F33</f>
        <v>282</v>
      </c>
      <c r="H50" s="3005">
        <f>C49</f>
        <v>28771124</v>
      </c>
      <c r="I50" s="2599">
        <f>D49</f>
        <v>1</v>
      </c>
      <c r="J50" s="3005">
        <f>E49</f>
        <v>1868</v>
      </c>
      <c r="K50" s="3005">
        <f>F49</f>
        <v>625</v>
      </c>
    </row>
    <row r="51" spans="1:11">
      <c r="A51" s="3005" t="s">
        <v>45</v>
      </c>
      <c r="C51" s="3006">
        <f>+C41</f>
        <v>985343</v>
      </c>
      <c r="D51" s="18">
        <f t="shared" si="8"/>
        <v>3.424763662344231E-2</v>
      </c>
      <c r="E51" s="3006">
        <f>+E41</f>
        <v>55</v>
      </c>
      <c r="F51" s="3006">
        <f>+F41</f>
        <v>16</v>
      </c>
    </row>
    <row r="52" spans="1:11">
      <c r="A52" s="3011" t="s">
        <v>63</v>
      </c>
      <c r="B52" s="3011"/>
      <c r="C52" s="3010">
        <f>+C51+C50</f>
        <v>12492404</v>
      </c>
      <c r="D52" s="14">
        <f t="shared" si="8"/>
        <v>0.43419937295463329</v>
      </c>
      <c r="E52" s="3010">
        <f>+E51+E50</f>
        <v>619</v>
      </c>
      <c r="F52" s="3010">
        <f>+F51+F50</f>
        <v>298</v>
      </c>
    </row>
    <row r="53" spans="1:11">
      <c r="A53" s="3005" t="s">
        <v>14</v>
      </c>
      <c r="C53" s="3006">
        <f>+C43+C34</f>
        <v>13266176</v>
      </c>
      <c r="D53" s="18">
        <f t="shared" si="8"/>
        <v>0.46109342130672404</v>
      </c>
      <c r="E53" s="3006">
        <f>+E43+E34</f>
        <v>617</v>
      </c>
      <c r="F53" s="3006">
        <f>+F43+F34</f>
        <v>315</v>
      </c>
      <c r="G53" s="13"/>
    </row>
    <row r="54" spans="1:11">
      <c r="A54" s="3005" t="s">
        <v>15</v>
      </c>
      <c r="C54" s="3006">
        <f>+C44</f>
        <v>2621487</v>
      </c>
      <c r="D54" s="18">
        <f t="shared" si="8"/>
        <v>9.1115209819400869E-2</v>
      </c>
      <c r="E54" s="3006">
        <f t="shared" ref="E54:F56" si="9">+E44</f>
        <v>475</v>
      </c>
      <c r="F54" s="3006">
        <f t="shared" si="9"/>
        <v>9</v>
      </c>
    </row>
    <row r="55" spans="1:11">
      <c r="A55" s="3005" t="s">
        <v>23</v>
      </c>
      <c r="C55" s="3006">
        <f>+C45</f>
        <v>17580</v>
      </c>
      <c r="D55" s="18">
        <f t="shared" si="8"/>
        <v>6.1102930841353291E-4</v>
      </c>
      <c r="E55" s="3006">
        <f t="shared" si="9"/>
        <v>7</v>
      </c>
      <c r="F55" s="3006">
        <f t="shared" si="9"/>
        <v>0</v>
      </c>
    </row>
    <row r="56" spans="1:11">
      <c r="A56" s="3005" t="s">
        <v>24</v>
      </c>
      <c r="C56" s="3006">
        <f>+C46</f>
        <v>9708</v>
      </c>
      <c r="D56" s="18">
        <f t="shared" si="8"/>
        <v>3.3742164539696121E-4</v>
      </c>
      <c r="E56" s="3006">
        <f t="shared" si="9"/>
        <v>3</v>
      </c>
      <c r="F56" s="3006">
        <f t="shared" si="9"/>
        <v>0</v>
      </c>
    </row>
    <row r="57" spans="1:11">
      <c r="A57" s="3005" t="s">
        <v>28</v>
      </c>
      <c r="C57" s="3006">
        <f>+C49-SUM(C52:C56)</f>
        <v>363769</v>
      </c>
      <c r="D57" s="18">
        <f t="shared" si="8"/>
        <v>1.2643544965431313E-2</v>
      </c>
      <c r="E57" s="3006">
        <f>+E49-SUM(E52:E56)</f>
        <v>147</v>
      </c>
      <c r="F57" s="3006">
        <f>+F49-SUM(F52:F56)</f>
        <v>3</v>
      </c>
    </row>
    <row r="59" spans="1:11">
      <c r="A59" s="3014" t="s">
        <v>21</v>
      </c>
      <c r="B59" s="3014" t="s">
        <v>43</v>
      </c>
      <c r="D59" s="2590"/>
      <c r="E59" s="3005"/>
      <c r="F59" s="3005"/>
      <c r="G59" s="3005"/>
    </row>
  </sheetData>
  <mergeCells count="1">
    <mergeCell ref="A2:B2"/>
  </mergeCells>
  <conditionalFormatting sqref="H5:K5">
    <cfRule type="cellIs" dxfId="68" priority="6" operator="equal">
      <formula>"""FALSE"""</formula>
    </cfRule>
  </conditionalFormatting>
  <conditionalFormatting sqref="H13:K13">
    <cfRule type="cellIs" dxfId="67" priority="5" operator="equal">
      <formula>"""FALSE"""</formula>
    </cfRule>
  </conditionalFormatting>
  <conditionalFormatting sqref="H22:K22">
    <cfRule type="cellIs" dxfId="66" priority="4" operator="equal">
      <formula>"""FALSE"""</formula>
    </cfRule>
  </conditionalFormatting>
  <conditionalFormatting sqref="H31:K31">
    <cfRule type="cellIs" dxfId="65" priority="3" operator="equal">
      <formula>"""FALSE"""</formula>
    </cfRule>
  </conditionalFormatting>
  <conditionalFormatting sqref="H38:K38">
    <cfRule type="cellIs" dxfId="64" priority="2" operator="equal">
      <formula>"""FALSE"""</formula>
    </cfRule>
  </conditionalFormatting>
  <conditionalFormatting sqref="H48:K48">
    <cfRule type="cellIs" dxfId="63" priority="1" operator="equal">
      <formula>"""FALSE"""</formula>
    </cfRule>
  </conditionalFormatting>
  <pageMargins left="0.75" right="0.75" top="1" bottom="1" header="0.5" footer="0.5"/>
  <pageSetup paperSize="9" scale="93" orientation="portrait" horizontalDpi="1200"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11167-940A-40D8-AE02-26761668F19E}">
  <sheetPr>
    <pageSetUpPr fitToPage="1"/>
  </sheetPr>
  <dimension ref="A1:K58"/>
  <sheetViews>
    <sheetView topLeftCell="A31" zoomScale="130" zoomScaleNormal="130" workbookViewId="0">
      <selection activeCell="O68" sqref="O68"/>
    </sheetView>
  </sheetViews>
  <sheetFormatPr baseColWidth="10" defaultColWidth="8.796875" defaultRowHeight="13"/>
  <cols>
    <col min="1" max="1" width="7.19921875" style="3005" customWidth="1"/>
    <col min="2" max="2" width="18.796875" style="3005" customWidth="1"/>
    <col min="3" max="3" width="12.3984375"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47</v>
      </c>
      <c r="B1" s="3013"/>
      <c r="C1" s="3006"/>
    </row>
    <row r="2" spans="1:11">
      <c r="A2" s="3521">
        <v>37189</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23826095</v>
      </c>
      <c r="D6" s="15">
        <f t="shared" ref="D6:D12" si="0">+C6/C$6</f>
        <v>1</v>
      </c>
      <c r="E6" s="3012">
        <v>1112</v>
      </c>
      <c r="F6" s="3017">
        <v>506</v>
      </c>
      <c r="G6" s="3012"/>
      <c r="H6" s="2586">
        <f>SUM(C7:C8,C10:C12)</f>
        <v>23826095</v>
      </c>
      <c r="I6" s="2587">
        <f>SUM(D7:D8,D10:D12)</f>
        <v>0.99999999999999989</v>
      </c>
      <c r="J6" s="2586">
        <f>SUM(E7:E8,E10:E12)</f>
        <v>1112</v>
      </c>
      <c r="K6" s="2586">
        <f>SUM(F7:F8,F10:F12)</f>
        <v>506</v>
      </c>
    </row>
    <row r="7" spans="1:11">
      <c r="A7" s="3005" t="s">
        <v>13</v>
      </c>
      <c r="C7" s="3006">
        <v>10855287</v>
      </c>
      <c r="D7" s="18">
        <f t="shared" si="0"/>
        <v>0.45560495750562569</v>
      </c>
      <c r="E7" s="3007">
        <v>463</v>
      </c>
      <c r="F7" s="3007">
        <v>259</v>
      </c>
      <c r="H7" s="3005">
        <f>C6</f>
        <v>23826095</v>
      </c>
      <c r="I7" s="2590">
        <f>D6</f>
        <v>1</v>
      </c>
      <c r="J7" s="3005">
        <f>E6</f>
        <v>1112</v>
      </c>
      <c r="K7" s="3005">
        <f>F6</f>
        <v>506</v>
      </c>
    </row>
    <row r="8" spans="1:11">
      <c r="A8" s="3005" t="s">
        <v>45</v>
      </c>
      <c r="C8" s="3006">
        <v>767417</v>
      </c>
      <c r="D8" s="18">
        <f t="shared" si="0"/>
        <v>3.2209096790724624E-2</v>
      </c>
      <c r="E8" s="3007">
        <v>39</v>
      </c>
      <c r="F8" s="3007">
        <v>12</v>
      </c>
    </row>
    <row r="9" spans="1:11" s="3011" customFormat="1">
      <c r="A9" s="3011" t="s">
        <v>63</v>
      </c>
      <c r="C9" s="3010">
        <f>SUM(C7:C8)</f>
        <v>11622704</v>
      </c>
      <c r="D9" s="14">
        <f t="shared" si="0"/>
        <v>0.48781405429635027</v>
      </c>
      <c r="E9" s="3010">
        <f>SUM(E7:E8)</f>
        <v>502</v>
      </c>
      <c r="F9" s="3010">
        <f>SUM(F7:F8)</f>
        <v>271</v>
      </c>
      <c r="G9" s="3010"/>
      <c r="H9" s="3005"/>
      <c r="I9" s="2590"/>
      <c r="J9" s="3005"/>
      <c r="K9" s="3005"/>
    </row>
    <row r="10" spans="1:11">
      <c r="A10" s="3005" t="s">
        <v>14</v>
      </c>
      <c r="C10" s="3006">
        <v>11630467</v>
      </c>
      <c r="D10" s="18">
        <f t="shared" si="0"/>
        <v>0.48813987352942223</v>
      </c>
      <c r="E10" s="3007">
        <v>506</v>
      </c>
      <c r="F10" s="3007">
        <v>233</v>
      </c>
      <c r="H10" s="3011"/>
      <c r="I10" s="2591"/>
      <c r="J10" s="3011"/>
      <c r="K10" s="3011"/>
    </row>
    <row r="11" spans="1:11">
      <c r="A11" s="3005" t="s">
        <v>15</v>
      </c>
      <c r="C11" s="3006">
        <v>537434</v>
      </c>
      <c r="D11" s="18">
        <f t="shared" si="0"/>
        <v>2.255652888146379E-2</v>
      </c>
      <c r="E11" s="3007">
        <v>91</v>
      </c>
      <c r="F11" s="3007">
        <v>2</v>
      </c>
    </row>
    <row r="12" spans="1:11">
      <c r="A12" s="3005" t="s">
        <v>28</v>
      </c>
      <c r="C12" s="3006">
        <f>C6-(C9+C10+C11)</f>
        <v>35490</v>
      </c>
      <c r="D12" s="18">
        <f t="shared" si="0"/>
        <v>1.4895432927636695E-3</v>
      </c>
      <c r="E12" s="3007">
        <f>E6-(E9+E10+E11)</f>
        <v>13</v>
      </c>
      <c r="F12" s="3007">
        <f>F6-(F9+F10+F11)</f>
        <v>0</v>
      </c>
    </row>
    <row r="13" spans="1:11">
      <c r="C13" s="3006"/>
      <c r="F13" s="3007"/>
      <c r="H13" s="3005" t="b">
        <f>H14=H15</f>
        <v>1</v>
      </c>
      <c r="I13" s="2590" t="b">
        <f>I14=I15</f>
        <v>1</v>
      </c>
      <c r="J13" s="3005" t="b">
        <f>J14=J15</f>
        <v>1</v>
      </c>
      <c r="K13" s="3005" t="b">
        <f>K14=K15</f>
        <v>1</v>
      </c>
    </row>
    <row r="14" spans="1:11">
      <c r="A14" s="3013" t="s">
        <v>18</v>
      </c>
      <c r="B14" s="3013"/>
      <c r="C14" s="3012">
        <v>1529449</v>
      </c>
      <c r="D14" s="15">
        <f t="shared" ref="D14:D21" si="1">+C14/C$14</f>
        <v>1</v>
      </c>
      <c r="E14" s="3017">
        <v>84</v>
      </c>
      <c r="F14" s="3017">
        <v>36</v>
      </c>
      <c r="H14" s="2586">
        <f>SUM(C15:C16,C18:C21)</f>
        <v>1529449</v>
      </c>
      <c r="I14" s="2587">
        <f>SUM(D15:D16,D18:D21)</f>
        <v>1</v>
      </c>
      <c r="J14" s="2586">
        <f>SUM(E15:E16,E18:E21)</f>
        <v>84</v>
      </c>
      <c r="K14" s="2586">
        <f>SUM(F15:F16,F18:F21)</f>
        <v>36</v>
      </c>
    </row>
    <row r="15" spans="1:11">
      <c r="A15" s="3005" t="s">
        <v>13</v>
      </c>
      <c r="C15" s="3006">
        <v>421525</v>
      </c>
      <c r="D15" s="18">
        <f t="shared" si="1"/>
        <v>0.27560579005903435</v>
      </c>
      <c r="E15" s="3007">
        <v>30</v>
      </c>
      <c r="F15" s="3007">
        <v>5</v>
      </c>
      <c r="H15" s="3005">
        <f>C14</f>
        <v>1529449</v>
      </c>
      <c r="I15" s="2590">
        <f>D14</f>
        <v>1</v>
      </c>
      <c r="J15" s="3005">
        <f>E14</f>
        <v>84</v>
      </c>
      <c r="K15" s="3005">
        <f>F14</f>
        <v>36</v>
      </c>
    </row>
    <row r="16" spans="1:11">
      <c r="A16" s="3005" t="s">
        <v>45</v>
      </c>
      <c r="C16" s="3006">
        <v>49744</v>
      </c>
      <c r="D16" s="18">
        <f t="shared" si="1"/>
        <v>3.2524131239420211E-2</v>
      </c>
      <c r="E16" s="3007">
        <v>3</v>
      </c>
      <c r="F16" s="3007">
        <v>1</v>
      </c>
    </row>
    <row r="17" spans="1:11">
      <c r="A17" s="3011" t="s">
        <v>63</v>
      </c>
      <c r="B17" s="3011"/>
      <c r="C17" s="3010">
        <f>+C16+C15</f>
        <v>471269</v>
      </c>
      <c r="D17" s="14">
        <f t="shared" si="1"/>
        <v>0.30812992129845457</v>
      </c>
      <c r="E17" s="3010">
        <v>33</v>
      </c>
      <c r="F17" s="3010">
        <f>+F16+F15</f>
        <v>6</v>
      </c>
    </row>
    <row r="18" spans="1:11">
      <c r="A18" s="3005" t="s">
        <v>14</v>
      </c>
      <c r="C18" s="3006">
        <v>925848</v>
      </c>
      <c r="D18" s="18">
        <f t="shared" si="1"/>
        <v>0.60534741596483443</v>
      </c>
      <c r="E18" s="3007">
        <v>36</v>
      </c>
      <c r="F18" s="3007">
        <v>27</v>
      </c>
    </row>
    <row r="19" spans="1:11">
      <c r="A19" s="3005" t="s">
        <v>15</v>
      </c>
      <c r="C19" s="3006">
        <v>116821</v>
      </c>
      <c r="D19" s="18">
        <f t="shared" si="1"/>
        <v>7.6381101952402469E-2</v>
      </c>
      <c r="E19" s="3007">
        <v>9</v>
      </c>
      <c r="F19" s="3007">
        <v>3</v>
      </c>
    </row>
    <row r="20" spans="1:11">
      <c r="A20" s="3005" t="s">
        <v>23</v>
      </c>
      <c r="C20" s="3006">
        <v>10920</v>
      </c>
      <c r="D20" s="18">
        <f t="shared" si="1"/>
        <v>7.1398261726935645E-3</v>
      </c>
      <c r="E20" s="3006">
        <v>4</v>
      </c>
      <c r="F20" s="3007">
        <v>0</v>
      </c>
    </row>
    <row r="21" spans="1:11">
      <c r="A21" s="3005" t="s">
        <v>28</v>
      </c>
      <c r="C21" s="3006">
        <f>+C14-SUM(C17:C20)</f>
        <v>4591</v>
      </c>
      <c r="D21" s="18">
        <f t="shared" si="1"/>
        <v>3.0017346116150328E-3</v>
      </c>
      <c r="E21" s="3006">
        <f>+E14-SUM(E17:E20)</f>
        <v>2</v>
      </c>
      <c r="F21" s="3006">
        <f>+F14-SUM(F17:F20)</f>
        <v>0</v>
      </c>
    </row>
    <row r="22" spans="1:11">
      <c r="C22" s="3006"/>
      <c r="F22" s="3007"/>
      <c r="H22" s="3005" t="b">
        <f>H23=H24</f>
        <v>1</v>
      </c>
      <c r="I22" s="2590" t="b">
        <f>I23=I24</f>
        <v>1</v>
      </c>
      <c r="J22" s="3005" t="b">
        <f>J23=J24</f>
        <v>1</v>
      </c>
      <c r="K22" s="3005" t="b">
        <f>K23=K24</f>
        <v>1</v>
      </c>
    </row>
    <row r="23" spans="1:11">
      <c r="A23" s="3013" t="s">
        <v>19</v>
      </c>
      <c r="B23" s="3013"/>
      <c r="C23" s="3012">
        <v>2777837</v>
      </c>
      <c r="D23" s="15">
        <f t="shared" ref="D23:D30" si="2">+C23/C$23</f>
        <v>1</v>
      </c>
      <c r="E23" s="3017">
        <v>160</v>
      </c>
      <c r="F23" s="3017">
        <v>71</v>
      </c>
      <c r="H23" s="2586">
        <f>SUM(C24:C25,C27:C30)</f>
        <v>2777837</v>
      </c>
      <c r="I23" s="2587">
        <f>SUM(D24:D25,D27:D30)</f>
        <v>1</v>
      </c>
      <c r="J23" s="2586">
        <f>SUM(E24:E25,E27:E30)</f>
        <v>160</v>
      </c>
      <c r="K23" s="2586">
        <f>SUM(F24:F25,F27:F30)</f>
        <v>71</v>
      </c>
    </row>
    <row r="24" spans="1:11">
      <c r="A24" s="3005" t="s">
        <v>13</v>
      </c>
      <c r="C24" s="3006">
        <v>1108321</v>
      </c>
      <c r="D24" s="18">
        <f t="shared" si="2"/>
        <v>0.39898705359601733</v>
      </c>
      <c r="E24" s="3007">
        <v>57</v>
      </c>
      <c r="F24" s="3007">
        <v>29</v>
      </c>
      <c r="H24" s="3005">
        <f>C23</f>
        <v>2777837</v>
      </c>
      <c r="I24" s="2590">
        <f>D23</f>
        <v>1</v>
      </c>
      <c r="J24" s="3005">
        <f>E23</f>
        <v>160</v>
      </c>
      <c r="K24" s="3005">
        <f>F23</f>
        <v>71</v>
      </c>
    </row>
    <row r="25" spans="1:11">
      <c r="A25" s="3005" t="s">
        <v>45</v>
      </c>
      <c r="C25" s="3006">
        <v>240977</v>
      </c>
      <c r="D25" s="18">
        <f t="shared" si="2"/>
        <v>8.6749870492761089E-2</v>
      </c>
      <c r="E25" s="3007">
        <v>13</v>
      </c>
      <c r="F25" s="3007">
        <v>6</v>
      </c>
    </row>
    <row r="26" spans="1:11" s="3011" customFormat="1">
      <c r="A26" s="3011" t="s">
        <v>63</v>
      </c>
      <c r="C26" s="3010">
        <f>+C25+C24</f>
        <v>1349298</v>
      </c>
      <c r="D26" s="14">
        <f t="shared" si="2"/>
        <v>0.48573692408877844</v>
      </c>
      <c r="E26" s="3010">
        <f>+E25+E24</f>
        <v>70</v>
      </c>
      <c r="F26" s="3010">
        <f>+F25+F24</f>
        <v>35</v>
      </c>
      <c r="G26" s="3010"/>
    </row>
    <row r="27" spans="1:11">
      <c r="A27" s="3005" t="s">
        <v>14</v>
      </c>
      <c r="C27" s="3006">
        <v>1330244</v>
      </c>
      <c r="D27" s="18">
        <f t="shared" si="2"/>
        <v>0.47887763032892139</v>
      </c>
      <c r="E27" s="3007">
        <v>71</v>
      </c>
      <c r="F27" s="3006">
        <v>35</v>
      </c>
    </row>
    <row r="28" spans="1:11">
      <c r="A28" s="3005" t="s">
        <v>15</v>
      </c>
      <c r="C28" s="3009">
        <v>76291</v>
      </c>
      <c r="D28" s="18">
        <f t="shared" si="2"/>
        <v>2.7464174463800433E-2</v>
      </c>
      <c r="E28" s="3007">
        <v>9</v>
      </c>
      <c r="F28" s="3006">
        <v>1</v>
      </c>
      <c r="H28" s="3011"/>
      <c r="I28" s="2591"/>
      <c r="J28" s="3011"/>
      <c r="K28" s="3011"/>
    </row>
    <row r="29" spans="1:11">
      <c r="A29" s="3005" t="s">
        <v>24</v>
      </c>
      <c r="C29" s="3006">
        <v>7299</v>
      </c>
      <c r="D29" s="18">
        <f t="shared" si="2"/>
        <v>2.6275839799095482E-3</v>
      </c>
      <c r="E29" s="3007">
        <v>2</v>
      </c>
      <c r="F29" s="3007">
        <v>0</v>
      </c>
    </row>
    <row r="30" spans="1:11">
      <c r="A30" s="3005" t="s">
        <v>28</v>
      </c>
      <c r="C30" s="3006">
        <f>+C23-SUM(C26:C29)</f>
        <v>14705</v>
      </c>
      <c r="D30" s="18">
        <f t="shared" si="2"/>
        <v>5.2936871385902053E-3</v>
      </c>
      <c r="E30" s="3006">
        <f>+E23-SUM(E26:E29)</f>
        <v>8</v>
      </c>
      <c r="F30" s="3006">
        <f>+F23-SUM(F26:F29)</f>
        <v>0</v>
      </c>
    </row>
    <row r="31" spans="1:11">
      <c r="C31" s="3006"/>
      <c r="F31" s="3007"/>
      <c r="H31" s="3005" t="b">
        <f>H32=H33</f>
        <v>1</v>
      </c>
      <c r="I31" s="2590" t="b">
        <f>I32=I33</f>
        <v>1</v>
      </c>
      <c r="J31" s="3005" t="b">
        <f>J32=J33</f>
        <v>1</v>
      </c>
      <c r="K31" s="3005" t="b">
        <f>K32=K33</f>
        <v>1</v>
      </c>
    </row>
    <row r="32" spans="1:11">
      <c r="A32" s="3013" t="s">
        <v>20</v>
      </c>
      <c r="B32" s="3013"/>
      <c r="C32" s="3012">
        <v>463213</v>
      </c>
      <c r="D32" s="15">
        <f>+C32/C$32</f>
        <v>1</v>
      </c>
      <c r="E32" s="3017">
        <v>20</v>
      </c>
      <c r="F32" s="3017">
        <v>12</v>
      </c>
      <c r="H32" s="2586">
        <f>SUM(C33:C36)</f>
        <v>463213</v>
      </c>
      <c r="I32" s="2587">
        <f>SUM(D33:D36)</f>
        <v>1</v>
      </c>
      <c r="J32" s="2586">
        <f>SUM(E33:E36)</f>
        <v>20</v>
      </c>
      <c r="K32" s="2586">
        <f>SUM(F33:F36)</f>
        <v>12</v>
      </c>
    </row>
    <row r="33" spans="1:11">
      <c r="A33" s="3005" t="s">
        <v>13</v>
      </c>
      <c r="C33" s="3006">
        <v>274928</v>
      </c>
      <c r="D33" s="18">
        <f>+C33/C$32</f>
        <v>0.59352392959610378</v>
      </c>
      <c r="E33" s="3007">
        <v>12</v>
      </c>
      <c r="F33" s="3007">
        <v>9</v>
      </c>
      <c r="H33" s="3005">
        <f>C32</f>
        <v>463213</v>
      </c>
      <c r="I33" s="2590">
        <f>D32</f>
        <v>1</v>
      </c>
      <c r="J33" s="3005">
        <f>E32</f>
        <v>20</v>
      </c>
      <c r="K33" s="3005">
        <f>F32</f>
        <v>12</v>
      </c>
    </row>
    <row r="34" spans="1:11">
      <c r="A34" s="3005" t="s">
        <v>14</v>
      </c>
      <c r="C34" s="3006">
        <v>62324</v>
      </c>
      <c r="D34" s="18">
        <f>+C34/C$32</f>
        <v>0.13454717376239442</v>
      </c>
      <c r="E34" s="3007">
        <v>4</v>
      </c>
      <c r="F34" s="3007">
        <v>0</v>
      </c>
    </row>
    <row r="35" spans="1:11">
      <c r="A35" s="3005" t="s">
        <v>30</v>
      </c>
      <c r="C35" s="3006">
        <v>33174</v>
      </c>
      <c r="D35" s="18">
        <f>+C35/C$32</f>
        <v>7.1617161003685134E-2</v>
      </c>
      <c r="E35" s="3007">
        <v>1</v>
      </c>
      <c r="F35" s="3007">
        <v>1</v>
      </c>
    </row>
    <row r="36" spans="1:11">
      <c r="A36" s="3005" t="s">
        <v>26</v>
      </c>
      <c r="C36" s="3009">
        <v>92787</v>
      </c>
      <c r="D36" s="18">
        <f>+C36/C$32</f>
        <v>0.20031173563781673</v>
      </c>
      <c r="E36" s="3007">
        <v>3</v>
      </c>
      <c r="F36" s="3006">
        <v>2</v>
      </c>
    </row>
    <row r="37" spans="1:11">
      <c r="D37" s="18"/>
      <c r="H37" s="3005" t="b">
        <f>H38=H39</f>
        <v>1</v>
      </c>
      <c r="I37" s="2590" t="b">
        <f>I38=I39</f>
        <v>1</v>
      </c>
      <c r="J37" s="3005" t="b">
        <f>J38=J39</f>
        <v>1</v>
      </c>
      <c r="K37" s="3005" t="b">
        <f>K38=K39</f>
        <v>1</v>
      </c>
    </row>
    <row r="38" spans="1:11">
      <c r="A38" s="3013" t="s">
        <v>35</v>
      </c>
      <c r="B38" s="3013"/>
      <c r="C38" s="3012">
        <f>+C23+C14+C6</f>
        <v>28133381</v>
      </c>
      <c r="D38" s="15">
        <f t="shared" ref="D38:D46" si="3">+C38/C$38</f>
        <v>1</v>
      </c>
      <c r="E38" s="3012">
        <f>+E23+E14+E6</f>
        <v>1356</v>
      </c>
      <c r="F38" s="3012">
        <f>+F23+F14+F6</f>
        <v>613</v>
      </c>
      <c r="H38" s="2586">
        <f>SUM(C39:C40,C42:C46)</f>
        <v>28133381</v>
      </c>
      <c r="I38" s="2587">
        <f>SUM(D39:D40,D42:D46)</f>
        <v>1.0000000000000002</v>
      </c>
      <c r="J38" s="2586">
        <f>SUM(E39:E40,E42:E46)</f>
        <v>1356</v>
      </c>
      <c r="K38" s="2586">
        <f>SUM(F39:F40,F42:F46)</f>
        <v>613</v>
      </c>
    </row>
    <row r="39" spans="1:11">
      <c r="A39" s="3005" t="s">
        <v>13</v>
      </c>
      <c r="C39" s="3006">
        <f t="shared" ref="C39:C46" si="4">SUMIF(A$7:A$30,A39,C$7:C$30)</f>
        <v>12385133</v>
      </c>
      <c r="D39" s="18">
        <f t="shared" si="3"/>
        <v>0.44022910008576643</v>
      </c>
      <c r="E39" s="3006">
        <f t="shared" ref="E39:E46" si="5">SUMIF(A$7:A$30,A39,E$7:E$30)</f>
        <v>550</v>
      </c>
      <c r="F39" s="3006">
        <f t="shared" ref="F39:F46" si="6">SUMIF(A$7:A$30,A39,F$7:F$30)</f>
        <v>293</v>
      </c>
      <c r="H39" s="3005">
        <f>C38</f>
        <v>28133381</v>
      </c>
      <c r="I39" s="2590">
        <f>D38</f>
        <v>1</v>
      </c>
      <c r="J39" s="3005">
        <f>E38</f>
        <v>1356</v>
      </c>
      <c r="K39" s="3005">
        <f>F38</f>
        <v>613</v>
      </c>
    </row>
    <row r="40" spans="1:11">
      <c r="A40" s="3005" t="s">
        <v>45</v>
      </c>
      <c r="C40" s="3006">
        <f t="shared" si="4"/>
        <v>1058138</v>
      </c>
      <c r="D40" s="18">
        <f t="shared" si="3"/>
        <v>3.7611476558754173E-2</v>
      </c>
      <c r="E40" s="3006">
        <f t="shared" si="5"/>
        <v>55</v>
      </c>
      <c r="F40" s="3006">
        <f t="shared" si="6"/>
        <v>19</v>
      </c>
    </row>
    <row r="41" spans="1:11" s="3011" customFormat="1">
      <c r="A41" s="3011" t="s">
        <v>63</v>
      </c>
      <c r="C41" s="3010">
        <f t="shared" si="4"/>
        <v>13443271</v>
      </c>
      <c r="D41" s="14">
        <f t="shared" si="3"/>
        <v>0.47784057664452062</v>
      </c>
      <c r="E41" s="3010">
        <f t="shared" si="5"/>
        <v>605</v>
      </c>
      <c r="F41" s="3010">
        <f t="shared" si="6"/>
        <v>312</v>
      </c>
      <c r="G41" s="3010"/>
    </row>
    <row r="42" spans="1:11">
      <c r="A42" s="3005" t="s">
        <v>14</v>
      </c>
      <c r="C42" s="3006">
        <f t="shared" si="4"/>
        <v>13886559</v>
      </c>
      <c r="D42" s="18">
        <f t="shared" si="3"/>
        <v>0.4935972324122721</v>
      </c>
      <c r="E42" s="3006">
        <f t="shared" si="5"/>
        <v>613</v>
      </c>
      <c r="F42" s="3006">
        <f t="shared" si="6"/>
        <v>295</v>
      </c>
    </row>
    <row r="43" spans="1:11">
      <c r="A43" s="3005" t="s">
        <v>15</v>
      </c>
      <c r="C43" s="3006">
        <f t="shared" si="4"/>
        <v>730546</v>
      </c>
      <c r="D43" s="18">
        <f t="shared" si="3"/>
        <v>2.5967230884905018E-2</v>
      </c>
      <c r="E43" s="3006">
        <f t="shared" si="5"/>
        <v>109</v>
      </c>
      <c r="F43" s="3006">
        <f t="shared" si="6"/>
        <v>6</v>
      </c>
    </row>
    <row r="44" spans="1:11">
      <c r="A44" s="3005" t="s">
        <v>23</v>
      </c>
      <c r="C44" s="3006">
        <f t="shared" si="4"/>
        <v>10920</v>
      </c>
      <c r="D44" s="18">
        <f t="shared" si="3"/>
        <v>3.8815100111856443E-4</v>
      </c>
      <c r="E44" s="3006">
        <f t="shared" si="5"/>
        <v>4</v>
      </c>
      <c r="F44" s="3006">
        <f t="shared" si="6"/>
        <v>0</v>
      </c>
      <c r="H44" s="3011"/>
      <c r="I44" s="2591"/>
      <c r="J44" s="3011"/>
      <c r="K44" s="3011"/>
    </row>
    <row r="45" spans="1:11">
      <c r="A45" s="3005" t="s">
        <v>24</v>
      </c>
      <c r="C45" s="3006">
        <f t="shared" si="4"/>
        <v>7299</v>
      </c>
      <c r="D45" s="18">
        <f t="shared" si="3"/>
        <v>2.594426883850185E-4</v>
      </c>
      <c r="E45" s="3006">
        <f t="shared" si="5"/>
        <v>2</v>
      </c>
      <c r="F45" s="3006">
        <f t="shared" si="6"/>
        <v>0</v>
      </c>
    </row>
    <row r="46" spans="1:11">
      <c r="A46" s="3005" t="s">
        <v>28</v>
      </c>
      <c r="C46" s="3006">
        <f t="shared" si="4"/>
        <v>54786</v>
      </c>
      <c r="D46" s="18">
        <f t="shared" si="3"/>
        <v>1.9473663687986878E-3</v>
      </c>
      <c r="E46" s="3006">
        <f t="shared" si="5"/>
        <v>23</v>
      </c>
      <c r="F46" s="3006">
        <f t="shared" si="6"/>
        <v>0</v>
      </c>
    </row>
    <row r="47" spans="1:11">
      <c r="A47" s="3013"/>
      <c r="B47" s="3013"/>
      <c r="H47" s="3005" t="b">
        <f>H48=H49</f>
        <v>1</v>
      </c>
      <c r="I47" s="2590" t="b">
        <f>I48=I49</f>
        <v>1</v>
      </c>
      <c r="J47" s="3005" t="b">
        <f>J48=J49</f>
        <v>1</v>
      </c>
      <c r="K47" s="3005" t="b">
        <f>K48=K49</f>
        <v>1</v>
      </c>
    </row>
    <row r="48" spans="1:11">
      <c r="A48" s="3013" t="s">
        <v>46</v>
      </c>
      <c r="B48" s="3013"/>
      <c r="C48" s="3012">
        <f>+C38+C32</f>
        <v>28596594</v>
      </c>
      <c r="D48" s="15">
        <f t="shared" ref="D48:D56" si="7">+C48/C$48</f>
        <v>1</v>
      </c>
      <c r="E48" s="3012">
        <f>+E38+E32</f>
        <v>1376</v>
      </c>
      <c r="F48" s="3012">
        <f>+F38+F32</f>
        <v>625</v>
      </c>
      <c r="H48" s="2586">
        <f>SUM(C49:C50,C52:C56)</f>
        <v>28596594</v>
      </c>
      <c r="I48" s="2587">
        <f>SUM(D49:D50,D52:D56)</f>
        <v>1</v>
      </c>
      <c r="J48" s="2586">
        <f>SUM(E49:E50,E52:E56)</f>
        <v>1376</v>
      </c>
      <c r="K48" s="2586">
        <f>SUM(F49:F50,F52:F56)</f>
        <v>625</v>
      </c>
    </row>
    <row r="49" spans="1:11">
      <c r="A49" s="3005" t="s">
        <v>13</v>
      </c>
      <c r="C49" s="3006">
        <f>+C39+C33</f>
        <v>12660061</v>
      </c>
      <c r="D49" s="18">
        <f t="shared" si="7"/>
        <v>0.44271219852266325</v>
      </c>
      <c r="E49" s="3006">
        <f>+E39+E33</f>
        <v>562</v>
      </c>
      <c r="F49" s="3006">
        <f>+F39+F33</f>
        <v>302</v>
      </c>
      <c r="H49" s="3005">
        <f>C48</f>
        <v>28596594</v>
      </c>
      <c r="I49" s="2590">
        <f>D48</f>
        <v>1</v>
      </c>
      <c r="J49" s="3005">
        <f>E48</f>
        <v>1376</v>
      </c>
      <c r="K49" s="3005">
        <f>F48</f>
        <v>625</v>
      </c>
    </row>
    <row r="50" spans="1:11">
      <c r="A50" s="3005" t="s">
        <v>45</v>
      </c>
      <c r="C50" s="3006">
        <f>+C40</f>
        <v>1058138</v>
      </c>
      <c r="D50" s="18">
        <f t="shared" si="7"/>
        <v>3.7002238798089032E-2</v>
      </c>
      <c r="E50" s="3006">
        <f>+E40</f>
        <v>55</v>
      </c>
      <c r="F50" s="3006">
        <f>+F40</f>
        <v>19</v>
      </c>
    </row>
    <row r="51" spans="1:11">
      <c r="A51" s="3011" t="s">
        <v>63</v>
      </c>
      <c r="B51" s="3011"/>
      <c r="C51" s="3010">
        <f>+C50+C49</f>
        <v>13718199</v>
      </c>
      <c r="D51" s="14">
        <f t="shared" si="7"/>
        <v>0.47971443732075225</v>
      </c>
      <c r="E51" s="3010">
        <f>+E50+E49</f>
        <v>617</v>
      </c>
      <c r="F51" s="3010">
        <f>+F50+F49</f>
        <v>321</v>
      </c>
    </row>
    <row r="52" spans="1:11">
      <c r="A52" s="3005" t="s">
        <v>14</v>
      </c>
      <c r="C52" s="3006">
        <f>+C42+C34</f>
        <v>13948883</v>
      </c>
      <c r="D52" s="18">
        <f t="shared" si="7"/>
        <v>0.48778127213331768</v>
      </c>
      <c r="E52" s="3006">
        <f>+E42+E34</f>
        <v>617</v>
      </c>
      <c r="F52" s="3006">
        <f>+F42+F34</f>
        <v>295</v>
      </c>
      <c r="G52" s="18"/>
    </row>
    <row r="53" spans="1:11">
      <c r="A53" s="3005" t="s">
        <v>15</v>
      </c>
      <c r="C53" s="3006">
        <f>+C43</f>
        <v>730546</v>
      </c>
      <c r="D53" s="18">
        <f t="shared" si="7"/>
        <v>2.5546608802432907E-2</v>
      </c>
      <c r="E53" s="3006">
        <f t="shared" ref="E53:F55" si="8">+E43</f>
        <v>109</v>
      </c>
      <c r="F53" s="3006">
        <f t="shared" si="8"/>
        <v>6</v>
      </c>
    </row>
    <row r="54" spans="1:11">
      <c r="A54" s="3005" t="s">
        <v>23</v>
      </c>
      <c r="C54" s="3006">
        <f>+C44</f>
        <v>10920</v>
      </c>
      <c r="D54" s="18">
        <f t="shared" si="7"/>
        <v>3.8186365830839854E-4</v>
      </c>
      <c r="E54" s="3006">
        <f t="shared" si="8"/>
        <v>4</v>
      </c>
      <c r="F54" s="3006">
        <f t="shared" si="8"/>
        <v>0</v>
      </c>
    </row>
    <row r="55" spans="1:11">
      <c r="A55" s="3005" t="s">
        <v>24</v>
      </c>
      <c r="C55" s="3006">
        <f>+C45</f>
        <v>7299</v>
      </c>
      <c r="D55" s="18">
        <f t="shared" si="7"/>
        <v>2.5524018699569606E-4</v>
      </c>
      <c r="E55" s="3006">
        <f t="shared" si="8"/>
        <v>2</v>
      </c>
      <c r="F55" s="3006">
        <f t="shared" si="8"/>
        <v>0</v>
      </c>
    </row>
    <row r="56" spans="1:11">
      <c r="A56" s="3005" t="s">
        <v>28</v>
      </c>
      <c r="C56" s="3006">
        <f>+C48-SUM(C51:C55)</f>
        <v>180747</v>
      </c>
      <c r="D56" s="18">
        <f t="shared" si="7"/>
        <v>6.3205778981930503E-3</v>
      </c>
      <c r="E56" s="3006">
        <f>+E48-SUM(E51:E55)</f>
        <v>27</v>
      </c>
      <c r="F56" s="3006">
        <f>+F48-SUM(F51:F55)</f>
        <v>3</v>
      </c>
    </row>
    <row r="58" spans="1:11">
      <c r="A58" s="3015" t="s">
        <v>21</v>
      </c>
      <c r="B58" s="3014" t="s">
        <v>43</v>
      </c>
      <c r="D58" s="3005"/>
      <c r="E58" s="3005"/>
      <c r="F58" s="3005"/>
      <c r="G58" s="3005"/>
    </row>
  </sheetData>
  <mergeCells count="1">
    <mergeCell ref="A2:B2"/>
  </mergeCells>
  <conditionalFormatting sqref="H5:K5">
    <cfRule type="cellIs" dxfId="62" priority="6" operator="equal">
      <formula>"""FALSE"""</formula>
    </cfRule>
  </conditionalFormatting>
  <conditionalFormatting sqref="H13:K13">
    <cfRule type="cellIs" dxfId="61" priority="5" operator="equal">
      <formula>"""FALSE"""</formula>
    </cfRule>
  </conditionalFormatting>
  <conditionalFormatting sqref="H22:K22">
    <cfRule type="cellIs" dxfId="60" priority="4" operator="equal">
      <formula>"""FALSE"""</formula>
    </cfRule>
  </conditionalFormatting>
  <conditionalFormatting sqref="H31:K31">
    <cfRule type="cellIs" dxfId="59" priority="3" operator="equal">
      <formula>"""FALSE"""</formula>
    </cfRule>
  </conditionalFormatting>
  <conditionalFormatting sqref="H37:K37">
    <cfRule type="cellIs" dxfId="58" priority="2" operator="equal">
      <formula>"""FALSE"""</formula>
    </cfRule>
  </conditionalFormatting>
  <conditionalFormatting sqref="H47:K47">
    <cfRule type="cellIs" dxfId="57" priority="1" operator="equal">
      <formula>"""FALSE"""</formula>
    </cfRule>
  </conditionalFormatting>
  <pageMargins left="0.75" right="0.75" top="1" bottom="1" header="0.5" footer="0.5"/>
  <pageSetup paperSize="9" scale="95" orientation="portrait" horizontalDpi="1200"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4C2A6-9F98-4CAF-AB81-2C03E95253F9}">
  <sheetPr>
    <pageSetUpPr fitToPage="1"/>
  </sheetPr>
  <dimension ref="A1:K58"/>
  <sheetViews>
    <sheetView topLeftCell="A7" zoomScale="130" zoomScaleNormal="130" workbookViewId="0">
      <selection activeCell="O68" sqref="O68"/>
    </sheetView>
  </sheetViews>
  <sheetFormatPr baseColWidth="10" defaultColWidth="8.796875" defaultRowHeight="13"/>
  <cols>
    <col min="1" max="1" width="7.19921875" style="3005" customWidth="1"/>
    <col min="2" max="2" width="18.796875" style="3005" customWidth="1"/>
    <col min="3" max="3" width="13.3984375"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48</v>
      </c>
      <c r="B1" s="3013"/>
      <c r="C1" s="3006"/>
    </row>
    <row r="2" spans="1:11">
      <c r="A2" s="3521">
        <v>37037</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22136130</v>
      </c>
      <c r="D6" s="15">
        <f>+C6/C$6</f>
        <v>1</v>
      </c>
      <c r="E6" s="3012">
        <v>1134</v>
      </c>
      <c r="F6" s="3017">
        <v>511</v>
      </c>
      <c r="G6" s="3012"/>
      <c r="H6" s="2586">
        <f>SUM(C7:C8,C10:C12)</f>
        <v>22136130</v>
      </c>
      <c r="I6" s="2587">
        <f>SUM(D7:D8,D10:D12)</f>
        <v>1.0000000000000002</v>
      </c>
      <c r="J6" s="2586">
        <f>SUM(E7:E8,E10:E12)</f>
        <v>1134</v>
      </c>
      <c r="K6" s="2586">
        <f>SUM(F7:F8,F10:F12)</f>
        <v>511</v>
      </c>
    </row>
    <row r="7" spans="1:11">
      <c r="A7" s="3005" t="s">
        <v>13</v>
      </c>
      <c r="C7" s="3006">
        <f>10586790</f>
        <v>10586790</v>
      </c>
      <c r="D7" s="18">
        <f>+C7/C$6</f>
        <v>0.47825839476005971</v>
      </c>
      <c r="E7" s="3007">
        <v>480</v>
      </c>
      <c r="F7" s="3007">
        <v>279</v>
      </c>
      <c r="H7" s="3005">
        <f>C6</f>
        <v>22136130</v>
      </c>
      <c r="I7" s="2590">
        <f>D6</f>
        <v>1</v>
      </c>
      <c r="J7" s="3005">
        <f>E6</f>
        <v>1134</v>
      </c>
      <c r="K7" s="3005">
        <f>F6</f>
        <v>511</v>
      </c>
    </row>
    <row r="8" spans="1:11">
      <c r="A8" s="3005" t="s">
        <v>45</v>
      </c>
      <c r="C8" s="3006">
        <v>578646</v>
      </c>
      <c r="D8" s="18">
        <f>+C8/C$6</f>
        <v>2.6140341604426791E-2</v>
      </c>
      <c r="E8" s="3007">
        <v>29</v>
      </c>
      <c r="F8" s="3007">
        <v>14</v>
      </c>
    </row>
    <row r="9" spans="1:11" s="3011" customFormat="1">
      <c r="A9" s="3011" t="s">
        <v>63</v>
      </c>
      <c r="C9" s="3010">
        <f>SUM(C7:C8)</f>
        <v>11165436</v>
      </c>
      <c r="D9" s="14">
        <v>0.504</v>
      </c>
      <c r="E9" s="3010">
        <f>SUM(E7:E8)</f>
        <v>509</v>
      </c>
      <c r="F9" s="3010">
        <f>SUM(F7:F8)</f>
        <v>293</v>
      </c>
      <c r="G9" s="3010"/>
      <c r="H9" s="3005"/>
      <c r="I9" s="2590"/>
      <c r="J9" s="3005"/>
      <c r="K9" s="3005"/>
    </row>
    <row r="10" spans="1:11">
      <c r="A10" s="3005" t="s">
        <v>14</v>
      </c>
      <c r="C10" s="3006">
        <v>10355892</v>
      </c>
      <c r="D10" s="18">
        <f>+C10/C$6</f>
        <v>0.46782757419657367</v>
      </c>
      <c r="E10" s="3007">
        <v>510</v>
      </c>
      <c r="F10" s="3007">
        <v>216</v>
      </c>
      <c r="H10" s="3011"/>
      <c r="I10" s="2591"/>
      <c r="J10" s="3011"/>
      <c r="K10" s="3011"/>
    </row>
    <row r="11" spans="1:11">
      <c r="A11" s="3005" t="s">
        <v>15</v>
      </c>
      <c r="C11" s="3006">
        <v>571034</v>
      </c>
      <c r="D11" s="18">
        <f>+C11/C$6</f>
        <v>2.5796469391894609E-2</v>
      </c>
      <c r="E11" s="3007">
        <v>95</v>
      </c>
      <c r="F11" s="3007">
        <v>2</v>
      </c>
    </row>
    <row r="12" spans="1:11">
      <c r="A12" s="3005" t="s">
        <v>28</v>
      </c>
      <c r="C12" s="3006">
        <f>C6-(C9+C10+C11)</f>
        <v>43768</v>
      </c>
      <c r="D12" s="18">
        <f>+C12/C$6</f>
        <v>1.9772200470452605E-3</v>
      </c>
      <c r="E12" s="3007">
        <f>E6-(E9+E10+E11)</f>
        <v>20</v>
      </c>
      <c r="F12" s="3007">
        <f>F6-(F9+F10+F11)</f>
        <v>0</v>
      </c>
    </row>
    <row r="13" spans="1:11">
      <c r="C13" s="3006"/>
      <c r="F13" s="3007"/>
    </row>
    <row r="14" spans="1:11">
      <c r="A14" s="3013" t="s">
        <v>18</v>
      </c>
      <c r="B14" s="3013"/>
      <c r="C14" s="3012">
        <v>1433724</v>
      </c>
      <c r="D14" s="15">
        <f t="shared" ref="D14:D21" si="0">+C14/C$14</f>
        <v>1</v>
      </c>
      <c r="E14" s="3017">
        <v>91</v>
      </c>
      <c r="F14" s="3017">
        <v>36</v>
      </c>
      <c r="H14" s="3005" t="b">
        <f>H15=H16</f>
        <v>1</v>
      </c>
      <c r="I14" s="2590" t="b">
        <f>I15=I16</f>
        <v>1</v>
      </c>
      <c r="J14" s="3005" t="b">
        <f>J15=J16</f>
        <v>1</v>
      </c>
      <c r="K14" s="3005" t="b">
        <f>K15=K16</f>
        <v>1</v>
      </c>
    </row>
    <row r="15" spans="1:11">
      <c r="A15" s="3005" t="s">
        <v>13</v>
      </c>
      <c r="C15" s="3006">
        <v>383132</v>
      </c>
      <c r="D15" s="18">
        <f t="shared" si="0"/>
        <v>0.26722856002968493</v>
      </c>
      <c r="E15" s="3007">
        <v>28</v>
      </c>
      <c r="F15" s="3007">
        <v>5</v>
      </c>
      <c r="H15" s="2586">
        <f>SUM(C15:C16,C18:C21)</f>
        <v>1433724</v>
      </c>
      <c r="I15" s="2587">
        <f>SUM(D15:D16,D18:D21)</f>
        <v>1</v>
      </c>
      <c r="J15" s="2586">
        <f>SUM(E15:E16,E18:E21)</f>
        <v>91</v>
      </c>
      <c r="K15" s="2586">
        <f>SUM(F15:F16,F18:F21)</f>
        <v>36</v>
      </c>
    </row>
    <row r="16" spans="1:11">
      <c r="A16" s="3005" t="s">
        <v>45</v>
      </c>
      <c r="C16" s="3006">
        <v>45734</v>
      </c>
      <c r="D16" s="18">
        <f t="shared" si="0"/>
        <v>3.1898747597166537E-2</v>
      </c>
      <c r="E16" s="3007">
        <v>4</v>
      </c>
      <c r="F16" s="3007">
        <v>1</v>
      </c>
      <c r="H16" s="3005">
        <f>C14</f>
        <v>1433724</v>
      </c>
      <c r="I16" s="2590">
        <f>D14</f>
        <v>1</v>
      </c>
      <c r="J16" s="3005">
        <f>E14</f>
        <v>91</v>
      </c>
      <c r="K16" s="3005">
        <f>F14</f>
        <v>36</v>
      </c>
    </row>
    <row r="17" spans="1:11">
      <c r="A17" s="3011" t="s">
        <v>63</v>
      </c>
      <c r="B17" s="3011"/>
      <c r="C17" s="3010">
        <f>+C16+C15</f>
        <v>428866</v>
      </c>
      <c r="D17" s="14">
        <f t="shared" si="0"/>
        <v>0.29912730762685147</v>
      </c>
      <c r="E17" s="3010">
        <f>+E16+E15</f>
        <v>32</v>
      </c>
      <c r="F17" s="3010">
        <f>+F16+F15</f>
        <v>6</v>
      </c>
    </row>
    <row r="18" spans="1:11">
      <c r="A18" s="3005" t="s">
        <v>14</v>
      </c>
      <c r="C18" s="3006">
        <v>825690</v>
      </c>
      <c r="D18" s="18">
        <f t="shared" si="0"/>
        <v>0.57590582287804348</v>
      </c>
      <c r="E18" s="3007">
        <v>36</v>
      </c>
      <c r="F18" s="3007">
        <v>27</v>
      </c>
    </row>
    <row r="19" spans="1:11">
      <c r="A19" s="3005" t="s">
        <v>15</v>
      </c>
      <c r="C19" s="3006">
        <v>104095</v>
      </c>
      <c r="D19" s="18">
        <f t="shared" si="0"/>
        <v>7.2604629621879802E-2</v>
      </c>
      <c r="E19" s="3007">
        <v>10</v>
      </c>
      <c r="F19" s="3007">
        <v>3</v>
      </c>
    </row>
    <row r="20" spans="1:11">
      <c r="A20" s="3005" t="s">
        <v>23</v>
      </c>
      <c r="C20" s="3006">
        <v>45119</v>
      </c>
      <c r="D20" s="18">
        <f t="shared" si="0"/>
        <v>3.1469794744316201E-2</v>
      </c>
      <c r="E20" s="3006">
        <v>11</v>
      </c>
      <c r="F20" s="3007">
        <v>0</v>
      </c>
    </row>
    <row r="21" spans="1:11">
      <c r="A21" s="3005" t="s">
        <v>28</v>
      </c>
      <c r="C21" s="3006">
        <f>+C14-SUM(C17:C20)</f>
        <v>29954</v>
      </c>
      <c r="D21" s="18">
        <f t="shared" si="0"/>
        <v>2.0892445128909049E-2</v>
      </c>
      <c r="E21" s="3006">
        <f>+E14-SUM(E17:E20)</f>
        <v>2</v>
      </c>
      <c r="F21" s="3006">
        <f>+F14-SUM(F17:F20)</f>
        <v>0</v>
      </c>
    </row>
    <row r="22" spans="1:11">
      <c r="C22" s="3006"/>
      <c r="F22" s="3007"/>
      <c r="H22" s="3005" t="b">
        <f>H23=H24</f>
        <v>1</v>
      </c>
      <c r="I22" s="2590" t="b">
        <f>I23=I24</f>
        <v>1</v>
      </c>
      <c r="J22" s="3005" t="b">
        <f>J23=J24</f>
        <v>1</v>
      </c>
      <c r="K22" s="3005" t="b">
        <f>K23=K24</f>
        <v>1</v>
      </c>
    </row>
    <row r="23" spans="1:11">
      <c r="A23" s="3013" t="s">
        <v>19</v>
      </c>
      <c r="B23" s="3013"/>
      <c r="C23" s="3012">
        <v>2543254</v>
      </c>
      <c r="D23" s="15">
        <f t="shared" ref="D23:D30" si="1">+C23/C$23</f>
        <v>1</v>
      </c>
      <c r="E23" s="3017">
        <v>156</v>
      </c>
      <c r="F23" s="3017">
        <v>71</v>
      </c>
      <c r="H23" s="2586">
        <f>SUM(C24:C25,C27:C30)</f>
        <v>2543254</v>
      </c>
      <c r="I23" s="2587">
        <f>SUM(D24:D25,D27:D30)</f>
        <v>1</v>
      </c>
      <c r="J23" s="2586">
        <f>SUM(E24:E25,E27:E30)</f>
        <v>156</v>
      </c>
      <c r="K23" s="2586">
        <f>SUM(F24:F25,F27:F30)</f>
        <v>71</v>
      </c>
    </row>
    <row r="24" spans="1:11">
      <c r="A24" s="3005" t="s">
        <v>13</v>
      </c>
      <c r="C24" s="3006">
        <v>1056209</v>
      </c>
      <c r="D24" s="18">
        <f t="shared" si="1"/>
        <v>0.4152982753590479</v>
      </c>
      <c r="E24" s="3007">
        <v>59</v>
      </c>
      <c r="F24" s="3007">
        <v>30</v>
      </c>
      <c r="H24" s="3005">
        <f>C23</f>
        <v>2543254</v>
      </c>
      <c r="I24" s="2590">
        <f>D23</f>
        <v>1</v>
      </c>
      <c r="J24" s="3005">
        <f>E23</f>
        <v>156</v>
      </c>
      <c r="K24" s="3005">
        <f>F23</f>
        <v>71</v>
      </c>
    </row>
    <row r="25" spans="1:11">
      <c r="A25" s="3005" t="s">
        <v>45</v>
      </c>
      <c r="C25" s="3006">
        <v>217733</v>
      </c>
      <c r="D25" s="18">
        <f t="shared" si="1"/>
        <v>8.5611975838826945E-2</v>
      </c>
      <c r="E25" s="3007">
        <v>12</v>
      </c>
      <c r="F25" s="3007">
        <v>6</v>
      </c>
    </row>
    <row r="26" spans="1:11" s="3011" customFormat="1">
      <c r="A26" s="3011" t="s">
        <v>63</v>
      </c>
      <c r="C26" s="3010">
        <f>+C25+C24</f>
        <v>1273942</v>
      </c>
      <c r="D26" s="14">
        <f t="shared" si="1"/>
        <v>0.5009102511978748</v>
      </c>
      <c r="E26" s="3010">
        <f>+E25+E24</f>
        <v>71</v>
      </c>
      <c r="F26" s="3010">
        <f>+F25+F24</f>
        <v>36</v>
      </c>
      <c r="G26" s="3010"/>
      <c r="I26" s="2591"/>
    </row>
    <row r="27" spans="1:11">
      <c r="A27" s="3005" t="s">
        <v>14</v>
      </c>
      <c r="C27" s="3006">
        <v>1188058</v>
      </c>
      <c r="D27" s="18">
        <f t="shared" si="1"/>
        <v>0.46714091474937225</v>
      </c>
      <c r="E27" s="3007">
        <v>71</v>
      </c>
      <c r="F27" s="3006">
        <v>34</v>
      </c>
    </row>
    <row r="28" spans="1:11">
      <c r="A28" s="3005" t="s">
        <v>15</v>
      </c>
      <c r="C28" s="3009">
        <v>47273</v>
      </c>
      <c r="D28" s="18">
        <f t="shared" si="1"/>
        <v>1.8587604698547609E-2</v>
      </c>
      <c r="E28" s="3007">
        <v>5</v>
      </c>
      <c r="F28" s="3006">
        <v>1</v>
      </c>
    </row>
    <row r="29" spans="1:11">
      <c r="A29" s="3005" t="s">
        <v>24</v>
      </c>
      <c r="C29" s="3006">
        <v>12112</v>
      </c>
      <c r="D29" s="18">
        <f t="shared" si="1"/>
        <v>4.7624028115162698E-3</v>
      </c>
      <c r="E29" s="3007">
        <v>2</v>
      </c>
      <c r="F29" s="3007">
        <v>0</v>
      </c>
    </row>
    <row r="30" spans="1:11">
      <c r="A30" s="3005" t="s">
        <v>28</v>
      </c>
      <c r="C30" s="3006">
        <f>+C23-SUM(C26:C29)</f>
        <v>21869</v>
      </c>
      <c r="D30" s="18">
        <f t="shared" si="1"/>
        <v>8.5988265426890122E-3</v>
      </c>
      <c r="E30" s="3006">
        <f>+E23-SUM(E26:E29)</f>
        <v>7</v>
      </c>
      <c r="F30" s="3006">
        <f>+F23-SUM(F26:F29)</f>
        <v>0</v>
      </c>
    </row>
    <row r="31" spans="1:11">
      <c r="C31" s="3006"/>
      <c r="F31" s="3007"/>
      <c r="H31" s="3005" t="b">
        <f>H32=H33</f>
        <v>1</v>
      </c>
      <c r="I31" s="2590" t="b">
        <f>I32=I33</f>
        <v>1</v>
      </c>
      <c r="J31" s="3005" t="b">
        <f>J32=J33</f>
        <v>1</v>
      </c>
      <c r="K31" s="3005" t="b">
        <f>K32=K33</f>
        <v>1</v>
      </c>
    </row>
    <row r="32" spans="1:11">
      <c r="A32" s="3013" t="s">
        <v>20</v>
      </c>
      <c r="B32" s="3013"/>
      <c r="C32" s="3012">
        <v>646621</v>
      </c>
      <c r="D32" s="15">
        <f>+C32/C$32</f>
        <v>1</v>
      </c>
      <c r="E32" s="3017">
        <v>28</v>
      </c>
      <c r="F32" s="3017">
        <v>12</v>
      </c>
      <c r="H32" s="2586">
        <f>SUM(C33:C36)</f>
        <v>646621</v>
      </c>
      <c r="I32" s="2587">
        <f>SUM(D33:D36)</f>
        <v>0.99999999999999989</v>
      </c>
      <c r="J32" s="2586">
        <f>SUM(E33:E36)</f>
        <v>28</v>
      </c>
      <c r="K32" s="2586">
        <f>SUM(F33:F36)</f>
        <v>12</v>
      </c>
    </row>
    <row r="33" spans="1:11">
      <c r="A33" s="3005" t="s">
        <v>13</v>
      </c>
      <c r="C33" s="3006">
        <v>442647</v>
      </c>
      <c r="D33" s="18">
        <f>+C33/C$32</f>
        <v>0.6845540123194267</v>
      </c>
      <c r="E33" s="3007">
        <v>12</v>
      </c>
      <c r="F33" s="3007">
        <v>10</v>
      </c>
      <c r="H33" s="3005">
        <f>C32</f>
        <v>646621</v>
      </c>
      <c r="I33" s="2590">
        <f>D32</f>
        <v>1</v>
      </c>
      <c r="J33" s="3005">
        <f>E32</f>
        <v>28</v>
      </c>
      <c r="K33" s="3005">
        <f>F32</f>
        <v>12</v>
      </c>
    </row>
    <row r="34" spans="1:11">
      <c r="A34" s="3005" t="s">
        <v>14</v>
      </c>
      <c r="C34" s="3006">
        <v>35614</v>
      </c>
      <c r="D34" s="18">
        <f>+C34/C$32</f>
        <v>5.5077085340562708E-2</v>
      </c>
      <c r="E34" s="3007">
        <v>3</v>
      </c>
      <c r="F34" s="3007">
        <v>0</v>
      </c>
    </row>
    <row r="35" spans="1:11">
      <c r="A35" s="3005" t="s">
        <v>30</v>
      </c>
      <c r="C35" s="3006">
        <v>16050</v>
      </c>
      <c r="D35" s="18">
        <f>+C35/C$32</f>
        <v>2.4821340476105788E-2</v>
      </c>
      <c r="E35" s="3007">
        <v>1</v>
      </c>
      <c r="F35" s="3007">
        <v>0</v>
      </c>
    </row>
    <row r="36" spans="1:11">
      <c r="A36" s="3005" t="s">
        <v>27</v>
      </c>
      <c r="C36" s="3009">
        <v>152310</v>
      </c>
      <c r="D36" s="18">
        <f>+C36/C$32</f>
        <v>0.23554756186390483</v>
      </c>
      <c r="E36" s="3007">
        <v>12</v>
      </c>
      <c r="F36" s="3006">
        <v>2</v>
      </c>
    </row>
    <row r="37" spans="1:11">
      <c r="D37" s="18"/>
      <c r="H37" s="3005" t="b">
        <f>H38=H39</f>
        <v>1</v>
      </c>
      <c r="I37" s="2590" t="b">
        <f>I38=I39</f>
        <v>1</v>
      </c>
      <c r="J37" s="3005" t="b">
        <f>J38=J39</f>
        <v>1</v>
      </c>
      <c r="K37" s="3005" t="b">
        <f>K38=K39</f>
        <v>1</v>
      </c>
    </row>
    <row r="38" spans="1:11">
      <c r="A38" s="3013" t="s">
        <v>35</v>
      </c>
      <c r="B38" s="3013"/>
      <c r="C38" s="3012">
        <f>+C23+C14+C6</f>
        <v>26113108</v>
      </c>
      <c r="D38" s="15">
        <f t="shared" ref="D38:D46" si="2">+C38/C$38</f>
        <v>1</v>
      </c>
      <c r="E38" s="3012">
        <f>+E23+E14+E6</f>
        <v>1381</v>
      </c>
      <c r="F38" s="3012">
        <f>+F23+F14+F6</f>
        <v>618</v>
      </c>
      <c r="H38" s="2586">
        <f>SUM(C39:C40,C42:C46)</f>
        <v>26113108</v>
      </c>
      <c r="I38" s="2587">
        <f>SUM(D39:D40,D42:D46)</f>
        <v>1</v>
      </c>
      <c r="J38" s="2586">
        <f>SUM(E39:E40,E42:E46)</f>
        <v>1381</v>
      </c>
      <c r="K38" s="2586">
        <f>SUM(F39:F40,F42:F46)</f>
        <v>618</v>
      </c>
    </row>
    <row r="39" spans="1:11">
      <c r="A39" s="3005" t="s">
        <v>13</v>
      </c>
      <c r="C39" s="3006">
        <f t="shared" ref="C39:C46" si="3">SUMIF(A$7:A$30,A39,C$7:C$30)</f>
        <v>12026131</v>
      </c>
      <c r="D39" s="18">
        <f t="shared" si="2"/>
        <v>0.46054000925512201</v>
      </c>
      <c r="E39" s="3006">
        <f t="shared" ref="E39:E46" si="4">SUMIF(A$7:A$30,A39,E$7:E$30)</f>
        <v>567</v>
      </c>
      <c r="F39" s="3006">
        <f t="shared" ref="F39:F46" si="5">SUMIF(A$7:A$30,A39,F$7:F$30)</f>
        <v>314</v>
      </c>
      <c r="H39" s="3005">
        <f>C38</f>
        <v>26113108</v>
      </c>
      <c r="I39" s="2590">
        <f>D38</f>
        <v>1</v>
      </c>
      <c r="J39" s="3005">
        <f>E38</f>
        <v>1381</v>
      </c>
      <c r="K39" s="3005">
        <f>F38</f>
        <v>618</v>
      </c>
    </row>
    <row r="40" spans="1:11">
      <c r="A40" s="3005" t="s">
        <v>45</v>
      </c>
      <c r="C40" s="3006">
        <f t="shared" si="3"/>
        <v>842113</v>
      </c>
      <c r="D40" s="18">
        <f t="shared" si="2"/>
        <v>3.2248669901721386E-2</v>
      </c>
      <c r="E40" s="3006">
        <f t="shared" si="4"/>
        <v>45</v>
      </c>
      <c r="F40" s="3006">
        <f t="shared" si="5"/>
        <v>21</v>
      </c>
    </row>
    <row r="41" spans="1:11" s="3011" customFormat="1">
      <c r="A41" s="3011" t="s">
        <v>63</v>
      </c>
      <c r="C41" s="3010">
        <f t="shared" si="3"/>
        <v>12868244</v>
      </c>
      <c r="D41" s="14">
        <f t="shared" si="2"/>
        <v>0.49278867915684338</v>
      </c>
      <c r="E41" s="3010">
        <f t="shared" si="4"/>
        <v>612</v>
      </c>
      <c r="F41" s="3010">
        <f t="shared" si="5"/>
        <v>335</v>
      </c>
      <c r="G41" s="3010"/>
      <c r="H41" s="3005"/>
      <c r="I41" s="2590"/>
      <c r="J41" s="3005"/>
      <c r="K41" s="3005"/>
    </row>
    <row r="42" spans="1:11">
      <c r="A42" s="3005" t="s">
        <v>14</v>
      </c>
      <c r="C42" s="3006">
        <f t="shared" si="3"/>
        <v>12369640</v>
      </c>
      <c r="D42" s="18">
        <f t="shared" si="2"/>
        <v>0.47369466706146202</v>
      </c>
      <c r="E42" s="3006">
        <f t="shared" si="4"/>
        <v>617</v>
      </c>
      <c r="F42" s="3006">
        <f t="shared" si="5"/>
        <v>277</v>
      </c>
      <c r="H42" s="3011"/>
      <c r="I42" s="2591"/>
      <c r="J42" s="3011"/>
      <c r="K42" s="3011"/>
    </row>
    <row r="43" spans="1:11">
      <c r="A43" s="3005" t="s">
        <v>15</v>
      </c>
      <c r="C43" s="3006">
        <f t="shared" si="3"/>
        <v>722402</v>
      </c>
      <c r="D43" s="18">
        <f t="shared" si="2"/>
        <v>2.766434389962313E-2</v>
      </c>
      <c r="E43" s="3006">
        <f t="shared" si="4"/>
        <v>110</v>
      </c>
      <c r="F43" s="3006">
        <f t="shared" si="5"/>
        <v>6</v>
      </c>
    </row>
    <row r="44" spans="1:11">
      <c r="A44" s="3005" t="s">
        <v>23</v>
      </c>
      <c r="C44" s="3006">
        <f t="shared" si="3"/>
        <v>45119</v>
      </c>
      <c r="D44" s="18">
        <f t="shared" si="2"/>
        <v>1.727829563604608E-3</v>
      </c>
      <c r="E44" s="3006">
        <f t="shared" si="4"/>
        <v>11</v>
      </c>
      <c r="F44" s="3006">
        <f t="shared" si="5"/>
        <v>0</v>
      </c>
    </row>
    <row r="45" spans="1:11">
      <c r="A45" s="3005" t="s">
        <v>24</v>
      </c>
      <c r="C45" s="3006">
        <f t="shared" si="3"/>
        <v>12112</v>
      </c>
      <c r="D45" s="18">
        <f t="shared" si="2"/>
        <v>4.6382835777342168E-4</v>
      </c>
      <c r="E45" s="3006">
        <f t="shared" si="4"/>
        <v>2</v>
      </c>
      <c r="F45" s="3006">
        <f t="shared" si="5"/>
        <v>0</v>
      </c>
    </row>
    <row r="46" spans="1:11">
      <c r="A46" s="3005" t="s">
        <v>28</v>
      </c>
      <c r="C46" s="3006">
        <f t="shared" si="3"/>
        <v>95591</v>
      </c>
      <c r="D46" s="18">
        <f t="shared" si="2"/>
        <v>3.6606519606934571E-3</v>
      </c>
      <c r="E46" s="3006">
        <f t="shared" si="4"/>
        <v>29</v>
      </c>
      <c r="F46" s="3006">
        <f t="shared" si="5"/>
        <v>0</v>
      </c>
    </row>
    <row r="47" spans="1:11">
      <c r="A47" s="3013"/>
      <c r="B47" s="3013"/>
      <c r="H47" s="3005" t="b">
        <f>H48=H49</f>
        <v>1</v>
      </c>
      <c r="I47" s="2590" t="b">
        <f>I48=I49</f>
        <v>1</v>
      </c>
      <c r="J47" s="3005" t="b">
        <f>J48=J49</f>
        <v>1</v>
      </c>
      <c r="K47" s="3005" t="b">
        <f>K48=K49</f>
        <v>1</v>
      </c>
    </row>
    <row r="48" spans="1:11">
      <c r="A48" s="3013" t="s">
        <v>46</v>
      </c>
      <c r="B48" s="3013"/>
      <c r="C48" s="3012">
        <f>+C38+C32</f>
        <v>26759729</v>
      </c>
      <c r="D48" s="15">
        <f t="shared" ref="D48:D56" si="6">+C48/C$48</f>
        <v>1</v>
      </c>
      <c r="E48" s="3012">
        <f>+E38+E32</f>
        <v>1409</v>
      </c>
      <c r="F48" s="3012">
        <f>+F38+F32</f>
        <v>630</v>
      </c>
      <c r="H48" s="2586">
        <f>SUM(C49:C50,C52:C56)</f>
        <v>26759729</v>
      </c>
      <c r="I48" s="2587">
        <f>SUM(D49:D50,D52:D56)</f>
        <v>1</v>
      </c>
      <c r="J48" s="2586">
        <f>SUM(E49:E50,E52:E56)</f>
        <v>1409</v>
      </c>
      <c r="K48" s="2586">
        <f>SUM(F49:F50,F52:F56)</f>
        <v>630</v>
      </c>
    </row>
    <row r="49" spans="1:11">
      <c r="A49" s="3005" t="s">
        <v>13</v>
      </c>
      <c r="C49" s="3006">
        <f>+C39+C33</f>
        <v>12468778</v>
      </c>
      <c r="D49" s="18">
        <f t="shared" si="6"/>
        <v>0.46595307448741352</v>
      </c>
      <c r="E49" s="3006">
        <f>+E39+E33</f>
        <v>579</v>
      </c>
      <c r="F49" s="3006">
        <f>+F39+F33</f>
        <v>324</v>
      </c>
      <c r="H49" s="3005">
        <f>C48</f>
        <v>26759729</v>
      </c>
      <c r="I49" s="2590">
        <f>D48</f>
        <v>1</v>
      </c>
      <c r="J49" s="3005">
        <f>E48</f>
        <v>1409</v>
      </c>
      <c r="K49" s="3005">
        <f>F48</f>
        <v>630</v>
      </c>
    </row>
    <row r="50" spans="1:11">
      <c r="A50" s="3005" t="s">
        <v>45</v>
      </c>
      <c r="C50" s="3006">
        <f>+C40</f>
        <v>842113</v>
      </c>
      <c r="D50" s="18">
        <f t="shared" si="6"/>
        <v>3.146941435767156E-2</v>
      </c>
      <c r="E50" s="3006">
        <f>+E40</f>
        <v>45</v>
      </c>
      <c r="F50" s="3006">
        <f>+F40</f>
        <v>21</v>
      </c>
    </row>
    <row r="51" spans="1:11">
      <c r="A51" s="3011" t="s">
        <v>63</v>
      </c>
      <c r="B51" s="3011"/>
      <c r="C51" s="3010">
        <f>+C50+C49</f>
        <v>13310891</v>
      </c>
      <c r="D51" s="14">
        <f t="shared" si="6"/>
        <v>0.49742248884508511</v>
      </c>
      <c r="E51" s="3010">
        <f>+E50+E49</f>
        <v>624</v>
      </c>
      <c r="F51" s="3010">
        <f>+F50+F49</f>
        <v>345</v>
      </c>
    </row>
    <row r="52" spans="1:11">
      <c r="A52" s="3005" t="s">
        <v>14</v>
      </c>
      <c r="C52" s="3006">
        <f>+C42+C34</f>
        <v>12405254</v>
      </c>
      <c r="D52" s="18">
        <f t="shared" si="6"/>
        <v>0.4635792088925863</v>
      </c>
      <c r="E52" s="3006">
        <f>+E42+E34</f>
        <v>620</v>
      </c>
      <c r="F52" s="3006">
        <f>+F42+F34</f>
        <v>277</v>
      </c>
      <c r="G52" s="18"/>
    </row>
    <row r="53" spans="1:11">
      <c r="A53" s="3005" t="s">
        <v>15</v>
      </c>
      <c r="C53" s="3006">
        <f>+C43</f>
        <v>722402</v>
      </c>
      <c r="D53" s="18">
        <f t="shared" si="6"/>
        <v>2.6995863822088781E-2</v>
      </c>
      <c r="E53" s="3006">
        <f t="shared" ref="E53:F55" si="7">+E43</f>
        <v>110</v>
      </c>
      <c r="F53" s="3006">
        <f t="shared" si="7"/>
        <v>6</v>
      </c>
    </row>
    <row r="54" spans="1:11">
      <c r="A54" s="3005" t="s">
        <v>23</v>
      </c>
      <c r="C54" s="3006">
        <f>+C44</f>
        <v>45119</v>
      </c>
      <c r="D54" s="18">
        <f t="shared" si="6"/>
        <v>1.6860783605095553E-3</v>
      </c>
      <c r="E54" s="3006">
        <f t="shared" si="7"/>
        <v>11</v>
      </c>
      <c r="F54" s="3006">
        <f t="shared" si="7"/>
        <v>0</v>
      </c>
    </row>
    <row r="55" spans="1:11">
      <c r="A55" s="3005" t="s">
        <v>24</v>
      </c>
      <c r="C55" s="3006">
        <f>+C45</f>
        <v>12112</v>
      </c>
      <c r="D55" s="18">
        <f t="shared" si="6"/>
        <v>4.5262042825620544E-4</v>
      </c>
      <c r="E55" s="3006">
        <f t="shared" si="7"/>
        <v>2</v>
      </c>
      <c r="F55" s="3006">
        <f t="shared" si="7"/>
        <v>0</v>
      </c>
    </row>
    <row r="56" spans="1:11">
      <c r="A56" s="3005" t="s">
        <v>28</v>
      </c>
      <c r="C56" s="3006">
        <f>+C48-SUM(C51:C55)</f>
        <v>263951</v>
      </c>
      <c r="D56" s="18">
        <f t="shared" si="6"/>
        <v>9.8637396514740482E-3</v>
      </c>
      <c r="E56" s="3006">
        <f>+E48-SUM(E51:E55)</f>
        <v>42</v>
      </c>
      <c r="F56" s="3006">
        <f>+F48-SUM(F51:F55)</f>
        <v>2</v>
      </c>
    </row>
    <row r="58" spans="1:11">
      <c r="A58" s="3015" t="s">
        <v>21</v>
      </c>
      <c r="B58" s="3014" t="s">
        <v>43</v>
      </c>
      <c r="D58" s="3005"/>
      <c r="E58" s="3005"/>
      <c r="F58" s="3005"/>
      <c r="G58" s="3005"/>
    </row>
  </sheetData>
  <mergeCells count="1">
    <mergeCell ref="A2:B2"/>
  </mergeCells>
  <conditionalFormatting sqref="H5:K5">
    <cfRule type="cellIs" dxfId="56" priority="6" operator="equal">
      <formula>"""FALSE"""</formula>
    </cfRule>
  </conditionalFormatting>
  <conditionalFormatting sqref="H14:K14">
    <cfRule type="cellIs" dxfId="55" priority="5" operator="equal">
      <formula>"""FALSE"""</formula>
    </cfRule>
  </conditionalFormatting>
  <conditionalFormatting sqref="H22:K22">
    <cfRule type="cellIs" dxfId="54" priority="4" operator="equal">
      <formula>"""FALSE"""</formula>
    </cfRule>
  </conditionalFormatting>
  <conditionalFormatting sqref="H31:K31">
    <cfRule type="cellIs" dxfId="53" priority="3" operator="equal">
      <formula>"""FALSE"""</formula>
    </cfRule>
  </conditionalFormatting>
  <conditionalFormatting sqref="H37:K37">
    <cfRule type="cellIs" dxfId="52" priority="2" operator="equal">
      <formula>"""FALSE"""</formula>
    </cfRule>
  </conditionalFormatting>
  <conditionalFormatting sqref="H47:K47">
    <cfRule type="cellIs" dxfId="51" priority="1" operator="equal">
      <formula>"""FALSE"""</formula>
    </cfRule>
  </conditionalFormatting>
  <pageMargins left="0.75" right="0.75" top="1" bottom="1" header="0.5" footer="0.5"/>
  <pageSetup paperSize="9" scale="95" orientation="portrait" horizontalDpi="1200"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58D49-E503-4D7F-B9CA-0FB250CC195A}">
  <sheetPr>
    <pageSetUpPr fitToPage="1"/>
  </sheetPr>
  <dimension ref="A1:K59"/>
  <sheetViews>
    <sheetView topLeftCell="A19" zoomScale="145" zoomScaleNormal="145" workbookViewId="0">
      <selection activeCell="O68" sqref="O68"/>
    </sheetView>
  </sheetViews>
  <sheetFormatPr baseColWidth="10" defaultColWidth="8.796875" defaultRowHeight="13"/>
  <cols>
    <col min="1" max="1" width="7.19921875" style="3005" customWidth="1"/>
    <col min="2" max="2" width="18.796875" style="3005" customWidth="1"/>
    <col min="3" max="3" width="12.59765625"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49</v>
      </c>
      <c r="B1" s="3013"/>
      <c r="C1" s="3006"/>
    </row>
    <row r="2" spans="1:11">
      <c r="A2" s="3521">
        <v>37189</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23127769</v>
      </c>
      <c r="D6" s="15">
        <f t="shared" ref="D6:D12" si="0">+C6/C$6</f>
        <v>1</v>
      </c>
      <c r="E6" s="3012">
        <v>1234</v>
      </c>
      <c r="F6" s="3017">
        <v>511</v>
      </c>
      <c r="G6" s="3012"/>
      <c r="H6" s="2586">
        <f>SUM(C7:C8,C10:C12)</f>
        <v>23127769</v>
      </c>
      <c r="I6" s="2587">
        <f>SUM(D7:D8,D10:D12)</f>
        <v>1</v>
      </c>
      <c r="J6" s="2586">
        <f>SUM(E7:E8,E10:E12)</f>
        <v>1234</v>
      </c>
      <c r="K6" s="2586">
        <f>SUM(F7:F8,F10:F12)</f>
        <v>511</v>
      </c>
    </row>
    <row r="7" spans="1:11">
      <c r="A7" s="3005" t="s">
        <v>13</v>
      </c>
      <c r="C7" s="3006">
        <v>11037998</v>
      </c>
      <c r="D7" s="18">
        <f t="shared" si="0"/>
        <v>0.47726168486030796</v>
      </c>
      <c r="E7" s="3007">
        <v>484</v>
      </c>
      <c r="F7" s="3007">
        <v>302</v>
      </c>
      <c r="H7" s="3005">
        <f>C6</f>
        <v>23127769</v>
      </c>
      <c r="I7" s="2590">
        <f>D6</f>
        <v>1</v>
      </c>
      <c r="J7" s="3005">
        <f>E6</f>
        <v>1234</v>
      </c>
      <c r="K7" s="3005">
        <f>F6</f>
        <v>511</v>
      </c>
    </row>
    <row r="8" spans="1:11">
      <c r="A8" s="3005" t="s">
        <v>45</v>
      </c>
      <c r="C8" s="3006">
        <v>521242</v>
      </c>
      <c r="D8" s="18">
        <f t="shared" si="0"/>
        <v>2.2537495942647992E-2</v>
      </c>
      <c r="E8" s="3007">
        <v>25</v>
      </c>
      <c r="F8" s="3007">
        <v>13</v>
      </c>
    </row>
    <row r="9" spans="1:11" s="3011" customFormat="1">
      <c r="A9" s="3011" t="s">
        <v>63</v>
      </c>
      <c r="C9" s="3010">
        <f>SUM(C7:C8)</f>
        <v>11559240</v>
      </c>
      <c r="D9" s="14">
        <f t="shared" si="0"/>
        <v>0.49979918080295599</v>
      </c>
      <c r="E9" s="3010">
        <f>SUM(E7:E8)</f>
        <v>509</v>
      </c>
      <c r="F9" s="3010">
        <f>SUM(F7:F8)</f>
        <v>315</v>
      </c>
      <c r="G9" s="3010"/>
      <c r="H9" s="3005"/>
      <c r="I9" s="2590"/>
      <c r="J9" s="3005"/>
      <c r="K9" s="3005"/>
    </row>
    <row r="10" spans="1:11">
      <c r="A10" s="3005" t="s">
        <v>14</v>
      </c>
      <c r="C10" s="3006">
        <v>10085097</v>
      </c>
      <c r="D10" s="18">
        <f t="shared" si="0"/>
        <v>0.43606008863198176</v>
      </c>
      <c r="E10" s="3007">
        <v>511</v>
      </c>
      <c r="F10" s="3007">
        <v>193</v>
      </c>
      <c r="H10" s="3011"/>
      <c r="I10" s="2591"/>
      <c r="J10" s="3011"/>
      <c r="K10" s="3011"/>
    </row>
    <row r="11" spans="1:11">
      <c r="A11" s="3005" t="s">
        <v>15</v>
      </c>
      <c r="C11" s="3006">
        <v>1449593</v>
      </c>
      <c r="D11" s="18">
        <f t="shared" si="0"/>
        <v>6.2677597653279918E-2</v>
      </c>
      <c r="E11" s="3007">
        <v>191</v>
      </c>
      <c r="F11" s="3007">
        <v>3</v>
      </c>
    </row>
    <row r="12" spans="1:11">
      <c r="A12" s="3005" t="s">
        <v>28</v>
      </c>
      <c r="C12" s="3006">
        <f>C6-(C9+C10+C11)</f>
        <v>33839</v>
      </c>
      <c r="D12" s="18">
        <f t="shared" si="0"/>
        <v>1.4631329117823686E-3</v>
      </c>
      <c r="E12" s="3007">
        <f>E6-(E9+E10+E11)</f>
        <v>23</v>
      </c>
      <c r="F12" s="3007">
        <f>F6-(F9+F10+F11)</f>
        <v>0</v>
      </c>
    </row>
    <row r="13" spans="1:11">
      <c r="C13" s="3006"/>
      <c r="F13" s="3007"/>
    </row>
    <row r="14" spans="1:11">
      <c r="A14" s="3013" t="s">
        <v>18</v>
      </c>
      <c r="B14" s="3013"/>
      <c r="C14" s="3012">
        <v>1491257</v>
      </c>
      <c r="D14" s="15">
        <f t="shared" ref="D14:D21" si="1">+C14/C$14</f>
        <v>1</v>
      </c>
      <c r="E14" s="3017">
        <v>101</v>
      </c>
      <c r="F14" s="3017">
        <v>36</v>
      </c>
      <c r="H14" s="3005" t="b">
        <f>H15=H16</f>
        <v>1</v>
      </c>
      <c r="I14" s="2590" t="b">
        <f>I15=I16</f>
        <v>1</v>
      </c>
      <c r="J14" s="3005" t="b">
        <f>J15=J16</f>
        <v>1</v>
      </c>
      <c r="K14" s="3005" t="b">
        <f>K15=K16</f>
        <v>1</v>
      </c>
    </row>
    <row r="15" spans="1:11">
      <c r="A15" s="3005" t="s">
        <v>13</v>
      </c>
      <c r="C15" s="3006">
        <v>441461</v>
      </c>
      <c r="D15" s="18">
        <f t="shared" si="1"/>
        <v>0.2960328099046643</v>
      </c>
      <c r="E15" s="3007">
        <v>31</v>
      </c>
      <c r="F15" s="3007">
        <v>6</v>
      </c>
      <c r="H15" s="2586">
        <f>SUM(C15:C16,C18:C21)</f>
        <v>1491257</v>
      </c>
      <c r="I15" s="2587">
        <f>SUM(D15:D16,D18:D21)</f>
        <v>0.99999999999999989</v>
      </c>
      <c r="J15" s="2586">
        <f>SUM(E15:E16,E18:E21)</f>
        <v>101</v>
      </c>
      <c r="K15" s="2586">
        <f>SUM(F15:F16,F18:F21)</f>
        <v>36</v>
      </c>
    </row>
    <row r="16" spans="1:11">
      <c r="A16" s="3005" t="s">
        <v>45</v>
      </c>
      <c r="C16" s="3006">
        <v>44874</v>
      </c>
      <c r="D16" s="18">
        <f t="shared" si="1"/>
        <v>3.0091392697569903E-2</v>
      </c>
      <c r="E16" s="3007">
        <v>3</v>
      </c>
      <c r="F16" s="3007">
        <v>1</v>
      </c>
      <c r="H16" s="3005">
        <f>C14</f>
        <v>1491257</v>
      </c>
      <c r="I16" s="2590">
        <f>D14</f>
        <v>1</v>
      </c>
      <c r="J16" s="3005">
        <f>E14</f>
        <v>101</v>
      </c>
      <c r="K16" s="3005">
        <f>F14</f>
        <v>36</v>
      </c>
    </row>
    <row r="17" spans="1:11">
      <c r="A17" s="3011" t="s">
        <v>63</v>
      </c>
      <c r="B17" s="3011"/>
      <c r="C17" s="3010">
        <f>+C16+C15</f>
        <v>486335</v>
      </c>
      <c r="D17" s="14">
        <f t="shared" si="1"/>
        <v>0.32612420260223424</v>
      </c>
      <c r="E17" s="3010">
        <f>+E16+E15</f>
        <v>34</v>
      </c>
      <c r="F17" s="3010">
        <f>+F16+F15</f>
        <v>7</v>
      </c>
    </row>
    <row r="18" spans="1:11">
      <c r="A18" s="3005" t="s">
        <v>14</v>
      </c>
      <c r="C18" s="3006">
        <v>841450</v>
      </c>
      <c r="D18" s="18">
        <f t="shared" si="1"/>
        <v>0.56425552403106904</v>
      </c>
      <c r="E18" s="3007">
        <v>36</v>
      </c>
      <c r="F18" s="3007">
        <v>27</v>
      </c>
    </row>
    <row r="19" spans="1:11">
      <c r="A19" s="3005" t="s">
        <v>15</v>
      </c>
      <c r="C19" s="3006">
        <v>78951</v>
      </c>
      <c r="D19" s="18">
        <f t="shared" si="1"/>
        <v>5.2942584678563116E-2</v>
      </c>
      <c r="E19" s="3007">
        <v>8</v>
      </c>
      <c r="F19" s="3007">
        <v>2</v>
      </c>
    </row>
    <row r="20" spans="1:11">
      <c r="A20" s="3005" t="s">
        <v>23</v>
      </c>
      <c r="C20" s="3006">
        <v>77571</v>
      </c>
      <c r="D20" s="18">
        <f t="shared" si="1"/>
        <v>5.2017190866497191E-2</v>
      </c>
      <c r="E20" s="3006">
        <v>20</v>
      </c>
      <c r="F20" s="3007">
        <v>0</v>
      </c>
    </row>
    <row r="21" spans="1:11">
      <c r="A21" s="3005" t="s">
        <v>28</v>
      </c>
      <c r="C21" s="3006">
        <f>+C14-SUM(C17:C20)</f>
        <v>6950</v>
      </c>
      <c r="D21" s="18">
        <f t="shared" si="1"/>
        <v>4.6604978216363783E-3</v>
      </c>
      <c r="E21" s="3006">
        <f>+E14-SUM(E17:E20)</f>
        <v>3</v>
      </c>
      <c r="F21" s="3006">
        <f>+F14-SUM(F17:F20)</f>
        <v>0</v>
      </c>
    </row>
    <row r="22" spans="1:11">
      <c r="C22" s="3006"/>
      <c r="F22" s="3007"/>
    </row>
    <row r="23" spans="1:11">
      <c r="A23" s="3013" t="s">
        <v>19</v>
      </c>
      <c r="B23" s="3013"/>
      <c r="C23" s="3012">
        <v>2667513</v>
      </c>
      <c r="D23" s="15">
        <f t="shared" ref="D23:D30" si="2">+C23/C$23</f>
        <v>1</v>
      </c>
      <c r="E23" s="3017">
        <v>172</v>
      </c>
      <c r="F23" s="3017">
        <v>71</v>
      </c>
    </row>
    <row r="24" spans="1:11">
      <c r="A24" s="3005" t="s">
        <v>13</v>
      </c>
      <c r="C24" s="3006">
        <v>1060609</v>
      </c>
      <c r="D24" s="18">
        <f t="shared" si="2"/>
        <v>0.39760218600621627</v>
      </c>
      <c r="E24" s="3007">
        <v>59</v>
      </c>
      <c r="F24" s="3007">
        <v>25</v>
      </c>
      <c r="H24" s="3005" t="b">
        <f>H25=H26</f>
        <v>1</v>
      </c>
      <c r="I24" s="2590" t="b">
        <f>I25=I26</f>
        <v>1</v>
      </c>
      <c r="J24" s="3005" t="b">
        <f>J25=J26</f>
        <v>1</v>
      </c>
      <c r="K24" s="3005" t="b">
        <f>K25=K26</f>
        <v>1</v>
      </c>
    </row>
    <row r="25" spans="1:11">
      <c r="A25" s="3005" t="s">
        <v>45</v>
      </c>
      <c r="C25" s="3006">
        <v>199678</v>
      </c>
      <c r="D25" s="18">
        <f t="shared" si="2"/>
        <v>7.4855492737992274E-2</v>
      </c>
      <c r="E25" s="3007">
        <v>11</v>
      </c>
      <c r="F25" s="3007">
        <v>6</v>
      </c>
      <c r="H25" s="2586">
        <f>SUM(C24:C25,C27:C30)</f>
        <v>2667513</v>
      </c>
      <c r="I25" s="2587">
        <f>SUM(D24:D25,D27:D30)</f>
        <v>1</v>
      </c>
      <c r="J25" s="2586">
        <f>SUM(E24:E25,E27:E30)</f>
        <v>172</v>
      </c>
      <c r="K25" s="2586">
        <f>SUM(F24:F25,F27:F30)</f>
        <v>71</v>
      </c>
    </row>
    <row r="26" spans="1:11" s="3011" customFormat="1">
      <c r="A26" s="3011" t="s">
        <v>63</v>
      </c>
      <c r="C26" s="3010">
        <f>+C25+C24</f>
        <v>1260287</v>
      </c>
      <c r="D26" s="14">
        <f t="shared" si="2"/>
        <v>0.47245767874420858</v>
      </c>
      <c r="E26" s="3010">
        <f>+E25+E24</f>
        <v>70</v>
      </c>
      <c r="F26" s="3010">
        <f>+F25+F24</f>
        <v>31</v>
      </c>
      <c r="G26" s="3010"/>
      <c r="H26" s="3005">
        <f>C23</f>
        <v>2667513</v>
      </c>
      <c r="I26" s="2590">
        <f>D23</f>
        <v>1</v>
      </c>
      <c r="J26" s="3005">
        <f>E23</f>
        <v>172</v>
      </c>
      <c r="K26" s="3005">
        <f>F23</f>
        <v>71</v>
      </c>
    </row>
    <row r="27" spans="1:11">
      <c r="A27" s="3005" t="s">
        <v>14</v>
      </c>
      <c r="C27" s="3006">
        <v>1245255</v>
      </c>
      <c r="D27" s="18">
        <f t="shared" si="2"/>
        <v>0.46682246721946624</v>
      </c>
      <c r="E27" s="3007">
        <v>71</v>
      </c>
      <c r="F27" s="3006">
        <v>38</v>
      </c>
    </row>
    <row r="28" spans="1:11">
      <c r="A28" s="3005" t="s">
        <v>15</v>
      </c>
      <c r="C28" s="3009">
        <v>108963</v>
      </c>
      <c r="D28" s="18">
        <f t="shared" si="2"/>
        <v>4.084816081496135E-2</v>
      </c>
      <c r="E28" s="3007">
        <v>16</v>
      </c>
      <c r="F28" s="3006">
        <v>1</v>
      </c>
      <c r="H28" s="3011"/>
      <c r="I28" s="2591"/>
      <c r="J28" s="3011"/>
      <c r="K28" s="3011"/>
    </row>
    <row r="29" spans="1:11">
      <c r="A29" s="3005" t="s">
        <v>24</v>
      </c>
      <c r="C29" s="3006">
        <v>21738</v>
      </c>
      <c r="D29" s="18">
        <f t="shared" si="2"/>
        <v>8.1491636591836669E-3</v>
      </c>
      <c r="E29" s="3007">
        <v>5</v>
      </c>
      <c r="F29" s="3007">
        <v>0</v>
      </c>
    </row>
    <row r="30" spans="1:11">
      <c r="A30" s="3005" t="s">
        <v>28</v>
      </c>
      <c r="C30" s="3006">
        <f>+C23-SUM(C26:C29)</f>
        <v>31270</v>
      </c>
      <c r="D30" s="18">
        <f t="shared" si="2"/>
        <v>1.1722529562180202E-2</v>
      </c>
      <c r="E30" s="3006">
        <f>+E23-SUM(E26:E29)</f>
        <v>10</v>
      </c>
      <c r="F30" s="3006">
        <f>+F23-SUM(F26:F29)</f>
        <v>1</v>
      </c>
    </row>
    <row r="31" spans="1:11">
      <c r="C31" s="3006"/>
      <c r="F31" s="3007"/>
    </row>
    <row r="32" spans="1:11">
      <c r="A32" s="3013" t="s">
        <v>20</v>
      </c>
      <c r="B32" s="3013"/>
      <c r="C32" s="3012">
        <v>576113</v>
      </c>
      <c r="D32" s="15">
        <f t="shared" ref="D32:D37" si="3">+C32/C$32</f>
        <v>1</v>
      </c>
      <c r="E32" s="3017">
        <v>29</v>
      </c>
      <c r="F32" s="3017">
        <v>12</v>
      </c>
    </row>
    <row r="33" spans="1:11">
      <c r="A33" s="3005" t="s">
        <v>13</v>
      </c>
      <c r="C33" s="3006">
        <v>445013</v>
      </c>
      <c r="D33" s="18">
        <f t="shared" si="3"/>
        <v>0.77244047608715649</v>
      </c>
      <c r="E33" s="3007">
        <v>12</v>
      </c>
      <c r="F33" s="3007">
        <v>12</v>
      </c>
      <c r="H33" s="3005" t="b">
        <f>H34=H35</f>
        <v>1</v>
      </c>
      <c r="I33" s="2590" t="b">
        <f>I34=I35</f>
        <v>1</v>
      </c>
      <c r="J33" s="3005" t="b">
        <f>J34=J35</f>
        <v>1</v>
      </c>
      <c r="K33" s="3005" t="b">
        <f>K34=K35</f>
        <v>1</v>
      </c>
    </row>
    <row r="34" spans="1:11">
      <c r="A34" s="3005" t="s">
        <v>14</v>
      </c>
      <c r="C34" s="3006">
        <v>44370</v>
      </c>
      <c r="D34" s="18">
        <f t="shared" si="3"/>
        <v>7.701614093068547E-2</v>
      </c>
      <c r="E34" s="3007">
        <v>3</v>
      </c>
      <c r="F34" s="3007">
        <v>0</v>
      </c>
      <c r="H34" s="2586">
        <f>SUM(C33:C37)</f>
        <v>576113</v>
      </c>
      <c r="I34" s="2587">
        <f>SUM(D33:D37)</f>
        <v>1</v>
      </c>
      <c r="J34" s="2586">
        <f>SUM(E33:E37)</f>
        <v>29</v>
      </c>
      <c r="K34" s="2586">
        <f>SUM(F33:F37)</f>
        <v>12</v>
      </c>
    </row>
    <row r="35" spans="1:11">
      <c r="A35" s="3005" t="s">
        <v>15</v>
      </c>
      <c r="C35" s="3006">
        <v>3253</v>
      </c>
      <c r="D35" s="18">
        <f t="shared" si="3"/>
        <v>5.6464617184475959E-3</v>
      </c>
      <c r="E35" s="3007">
        <v>1</v>
      </c>
      <c r="F35" s="3007">
        <v>0</v>
      </c>
      <c r="H35" s="3005">
        <f>C32</f>
        <v>576113</v>
      </c>
      <c r="I35" s="2590">
        <f>D32</f>
        <v>1</v>
      </c>
      <c r="J35" s="3005">
        <f>E32</f>
        <v>29</v>
      </c>
      <c r="K35" s="3005">
        <f>F32</f>
        <v>12</v>
      </c>
    </row>
    <row r="36" spans="1:11">
      <c r="A36" s="3005" t="s">
        <v>27</v>
      </c>
      <c r="C36" s="3009">
        <v>63415</v>
      </c>
      <c r="D36" s="18">
        <f t="shared" si="3"/>
        <v>0.11007389175387468</v>
      </c>
      <c r="E36" s="3007">
        <v>12</v>
      </c>
      <c r="F36" s="3006">
        <v>0</v>
      </c>
    </row>
    <row r="37" spans="1:11">
      <c r="A37" s="3005" t="s">
        <v>28</v>
      </c>
      <c r="C37" s="3009">
        <f>+C32-SUM(C33:C36)</f>
        <v>20062</v>
      </c>
      <c r="D37" s="18">
        <f t="shared" si="3"/>
        <v>3.4823029509835741E-2</v>
      </c>
      <c r="E37" s="3009">
        <f>+E32-SUM(E33:E36)</f>
        <v>1</v>
      </c>
      <c r="F37" s="3009">
        <f>+F32-SUM(F33:F36)</f>
        <v>0</v>
      </c>
    </row>
    <row r="38" spans="1:11">
      <c r="D38" s="18"/>
    </row>
    <row r="39" spans="1:11">
      <c r="A39" s="3013" t="s">
        <v>35</v>
      </c>
      <c r="B39" s="3013"/>
      <c r="C39" s="3012">
        <f>+C23+C14+C6</f>
        <v>27286539</v>
      </c>
      <c r="D39" s="15">
        <f t="shared" ref="D39:D47" si="4">+C39/C$39</f>
        <v>1</v>
      </c>
      <c r="E39" s="3012">
        <f>+E23+E14+E6</f>
        <v>1507</v>
      </c>
      <c r="F39" s="3012">
        <f>+F23+F14+F6</f>
        <v>618</v>
      </c>
      <c r="H39" s="3005" t="b">
        <f>H40=H41</f>
        <v>1</v>
      </c>
      <c r="I39" s="2590" t="b">
        <f>I40=I41</f>
        <v>1</v>
      </c>
      <c r="J39" s="3005" t="b">
        <f>J40=J41</f>
        <v>1</v>
      </c>
      <c r="K39" s="3005" t="b">
        <f>K40=K41</f>
        <v>1</v>
      </c>
    </row>
    <row r="40" spans="1:11">
      <c r="A40" s="3005" t="s">
        <v>13</v>
      </c>
      <c r="C40" s="3006">
        <f t="shared" ref="C40:C47" si="5">SUMIF(A$7:A$30,A40,C$7:C$30)</f>
        <v>12540068</v>
      </c>
      <c r="D40" s="18">
        <f t="shared" si="4"/>
        <v>0.4595697534231073</v>
      </c>
      <c r="E40" s="3006">
        <f t="shared" ref="E40:E47" si="6">SUMIF(A$7:A$30,A40,E$7:E$30)</f>
        <v>574</v>
      </c>
      <c r="F40" s="3006">
        <f t="shared" ref="F40:F47" si="7">SUMIF(A$7:A$30,A40,F$7:F$30)</f>
        <v>333</v>
      </c>
      <c r="H40" s="2586">
        <f>SUM(C40:C41,C43:C47)</f>
        <v>27286539</v>
      </c>
      <c r="I40" s="2587">
        <f>SUM(D40:D41,D43:D47)</f>
        <v>1</v>
      </c>
      <c r="J40" s="2586">
        <f>SUM(E40:E41,E43:E47)</f>
        <v>1507</v>
      </c>
      <c r="K40" s="2586">
        <f>SUM(F40:F41,F43:F47)</f>
        <v>618</v>
      </c>
    </row>
    <row r="41" spans="1:11">
      <c r="A41" s="3005" t="s">
        <v>45</v>
      </c>
      <c r="C41" s="3006">
        <f t="shared" si="5"/>
        <v>765794</v>
      </c>
      <c r="D41" s="18">
        <f t="shared" si="4"/>
        <v>2.8064900425810689E-2</v>
      </c>
      <c r="E41" s="3006">
        <f t="shared" si="6"/>
        <v>39</v>
      </c>
      <c r="F41" s="3006">
        <f t="shared" si="7"/>
        <v>20</v>
      </c>
      <c r="H41" s="3005">
        <f>C39</f>
        <v>27286539</v>
      </c>
      <c r="I41" s="2590">
        <f>D39</f>
        <v>1</v>
      </c>
      <c r="J41" s="3005">
        <f>E39</f>
        <v>1507</v>
      </c>
      <c r="K41" s="3005">
        <f>F39</f>
        <v>618</v>
      </c>
    </row>
    <row r="42" spans="1:11" s="3011" customFormat="1">
      <c r="A42" s="3011" t="s">
        <v>63</v>
      </c>
      <c r="C42" s="3010">
        <f t="shared" si="5"/>
        <v>13305862</v>
      </c>
      <c r="D42" s="14">
        <f t="shared" si="4"/>
        <v>0.48763465384891796</v>
      </c>
      <c r="E42" s="3010">
        <f t="shared" si="6"/>
        <v>613</v>
      </c>
      <c r="F42" s="3010">
        <f t="shared" si="7"/>
        <v>353</v>
      </c>
      <c r="G42" s="3010"/>
      <c r="H42" s="3005"/>
      <c r="I42" s="2590"/>
      <c r="J42" s="3005"/>
      <c r="K42" s="3005"/>
    </row>
    <row r="43" spans="1:11">
      <c r="A43" s="3005" t="s">
        <v>14</v>
      </c>
      <c r="C43" s="3006">
        <f t="shared" si="5"/>
        <v>12171802</v>
      </c>
      <c r="D43" s="18">
        <f t="shared" si="4"/>
        <v>0.44607350166321935</v>
      </c>
      <c r="E43" s="3006">
        <f t="shared" si="6"/>
        <v>618</v>
      </c>
      <c r="F43" s="3006">
        <f t="shared" si="7"/>
        <v>258</v>
      </c>
    </row>
    <row r="44" spans="1:11">
      <c r="A44" s="3005" t="s">
        <v>15</v>
      </c>
      <c r="C44" s="3006">
        <f t="shared" si="5"/>
        <v>1637507</v>
      </c>
      <c r="D44" s="18">
        <f t="shared" si="4"/>
        <v>6.0011531693337873E-2</v>
      </c>
      <c r="E44" s="3006">
        <f t="shared" si="6"/>
        <v>215</v>
      </c>
      <c r="F44" s="3006">
        <f t="shared" si="7"/>
        <v>6</v>
      </c>
      <c r="H44" s="3011"/>
      <c r="I44" s="2591"/>
      <c r="J44" s="3011"/>
      <c r="K44" s="3011"/>
    </row>
    <row r="45" spans="1:11">
      <c r="A45" s="3005" t="s">
        <v>23</v>
      </c>
      <c r="C45" s="3006">
        <f t="shared" si="5"/>
        <v>77571</v>
      </c>
      <c r="D45" s="18">
        <f t="shared" si="4"/>
        <v>2.842830305448412E-3</v>
      </c>
      <c r="E45" s="3006">
        <f t="shared" si="6"/>
        <v>20</v>
      </c>
      <c r="F45" s="3006">
        <f t="shared" si="7"/>
        <v>0</v>
      </c>
    </row>
    <row r="46" spans="1:11">
      <c r="A46" s="3005" t="s">
        <v>24</v>
      </c>
      <c r="C46" s="3006">
        <f t="shared" si="5"/>
        <v>21738</v>
      </c>
      <c r="D46" s="18">
        <f t="shared" si="4"/>
        <v>7.9665654922377656E-4</v>
      </c>
      <c r="E46" s="3006">
        <f t="shared" si="6"/>
        <v>5</v>
      </c>
      <c r="F46" s="3006">
        <f t="shared" si="7"/>
        <v>0</v>
      </c>
    </row>
    <row r="47" spans="1:11">
      <c r="A47" s="3005" t="s">
        <v>28</v>
      </c>
      <c r="C47" s="3006">
        <f t="shared" si="5"/>
        <v>72059</v>
      </c>
      <c r="D47" s="18">
        <f t="shared" si="4"/>
        <v>2.6408259398526136E-3</v>
      </c>
      <c r="E47" s="3006">
        <f t="shared" si="6"/>
        <v>36</v>
      </c>
      <c r="F47" s="3006">
        <f t="shared" si="7"/>
        <v>1</v>
      </c>
    </row>
    <row r="48" spans="1:11">
      <c r="A48" s="3013"/>
      <c r="B48" s="3013"/>
    </row>
    <row r="49" spans="1:11">
      <c r="A49" s="3013" t="s">
        <v>46</v>
      </c>
      <c r="B49" s="3013"/>
      <c r="C49" s="3012">
        <f>+C39+C32</f>
        <v>27862652</v>
      </c>
      <c r="D49" s="15">
        <f t="shared" ref="D49:D57" si="8">+C49/C$49</f>
        <v>1</v>
      </c>
      <c r="E49" s="3012">
        <f>+E39+E32</f>
        <v>1536</v>
      </c>
      <c r="F49" s="3012">
        <f>+F39+F32</f>
        <v>630</v>
      </c>
    </row>
    <row r="50" spans="1:11">
      <c r="A50" s="3005" t="s">
        <v>13</v>
      </c>
      <c r="C50" s="3006">
        <f>+C40+C33</f>
        <v>12985081</v>
      </c>
      <c r="D50" s="18">
        <f t="shared" si="8"/>
        <v>0.46603894704639026</v>
      </c>
      <c r="E50" s="3006">
        <f>+E40+E33</f>
        <v>586</v>
      </c>
      <c r="F50" s="3006">
        <f>+F40+F33</f>
        <v>345</v>
      </c>
      <c r="H50" s="3005" t="b">
        <f>H51=H52</f>
        <v>1</v>
      </c>
      <c r="I50" s="2590" t="b">
        <f>I51=I52</f>
        <v>1</v>
      </c>
      <c r="J50" s="3005" t="b">
        <f>J51=J52</f>
        <v>1</v>
      </c>
      <c r="K50" s="3005" t="b">
        <f>K51=K52</f>
        <v>1</v>
      </c>
    </row>
    <row r="51" spans="1:11">
      <c r="A51" s="3005" t="s">
        <v>45</v>
      </c>
      <c r="C51" s="3006">
        <f>+C41</f>
        <v>765794</v>
      </c>
      <c r="D51" s="18">
        <f t="shared" si="8"/>
        <v>2.7484605557288658E-2</v>
      </c>
      <c r="E51" s="3006">
        <f>+E41</f>
        <v>39</v>
      </c>
      <c r="F51" s="3006">
        <f>+F41</f>
        <v>20</v>
      </c>
      <c r="H51" s="2586">
        <f>SUM(C50:C51,C53:C57)</f>
        <v>27862652</v>
      </c>
      <c r="I51" s="2587">
        <f>SUM(D50:D51,D53:D57)</f>
        <v>0.99999999999999989</v>
      </c>
      <c r="J51" s="2586">
        <f>SUM(E50:E51,E53:E57)</f>
        <v>1536</v>
      </c>
      <c r="K51" s="2586">
        <f>SUM(F50:F51,F53:F57)</f>
        <v>630</v>
      </c>
    </row>
    <row r="52" spans="1:11">
      <c r="A52" s="3011" t="s">
        <v>63</v>
      </c>
      <c r="B52" s="3011"/>
      <c r="C52" s="3010">
        <f>+C51+C50</f>
        <v>13750875</v>
      </c>
      <c r="D52" s="14">
        <f t="shared" si="8"/>
        <v>0.49352355260367892</v>
      </c>
      <c r="E52" s="3010">
        <f>+E51+E50</f>
        <v>625</v>
      </c>
      <c r="F52" s="3010">
        <f>+F51+F50</f>
        <v>365</v>
      </c>
      <c r="H52" s="3005">
        <f>C49</f>
        <v>27862652</v>
      </c>
      <c r="I52" s="2590">
        <f>D49</f>
        <v>1</v>
      </c>
      <c r="J52" s="3005">
        <f>E49</f>
        <v>1536</v>
      </c>
      <c r="K52" s="3005">
        <f>F49</f>
        <v>630</v>
      </c>
    </row>
    <row r="53" spans="1:11">
      <c r="A53" s="3005" t="s">
        <v>14</v>
      </c>
      <c r="C53" s="3006">
        <f>+C43+C34</f>
        <v>12216172</v>
      </c>
      <c r="D53" s="18">
        <f t="shared" si="8"/>
        <v>0.43844254308599195</v>
      </c>
      <c r="E53" s="3006">
        <f>+E43+E34</f>
        <v>621</v>
      </c>
      <c r="F53" s="3006">
        <f>+F43+F34</f>
        <v>258</v>
      </c>
      <c r="G53" s="18"/>
    </row>
    <row r="54" spans="1:11">
      <c r="A54" s="3005" t="s">
        <v>15</v>
      </c>
      <c r="C54" s="3006">
        <f>+C44+C35</f>
        <v>1640760</v>
      </c>
      <c r="D54" s="18">
        <f t="shared" si="8"/>
        <v>5.8887431103112509E-2</v>
      </c>
      <c r="E54" s="3006">
        <f>+E44+E35</f>
        <v>216</v>
      </c>
      <c r="F54" s="3006">
        <f>+F44+F35</f>
        <v>6</v>
      </c>
    </row>
    <row r="55" spans="1:11">
      <c r="A55" s="3005" t="s">
        <v>23</v>
      </c>
      <c r="C55" s="3006">
        <f>+C45</f>
        <v>77571</v>
      </c>
      <c r="D55" s="18">
        <f t="shared" si="8"/>
        <v>2.7840494149659551E-3</v>
      </c>
      <c r="E55" s="3006">
        <f>+E45</f>
        <v>20</v>
      </c>
      <c r="F55" s="3006">
        <f>+F45</f>
        <v>0</v>
      </c>
    </row>
    <row r="56" spans="1:11">
      <c r="A56" s="3005" t="s">
        <v>24</v>
      </c>
      <c r="C56" s="3006">
        <f>+C46</f>
        <v>21738</v>
      </c>
      <c r="D56" s="18">
        <f t="shared" si="8"/>
        <v>7.8018416911642156E-4</v>
      </c>
      <c r="E56" s="3006">
        <f>+E46</f>
        <v>5</v>
      </c>
      <c r="F56" s="3006">
        <f>+F46</f>
        <v>0</v>
      </c>
    </row>
    <row r="57" spans="1:11">
      <c r="A57" s="3005" t="s">
        <v>28</v>
      </c>
      <c r="C57" s="3006">
        <f>+C49-SUM(C52:C56)</f>
        <v>155536</v>
      </c>
      <c r="D57" s="18">
        <f t="shared" si="8"/>
        <v>5.5822396231342232E-3</v>
      </c>
      <c r="E57" s="3006">
        <f>+E49-SUM(E52:E56)</f>
        <v>49</v>
      </c>
      <c r="F57" s="3006">
        <f>+F49-SUM(F52:F56)</f>
        <v>1</v>
      </c>
    </row>
    <row r="59" spans="1:11">
      <c r="A59" s="3015" t="s">
        <v>21</v>
      </c>
      <c r="B59" s="3014" t="s">
        <v>43</v>
      </c>
      <c r="D59" s="3005"/>
      <c r="E59" s="3005"/>
      <c r="F59" s="3005"/>
      <c r="G59" s="3005"/>
    </row>
  </sheetData>
  <mergeCells count="1">
    <mergeCell ref="A2:B2"/>
  </mergeCells>
  <conditionalFormatting sqref="H5:K5">
    <cfRule type="cellIs" dxfId="50" priority="6" operator="equal">
      <formula>"""FALSE"""</formula>
    </cfRule>
  </conditionalFormatting>
  <conditionalFormatting sqref="H14:K14">
    <cfRule type="cellIs" dxfId="49" priority="5" operator="equal">
      <formula>"""FALSE"""</formula>
    </cfRule>
  </conditionalFormatting>
  <conditionalFormatting sqref="H24:K24">
    <cfRule type="cellIs" dxfId="48" priority="4" operator="equal">
      <formula>"""FALSE"""</formula>
    </cfRule>
  </conditionalFormatting>
  <conditionalFormatting sqref="H33:K33">
    <cfRule type="cellIs" dxfId="47" priority="3" operator="equal">
      <formula>"""FALSE"""</formula>
    </cfRule>
  </conditionalFormatting>
  <conditionalFormatting sqref="H39:K39">
    <cfRule type="cellIs" dxfId="46" priority="2" operator="equal">
      <formula>"""FALSE"""</formula>
    </cfRule>
  </conditionalFormatting>
  <conditionalFormatting sqref="H50:K50">
    <cfRule type="cellIs" dxfId="45" priority="1" operator="equal">
      <formula>"""FALSE"""</formula>
    </cfRule>
  </conditionalFormatting>
  <pageMargins left="0.75" right="0.75" top="1" bottom="1" header="0.5" footer="0.5"/>
  <pageSetup paperSize="9" scale="93" orientation="portrait" horizontalDpi="1200"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F1E44-7886-4157-9A0A-682D10EFB6EB}">
  <sheetPr>
    <pageSetUpPr fitToPage="1"/>
  </sheetPr>
  <dimension ref="A1:K59"/>
  <sheetViews>
    <sheetView topLeftCell="A16" zoomScale="145" zoomScaleNormal="145" workbookViewId="0">
      <selection activeCell="O68" sqref="O68"/>
    </sheetView>
  </sheetViews>
  <sheetFormatPr baseColWidth="10" defaultColWidth="8.796875" defaultRowHeight="13"/>
  <cols>
    <col min="1" max="1" width="7.19921875" style="3005" customWidth="1"/>
    <col min="2" max="2" width="18.796875" style="3005" customWidth="1"/>
    <col min="3" max="3" width="14.3984375"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57</v>
      </c>
      <c r="B1" s="3013"/>
      <c r="C1" s="3006"/>
    </row>
    <row r="2" spans="1:11">
      <c r="A2" s="3521">
        <v>37179</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22937251</v>
      </c>
      <c r="D6" s="15">
        <f t="shared" ref="D6:D12" si="0">+C6/C$6</f>
        <v>1</v>
      </c>
      <c r="E6" s="3012">
        <v>1409</v>
      </c>
      <c r="F6" s="3017">
        <v>511</v>
      </c>
      <c r="G6" s="3012"/>
      <c r="H6" s="2586">
        <f>SUM(C7:C8,C10:C12)</f>
        <v>22937251</v>
      </c>
      <c r="I6" s="2587">
        <f>SUM(D7:D8,D10:D12)</f>
        <v>1</v>
      </c>
      <c r="J6" s="2586">
        <f>SUM(E7:E8,E10:E12)</f>
        <v>1409</v>
      </c>
      <c r="K6" s="2586">
        <f>SUM(F7:F8,F10:F12)</f>
        <v>511</v>
      </c>
    </row>
    <row r="7" spans="1:11">
      <c r="A7" s="3005" t="s">
        <v>13</v>
      </c>
      <c r="C7" s="3006">
        <f>9894014</f>
        <v>9894014</v>
      </c>
      <c r="D7" s="18">
        <f t="shared" si="0"/>
        <v>0.4313513419720611</v>
      </c>
      <c r="E7" s="3007">
        <v>500</v>
      </c>
      <c r="F7" s="3007">
        <v>256</v>
      </c>
      <c r="H7" s="3005">
        <f>C6</f>
        <v>22937251</v>
      </c>
      <c r="I7" s="2590">
        <f>D6</f>
        <v>1</v>
      </c>
      <c r="J7" s="3005">
        <f>E6</f>
        <v>1409</v>
      </c>
      <c r="K7" s="3005">
        <f>F6</f>
        <v>511</v>
      </c>
    </row>
    <row r="8" spans="1:11">
      <c r="A8" s="3005" t="s">
        <v>45</v>
      </c>
      <c r="C8" s="3006">
        <v>212014</v>
      </c>
      <c r="D8" s="18">
        <f t="shared" si="0"/>
        <v>9.243217506753533E-3</v>
      </c>
      <c r="E8" s="3007">
        <v>11</v>
      </c>
      <c r="F8" s="3007">
        <v>6</v>
      </c>
    </row>
    <row r="9" spans="1:11" s="3011" customFormat="1">
      <c r="A9" s="3011" t="s">
        <v>63</v>
      </c>
      <c r="C9" s="3010">
        <f>SUM(C7:C8)</f>
        <v>10106028</v>
      </c>
      <c r="D9" s="14">
        <f t="shared" si="0"/>
        <v>0.4405945594788146</v>
      </c>
      <c r="E9" s="3010">
        <f>SUM(E7:E8)</f>
        <v>511</v>
      </c>
      <c r="F9" s="3010">
        <f>SUM(F7:F8)</f>
        <v>262</v>
      </c>
      <c r="G9" s="3010"/>
      <c r="H9" s="3005"/>
      <c r="I9" s="2590"/>
      <c r="J9" s="3005"/>
      <c r="K9" s="3005"/>
    </row>
    <row r="10" spans="1:11">
      <c r="A10" s="3005" t="s">
        <v>14</v>
      </c>
      <c r="C10" s="3006">
        <v>9982360</v>
      </c>
      <c r="D10" s="18">
        <f t="shared" si="0"/>
        <v>0.43520298051409911</v>
      </c>
      <c r="E10" s="3007">
        <v>511</v>
      </c>
      <c r="F10" s="3007">
        <v>246</v>
      </c>
      <c r="H10" s="3011"/>
      <c r="I10" s="2591"/>
      <c r="J10" s="3011"/>
      <c r="K10" s="3011"/>
    </row>
    <row r="11" spans="1:11">
      <c r="A11" s="3005" t="s">
        <v>15</v>
      </c>
      <c r="C11" s="3006">
        <v>2775752</v>
      </c>
      <c r="D11" s="18">
        <f t="shared" si="0"/>
        <v>0.12101502486065135</v>
      </c>
      <c r="E11" s="3007">
        <v>323</v>
      </c>
      <c r="F11" s="3007">
        <v>3</v>
      </c>
    </row>
    <row r="12" spans="1:11">
      <c r="A12" s="3005" t="s">
        <v>28</v>
      </c>
      <c r="C12" s="3006">
        <f>C6-(C9+C10+C11)</f>
        <v>73111</v>
      </c>
      <c r="D12" s="18">
        <f t="shared" si="0"/>
        <v>3.1874351464349412E-3</v>
      </c>
      <c r="E12" s="3007">
        <f>E6-(E9+E10+E11)</f>
        <v>64</v>
      </c>
      <c r="F12" s="3007">
        <f>F6-(F9+F10+F11)</f>
        <v>0</v>
      </c>
    </row>
    <row r="13" spans="1:11">
      <c r="C13" s="3006"/>
      <c r="F13" s="3007"/>
    </row>
    <row r="14" spans="1:11">
      <c r="A14" s="3013" t="s">
        <v>18</v>
      </c>
      <c r="B14" s="3013"/>
      <c r="C14" s="3012">
        <v>1447042</v>
      </c>
      <c r="D14" s="15">
        <f t="shared" ref="D14:D21" si="1">+C14/C$14</f>
        <v>1</v>
      </c>
      <c r="E14" s="3017">
        <v>112</v>
      </c>
      <c r="F14" s="3017">
        <v>36</v>
      </c>
      <c r="H14" s="3005" t="b">
        <f>H15=H16</f>
        <v>1</v>
      </c>
      <c r="I14" s="2590" t="b">
        <f>I15=I16</f>
        <v>1</v>
      </c>
      <c r="J14" s="3005" t="b">
        <f>J15=J16</f>
        <v>1</v>
      </c>
      <c r="K14" s="3005" t="b">
        <f>K15=K16</f>
        <v>1</v>
      </c>
    </row>
    <row r="15" spans="1:11">
      <c r="A15" s="3005" t="s">
        <v>13</v>
      </c>
      <c r="C15" s="3006">
        <v>398960</v>
      </c>
      <c r="D15" s="18">
        <f t="shared" si="1"/>
        <v>0.27570727041785931</v>
      </c>
      <c r="E15" s="3007">
        <v>34</v>
      </c>
      <c r="F15" s="3007">
        <v>6</v>
      </c>
      <c r="H15" s="2586">
        <f>SUM(C15:C16,C18:C21)</f>
        <v>1447042</v>
      </c>
      <c r="I15" s="2587">
        <f>SUM(D15:D16,D18:D21)</f>
        <v>0.99999999999999989</v>
      </c>
      <c r="J15" s="2586">
        <f>SUM(E15:E16,E18:E21)</f>
        <v>112</v>
      </c>
      <c r="K15" s="2586">
        <f>SUM(F15:F16,F18:F21)</f>
        <v>36</v>
      </c>
    </row>
    <row r="16" spans="1:11">
      <c r="A16" s="3005" t="s">
        <v>45</v>
      </c>
      <c r="C16" s="3006">
        <v>26062</v>
      </c>
      <c r="D16" s="18">
        <f t="shared" si="1"/>
        <v>1.8010534594020078E-2</v>
      </c>
      <c r="E16" s="3007">
        <v>2</v>
      </c>
      <c r="F16" s="3007">
        <v>0</v>
      </c>
      <c r="H16" s="3005">
        <f>C14</f>
        <v>1447042</v>
      </c>
      <c r="I16" s="2590">
        <f>D14</f>
        <v>1</v>
      </c>
      <c r="J16" s="3005">
        <f>E14</f>
        <v>112</v>
      </c>
      <c r="K16" s="3005">
        <f>F14</f>
        <v>36</v>
      </c>
    </row>
    <row r="17" spans="1:11">
      <c r="A17" s="3011" t="s">
        <v>63</v>
      </c>
      <c r="B17" s="3011"/>
      <c r="C17" s="3010">
        <f>+C16+C15</f>
        <v>425022</v>
      </c>
      <c r="D17" s="14">
        <f t="shared" si="1"/>
        <v>0.29371780501187938</v>
      </c>
      <c r="E17" s="3010">
        <f>+E16+E15</f>
        <v>36</v>
      </c>
      <c r="F17" s="3010">
        <f>+F16+F15</f>
        <v>6</v>
      </c>
    </row>
    <row r="18" spans="1:11">
      <c r="A18" s="3005" t="s">
        <v>14</v>
      </c>
      <c r="C18" s="3006">
        <v>837022</v>
      </c>
      <c r="D18" s="18">
        <f t="shared" si="1"/>
        <v>0.57843656231125284</v>
      </c>
      <c r="E18" s="3007">
        <v>36</v>
      </c>
      <c r="F18" s="3007">
        <v>28</v>
      </c>
    </row>
    <row r="19" spans="1:11">
      <c r="A19" s="3005" t="s">
        <v>15</v>
      </c>
      <c r="C19" s="3006">
        <v>106114</v>
      </c>
      <c r="D19" s="18">
        <f t="shared" si="1"/>
        <v>7.3331665563266299E-2</v>
      </c>
      <c r="E19" s="3007">
        <v>12</v>
      </c>
      <c r="F19" s="3007">
        <v>2</v>
      </c>
    </row>
    <row r="20" spans="1:11">
      <c r="A20" s="3005" t="s">
        <v>23</v>
      </c>
      <c r="C20" s="3006">
        <v>69507</v>
      </c>
      <c r="D20" s="18">
        <f t="shared" si="1"/>
        <v>4.8033851125261047E-2</v>
      </c>
      <c r="E20" s="3006">
        <v>23</v>
      </c>
      <c r="F20" s="3007">
        <v>0</v>
      </c>
    </row>
    <row r="21" spans="1:11">
      <c r="A21" s="3005" t="s">
        <v>28</v>
      </c>
      <c r="C21" s="3006">
        <f>+C14-SUM(C17:C20)</f>
        <v>9377</v>
      </c>
      <c r="D21" s="18">
        <f t="shared" si="1"/>
        <v>6.4801159883403521E-3</v>
      </c>
      <c r="E21" s="3006">
        <f>+E14-SUM(E17:E20)</f>
        <v>5</v>
      </c>
      <c r="F21" s="3006">
        <f>+F14-SUM(F17:F20)</f>
        <v>0</v>
      </c>
    </row>
    <row r="22" spans="1:11">
      <c r="C22" s="3006"/>
      <c r="F22" s="3007"/>
    </row>
    <row r="23" spans="1:11">
      <c r="A23" s="3013" t="s">
        <v>19</v>
      </c>
      <c r="B23" s="3013"/>
      <c r="C23" s="3012">
        <v>2634539</v>
      </c>
      <c r="D23" s="15">
        <f t="shared" ref="D23:D30" si="2">+C23/C$23</f>
        <v>1</v>
      </c>
      <c r="E23" s="3017">
        <v>197</v>
      </c>
      <c r="F23" s="3017">
        <v>71</v>
      </c>
    </row>
    <row r="24" spans="1:11">
      <c r="A24" s="3005" t="s">
        <v>13</v>
      </c>
      <c r="C24" s="3006">
        <v>981641</v>
      </c>
      <c r="D24" s="18">
        <f t="shared" si="2"/>
        <v>0.37260446704338024</v>
      </c>
      <c r="E24" s="3007">
        <v>65</v>
      </c>
      <c r="F24" s="3007">
        <v>24</v>
      </c>
      <c r="H24" s="3005" t="b">
        <f>H25=H26</f>
        <v>1</v>
      </c>
      <c r="I24" s="2590" t="b">
        <f>I25=I26</f>
        <v>1</v>
      </c>
      <c r="J24" s="3005" t="b">
        <f>J25=J26</f>
        <v>1</v>
      </c>
      <c r="K24" s="3005" t="b">
        <f>K25=K26</f>
        <v>1</v>
      </c>
    </row>
    <row r="25" spans="1:11">
      <c r="A25" s="3005" t="s">
        <v>45</v>
      </c>
      <c r="C25" s="3006">
        <v>88054</v>
      </c>
      <c r="D25" s="18">
        <f t="shared" si="2"/>
        <v>3.3422925225248139E-2</v>
      </c>
      <c r="E25" s="3007">
        <v>6</v>
      </c>
      <c r="F25" s="3007">
        <v>0</v>
      </c>
      <c r="H25" s="2586">
        <f>SUM(C24:C25,C27:C30)</f>
        <v>2634539</v>
      </c>
      <c r="I25" s="2587">
        <f>SUM(D24:D25,D27:D30)</f>
        <v>1</v>
      </c>
      <c r="J25" s="2586">
        <f>SUM(E24:E25,E27:E30)</f>
        <v>197</v>
      </c>
      <c r="K25" s="2586">
        <f>SUM(F24:F25,F27:F30)</f>
        <v>71</v>
      </c>
    </row>
    <row r="26" spans="1:11" s="3011" customFormat="1">
      <c r="A26" s="3011" t="s">
        <v>63</v>
      </c>
      <c r="C26" s="3010">
        <f>+C25+C24</f>
        <v>1069695</v>
      </c>
      <c r="D26" s="14">
        <f t="shared" si="2"/>
        <v>0.40602739226862838</v>
      </c>
      <c r="E26" s="3010">
        <f>+E25+E24</f>
        <v>71</v>
      </c>
      <c r="F26" s="3010">
        <f>+F25+F24</f>
        <v>24</v>
      </c>
      <c r="G26" s="3010"/>
      <c r="H26" s="3005">
        <f>C23</f>
        <v>2634539</v>
      </c>
      <c r="I26" s="2590">
        <f>D23</f>
        <v>1</v>
      </c>
      <c r="J26" s="3005">
        <f>E23</f>
        <v>197</v>
      </c>
      <c r="K26" s="3005">
        <f>F23</f>
        <v>71</v>
      </c>
    </row>
    <row r="27" spans="1:11">
      <c r="A27" s="3005" t="s">
        <v>14</v>
      </c>
      <c r="C27" s="3006">
        <v>1283667</v>
      </c>
      <c r="D27" s="18">
        <f t="shared" si="2"/>
        <v>0.48724539663295929</v>
      </c>
      <c r="E27" s="3007">
        <v>71</v>
      </c>
      <c r="F27" s="3006">
        <v>43</v>
      </c>
    </row>
    <row r="28" spans="1:11">
      <c r="A28" s="3005" t="s">
        <v>15</v>
      </c>
      <c r="C28" s="3009">
        <v>200063</v>
      </c>
      <c r="D28" s="18">
        <f t="shared" si="2"/>
        <v>7.5938522830749519E-2</v>
      </c>
      <c r="E28" s="3007">
        <v>26</v>
      </c>
      <c r="F28" s="3006">
        <v>4</v>
      </c>
      <c r="H28" s="3011"/>
      <c r="I28" s="2591"/>
      <c r="J28" s="3011"/>
      <c r="K28" s="3011"/>
    </row>
    <row r="29" spans="1:11">
      <c r="A29" s="3005" t="s">
        <v>24</v>
      </c>
      <c r="C29" s="3006">
        <v>64044</v>
      </c>
      <c r="D29" s="18">
        <f t="shared" si="2"/>
        <v>2.4309376327319505E-2</v>
      </c>
      <c r="E29" s="3007">
        <v>15</v>
      </c>
      <c r="F29" s="3007">
        <v>0</v>
      </c>
    </row>
    <row r="30" spans="1:11">
      <c r="A30" s="3005" t="s">
        <v>28</v>
      </c>
      <c r="C30" s="3006">
        <f>+C23-SUM(C26:C29)</f>
        <v>17070</v>
      </c>
      <c r="D30" s="18">
        <f t="shared" si="2"/>
        <v>6.4793119403432631E-3</v>
      </c>
      <c r="E30" s="3006">
        <f>+E23-SUM(E26:E29)</f>
        <v>14</v>
      </c>
      <c r="F30" s="3006">
        <f>+F23-SUM(F26:F29)</f>
        <v>0</v>
      </c>
    </row>
    <row r="31" spans="1:11">
      <c r="C31" s="3006"/>
      <c r="F31" s="3007"/>
    </row>
    <row r="32" spans="1:11">
      <c r="A32" s="3013" t="s">
        <v>20</v>
      </c>
      <c r="B32" s="3013"/>
      <c r="C32" s="3012">
        <v>638316</v>
      </c>
      <c r="D32" s="15">
        <f t="shared" ref="D32:D37" si="3">+C32/C$32</f>
        <v>1</v>
      </c>
      <c r="E32" s="3020">
        <v>39</v>
      </c>
      <c r="F32" s="3017">
        <v>12</v>
      </c>
    </row>
    <row r="33" spans="1:11">
      <c r="A33" s="3005" t="s">
        <v>13</v>
      </c>
      <c r="C33" s="3006">
        <v>401897</v>
      </c>
      <c r="D33" s="18">
        <f t="shared" si="3"/>
        <v>0.62962075210397361</v>
      </c>
      <c r="E33" s="3007">
        <v>12</v>
      </c>
      <c r="F33" s="3007">
        <v>12</v>
      </c>
      <c r="H33" s="3005" t="b">
        <f>H34=H35</f>
        <v>1</v>
      </c>
      <c r="I33" s="2590" t="b">
        <f>I34=I35</f>
        <v>1</v>
      </c>
      <c r="J33" s="3005" t="b">
        <f>J34=J35</f>
        <v>1</v>
      </c>
      <c r="K33" s="3005" t="b">
        <f>K34=K35</f>
        <v>1</v>
      </c>
    </row>
    <row r="34" spans="1:11">
      <c r="A34" s="3005" t="s">
        <v>14</v>
      </c>
      <c r="C34" s="3006">
        <v>102759</v>
      </c>
      <c r="D34" s="18">
        <f t="shared" si="3"/>
        <v>0.16098452803940369</v>
      </c>
      <c r="E34" s="3007">
        <v>10</v>
      </c>
      <c r="F34" s="3007">
        <v>0</v>
      </c>
      <c r="H34" s="2586">
        <f>SUM(C33:C37)</f>
        <v>638316</v>
      </c>
      <c r="I34" s="2587">
        <f>SUM(D33:D37)</f>
        <v>1</v>
      </c>
      <c r="J34" s="2586">
        <f>SUM(E33:E37)</f>
        <v>39</v>
      </c>
      <c r="K34" s="2586">
        <f>SUM(F33:F37)</f>
        <v>12</v>
      </c>
    </row>
    <row r="35" spans="1:11">
      <c r="A35" s="3005" t="s">
        <v>15</v>
      </c>
      <c r="C35" s="3006">
        <v>17354</v>
      </c>
      <c r="D35" s="18">
        <f t="shared" si="3"/>
        <v>2.7187161217954742E-2</v>
      </c>
      <c r="E35" s="3007">
        <v>4</v>
      </c>
      <c r="F35" s="3007">
        <v>0</v>
      </c>
      <c r="H35" s="3005">
        <f>C32</f>
        <v>638316</v>
      </c>
      <c r="I35" s="2590">
        <f>D32</f>
        <v>1</v>
      </c>
      <c r="J35" s="3005">
        <f>E32</f>
        <v>39</v>
      </c>
      <c r="K35" s="3005">
        <f>F32</f>
        <v>12</v>
      </c>
    </row>
    <row r="36" spans="1:11">
      <c r="A36" s="3005" t="s">
        <v>59</v>
      </c>
      <c r="C36" s="3009">
        <v>101628</v>
      </c>
      <c r="D36" s="18">
        <f t="shared" si="3"/>
        <v>0.15921267835993458</v>
      </c>
      <c r="E36" s="3007">
        <v>12</v>
      </c>
      <c r="F36" s="3006">
        <v>0</v>
      </c>
    </row>
    <row r="37" spans="1:11">
      <c r="A37" s="3005" t="s">
        <v>62</v>
      </c>
      <c r="C37" s="3009">
        <v>14678</v>
      </c>
      <c r="D37" s="18">
        <f t="shared" si="3"/>
        <v>2.2994880278733417E-2</v>
      </c>
      <c r="E37" s="3009">
        <v>1</v>
      </c>
      <c r="F37" s="3009">
        <f>+F32-SUM(F33:F36)</f>
        <v>0</v>
      </c>
    </row>
    <row r="38" spans="1:11">
      <c r="D38" s="18"/>
    </row>
    <row r="39" spans="1:11">
      <c r="A39" s="3013" t="s">
        <v>35</v>
      </c>
      <c r="B39" s="3013"/>
      <c r="C39" s="3012">
        <f>+C23+C14+C6</f>
        <v>27018832</v>
      </c>
      <c r="D39" s="15">
        <f t="shared" ref="D39:D47" si="4">+C39/C$39</f>
        <v>1</v>
      </c>
      <c r="E39" s="3012">
        <f>+E23+E14+E6</f>
        <v>1718</v>
      </c>
      <c r="F39" s="3012">
        <f>+F23+F14+F6</f>
        <v>618</v>
      </c>
      <c r="H39" s="3005" t="b">
        <f>H40=H41</f>
        <v>1</v>
      </c>
      <c r="I39" s="2590" t="b">
        <f>I40=I41</f>
        <v>1</v>
      </c>
      <c r="J39" s="3005" t="b">
        <f>J40=J41</f>
        <v>1</v>
      </c>
      <c r="K39" s="3005" t="b">
        <f>K40=K41</f>
        <v>1</v>
      </c>
    </row>
    <row r="40" spans="1:11">
      <c r="A40" s="3005" t="s">
        <v>13</v>
      </c>
      <c r="C40" s="3006">
        <f t="shared" ref="C40:C47" si="5">SUMIF(A$7:A$30,A40,C$7:C$30)</f>
        <v>11274615</v>
      </c>
      <c r="D40" s="18">
        <f t="shared" si="4"/>
        <v>0.41728728318085695</v>
      </c>
      <c r="E40" s="3006">
        <f t="shared" ref="E40:E47" si="6">SUMIF(A$7:A$30,A40,E$7:E$30)</f>
        <v>599</v>
      </c>
      <c r="F40" s="3006">
        <f t="shared" ref="F40:F47" si="7">SUMIF(A$7:A$30,A40,F$7:F$30)</f>
        <v>286</v>
      </c>
      <c r="H40" s="2586">
        <f>SUM(C40:C41,C43:C47)</f>
        <v>27018832</v>
      </c>
      <c r="I40" s="2587">
        <f>SUM(D40:D41,D43:D47)</f>
        <v>0.99999999999999989</v>
      </c>
      <c r="J40" s="2586">
        <f>SUM(E40:E41,E43:E47)</f>
        <v>1718</v>
      </c>
      <c r="K40" s="2586">
        <f>SUM(F40:F41,F43:F47)</f>
        <v>618</v>
      </c>
    </row>
    <row r="41" spans="1:11">
      <c r="A41" s="3005" t="s">
        <v>45</v>
      </c>
      <c r="C41" s="3006">
        <f t="shared" si="5"/>
        <v>326130</v>
      </c>
      <c r="D41" s="18">
        <f t="shared" si="4"/>
        <v>1.2070469959619277E-2</v>
      </c>
      <c r="E41" s="3006">
        <f t="shared" si="6"/>
        <v>19</v>
      </c>
      <c r="F41" s="3006">
        <f t="shared" si="7"/>
        <v>6</v>
      </c>
      <c r="H41" s="3005">
        <f>C39</f>
        <v>27018832</v>
      </c>
      <c r="I41" s="2590">
        <f>D39</f>
        <v>1</v>
      </c>
      <c r="J41" s="3005">
        <f>E39</f>
        <v>1718</v>
      </c>
      <c r="K41" s="3005">
        <f>F39</f>
        <v>618</v>
      </c>
    </row>
    <row r="42" spans="1:11" s="3011" customFormat="1">
      <c r="A42" s="3011" t="s">
        <v>63</v>
      </c>
      <c r="C42" s="3010">
        <f t="shared" si="5"/>
        <v>11600745</v>
      </c>
      <c r="D42" s="14">
        <f t="shared" si="4"/>
        <v>0.42935775314047625</v>
      </c>
      <c r="E42" s="3010">
        <f t="shared" si="6"/>
        <v>618</v>
      </c>
      <c r="F42" s="3010">
        <f t="shared" si="7"/>
        <v>292</v>
      </c>
      <c r="G42" s="3010"/>
      <c r="H42" s="3005"/>
      <c r="I42" s="2590"/>
      <c r="J42" s="3005"/>
      <c r="K42" s="3005"/>
    </row>
    <row r="43" spans="1:11">
      <c r="A43" s="3005" t="s">
        <v>14</v>
      </c>
      <c r="C43" s="3006">
        <f t="shared" si="5"/>
        <v>12103049</v>
      </c>
      <c r="D43" s="18">
        <f t="shared" si="4"/>
        <v>0.44794863819427871</v>
      </c>
      <c r="E43" s="3006">
        <f t="shared" si="6"/>
        <v>618</v>
      </c>
      <c r="F43" s="3006">
        <f t="shared" si="7"/>
        <v>317</v>
      </c>
    </row>
    <row r="44" spans="1:11">
      <c r="A44" s="3005" t="s">
        <v>15</v>
      </c>
      <c r="C44" s="3006">
        <f t="shared" si="5"/>
        <v>3081929</v>
      </c>
      <c r="D44" s="18">
        <f t="shared" si="4"/>
        <v>0.11406595962401335</v>
      </c>
      <c r="E44" s="3006">
        <f t="shared" si="6"/>
        <v>361</v>
      </c>
      <c r="F44" s="3006">
        <f t="shared" si="7"/>
        <v>9</v>
      </c>
      <c r="H44" s="3011"/>
      <c r="I44" s="2591"/>
      <c r="J44" s="3011"/>
      <c r="K44" s="3011"/>
    </row>
    <row r="45" spans="1:11">
      <c r="A45" s="3005" t="s">
        <v>23</v>
      </c>
      <c r="C45" s="3006">
        <f t="shared" si="5"/>
        <v>69507</v>
      </c>
      <c r="D45" s="18">
        <f t="shared" si="4"/>
        <v>2.5725390349960356E-3</v>
      </c>
      <c r="E45" s="3006">
        <f t="shared" si="6"/>
        <v>23</v>
      </c>
      <c r="F45" s="3006">
        <f t="shared" si="7"/>
        <v>0</v>
      </c>
    </row>
    <row r="46" spans="1:11">
      <c r="A46" s="3005" t="s">
        <v>24</v>
      </c>
      <c r="C46" s="3006">
        <f t="shared" si="5"/>
        <v>64044</v>
      </c>
      <c r="D46" s="18">
        <f t="shared" si="4"/>
        <v>2.37034672705319E-3</v>
      </c>
      <c r="E46" s="3006">
        <f t="shared" si="6"/>
        <v>15</v>
      </c>
      <c r="F46" s="3006">
        <f t="shared" si="7"/>
        <v>0</v>
      </c>
    </row>
    <row r="47" spans="1:11">
      <c r="A47" s="3005" t="s">
        <v>28</v>
      </c>
      <c r="C47" s="3006">
        <f t="shared" si="5"/>
        <v>99558</v>
      </c>
      <c r="D47" s="18">
        <f t="shared" si="4"/>
        <v>3.6847632791824608E-3</v>
      </c>
      <c r="E47" s="3006">
        <f t="shared" si="6"/>
        <v>83</v>
      </c>
      <c r="F47" s="3006">
        <f t="shared" si="7"/>
        <v>0</v>
      </c>
    </row>
    <row r="48" spans="1:11">
      <c r="A48" s="3013"/>
      <c r="B48" s="3013"/>
    </row>
    <row r="49" spans="1:11">
      <c r="A49" s="3013" t="s">
        <v>46</v>
      </c>
      <c r="B49" s="3013"/>
      <c r="C49" s="3012">
        <f>+C39+C32</f>
        <v>27657148</v>
      </c>
      <c r="D49" s="15">
        <f t="shared" ref="D49:D57" si="8">+C49/C$49</f>
        <v>1</v>
      </c>
      <c r="E49" s="3012">
        <f>+E39+E32</f>
        <v>1757</v>
      </c>
      <c r="F49" s="3012">
        <f>+F39+F32</f>
        <v>630</v>
      </c>
    </row>
    <row r="50" spans="1:11">
      <c r="A50" s="3005" t="s">
        <v>13</v>
      </c>
      <c r="C50" s="3006">
        <f>+C40+C33</f>
        <v>11676512</v>
      </c>
      <c r="D50" s="18">
        <f t="shared" si="8"/>
        <v>0.42218785537829134</v>
      </c>
      <c r="E50" s="3006">
        <f>+E40+E33</f>
        <v>611</v>
      </c>
      <c r="F50" s="3006">
        <f>+F40+F33</f>
        <v>298</v>
      </c>
      <c r="H50" s="3005" t="b">
        <f>H51=H52</f>
        <v>1</v>
      </c>
      <c r="I50" s="2590" t="b">
        <f>I51=I52</f>
        <v>1</v>
      </c>
      <c r="J50" s="3005" t="b">
        <f>J51=J52</f>
        <v>1</v>
      </c>
      <c r="K50" s="3005" t="b">
        <f>K51=K52</f>
        <v>1</v>
      </c>
    </row>
    <row r="51" spans="1:11">
      <c r="A51" s="3005" t="s">
        <v>45</v>
      </c>
      <c r="C51" s="3006">
        <f>+C41</f>
        <v>326130</v>
      </c>
      <c r="D51" s="18">
        <f t="shared" si="8"/>
        <v>1.1791888303161266E-2</v>
      </c>
      <c r="E51" s="3006">
        <f>+E41</f>
        <v>19</v>
      </c>
      <c r="F51" s="3006">
        <f>+F41</f>
        <v>6</v>
      </c>
      <c r="H51" s="2586">
        <f>SUM(C50:C51,C53:C57)</f>
        <v>27657148</v>
      </c>
      <c r="I51" s="2587">
        <f>SUM(D50:D51,D53:D57)</f>
        <v>1</v>
      </c>
      <c r="J51" s="2586">
        <f>SUM(E50:E51,E53:E57)</f>
        <v>1757</v>
      </c>
      <c r="K51" s="2586">
        <f>SUM(F50:F51,F53:F57)</f>
        <v>630</v>
      </c>
    </row>
    <row r="52" spans="1:11">
      <c r="A52" s="3011" t="s">
        <v>63</v>
      </c>
      <c r="B52" s="3011"/>
      <c r="C52" s="3010">
        <f>+C51+C50</f>
        <v>12002642</v>
      </c>
      <c r="D52" s="14">
        <f t="shared" si="8"/>
        <v>0.43397974368145265</v>
      </c>
      <c r="E52" s="3010">
        <f>+E51+E50</f>
        <v>630</v>
      </c>
      <c r="F52" s="3010">
        <f>+F51+F50</f>
        <v>304</v>
      </c>
      <c r="H52" s="3005">
        <f>C49</f>
        <v>27657148</v>
      </c>
      <c r="I52" s="2590">
        <f>D49</f>
        <v>1</v>
      </c>
      <c r="J52" s="3005">
        <f>E49</f>
        <v>1757</v>
      </c>
      <c r="K52" s="3005">
        <f>F49</f>
        <v>630</v>
      </c>
    </row>
    <row r="53" spans="1:11">
      <c r="A53" s="3005" t="s">
        <v>14</v>
      </c>
      <c r="C53" s="3006">
        <f>+C43+C34</f>
        <v>12205808</v>
      </c>
      <c r="D53" s="18">
        <f t="shared" si="8"/>
        <v>0.44132562041465734</v>
      </c>
      <c r="E53" s="3006">
        <f>+E43+E34</f>
        <v>628</v>
      </c>
      <c r="F53" s="3006">
        <f>+F43+F34</f>
        <v>317</v>
      </c>
      <c r="G53" s="18"/>
    </row>
    <row r="54" spans="1:11">
      <c r="A54" s="3005" t="s">
        <v>15</v>
      </c>
      <c r="C54" s="3006">
        <f>+C44+C35</f>
        <v>3099283</v>
      </c>
      <c r="D54" s="18">
        <f t="shared" si="8"/>
        <v>0.11206083143496937</v>
      </c>
      <c r="E54" s="3006">
        <f>+E44+E35</f>
        <v>365</v>
      </c>
      <c r="F54" s="3006">
        <f>+F44+F35</f>
        <v>9</v>
      </c>
    </row>
    <row r="55" spans="1:11">
      <c r="A55" s="3005" t="s">
        <v>23</v>
      </c>
      <c r="C55" s="3006">
        <f>+C45</f>
        <v>69507</v>
      </c>
      <c r="D55" s="18">
        <f t="shared" si="8"/>
        <v>2.5131658549898202E-3</v>
      </c>
      <c r="E55" s="3006">
        <f>+E45</f>
        <v>23</v>
      </c>
      <c r="F55" s="3006">
        <f>+F45</f>
        <v>0</v>
      </c>
    </row>
    <row r="56" spans="1:11">
      <c r="A56" s="3005" t="s">
        <v>24</v>
      </c>
      <c r="C56" s="3006">
        <f>+C46</f>
        <v>64044</v>
      </c>
      <c r="D56" s="18">
        <f t="shared" si="8"/>
        <v>2.3156400652735417E-3</v>
      </c>
      <c r="E56" s="3006">
        <f>+E46</f>
        <v>15</v>
      </c>
      <c r="F56" s="3006">
        <f>+F46</f>
        <v>0</v>
      </c>
    </row>
    <row r="57" spans="1:11">
      <c r="A57" s="3005" t="s">
        <v>28</v>
      </c>
      <c r="C57" s="3006">
        <f>+C49-SUM(C52:C56)</f>
        <v>215864</v>
      </c>
      <c r="D57" s="18">
        <f t="shared" si="8"/>
        <v>7.8049985486572946E-3</v>
      </c>
      <c r="E57" s="3006">
        <f>+E49-SUM(E52:E56)</f>
        <v>96</v>
      </c>
      <c r="F57" s="3006">
        <f>+F49-SUM(F52:F56)</f>
        <v>0</v>
      </c>
    </row>
    <row r="59" spans="1:11">
      <c r="A59" s="3015" t="s">
        <v>21</v>
      </c>
      <c r="B59" s="3014" t="s">
        <v>43</v>
      </c>
      <c r="D59" s="3005"/>
      <c r="E59" s="3005"/>
      <c r="F59" s="3005"/>
      <c r="G59" s="3005"/>
    </row>
  </sheetData>
  <mergeCells count="1">
    <mergeCell ref="A2:B2"/>
  </mergeCells>
  <conditionalFormatting sqref="H5:K5">
    <cfRule type="cellIs" dxfId="44" priority="6" operator="equal">
      <formula>"""FALSE"""</formula>
    </cfRule>
  </conditionalFormatting>
  <conditionalFormatting sqref="H14:K14">
    <cfRule type="cellIs" dxfId="43" priority="5" operator="equal">
      <formula>"""FALSE"""</formula>
    </cfRule>
  </conditionalFormatting>
  <conditionalFormatting sqref="H24:K24">
    <cfRule type="cellIs" dxfId="42" priority="4" operator="equal">
      <formula>"""FALSE"""</formula>
    </cfRule>
  </conditionalFormatting>
  <conditionalFormatting sqref="H33:K33">
    <cfRule type="cellIs" dxfId="41" priority="3" operator="equal">
      <formula>"""FALSE"""</formula>
    </cfRule>
  </conditionalFormatting>
  <conditionalFormatting sqref="H39:K39">
    <cfRule type="cellIs" dxfId="40" priority="2" operator="equal">
      <formula>"""FALSE"""</formula>
    </cfRule>
  </conditionalFormatting>
  <conditionalFormatting sqref="H50:K50">
    <cfRule type="cellIs" dxfId="39" priority="1" operator="equal">
      <formula>"""FALSE"""</formula>
    </cfRule>
  </conditionalFormatting>
  <pageMargins left="0.75" right="0.75" top="1" bottom="1" header="0.5" footer="0.5"/>
  <pageSetup paperSize="9" scale="93" orientation="portrait" horizontalDpi="1200"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8CEA-7753-4085-A65C-494360273B5F}">
  <sheetPr>
    <pageSetUpPr fitToPage="1"/>
  </sheetPr>
  <dimension ref="A1:K57"/>
  <sheetViews>
    <sheetView zoomScale="115" zoomScaleNormal="115" workbookViewId="0">
      <selection activeCell="O68" sqref="O68"/>
    </sheetView>
  </sheetViews>
  <sheetFormatPr baseColWidth="10" defaultColWidth="8.796875" defaultRowHeight="13"/>
  <cols>
    <col min="1" max="1" width="7.19921875" style="3005" customWidth="1"/>
    <col min="2" max="2" width="18.796875" style="3005" customWidth="1"/>
    <col min="3" max="3" width="13"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58</v>
      </c>
      <c r="B1" s="3013"/>
      <c r="C1" s="3006"/>
    </row>
    <row r="2" spans="1:11">
      <c r="A2" s="3521">
        <v>36981</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22692695</v>
      </c>
      <c r="D6" s="15">
        <f t="shared" ref="D6:D12" si="0">+C6/C$6</f>
        <v>1</v>
      </c>
      <c r="E6" s="3012">
        <v>1363</v>
      </c>
      <c r="F6" s="3017">
        <v>511</v>
      </c>
      <c r="G6" s="3012"/>
      <c r="H6" s="2586">
        <f>SUM(C7:C8,C10:C12)</f>
        <v>22692695</v>
      </c>
      <c r="I6" s="2587">
        <f>SUM(D7:D8,D10:D12)</f>
        <v>1</v>
      </c>
      <c r="J6" s="2586">
        <f>SUM(E7:E8,E10:E12)</f>
        <v>1363</v>
      </c>
      <c r="K6" s="2586">
        <f>SUM(F7:F8,F10:F12)</f>
        <v>511</v>
      </c>
    </row>
    <row r="7" spans="1:11">
      <c r="A7" s="3005" t="s">
        <v>13</v>
      </c>
      <c r="C7" s="3006">
        <v>9542577</v>
      </c>
      <c r="D7" s="18">
        <f t="shared" si="0"/>
        <v>0.42051316513970688</v>
      </c>
      <c r="E7" s="3007">
        <v>501</v>
      </c>
      <c r="F7" s="3007">
        <v>216</v>
      </c>
      <c r="H7" s="3005">
        <f>C6</f>
        <v>22692695</v>
      </c>
      <c r="I7" s="2590">
        <f>D6</f>
        <v>1</v>
      </c>
      <c r="J7" s="3005">
        <f>E6</f>
        <v>1363</v>
      </c>
      <c r="K7" s="3005">
        <f>F6</f>
        <v>511</v>
      </c>
    </row>
    <row r="8" spans="1:11">
      <c r="A8" s="3005" t="s">
        <v>45</v>
      </c>
      <c r="C8" s="3006">
        <v>149779</v>
      </c>
      <c r="D8" s="18">
        <f t="shared" si="0"/>
        <v>6.6003178555918548E-3</v>
      </c>
      <c r="E8" s="3007">
        <v>9</v>
      </c>
      <c r="F8" s="3007">
        <v>3</v>
      </c>
    </row>
    <row r="9" spans="1:11" s="3011" customFormat="1">
      <c r="A9" s="3011" t="s">
        <v>63</v>
      </c>
      <c r="C9" s="3010">
        <f>SUM(C7:C8)</f>
        <v>9692356</v>
      </c>
      <c r="D9" s="14">
        <f t="shared" si="0"/>
        <v>0.42711348299529872</v>
      </c>
      <c r="E9" s="3010">
        <v>510</v>
      </c>
      <c r="F9" s="3010">
        <f>SUM(F7:F8)</f>
        <v>219</v>
      </c>
      <c r="G9" s="3010"/>
      <c r="H9" s="3005"/>
      <c r="I9" s="2590"/>
      <c r="J9" s="3005"/>
      <c r="K9" s="3005"/>
    </row>
    <row r="10" spans="1:11">
      <c r="A10" s="3005" t="s">
        <v>14</v>
      </c>
      <c r="C10" s="3006">
        <f>10886408</f>
        <v>10886408</v>
      </c>
      <c r="D10" s="18">
        <f t="shared" si="0"/>
        <v>0.47973182559409538</v>
      </c>
      <c r="E10" s="3007">
        <v>511</v>
      </c>
      <c r="F10" s="3007">
        <f>286-1</f>
        <v>285</v>
      </c>
      <c r="H10" s="3011"/>
      <c r="I10" s="2591"/>
      <c r="J10" s="3011"/>
      <c r="K10" s="3011"/>
    </row>
    <row r="11" spans="1:11">
      <c r="A11" s="3005" t="s">
        <v>15</v>
      </c>
      <c r="C11" s="3006">
        <v>2036793</v>
      </c>
      <c r="D11" s="18">
        <f t="shared" si="0"/>
        <v>8.9755447733290389E-2</v>
      </c>
      <c r="E11" s="3007">
        <v>273</v>
      </c>
      <c r="F11" s="3007">
        <v>6</v>
      </c>
    </row>
    <row r="12" spans="1:11">
      <c r="A12" s="3005" t="s">
        <v>28</v>
      </c>
      <c r="C12" s="3006">
        <f>C6-(C9+C10+C11)</f>
        <v>77138</v>
      </c>
      <c r="D12" s="18">
        <f t="shared" si="0"/>
        <v>3.3992436773155415E-3</v>
      </c>
      <c r="E12" s="3007">
        <f>E6-(E9+E10+E11)</f>
        <v>69</v>
      </c>
      <c r="F12" s="3007">
        <f>F6-(F9+F10+F11)</f>
        <v>1</v>
      </c>
    </row>
    <row r="13" spans="1:11">
      <c r="C13" s="3006"/>
      <c r="F13" s="3007"/>
    </row>
    <row r="14" spans="1:11">
      <c r="A14" s="3013" t="s">
        <v>18</v>
      </c>
      <c r="B14" s="3013"/>
      <c r="C14" s="3012">
        <v>1423435</v>
      </c>
      <c r="D14" s="15">
        <f t="shared" ref="D14:D19" si="1">+C14/C$14</f>
        <v>1</v>
      </c>
      <c r="E14" s="3017">
        <v>111</v>
      </c>
      <c r="F14" s="3017">
        <v>36</v>
      </c>
      <c r="H14" s="3005" t="b">
        <f>H15=H16</f>
        <v>1</v>
      </c>
      <c r="I14" s="2590" t="b">
        <f>I15=I16</f>
        <v>1</v>
      </c>
      <c r="J14" s="3005" t="b">
        <f>J15=J16</f>
        <v>1</v>
      </c>
      <c r="K14" s="3005" t="b">
        <f>K15=K16</f>
        <v>1</v>
      </c>
    </row>
    <row r="15" spans="1:11">
      <c r="A15" s="3005" t="s">
        <v>13</v>
      </c>
      <c r="B15" s="3011"/>
      <c r="C15" s="3006">
        <v>396795</v>
      </c>
      <c r="D15" s="18">
        <f t="shared" si="1"/>
        <v>0.27875877718336278</v>
      </c>
      <c r="E15" s="3006">
        <v>36</v>
      </c>
      <c r="F15" s="3006">
        <v>3</v>
      </c>
      <c r="H15" s="2586">
        <f>SUM(C15:C19)</f>
        <v>1423435</v>
      </c>
      <c r="I15" s="2587">
        <f>SUM(D15:D19)</f>
        <v>1</v>
      </c>
      <c r="J15" s="2586">
        <f>SUM(E15:E19)</f>
        <v>111</v>
      </c>
      <c r="K15" s="2586">
        <f>SUM(F15:F19)</f>
        <v>36</v>
      </c>
    </row>
    <row r="16" spans="1:11">
      <c r="A16" s="3005" t="s">
        <v>14</v>
      </c>
      <c r="C16" s="3006">
        <v>863692</v>
      </c>
      <c r="D16" s="18">
        <f t="shared" si="1"/>
        <v>0.60676602725098094</v>
      </c>
      <c r="E16" s="3007">
        <v>36</v>
      </c>
      <c r="F16" s="3007">
        <v>32</v>
      </c>
      <c r="H16" s="3005">
        <f>C14</f>
        <v>1423435</v>
      </c>
      <c r="I16" s="3021">
        <f>D14</f>
        <v>1</v>
      </c>
      <c r="J16" s="3005">
        <f>E14</f>
        <v>111</v>
      </c>
      <c r="K16" s="3005">
        <f>F14</f>
        <v>36</v>
      </c>
    </row>
    <row r="17" spans="1:11">
      <c r="A17" s="3005" t="s">
        <v>15</v>
      </c>
      <c r="C17" s="3006">
        <v>89108</v>
      </c>
      <c r="D17" s="18">
        <f t="shared" si="1"/>
        <v>6.260068074762809E-2</v>
      </c>
      <c r="E17" s="3007">
        <v>11</v>
      </c>
      <c r="F17" s="3007">
        <v>1</v>
      </c>
    </row>
    <row r="18" spans="1:11">
      <c r="A18" s="3005" t="s">
        <v>23</v>
      </c>
      <c r="C18" s="3006">
        <v>61071</v>
      </c>
      <c r="D18" s="18">
        <f t="shared" si="1"/>
        <v>4.2903961192467518E-2</v>
      </c>
      <c r="E18" s="3006">
        <v>20</v>
      </c>
      <c r="F18" s="3007">
        <v>0</v>
      </c>
    </row>
    <row r="19" spans="1:11">
      <c r="A19" s="3005" t="s">
        <v>28</v>
      </c>
      <c r="C19" s="3006">
        <f>+C14-SUM(C15:C18)</f>
        <v>12769</v>
      </c>
      <c r="D19" s="18">
        <f t="shared" si="1"/>
        <v>8.9705536255607031E-3</v>
      </c>
      <c r="E19" s="3006">
        <f>+E14-SUM(E15:E18)</f>
        <v>8</v>
      </c>
      <c r="F19" s="3006">
        <f>+F14-SUM(F15:F18)</f>
        <v>0</v>
      </c>
    </row>
    <row r="20" spans="1:11">
      <c r="C20" s="3006"/>
      <c r="F20" s="3007"/>
    </row>
    <row r="21" spans="1:11">
      <c r="A21" s="3013" t="s">
        <v>19</v>
      </c>
      <c r="B21" s="3013"/>
      <c r="C21" s="3012">
        <v>2552380</v>
      </c>
      <c r="D21" s="15">
        <f t="shared" ref="D21:D26" si="2">+C21/C$21</f>
        <v>1</v>
      </c>
      <c r="E21" s="3017">
        <v>206</v>
      </c>
      <c r="F21" s="3017">
        <v>71</v>
      </c>
    </row>
    <row r="22" spans="1:11" s="3011" customFormat="1">
      <c r="A22" s="3005" t="s">
        <v>13</v>
      </c>
      <c r="C22" s="3006">
        <v>960675</v>
      </c>
      <c r="D22" s="18">
        <f t="shared" si="2"/>
        <v>0.37638400238209047</v>
      </c>
      <c r="E22" s="3006">
        <v>71</v>
      </c>
      <c r="F22" s="3006">
        <v>20</v>
      </c>
      <c r="G22" s="3010"/>
      <c r="H22" s="3005"/>
      <c r="I22" s="2590"/>
      <c r="J22" s="3005"/>
      <c r="K22" s="3005"/>
    </row>
    <row r="23" spans="1:11">
      <c r="A23" s="3005" t="s">
        <v>14</v>
      </c>
      <c r="C23" s="3006">
        <v>1273916</v>
      </c>
      <c r="D23" s="18">
        <f t="shared" si="2"/>
        <v>0.49910906683174133</v>
      </c>
      <c r="E23" s="3007">
        <v>71</v>
      </c>
      <c r="F23" s="3006">
        <v>46</v>
      </c>
    </row>
    <row r="24" spans="1:11">
      <c r="A24" s="3005" t="s">
        <v>15</v>
      </c>
      <c r="C24" s="3009">
        <v>172447</v>
      </c>
      <c r="D24" s="18">
        <f t="shared" si="2"/>
        <v>6.7563215508662497E-2</v>
      </c>
      <c r="E24" s="3007">
        <v>24</v>
      </c>
      <c r="F24" s="3006">
        <v>5</v>
      </c>
      <c r="H24" s="3005" t="b">
        <f>H25=H26</f>
        <v>1</v>
      </c>
      <c r="I24" s="2590" t="b">
        <f>I25=I26</f>
        <v>1</v>
      </c>
      <c r="J24" s="3005" t="b">
        <f>J25=J26</f>
        <v>1</v>
      </c>
      <c r="K24" s="3005" t="b">
        <f>K25=K26</f>
        <v>1</v>
      </c>
    </row>
    <row r="25" spans="1:11">
      <c r="A25" s="3005" t="s">
        <v>24</v>
      </c>
      <c r="C25" s="3006">
        <v>128474</v>
      </c>
      <c r="D25" s="18">
        <f t="shared" si="2"/>
        <v>5.0334981468276668E-2</v>
      </c>
      <c r="E25" s="3007">
        <v>23</v>
      </c>
      <c r="F25" s="3007">
        <v>0</v>
      </c>
      <c r="H25" s="2586">
        <f>SUM(C22:C26)</f>
        <v>2552380</v>
      </c>
      <c r="I25" s="2587">
        <f>SUM(D22:D26)</f>
        <v>1</v>
      </c>
      <c r="J25" s="2586">
        <f>SUM(E22:E26)</f>
        <v>206</v>
      </c>
      <c r="K25" s="2586">
        <f>SUM(F22:F26)</f>
        <v>71</v>
      </c>
    </row>
    <row r="26" spans="1:11">
      <c r="A26" s="3005" t="s">
        <v>28</v>
      </c>
      <c r="C26" s="3006">
        <f>+C21-SUM(C22:C25)</f>
        <v>16868</v>
      </c>
      <c r="D26" s="18">
        <f t="shared" si="2"/>
        <v>6.6087338092290331E-3</v>
      </c>
      <c r="E26" s="3006">
        <f>+E21-SUM(E22:E25)</f>
        <v>17</v>
      </c>
      <c r="F26" s="3006">
        <f>+F21-SUM(F22:F25)</f>
        <v>0</v>
      </c>
      <c r="H26" s="3005">
        <f>C21</f>
        <v>2552380</v>
      </c>
      <c r="I26" s="3021">
        <f>D21</f>
        <v>1</v>
      </c>
      <c r="J26" s="3005">
        <f>E21</f>
        <v>206</v>
      </c>
      <c r="K26" s="3005">
        <f>F21</f>
        <v>71</v>
      </c>
    </row>
    <row r="27" spans="1:11">
      <c r="C27" s="3006"/>
      <c r="F27" s="3007"/>
    </row>
    <row r="28" spans="1:11">
      <c r="A28" s="3013" t="s">
        <v>20</v>
      </c>
      <c r="B28" s="3013"/>
      <c r="C28" s="3012">
        <v>596237</v>
      </c>
      <c r="D28" s="15">
        <f t="shared" ref="D28:D35" si="3">+C28/C$28</f>
        <v>1</v>
      </c>
      <c r="E28" s="3017">
        <v>27</v>
      </c>
      <c r="F28" s="3017">
        <v>12</v>
      </c>
      <c r="H28" s="3011"/>
      <c r="I28" s="2591"/>
      <c r="J28" s="3011"/>
      <c r="K28" s="3011"/>
    </row>
    <row r="29" spans="1:11">
      <c r="A29" s="3005" t="s">
        <v>13</v>
      </c>
      <c r="C29" s="3006">
        <v>368629</v>
      </c>
      <c r="D29" s="18">
        <f t="shared" si="3"/>
        <v>0.61825918217084819</v>
      </c>
      <c r="E29" s="3007">
        <v>12</v>
      </c>
      <c r="F29" s="3007">
        <v>11</v>
      </c>
    </row>
    <row r="30" spans="1:11">
      <c r="A30" s="3005" t="s">
        <v>14</v>
      </c>
      <c r="C30" s="3006">
        <v>72613</v>
      </c>
      <c r="D30" s="18">
        <f t="shared" si="3"/>
        <v>0.12178546450488648</v>
      </c>
      <c r="E30" s="3007">
        <v>4</v>
      </c>
      <c r="F30" s="3007">
        <v>0</v>
      </c>
    </row>
    <row r="31" spans="1:11">
      <c r="A31" s="3005" t="s">
        <v>15</v>
      </c>
      <c r="C31" s="3006">
        <v>29109</v>
      </c>
      <c r="D31" s="18">
        <f t="shared" si="3"/>
        <v>4.8821190231401274E-2</v>
      </c>
      <c r="E31" s="3007">
        <v>3</v>
      </c>
      <c r="F31" s="3007">
        <v>0</v>
      </c>
    </row>
    <row r="32" spans="1:11">
      <c r="A32" s="3005" t="s">
        <v>26</v>
      </c>
      <c r="C32" s="3006">
        <v>22167</v>
      </c>
      <c r="D32" s="18">
        <f t="shared" si="3"/>
        <v>3.7178169083770377E-2</v>
      </c>
      <c r="E32" s="3007">
        <v>1</v>
      </c>
      <c r="F32" s="3007">
        <v>0</v>
      </c>
    </row>
    <row r="33" spans="1:11">
      <c r="A33" s="3005" t="s">
        <v>59</v>
      </c>
      <c r="C33" s="3009">
        <v>62782</v>
      </c>
      <c r="D33" s="18">
        <f t="shared" si="3"/>
        <v>0.10529705469469355</v>
      </c>
      <c r="E33" s="3007">
        <v>5</v>
      </c>
      <c r="F33" s="3006">
        <v>0</v>
      </c>
      <c r="H33" s="3005" t="b">
        <f>H34=H35</f>
        <v>1</v>
      </c>
      <c r="I33" s="2590" t="b">
        <f>I34=I35</f>
        <v>1</v>
      </c>
      <c r="J33" s="3005" t="b">
        <f>J34=J35</f>
        <v>1</v>
      </c>
      <c r="K33" s="3005" t="b">
        <f>K34=K35</f>
        <v>1</v>
      </c>
    </row>
    <row r="34" spans="1:11">
      <c r="A34" s="3005" t="s">
        <v>62</v>
      </c>
      <c r="C34" s="3009">
        <v>26292</v>
      </c>
      <c r="D34" s="18">
        <f t="shared" si="3"/>
        <v>4.4096558918685018E-2</v>
      </c>
      <c r="E34" s="3007">
        <v>1</v>
      </c>
      <c r="F34" s="3006">
        <v>1</v>
      </c>
      <c r="H34" s="2586">
        <f>SUM(C29:C35)</f>
        <v>596237</v>
      </c>
      <c r="I34" s="2587">
        <f>SUM(D29:D35)</f>
        <v>1</v>
      </c>
      <c r="J34" s="2586">
        <f>SUM(E29:E35)</f>
        <v>27</v>
      </c>
      <c r="K34" s="2586">
        <f>SUM(F29:F35)</f>
        <v>12</v>
      </c>
    </row>
    <row r="35" spans="1:11">
      <c r="A35" s="3005" t="s">
        <v>28</v>
      </c>
      <c r="C35" s="3009">
        <f>+C28-SUM(C29:C34)</f>
        <v>14645</v>
      </c>
      <c r="D35" s="18">
        <f t="shared" si="3"/>
        <v>2.4562380395715126E-2</v>
      </c>
      <c r="E35" s="3009">
        <f>+E28-SUM(E29:E34)</f>
        <v>1</v>
      </c>
      <c r="F35" s="3009">
        <f>+F28-SUM(F29:F34)</f>
        <v>0</v>
      </c>
      <c r="H35" s="3005">
        <f>C28</f>
        <v>596237</v>
      </c>
      <c r="I35" s="3021">
        <f>D28</f>
        <v>1</v>
      </c>
      <c r="J35" s="3005">
        <f>E28</f>
        <v>27</v>
      </c>
      <c r="K35" s="3005">
        <f>F28</f>
        <v>12</v>
      </c>
    </row>
    <row r="36" spans="1:11">
      <c r="D36" s="18"/>
    </row>
    <row r="37" spans="1:11">
      <c r="A37" s="3013" t="s">
        <v>35</v>
      </c>
      <c r="B37" s="3013"/>
      <c r="C37" s="3012">
        <f>+C21+C14+C6</f>
        <v>26668510</v>
      </c>
      <c r="D37" s="15">
        <f t="shared" ref="D37:D45" si="4">+C37/C$37</f>
        <v>1</v>
      </c>
      <c r="E37" s="3012">
        <f>+E21+E14+E6</f>
        <v>1680</v>
      </c>
      <c r="F37" s="3012">
        <f>+F21+F14+F6</f>
        <v>618</v>
      </c>
    </row>
    <row r="38" spans="1:11">
      <c r="A38" s="3005" t="s">
        <v>13</v>
      </c>
      <c r="C38" s="3006">
        <f>SUMIF(A$7:A$26,A38,C$7:C$26)</f>
        <v>10900047</v>
      </c>
      <c r="D38" s="18">
        <f t="shared" si="4"/>
        <v>0.40872350948740666</v>
      </c>
      <c r="E38" s="3006">
        <f>SUMIF(A$7:A$26,A38,E$7:E$26)</f>
        <v>608</v>
      </c>
      <c r="F38" s="3006">
        <f>SUMIF(A$7:A$26,A38,F$7:F$26)</f>
        <v>239</v>
      </c>
    </row>
    <row r="39" spans="1:11">
      <c r="A39" s="3005" t="s">
        <v>45</v>
      </c>
      <c r="C39" s="3006">
        <f>SUMIF(A$7:A$26,A39,C$7:C$26)</f>
        <v>149779</v>
      </c>
      <c r="D39" s="18">
        <f t="shared" si="4"/>
        <v>5.6163242715847267E-3</v>
      </c>
      <c r="E39" s="3006">
        <f>SUMIF(A$7:A$26,A39,E$7:E$26)</f>
        <v>9</v>
      </c>
      <c r="F39" s="3006">
        <f>SUMIF(A$7:A$26,A39,F$7:F$26)</f>
        <v>3</v>
      </c>
      <c r="H39" s="3005" t="b">
        <f>H40=H41</f>
        <v>1</v>
      </c>
      <c r="I39" s="2590" t="b">
        <f>I40=I41</f>
        <v>1</v>
      </c>
      <c r="J39" s="3005" t="b">
        <f>J40=J41</f>
        <v>1</v>
      </c>
      <c r="K39" s="3005" t="b">
        <f>K40=K41</f>
        <v>1</v>
      </c>
    </row>
    <row r="40" spans="1:11" s="3011" customFormat="1">
      <c r="A40" s="3011" t="s">
        <v>63</v>
      </c>
      <c r="C40" s="3010">
        <f>+C39+C38</f>
        <v>11049826</v>
      </c>
      <c r="D40" s="14">
        <f t="shared" si="4"/>
        <v>0.41433983375899142</v>
      </c>
      <c r="E40" s="3010">
        <f>+E39+E38</f>
        <v>617</v>
      </c>
      <c r="F40" s="3010">
        <f>+F39+F38</f>
        <v>242</v>
      </c>
      <c r="G40" s="3010"/>
      <c r="H40" s="2586">
        <f>SUM(C38:C39,C41:C45)</f>
        <v>26668510</v>
      </c>
      <c r="I40" s="2587">
        <f>SUM(D38:D39,D41:D45)</f>
        <v>1</v>
      </c>
      <c r="J40" s="2586">
        <f>SUM(E38:E39,E41:E45)</f>
        <v>1680</v>
      </c>
      <c r="K40" s="2586">
        <f>SUM(F38:F39,F41:F45)</f>
        <v>618</v>
      </c>
    </row>
    <row r="41" spans="1:11">
      <c r="A41" s="3005" t="s">
        <v>14</v>
      </c>
      <c r="C41" s="3006">
        <f>SUMIF(A$7:A$26,A41,C$7:C$26)</f>
        <v>13024016</v>
      </c>
      <c r="D41" s="18">
        <f t="shared" si="4"/>
        <v>0.4883668416420715</v>
      </c>
      <c r="E41" s="3006">
        <f>SUMIF(A$7:A$26,A41,E$7:E$26)</f>
        <v>618</v>
      </c>
      <c r="F41" s="3006">
        <v>364</v>
      </c>
      <c r="H41" s="3005">
        <f>C37</f>
        <v>26668510</v>
      </c>
      <c r="I41" s="3021">
        <f>D37</f>
        <v>1</v>
      </c>
      <c r="J41" s="3005">
        <f>E37</f>
        <v>1680</v>
      </c>
      <c r="K41" s="3005">
        <f>F37</f>
        <v>618</v>
      </c>
    </row>
    <row r="42" spans="1:11">
      <c r="A42" s="3005" t="s">
        <v>15</v>
      </c>
      <c r="C42" s="3006">
        <f>SUMIF(A$7:A$26,A42,C$7:C$26)</f>
        <v>2298348</v>
      </c>
      <c r="D42" s="18">
        <f t="shared" si="4"/>
        <v>8.6182092662844684E-2</v>
      </c>
      <c r="E42" s="3006">
        <f>SUMIF(A$7:A$26,A42,E$7:E$26)</f>
        <v>308</v>
      </c>
      <c r="F42" s="3006">
        <f>SUMIF(A$7:A$26,A42,F$7:F$26)</f>
        <v>12</v>
      </c>
    </row>
    <row r="43" spans="1:11">
      <c r="A43" s="3005" t="s">
        <v>23</v>
      </c>
      <c r="C43" s="3006">
        <f>SUMIF(A$7:A$26,A43,C$7:C$26)</f>
        <v>61071</v>
      </c>
      <c r="D43" s="18">
        <f t="shared" si="4"/>
        <v>2.2900042034594359E-3</v>
      </c>
      <c r="E43" s="3006">
        <f>SUMIF(A$7:A$26,A43,E$7:E$26)</f>
        <v>20</v>
      </c>
      <c r="F43" s="3006">
        <f>SUMIF(A$7:A$26,A43,F$7:F$26)</f>
        <v>0</v>
      </c>
    </row>
    <row r="44" spans="1:11">
      <c r="A44" s="3005" t="s">
        <v>24</v>
      </c>
      <c r="C44" s="3006">
        <f>SUMIF(A$7:A$26,A44,C$7:C$26)</f>
        <v>128474</v>
      </c>
      <c r="D44" s="18">
        <f t="shared" si="4"/>
        <v>4.8174419943221424E-3</v>
      </c>
      <c r="E44" s="3006">
        <f>SUMIF(A$7:A$26,A44,E$7:E$26)</f>
        <v>23</v>
      </c>
      <c r="F44" s="3006">
        <f>SUMIF(A$7:A$26,A44,F$7:F$26)</f>
        <v>0</v>
      </c>
      <c r="H44" s="3011"/>
      <c r="I44" s="2591"/>
      <c r="J44" s="3011"/>
      <c r="K44" s="3011"/>
    </row>
    <row r="45" spans="1:11">
      <c r="A45" s="3005" t="s">
        <v>28</v>
      </c>
      <c r="C45" s="3006">
        <f>SUMIF(A$7:A$26,A45,C$7:C$26)</f>
        <v>106775</v>
      </c>
      <c r="D45" s="18">
        <f t="shared" si="4"/>
        <v>4.0037857383108388E-3</v>
      </c>
      <c r="E45" s="3006">
        <f>SUMIF(A$7:A$26,A45,E$7:E$26)</f>
        <v>94</v>
      </c>
      <c r="F45" s="3006">
        <v>0</v>
      </c>
    </row>
    <row r="46" spans="1:11">
      <c r="A46" s="3013"/>
      <c r="B46" s="3013"/>
    </row>
    <row r="47" spans="1:11">
      <c r="A47" s="3013" t="s">
        <v>46</v>
      </c>
      <c r="B47" s="3013"/>
      <c r="C47" s="3012">
        <f>+C37+C28</f>
        <v>27264747</v>
      </c>
      <c r="D47" s="15">
        <f t="shared" ref="D47:D55" si="5">+C47/C$47</f>
        <v>1</v>
      </c>
      <c r="E47" s="3012">
        <f>+E37+E28</f>
        <v>1707</v>
      </c>
      <c r="F47" s="3012">
        <f>+F37+F28</f>
        <v>630</v>
      </c>
    </row>
    <row r="48" spans="1:11">
      <c r="A48" s="3005" t="s">
        <v>13</v>
      </c>
      <c r="C48" s="3006">
        <f>+C38+C29</f>
        <v>11268676</v>
      </c>
      <c r="D48" s="18">
        <f t="shared" si="5"/>
        <v>0.41330572405458227</v>
      </c>
      <c r="E48" s="3006">
        <f>+E38+E29</f>
        <v>620</v>
      </c>
      <c r="F48" s="3006">
        <f>+F38+F29</f>
        <v>250</v>
      </c>
    </row>
    <row r="49" spans="1:11">
      <c r="A49" s="3005" t="s">
        <v>45</v>
      </c>
      <c r="C49" s="3006">
        <f>+C39</f>
        <v>149779</v>
      </c>
      <c r="D49" s="18">
        <f t="shared" si="5"/>
        <v>5.4935041209074852E-3</v>
      </c>
      <c r="E49" s="3006">
        <f>+E39</f>
        <v>9</v>
      </c>
      <c r="F49" s="3006">
        <f>+F39</f>
        <v>3</v>
      </c>
    </row>
    <row r="50" spans="1:11">
      <c r="A50" s="3011" t="s">
        <v>63</v>
      </c>
      <c r="B50" s="3011"/>
      <c r="C50" s="3010">
        <f>+C49+C48</f>
        <v>11418455</v>
      </c>
      <c r="D50" s="14">
        <f t="shared" si="5"/>
        <v>0.41879922817548976</v>
      </c>
      <c r="E50" s="3010">
        <f>+E49+E48</f>
        <v>629</v>
      </c>
      <c r="F50" s="3010">
        <f>+F49+F48</f>
        <v>253</v>
      </c>
      <c r="H50" s="3005" t="b">
        <f>H51=H52</f>
        <v>1</v>
      </c>
      <c r="I50" s="2590" t="b">
        <f>I51=I52</f>
        <v>1</v>
      </c>
      <c r="J50" s="3005" t="b">
        <f>J51=J52</f>
        <v>1</v>
      </c>
      <c r="K50" s="3005" t="b">
        <f>K51=K52</f>
        <v>1</v>
      </c>
    </row>
    <row r="51" spans="1:11">
      <c r="A51" s="3005" t="s">
        <v>14</v>
      </c>
      <c r="C51" s="3006">
        <f>+C41+C30</f>
        <v>13096629</v>
      </c>
      <c r="D51" s="18">
        <f t="shared" si="5"/>
        <v>0.48035028529698076</v>
      </c>
      <c r="E51" s="3006">
        <f>+E41+E30</f>
        <v>622</v>
      </c>
      <c r="F51" s="3006">
        <f>+F41+F30</f>
        <v>364</v>
      </c>
      <c r="G51" s="18"/>
      <c r="H51" s="2586">
        <f>SUM(C48:C49,C51:C55)</f>
        <v>27264747</v>
      </c>
      <c r="I51" s="2587">
        <f>SUM(D48:D49,D51:D55)</f>
        <v>1</v>
      </c>
      <c r="J51" s="2586">
        <f>SUM(E48:E49,E51:E55)</f>
        <v>1707</v>
      </c>
      <c r="K51" s="2586">
        <f>SUM(F48:F49,F51:F55)</f>
        <v>630</v>
      </c>
    </row>
    <row r="52" spans="1:11">
      <c r="A52" s="3005" t="s">
        <v>15</v>
      </c>
      <c r="C52" s="3006">
        <f>+C42+C31</f>
        <v>2327457</v>
      </c>
      <c r="D52" s="18">
        <f t="shared" si="5"/>
        <v>8.5365068672744335E-2</v>
      </c>
      <c r="E52" s="3006">
        <f>+E42+E31</f>
        <v>311</v>
      </c>
      <c r="F52" s="3006">
        <f>+F42+F31</f>
        <v>12</v>
      </c>
      <c r="H52" s="3005">
        <f>C47</f>
        <v>27264747</v>
      </c>
      <c r="I52" s="3021">
        <f>D47</f>
        <v>1</v>
      </c>
      <c r="J52" s="3005">
        <f>E47</f>
        <v>1707</v>
      </c>
      <c r="K52" s="3005">
        <f>F47</f>
        <v>630</v>
      </c>
    </row>
    <row r="53" spans="1:11">
      <c r="A53" s="3005" t="s">
        <v>23</v>
      </c>
      <c r="C53" s="3006">
        <f>+C43</f>
        <v>61071</v>
      </c>
      <c r="D53" s="18">
        <f t="shared" si="5"/>
        <v>2.2399254245784859E-3</v>
      </c>
      <c r="E53" s="3006">
        <f>+E43</f>
        <v>20</v>
      </c>
      <c r="F53" s="3006">
        <f>+F43</f>
        <v>0</v>
      </c>
    </row>
    <row r="54" spans="1:11">
      <c r="A54" s="3005" t="s">
        <v>24</v>
      </c>
      <c r="C54" s="3006">
        <f>+C44</f>
        <v>128474</v>
      </c>
      <c r="D54" s="18">
        <f t="shared" si="5"/>
        <v>4.7120921386140128E-3</v>
      </c>
      <c r="E54" s="3006">
        <f>+E44</f>
        <v>23</v>
      </c>
      <c r="F54" s="3006">
        <f>+F44</f>
        <v>0</v>
      </c>
    </row>
    <row r="55" spans="1:11">
      <c r="A55" s="3005" t="s">
        <v>28</v>
      </c>
      <c r="C55" s="3006">
        <f>+C47-SUM(C50:C54)</f>
        <v>232661</v>
      </c>
      <c r="D55" s="18">
        <f t="shared" si="5"/>
        <v>8.5334002915926563E-3</v>
      </c>
      <c r="E55" s="3006">
        <f>+E47-SUM(E50:E54)</f>
        <v>102</v>
      </c>
      <c r="F55" s="3006">
        <f>+F47-SUM(F50:F54)</f>
        <v>1</v>
      </c>
    </row>
    <row r="57" spans="1:11">
      <c r="A57" s="3015" t="s">
        <v>21</v>
      </c>
      <c r="B57" s="3014" t="s">
        <v>43</v>
      </c>
      <c r="D57" s="3005"/>
      <c r="E57" s="3005"/>
      <c r="F57" s="3005"/>
      <c r="G57" s="3005"/>
    </row>
  </sheetData>
  <mergeCells count="1">
    <mergeCell ref="A2:B2"/>
  </mergeCells>
  <conditionalFormatting sqref="H5:K5">
    <cfRule type="cellIs" dxfId="38" priority="6" operator="equal">
      <formula>"""FALSE"""</formula>
    </cfRule>
  </conditionalFormatting>
  <conditionalFormatting sqref="H14:K14">
    <cfRule type="cellIs" dxfId="37" priority="5" operator="equal">
      <formula>"""FALSE"""</formula>
    </cfRule>
  </conditionalFormatting>
  <conditionalFormatting sqref="H24:K24">
    <cfRule type="cellIs" dxfId="36" priority="4" operator="equal">
      <formula>"""FALSE"""</formula>
    </cfRule>
  </conditionalFormatting>
  <conditionalFormatting sqref="H33:K33">
    <cfRule type="cellIs" dxfId="35" priority="3" operator="equal">
      <formula>"""FALSE"""</formula>
    </cfRule>
  </conditionalFormatting>
  <conditionalFormatting sqref="H39:K39">
    <cfRule type="cellIs" dxfId="34" priority="2" operator="equal">
      <formula>"""FALSE"""</formula>
    </cfRule>
  </conditionalFormatting>
  <conditionalFormatting sqref="H50:K50">
    <cfRule type="cellIs" dxfId="33" priority="1" operator="equal">
      <formula>"""FALSE"""</formula>
    </cfRule>
  </conditionalFormatting>
  <pageMargins left="0.75" right="0.75" top="1" bottom="1" header="0.5" footer="0.5"/>
  <pageSetup paperSize="9" scale="97" orientation="portrait" horizontalDpi="1200"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D08E-0285-4688-9C92-BCD38DA22CCE}">
  <sheetPr>
    <tabColor rgb="FFFFFF00"/>
    <pageSetUpPr fitToPage="1"/>
  </sheetPr>
  <dimension ref="A1:K52"/>
  <sheetViews>
    <sheetView topLeftCell="A23" zoomScale="130" zoomScaleNormal="130" workbookViewId="0">
      <selection activeCell="O68" sqref="O68"/>
    </sheetView>
  </sheetViews>
  <sheetFormatPr baseColWidth="10" defaultColWidth="8.796875" defaultRowHeight="13"/>
  <cols>
    <col min="1" max="1" width="7.19921875" style="3005" customWidth="1"/>
    <col min="2" max="2" width="18.796875" style="3005" customWidth="1"/>
    <col min="3" max="3" width="13" style="3009" customWidth="1"/>
    <col min="4" max="4" width="11.59765625" style="3008" customWidth="1"/>
    <col min="5" max="5" width="9.796875" style="3007" customWidth="1"/>
    <col min="6" max="6" width="10.19921875" style="3006" customWidth="1"/>
    <col min="7" max="7" width="13" style="3006" customWidth="1"/>
    <col min="8" max="8" width="12" style="3005" customWidth="1"/>
    <col min="9" max="9" width="11.3984375" style="2590" customWidth="1"/>
    <col min="10" max="10" width="13.796875" style="3005" customWidth="1"/>
    <col min="11" max="11" width="8.796875" style="3005"/>
    <col min="12" max="12" width="13" style="3005" customWidth="1"/>
    <col min="13" max="13" width="8.796875" style="3005"/>
    <col min="14" max="14" width="10.19921875" style="3005" customWidth="1"/>
    <col min="15" max="16" width="12.59765625" style="3005" customWidth="1"/>
    <col min="17" max="16384" width="8.796875" style="3005"/>
  </cols>
  <sheetData>
    <row r="1" spans="1:11">
      <c r="A1" s="3013" t="s">
        <v>64</v>
      </c>
      <c r="B1" s="3013"/>
      <c r="C1" s="3006"/>
    </row>
    <row r="2" spans="1:11">
      <c r="A2" s="3521">
        <v>37060</v>
      </c>
      <c r="B2" s="3522"/>
      <c r="C2" s="3006"/>
    </row>
    <row r="3" spans="1:11" ht="3.5" customHeight="1">
      <c r="A3" s="3013"/>
      <c r="B3" s="3013"/>
      <c r="C3" s="3006"/>
    </row>
    <row r="4" spans="1:11">
      <c r="C4" s="3006" t="s">
        <v>34</v>
      </c>
      <c r="D4" s="3008" t="s">
        <v>36</v>
      </c>
      <c r="E4" s="3007" t="s">
        <v>37</v>
      </c>
      <c r="F4" s="3006" t="s">
        <v>25</v>
      </c>
    </row>
    <row r="5" spans="1:11">
      <c r="C5" s="3006"/>
      <c r="H5" s="3005" t="b">
        <f>H6=H7</f>
        <v>1</v>
      </c>
      <c r="I5" s="2590" t="b">
        <f>I6=I7</f>
        <v>1</v>
      </c>
      <c r="J5" s="3005" t="b">
        <f>J6=J7</f>
        <v>1</v>
      </c>
      <c r="K5" s="3005" t="b">
        <f>K6=K7</f>
        <v>1</v>
      </c>
    </row>
    <row r="6" spans="1:11" s="3013" customFormat="1">
      <c r="A6" s="3013" t="s">
        <v>17</v>
      </c>
      <c r="C6" s="3012">
        <v>23360896</v>
      </c>
      <c r="D6" s="15">
        <f>+C6/C$6</f>
        <v>1</v>
      </c>
      <c r="E6" s="3012">
        <v>1403</v>
      </c>
      <c r="F6" s="3017">
        <v>511</v>
      </c>
      <c r="G6" s="3012"/>
      <c r="H6" s="2586">
        <f>SUM(C7:C10)</f>
        <v>23360896</v>
      </c>
      <c r="I6" s="2587">
        <f>SUM(D7:D10)</f>
        <v>1</v>
      </c>
      <c r="J6" s="2586">
        <f>SUM(E7:E10)</f>
        <v>1403</v>
      </c>
      <c r="K6" s="2586">
        <f>SUM(F7:F10)</f>
        <v>511</v>
      </c>
    </row>
    <row r="7" spans="1:11">
      <c r="A7" s="3005" t="s">
        <v>13</v>
      </c>
      <c r="C7" s="3006">
        <v>11282524</v>
      </c>
      <c r="D7" s="18">
        <f>+C7/C$6</f>
        <v>0.48296623554165047</v>
      </c>
      <c r="E7" s="3006">
        <v>510</v>
      </c>
      <c r="F7" s="3006">
        <v>292</v>
      </c>
      <c r="H7" s="3005">
        <f>C6</f>
        <v>23360896</v>
      </c>
      <c r="I7" s="3021">
        <f>D6</f>
        <v>1</v>
      </c>
      <c r="J7" s="3005">
        <f>E6</f>
        <v>1403</v>
      </c>
      <c r="K7" s="3005">
        <f>F6</f>
        <v>511</v>
      </c>
    </row>
    <row r="8" spans="1:11">
      <c r="A8" s="3005" t="s">
        <v>14</v>
      </c>
      <c r="C8" s="3006">
        <f>10131555</f>
        <v>10131555</v>
      </c>
      <c r="D8" s="18">
        <f>+C8/C$6</f>
        <v>0.43369719209400187</v>
      </c>
      <c r="E8" s="3007">
        <v>511</v>
      </c>
      <c r="F8" s="3007">
        <f>217-1</f>
        <v>216</v>
      </c>
    </row>
    <row r="9" spans="1:11">
      <c r="A9" s="3005" t="s">
        <v>15</v>
      </c>
      <c r="C9" s="3006">
        <v>1853616</v>
      </c>
      <c r="D9" s="18">
        <f>+C9/C$6</f>
        <v>7.9346956555091039E-2</v>
      </c>
      <c r="E9" s="3007">
        <v>282</v>
      </c>
      <c r="F9" s="3007">
        <v>2</v>
      </c>
    </row>
    <row r="10" spans="1:11">
      <c r="A10" s="3005" t="s">
        <v>28</v>
      </c>
      <c r="C10" s="3006">
        <f>C6-(C7+C8+C9)</f>
        <v>93201</v>
      </c>
      <c r="D10" s="18">
        <f>+C10/C$6</f>
        <v>3.9896158092566315E-3</v>
      </c>
      <c r="E10" s="3007">
        <f>E6-(E7+E8+E9)</f>
        <v>100</v>
      </c>
      <c r="F10" s="3007">
        <f>F6-(F7+F8+F9)</f>
        <v>1</v>
      </c>
      <c r="H10" s="3011"/>
      <c r="I10" s="2591"/>
      <c r="J10" s="3011"/>
      <c r="K10" s="3011"/>
    </row>
    <row r="11" spans="1:11">
      <c r="C11" s="3006"/>
      <c r="F11" s="3007"/>
      <c r="H11" s="3005" t="b">
        <f>H12=H13</f>
        <v>1</v>
      </c>
      <c r="I11" s="2590" t="b">
        <f>I12=I13</f>
        <v>1</v>
      </c>
      <c r="J11" s="3005" t="b">
        <f>J12=J13</f>
        <v>1</v>
      </c>
      <c r="K11" s="3005" t="b">
        <f>K12=K13</f>
        <v>1</v>
      </c>
    </row>
    <row r="12" spans="1:11">
      <c r="A12" s="3013" t="s">
        <v>18</v>
      </c>
      <c r="B12" s="3013"/>
      <c r="C12" s="3012">
        <v>1516554</v>
      </c>
      <c r="D12" s="15">
        <f t="shared" ref="D12:D17" si="0">+C12/C$12</f>
        <v>1</v>
      </c>
      <c r="E12" s="3017">
        <v>138</v>
      </c>
      <c r="F12" s="3017">
        <v>36</v>
      </c>
      <c r="H12" s="2586">
        <f>SUM(C13:C17)</f>
        <v>1516554</v>
      </c>
      <c r="I12" s="2587">
        <f>SUM(D13:D17)</f>
        <v>1</v>
      </c>
      <c r="J12" s="2586">
        <f>SUM(E13:E17)</f>
        <v>138</v>
      </c>
      <c r="K12" s="2586">
        <f>SUM(F13:F17)</f>
        <v>36</v>
      </c>
    </row>
    <row r="13" spans="1:11">
      <c r="A13" s="3005" t="s">
        <v>13</v>
      </c>
      <c r="B13" s="3011"/>
      <c r="C13" s="3006">
        <v>419884</v>
      </c>
      <c r="D13" s="18">
        <f t="shared" si="0"/>
        <v>0.27686716068138689</v>
      </c>
      <c r="E13" s="3006">
        <v>36</v>
      </c>
      <c r="F13" s="3006">
        <v>7</v>
      </c>
      <c r="H13" s="3005">
        <f>C12</f>
        <v>1516554</v>
      </c>
      <c r="I13" s="3021">
        <f>D12</f>
        <v>1</v>
      </c>
      <c r="J13" s="3005">
        <f>E12</f>
        <v>138</v>
      </c>
      <c r="K13" s="3005">
        <f>F12</f>
        <v>36</v>
      </c>
    </row>
    <row r="14" spans="1:11">
      <c r="A14" s="3005" t="s">
        <v>14</v>
      </c>
      <c r="C14" s="3006">
        <v>781941</v>
      </c>
      <c r="D14" s="18">
        <f t="shared" si="0"/>
        <v>0.5156037965018061</v>
      </c>
      <c r="E14" s="3007">
        <v>36</v>
      </c>
      <c r="F14" s="3007">
        <v>27</v>
      </c>
    </row>
    <row r="15" spans="1:11">
      <c r="A15" s="3005" t="s">
        <v>15</v>
      </c>
      <c r="C15" s="3006">
        <v>103747</v>
      </c>
      <c r="D15" s="18">
        <f t="shared" si="0"/>
        <v>6.8409697247839504E-2</v>
      </c>
      <c r="E15" s="3007">
        <v>19</v>
      </c>
      <c r="F15" s="3007">
        <v>1</v>
      </c>
    </row>
    <row r="16" spans="1:11">
      <c r="A16" s="3005" t="s">
        <v>23</v>
      </c>
      <c r="C16" s="3006">
        <v>175016</v>
      </c>
      <c r="D16" s="18">
        <f t="shared" si="0"/>
        <v>0.11540373768424995</v>
      </c>
      <c r="E16" s="3006">
        <v>36</v>
      </c>
      <c r="F16" s="3007">
        <v>0</v>
      </c>
    </row>
    <row r="17" spans="1:11">
      <c r="A17" s="3005" t="s">
        <v>28</v>
      </c>
      <c r="C17" s="3006">
        <f>+C12-SUM(C13:C16)</f>
        <v>35966</v>
      </c>
      <c r="D17" s="18">
        <f t="shared" si="0"/>
        <v>2.3715607884717591E-2</v>
      </c>
      <c r="E17" s="3006">
        <f>+E12-SUM(E13:E16)</f>
        <v>11</v>
      </c>
      <c r="F17" s="3006">
        <f>+F12-SUM(F13:F16)</f>
        <v>1</v>
      </c>
    </row>
    <row r="18" spans="1:11">
      <c r="C18" s="3006"/>
      <c r="F18" s="3007"/>
      <c r="H18" s="3005" t="b">
        <f>H19=H20</f>
        <v>1</v>
      </c>
      <c r="I18" s="2590" t="b">
        <f>I19=I20</f>
        <v>1</v>
      </c>
      <c r="J18" s="3005" t="b">
        <f>J19=J20</f>
        <v>1</v>
      </c>
      <c r="K18" s="3005" t="b">
        <f>K19=K20</f>
        <v>1</v>
      </c>
    </row>
    <row r="19" spans="1:11">
      <c r="A19" s="3013" t="s">
        <v>19</v>
      </c>
      <c r="B19" s="3013"/>
      <c r="C19" s="3012">
        <v>2688235</v>
      </c>
      <c r="D19" s="15">
        <f t="shared" ref="D19:D24" si="1">+C19/C$19</f>
        <v>1</v>
      </c>
      <c r="E19" s="3017">
        <v>256</v>
      </c>
      <c r="F19" s="3017">
        <v>71</v>
      </c>
      <c r="H19" s="2586">
        <f>SUM(C20:C24)</f>
        <v>2688235</v>
      </c>
      <c r="I19" s="2592">
        <f>SUM(D20:D24)</f>
        <v>1.0000000000000002</v>
      </c>
      <c r="J19" s="2586">
        <f>SUM(E20:E24)</f>
        <v>256</v>
      </c>
      <c r="K19" s="2586">
        <f>SUM(F20:F24)</f>
        <v>71</v>
      </c>
    </row>
    <row r="20" spans="1:11" s="3011" customFormat="1">
      <c r="A20" s="3005" t="s">
        <v>13</v>
      </c>
      <c r="C20" s="3006">
        <v>1020674</v>
      </c>
      <c r="D20" s="18">
        <f t="shared" si="1"/>
        <v>0.37968183585140436</v>
      </c>
      <c r="E20" s="3006">
        <v>70</v>
      </c>
      <c r="F20" s="3007">
        <v>23</v>
      </c>
      <c r="G20" s="3010"/>
      <c r="H20" s="3005">
        <f>C19</f>
        <v>2688235</v>
      </c>
      <c r="I20" s="838">
        <f>D19</f>
        <v>1</v>
      </c>
      <c r="J20" s="3005">
        <f>E19</f>
        <v>256</v>
      </c>
      <c r="K20" s="3005">
        <f>F19</f>
        <v>71</v>
      </c>
    </row>
    <row r="21" spans="1:11">
      <c r="A21" s="3005" t="s">
        <v>14</v>
      </c>
      <c r="C21" s="3006">
        <v>1197068</v>
      </c>
      <c r="D21" s="18">
        <f t="shared" si="1"/>
        <v>0.44529886710053251</v>
      </c>
      <c r="E21" s="3007">
        <v>71</v>
      </c>
      <c r="F21" s="3007">
        <v>44</v>
      </c>
    </row>
    <row r="22" spans="1:11">
      <c r="A22" s="3005" t="s">
        <v>15</v>
      </c>
      <c r="C22" s="3009">
        <v>147667</v>
      </c>
      <c r="D22" s="18">
        <f t="shared" si="1"/>
        <v>5.4930837519785287E-2</v>
      </c>
      <c r="E22" s="3007">
        <v>27</v>
      </c>
      <c r="F22" s="3007">
        <v>3</v>
      </c>
    </row>
    <row r="23" spans="1:11">
      <c r="A23" s="3005" t="s">
        <v>24</v>
      </c>
      <c r="C23" s="3006">
        <v>306802</v>
      </c>
      <c r="D23" s="18">
        <f t="shared" si="1"/>
        <v>0.11412767112994214</v>
      </c>
      <c r="E23" s="3007">
        <v>65</v>
      </c>
      <c r="F23" s="3007">
        <v>1</v>
      </c>
    </row>
    <row r="24" spans="1:11">
      <c r="A24" s="3005" t="s">
        <v>28</v>
      </c>
      <c r="C24" s="3006">
        <f>+C19-SUM(C20:C23)</f>
        <v>16024</v>
      </c>
      <c r="D24" s="18">
        <f t="shared" si="1"/>
        <v>5.9607883983357106E-3</v>
      </c>
      <c r="E24" s="3006">
        <f>+E19-SUM(E20:E23)</f>
        <v>23</v>
      </c>
      <c r="F24" s="3006">
        <f>+F19-SUM(F20:F23)</f>
        <v>0</v>
      </c>
    </row>
    <row r="25" spans="1:11">
      <c r="C25" s="3006"/>
      <c r="F25" s="3007"/>
      <c r="H25" s="3005" t="b">
        <f>H26=H27</f>
        <v>1</v>
      </c>
      <c r="I25" s="2590" t="b">
        <f>I26=I27</f>
        <v>1</v>
      </c>
      <c r="J25" s="3005" t="b">
        <f>J26=J27</f>
        <v>1</v>
      </c>
      <c r="K25" s="3005" t="b">
        <f>K26=K27</f>
        <v>1</v>
      </c>
    </row>
    <row r="26" spans="1:11">
      <c r="A26" s="3013" t="s">
        <v>20</v>
      </c>
      <c r="B26" s="3013"/>
      <c r="C26" s="3012">
        <v>779113</v>
      </c>
      <c r="D26" s="15">
        <f t="shared" ref="D26:D34" si="2">+C26/C$26</f>
        <v>1</v>
      </c>
      <c r="E26" s="3017">
        <v>40</v>
      </c>
      <c r="F26" s="3017">
        <v>12</v>
      </c>
      <c r="H26" s="2586">
        <f>SUM(C27:C34)</f>
        <v>779113</v>
      </c>
      <c r="I26" s="2587">
        <f>SUM(D27:D34)</f>
        <v>1</v>
      </c>
      <c r="J26" s="2586">
        <f>SUM(E27:E34)</f>
        <v>40</v>
      </c>
      <c r="K26" s="2586">
        <f>SUM(F27:F34)</f>
        <v>12</v>
      </c>
    </row>
    <row r="27" spans="1:11">
      <c r="A27" s="3005" t="s">
        <v>13</v>
      </c>
      <c r="C27" s="3006">
        <v>422041</v>
      </c>
      <c r="D27" s="18">
        <f t="shared" si="2"/>
        <v>0.54169420867062934</v>
      </c>
      <c r="E27" s="3007">
        <v>12</v>
      </c>
      <c r="F27" s="3007">
        <v>8</v>
      </c>
      <c r="H27" s="3005">
        <f>C26</f>
        <v>779113</v>
      </c>
      <c r="I27" s="3021">
        <f>D26</f>
        <v>1</v>
      </c>
      <c r="J27" s="3005">
        <f>E26</f>
        <v>40</v>
      </c>
      <c r="K27" s="3005">
        <f>F26</f>
        <v>12</v>
      </c>
    </row>
    <row r="28" spans="1:11">
      <c r="A28" s="3005" t="s">
        <v>14</v>
      </c>
      <c r="C28" s="3006">
        <v>98194</v>
      </c>
      <c r="D28" s="18">
        <f t="shared" si="2"/>
        <v>0.12603306580688553</v>
      </c>
      <c r="E28" s="3007">
        <v>7</v>
      </c>
      <c r="F28" s="3007">
        <v>0</v>
      </c>
    </row>
    <row r="29" spans="1:11">
      <c r="A29" s="3005" t="s">
        <v>15</v>
      </c>
      <c r="C29" s="3006">
        <v>12005</v>
      </c>
      <c r="D29" s="18">
        <f t="shared" si="2"/>
        <v>1.5408547925653916E-2</v>
      </c>
      <c r="E29" s="3007">
        <v>4</v>
      </c>
      <c r="F29" s="3007">
        <v>0</v>
      </c>
    </row>
    <row r="30" spans="1:11">
      <c r="A30" s="3005" t="s">
        <v>65</v>
      </c>
      <c r="C30" s="3006">
        <v>10349</v>
      </c>
      <c r="D30" s="18">
        <f t="shared" si="2"/>
        <v>1.3283053934410028E-2</v>
      </c>
      <c r="E30" s="3007">
        <v>2</v>
      </c>
      <c r="F30" s="3007">
        <v>0</v>
      </c>
    </row>
    <row r="31" spans="1:11">
      <c r="A31" s="3005" t="s">
        <v>66</v>
      </c>
      <c r="C31" s="3009">
        <v>35303</v>
      </c>
      <c r="D31" s="18">
        <f t="shared" si="2"/>
        <v>4.5311784041596019E-2</v>
      </c>
      <c r="E31" s="3007">
        <v>2</v>
      </c>
      <c r="F31" s="3006">
        <v>1</v>
      </c>
    </row>
    <row r="32" spans="1:11">
      <c r="A32" s="3005" t="s">
        <v>62</v>
      </c>
      <c r="C32" s="3009">
        <v>30649</v>
      </c>
      <c r="D32" s="18">
        <f t="shared" si="2"/>
        <v>3.9338324479247552E-2</v>
      </c>
      <c r="E32" s="3007">
        <v>1</v>
      </c>
      <c r="F32" s="3006">
        <v>1</v>
      </c>
    </row>
    <row r="33" spans="1:11">
      <c r="A33" s="3005" t="s">
        <v>29</v>
      </c>
      <c r="C33" s="3009">
        <v>140930</v>
      </c>
      <c r="D33" s="18">
        <f t="shared" si="2"/>
        <v>0.18088518610265777</v>
      </c>
      <c r="E33" s="3007">
        <v>5</v>
      </c>
      <c r="F33" s="3006">
        <v>2</v>
      </c>
    </row>
    <row r="34" spans="1:11">
      <c r="A34" s="3005" t="s">
        <v>28</v>
      </c>
      <c r="C34" s="3009">
        <f>+C26-SUM(C27:C33)</f>
        <v>29642</v>
      </c>
      <c r="D34" s="18">
        <f t="shared" si="2"/>
        <v>3.8045829038919898E-2</v>
      </c>
      <c r="E34" s="3009">
        <f>+E26-SUM(E27:E33)</f>
        <v>7</v>
      </c>
      <c r="F34" s="3009">
        <f>+F26-SUM(F27:F33)</f>
        <v>0</v>
      </c>
    </row>
    <row r="35" spans="1:11">
      <c r="D35" s="18"/>
      <c r="H35" s="3005" t="b">
        <f>H36=H37</f>
        <v>1</v>
      </c>
      <c r="I35" s="2590" t="b">
        <f>I36=I37</f>
        <v>1</v>
      </c>
      <c r="J35" s="3005" t="b">
        <f>J36=J37</f>
        <v>1</v>
      </c>
      <c r="K35" s="3005" t="b">
        <f>K36=K37</f>
        <v>1</v>
      </c>
    </row>
    <row r="36" spans="1:11">
      <c r="A36" s="3013" t="s">
        <v>35</v>
      </c>
      <c r="B36" s="3013"/>
      <c r="C36" s="3012">
        <f>+C19+C12+C6</f>
        <v>27565685</v>
      </c>
      <c r="D36" s="15">
        <f t="shared" ref="D36:D42" si="3">+C36/C$36</f>
        <v>1</v>
      </c>
      <c r="E36" s="3012">
        <f>+E19+E12+E6</f>
        <v>1797</v>
      </c>
      <c r="F36" s="3012">
        <f>+F19+F12+F6</f>
        <v>618</v>
      </c>
      <c r="H36" s="2586">
        <f>SUM(C37:C42)</f>
        <v>27565685</v>
      </c>
      <c r="I36" s="2587">
        <f>SUM(D37:D42)</f>
        <v>1</v>
      </c>
      <c r="J36" s="2586">
        <f>SUM(E37:E42)</f>
        <v>1797</v>
      </c>
      <c r="K36" s="2586">
        <f>SUM(F37:F42)</f>
        <v>618</v>
      </c>
    </row>
    <row r="37" spans="1:11" s="3011" customFormat="1">
      <c r="A37" s="3005" t="s">
        <v>13</v>
      </c>
      <c r="C37" s="3006">
        <f t="shared" ref="C37:C42" si="4">SUMIF(A$7:A$24,A37,C$7:C$24)</f>
        <v>12723082</v>
      </c>
      <c r="D37" s="18">
        <f t="shared" si="3"/>
        <v>0.46155508197964246</v>
      </c>
      <c r="E37" s="3006">
        <f t="shared" ref="E37:E42" si="5">SUMIF(A$7:A$24,A37,E$7:E$24)</f>
        <v>616</v>
      </c>
      <c r="F37" s="3006">
        <f>SUMIF(A$7:A$24,A37,F$7:F$24)</f>
        <v>322</v>
      </c>
      <c r="G37" s="3010"/>
      <c r="H37" s="3005">
        <f>C36</f>
        <v>27565685</v>
      </c>
      <c r="I37" s="3021">
        <f>D36</f>
        <v>1</v>
      </c>
      <c r="J37" s="3005">
        <f>E36</f>
        <v>1797</v>
      </c>
      <c r="K37" s="3005">
        <f>F36</f>
        <v>618</v>
      </c>
    </row>
    <row r="38" spans="1:11">
      <c r="A38" s="3005" t="s">
        <v>14</v>
      </c>
      <c r="C38" s="3006">
        <f t="shared" si="4"/>
        <v>12110564</v>
      </c>
      <c r="D38" s="18">
        <f t="shared" si="3"/>
        <v>0.43933477437618546</v>
      </c>
      <c r="E38" s="3006">
        <f t="shared" si="5"/>
        <v>618</v>
      </c>
      <c r="F38" s="3006">
        <v>288</v>
      </c>
    </row>
    <row r="39" spans="1:11">
      <c r="A39" s="3005" t="s">
        <v>15</v>
      </c>
      <c r="C39" s="3006">
        <f t="shared" si="4"/>
        <v>2105030</v>
      </c>
      <c r="D39" s="18">
        <f t="shared" si="3"/>
        <v>7.6364146220200949E-2</v>
      </c>
      <c r="E39" s="3006">
        <f t="shared" si="5"/>
        <v>328</v>
      </c>
      <c r="F39" s="3006">
        <f>SUMIF(A$7:A$24,A39,F$7:F$24)</f>
        <v>6</v>
      </c>
    </row>
    <row r="40" spans="1:11">
      <c r="A40" s="3005" t="s">
        <v>23</v>
      </c>
      <c r="C40" s="3006">
        <f t="shared" si="4"/>
        <v>175016</v>
      </c>
      <c r="D40" s="18">
        <f t="shared" si="3"/>
        <v>6.3490531797051296E-3</v>
      </c>
      <c r="E40" s="3006">
        <f t="shared" si="5"/>
        <v>36</v>
      </c>
      <c r="F40" s="3006">
        <f>SUMIF(A$7:A$24,A40,F$7:F$24)</f>
        <v>0</v>
      </c>
    </row>
    <row r="41" spans="1:11">
      <c r="A41" s="3005" t="s">
        <v>24</v>
      </c>
      <c r="C41" s="3006">
        <f t="shared" si="4"/>
        <v>306802</v>
      </c>
      <c r="D41" s="18">
        <f t="shared" si="3"/>
        <v>1.112985220574058E-2</v>
      </c>
      <c r="E41" s="3006">
        <f t="shared" si="5"/>
        <v>65</v>
      </c>
      <c r="F41" s="3006">
        <f>SUMIF(A$7:A$24,A41,F$7:F$24)</f>
        <v>1</v>
      </c>
      <c r="H41" s="3011"/>
      <c r="I41" s="2591"/>
      <c r="J41" s="3011"/>
      <c r="K41" s="3011"/>
    </row>
    <row r="42" spans="1:11">
      <c r="A42" s="3005" t="s">
        <v>28</v>
      </c>
      <c r="C42" s="3006">
        <f t="shared" si="4"/>
        <v>145191</v>
      </c>
      <c r="D42" s="18">
        <f t="shared" si="3"/>
        <v>5.2670920385254347E-3</v>
      </c>
      <c r="E42" s="3006">
        <f t="shared" si="5"/>
        <v>134</v>
      </c>
      <c r="F42" s="3006">
        <v>1</v>
      </c>
    </row>
    <row r="43" spans="1:11">
      <c r="A43" s="3013"/>
      <c r="B43" s="3013"/>
      <c r="H43" s="3005" t="b">
        <f>H44=H45</f>
        <v>1</v>
      </c>
      <c r="I43" s="2590" t="b">
        <f>I44=I45</f>
        <v>1</v>
      </c>
      <c r="J43" s="3005" t="b">
        <f>J44=J45</f>
        <v>1</v>
      </c>
      <c r="K43" s="3005" t="b">
        <f>K44=K45</f>
        <v>1</v>
      </c>
    </row>
    <row r="44" spans="1:11">
      <c r="A44" s="3013" t="s">
        <v>46</v>
      </c>
      <c r="B44" s="3013"/>
      <c r="C44" s="3012">
        <f>+C36+C26</f>
        <v>28344798</v>
      </c>
      <c r="D44" s="15">
        <f t="shared" ref="D44:D50" si="6">+C44/C$44</f>
        <v>1</v>
      </c>
      <c r="E44" s="3012">
        <f t="shared" ref="E44:F47" si="7">+E36+E26</f>
        <v>1837</v>
      </c>
      <c r="F44" s="3012">
        <f t="shared" si="7"/>
        <v>630</v>
      </c>
      <c r="H44" s="2586">
        <f>SUM(C45:C50)</f>
        <v>28344798</v>
      </c>
      <c r="I44" s="2587">
        <f>SUM(D45:D50)</f>
        <v>1</v>
      </c>
      <c r="J44" s="2586">
        <f>SUM(E45:E50)</f>
        <v>1837</v>
      </c>
      <c r="K44" s="2586">
        <f>SUM(F45:F50)</f>
        <v>630</v>
      </c>
    </row>
    <row r="45" spans="1:11">
      <c r="A45" s="3005" t="s">
        <v>13</v>
      </c>
      <c r="B45" s="3011"/>
      <c r="C45" s="3006">
        <f>+C37+C27</f>
        <v>13145123</v>
      </c>
      <c r="D45" s="18">
        <f t="shared" si="6"/>
        <v>0.46375786484701709</v>
      </c>
      <c r="E45" s="3006">
        <f t="shared" si="7"/>
        <v>628</v>
      </c>
      <c r="F45" s="3006">
        <f t="shared" si="7"/>
        <v>330</v>
      </c>
      <c r="H45" s="3005">
        <f>C44</f>
        <v>28344798</v>
      </c>
      <c r="I45" s="3021">
        <f>D44</f>
        <v>1</v>
      </c>
      <c r="J45" s="3005">
        <f>E44</f>
        <v>1837</v>
      </c>
      <c r="K45" s="3005">
        <f>F44</f>
        <v>630</v>
      </c>
    </row>
    <row r="46" spans="1:11">
      <c r="A46" s="3005" t="s">
        <v>14</v>
      </c>
      <c r="C46" s="3006">
        <f>+C38+C28</f>
        <v>12208758</v>
      </c>
      <c r="D46" s="18">
        <f t="shared" si="6"/>
        <v>0.43072305542625494</v>
      </c>
      <c r="E46" s="3006">
        <f t="shared" si="7"/>
        <v>625</v>
      </c>
      <c r="F46" s="3006">
        <f t="shared" si="7"/>
        <v>288</v>
      </c>
      <c r="G46" s="18"/>
    </row>
    <row r="47" spans="1:11">
      <c r="A47" s="3005" t="s">
        <v>15</v>
      </c>
      <c r="C47" s="3006">
        <f>+C39+C29</f>
        <v>2117035</v>
      </c>
      <c r="D47" s="18">
        <f t="shared" si="6"/>
        <v>7.4688660684757741E-2</v>
      </c>
      <c r="E47" s="3006">
        <f t="shared" si="7"/>
        <v>332</v>
      </c>
      <c r="F47" s="3006">
        <f t="shared" si="7"/>
        <v>6</v>
      </c>
    </row>
    <row r="48" spans="1:11">
      <c r="A48" s="3005" t="s">
        <v>23</v>
      </c>
      <c r="C48" s="3006">
        <f>+C40</f>
        <v>175016</v>
      </c>
      <c r="D48" s="18">
        <f t="shared" si="6"/>
        <v>6.1745368585798353E-3</v>
      </c>
      <c r="E48" s="3006">
        <f>+E40</f>
        <v>36</v>
      </c>
      <c r="F48" s="3006">
        <f>+F40</f>
        <v>0</v>
      </c>
    </row>
    <row r="49" spans="1:7">
      <c r="A49" s="3005" t="s">
        <v>24</v>
      </c>
      <c r="C49" s="3006">
        <f>+C41</f>
        <v>306802</v>
      </c>
      <c r="D49" s="18">
        <f t="shared" si="6"/>
        <v>1.0823926139815849E-2</v>
      </c>
      <c r="E49" s="3006">
        <f>+E41</f>
        <v>65</v>
      </c>
      <c r="F49" s="3006">
        <f>+F41</f>
        <v>1</v>
      </c>
    </row>
    <row r="50" spans="1:7">
      <c r="A50" s="3005" t="s">
        <v>28</v>
      </c>
      <c r="C50" s="3006">
        <f>+C44-SUM(C45:C49)</f>
        <v>392064</v>
      </c>
      <c r="D50" s="18">
        <f t="shared" si="6"/>
        <v>1.3831956043574557E-2</v>
      </c>
      <c r="E50" s="3006">
        <f>+E44-SUM(E45:E49)</f>
        <v>151</v>
      </c>
      <c r="F50" s="3006">
        <f>+F44-SUM(F45:F49)</f>
        <v>5</v>
      </c>
    </row>
    <row r="52" spans="1:7">
      <c r="A52" s="3015" t="s">
        <v>21</v>
      </c>
      <c r="B52" s="3014" t="s">
        <v>43</v>
      </c>
      <c r="D52" s="3005"/>
      <c r="E52" s="3005"/>
      <c r="F52" s="3005"/>
      <c r="G52" s="3005"/>
    </row>
  </sheetData>
  <mergeCells count="1">
    <mergeCell ref="A2:B2"/>
  </mergeCells>
  <conditionalFormatting sqref="H43:K43">
    <cfRule type="cellIs" dxfId="32" priority="2" operator="equal">
      <formula>"""FALSE"""</formula>
    </cfRule>
  </conditionalFormatting>
  <conditionalFormatting sqref="H5:K5">
    <cfRule type="cellIs" dxfId="31" priority="7" operator="equal">
      <formula>"""FALSE"""</formula>
    </cfRule>
  </conditionalFormatting>
  <conditionalFormatting sqref="H11:K11">
    <cfRule type="cellIs" dxfId="30" priority="6" operator="equal">
      <formula>"""FALSE"""</formula>
    </cfRule>
  </conditionalFormatting>
  <conditionalFormatting sqref="H18:K18">
    <cfRule type="cellIs" dxfId="29" priority="5" operator="equal">
      <formula>"""FALSE"""</formula>
    </cfRule>
  </conditionalFormatting>
  <conditionalFormatting sqref="H25:K25">
    <cfRule type="cellIs" dxfId="28" priority="4" operator="equal">
      <formula>"""FALSE"""</formula>
    </cfRule>
  </conditionalFormatting>
  <conditionalFormatting sqref="H35:K35">
    <cfRule type="cellIs" dxfId="27" priority="3" operator="equal">
      <formula>"""FALSE"""</formula>
    </cfRule>
  </conditionalFormatting>
  <conditionalFormatting sqref="H1:K1048576">
    <cfRule type="cellIs" dxfId="26" priority="1" operator="equal">
      <formula>"""FALSE"""</formula>
    </cfRule>
  </conditionalFormatting>
  <pageMargins left="0.75" right="0.75" top="1" bottom="1" header="0.5" footer="0.5"/>
  <pageSetup paperSize="9" orientation="portrait" horizontalDpi="120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4A55-3C86-49F8-AC6B-21D73D5934E3}">
  <sheetPr>
    <pageSetUpPr fitToPage="1"/>
  </sheetPr>
  <dimension ref="A1:L78"/>
  <sheetViews>
    <sheetView zoomScale="130" zoomScaleNormal="130" workbookViewId="0">
      <selection activeCell="O68" sqref="O68"/>
    </sheetView>
  </sheetViews>
  <sheetFormatPr baseColWidth="10" defaultColWidth="9" defaultRowHeight="13"/>
  <cols>
    <col min="1" max="1" width="7.19921875" customWidth="1"/>
    <col min="2" max="2" width="18.796875" customWidth="1"/>
    <col min="3" max="3" width="11.59765625" style="2" customWidth="1"/>
    <col min="4" max="4" width="11.59765625" style="5" customWidth="1"/>
    <col min="5" max="6" width="9.796875" style="6" customWidth="1"/>
    <col min="7" max="7" width="10.19921875" style="4" customWidth="1"/>
    <col min="8" max="8" width="13" style="4" customWidth="1"/>
    <col min="9" max="9" width="12" customWidth="1"/>
    <col min="10" max="10" width="11.3984375" style="2599" customWidth="1"/>
    <col min="11" max="11" width="13.796875" customWidth="1"/>
    <col min="13" max="13" width="13" customWidth="1"/>
    <col min="15" max="15" width="10.19921875" customWidth="1"/>
    <col min="16" max="17" width="12.59765625" customWidth="1"/>
  </cols>
  <sheetData>
    <row r="1" spans="1:12">
      <c r="A1" s="1" t="s">
        <v>33</v>
      </c>
      <c r="B1" s="1"/>
      <c r="C1" s="4"/>
    </row>
    <row r="2" spans="1:12">
      <c r="A2" s="3523">
        <v>13102</v>
      </c>
      <c r="B2" s="3523"/>
      <c r="C2" s="4"/>
    </row>
    <row r="3" spans="1:12" ht="3.5" customHeight="1">
      <c r="A3" s="1"/>
      <c r="B3" s="1"/>
      <c r="C3" s="4"/>
    </row>
    <row r="4" spans="1:12">
      <c r="C4" s="4" t="s">
        <v>34</v>
      </c>
      <c r="D4" s="5" t="s">
        <v>36</v>
      </c>
      <c r="E4" s="6" t="s">
        <v>37</v>
      </c>
      <c r="F4" s="6" t="s">
        <v>2536</v>
      </c>
      <c r="G4" s="4" t="s">
        <v>25</v>
      </c>
    </row>
    <row r="5" spans="1:12">
      <c r="I5" t="b">
        <f>I6=I7</f>
        <v>1</v>
      </c>
      <c r="J5" s="2599" t="b">
        <f>J6=J7</f>
        <v>1</v>
      </c>
      <c r="K5" t="b">
        <f>K6=K7</f>
        <v>1</v>
      </c>
      <c r="L5" t="b">
        <f>L6=L7</f>
        <v>1</v>
      </c>
    </row>
    <row r="6" spans="1:12" s="1" customFormat="1">
      <c r="A6" s="1" t="s">
        <v>17</v>
      </c>
      <c r="C6" s="10">
        <f>SUM(C11:C14)</f>
        <v>18273035</v>
      </c>
      <c r="D6" s="15">
        <f>+C6/C$6</f>
        <v>1</v>
      </c>
      <c r="E6" s="10">
        <v>1078</v>
      </c>
      <c r="F6" s="10">
        <v>19</v>
      </c>
      <c r="G6" s="11">
        <v>485</v>
      </c>
      <c r="H6" s="10"/>
      <c r="I6" s="2586">
        <f>SUM(C7:C10,C12:C14)</f>
        <v>18273035</v>
      </c>
      <c r="J6" s="2597">
        <f>SUM(D7:D10,D12:D14)</f>
        <v>1</v>
      </c>
      <c r="K6" s="2589">
        <f>SUM(E7:E10,E12:E14)</f>
        <v>1078</v>
      </c>
      <c r="L6" s="2589">
        <f>SUM(G7:G10,G12:G14)</f>
        <v>485</v>
      </c>
    </row>
    <row r="7" spans="1:12">
      <c r="A7" t="s">
        <v>13</v>
      </c>
      <c r="C7" s="4">
        <v>8997348</v>
      </c>
      <c r="D7" s="13">
        <v>0.49399999999999999</v>
      </c>
      <c r="E7" s="6">
        <v>423</v>
      </c>
      <c r="F7" s="6">
        <v>14</v>
      </c>
      <c r="G7" s="6">
        <v>329</v>
      </c>
      <c r="I7">
        <f>C6</f>
        <v>18273035</v>
      </c>
      <c r="J7" s="2599">
        <f>D6</f>
        <v>1</v>
      </c>
      <c r="K7">
        <f>E6</f>
        <v>1078</v>
      </c>
      <c r="L7">
        <f>G6</f>
        <v>485</v>
      </c>
    </row>
    <row r="8" spans="1:12">
      <c r="A8" t="s">
        <v>38</v>
      </c>
      <c r="C8" s="4">
        <v>13250</v>
      </c>
      <c r="D8" s="13">
        <v>1E-3</v>
      </c>
      <c r="E8" s="6">
        <v>1</v>
      </c>
      <c r="F8" s="6">
        <v>0</v>
      </c>
      <c r="G8" s="6">
        <v>0</v>
      </c>
    </row>
    <row r="9" spans="1:12">
      <c r="A9" t="s">
        <v>39</v>
      </c>
      <c r="C9" s="4">
        <v>673597</v>
      </c>
      <c r="D9" s="13">
        <v>3.4000000000000002E-2</v>
      </c>
      <c r="E9" s="6">
        <v>31</v>
      </c>
      <c r="F9" s="6">
        <v>2</v>
      </c>
      <c r="G9" s="6">
        <v>22</v>
      </c>
    </row>
    <row r="10" spans="1:12">
      <c r="A10" t="s">
        <v>2535</v>
      </c>
      <c r="C10" s="4">
        <v>303742</v>
      </c>
      <c r="D10" s="13">
        <v>1.6E-2</v>
      </c>
      <c r="E10" s="6">
        <v>18</v>
      </c>
      <c r="F10" s="6">
        <v>0</v>
      </c>
      <c r="G10" s="6">
        <v>6</v>
      </c>
    </row>
    <row r="11" spans="1:12" s="8" customFormat="1">
      <c r="A11" s="8" t="s">
        <v>40</v>
      </c>
      <c r="C11" s="12">
        <f>SUM(C7:C10)</f>
        <v>9987937</v>
      </c>
      <c r="D11" s="14">
        <v>0.54500000000000004</v>
      </c>
      <c r="E11" s="12">
        <f>SUM(E7:E10)</f>
        <v>473</v>
      </c>
      <c r="F11" s="12">
        <f>SUM(F7:F10)</f>
        <v>16</v>
      </c>
      <c r="G11" s="12">
        <f>SUM(G7:G10)</f>
        <v>357</v>
      </c>
      <c r="H11" s="12"/>
      <c r="J11" s="2600"/>
    </row>
    <row r="12" spans="1:12">
      <c r="A12" t="s">
        <v>14</v>
      </c>
      <c r="C12" s="2">
        <v>7054050</v>
      </c>
      <c r="D12" s="13">
        <v>0.38500000000000001</v>
      </c>
      <c r="E12" s="6">
        <v>452</v>
      </c>
      <c r="F12" s="6">
        <v>3</v>
      </c>
      <c r="G12" s="6">
        <v>116</v>
      </c>
    </row>
    <row r="13" spans="1:12">
      <c r="A13" t="s">
        <v>15</v>
      </c>
      <c r="C13" s="4">
        <v>1108971</v>
      </c>
      <c r="D13" s="13">
        <v>6.3E-2</v>
      </c>
      <c r="E13" s="6">
        <v>132</v>
      </c>
      <c r="F13" s="6">
        <v>0</v>
      </c>
      <c r="G13" s="6">
        <v>11</v>
      </c>
    </row>
    <row r="14" spans="1:12">
      <c r="A14" t="s">
        <v>28</v>
      </c>
      <c r="C14" s="4">
        <f>103396+18681</f>
        <v>122077</v>
      </c>
      <c r="D14" s="13">
        <f>0.006+0.001</f>
        <v>7.0000000000000001E-3</v>
      </c>
      <c r="E14" s="6">
        <f>E6-(E11+E12+E13)</f>
        <v>21</v>
      </c>
      <c r="G14" s="6">
        <f>G6-(G11+G12+G13)</f>
        <v>1</v>
      </c>
    </row>
    <row r="15" spans="1:12">
      <c r="I15" t="b">
        <f>I16=I17</f>
        <v>1</v>
      </c>
      <c r="J15" s="2599" t="b">
        <f>J16=J17</f>
        <v>1</v>
      </c>
      <c r="K15" t="b">
        <f>K16=K17</f>
        <v>1</v>
      </c>
      <c r="L15" t="b">
        <f>L16=L17</f>
        <v>1</v>
      </c>
    </row>
    <row r="16" spans="1:12">
      <c r="A16" s="1" t="s">
        <v>18</v>
      </c>
      <c r="B16" s="1"/>
      <c r="C16" s="10">
        <v>871277</v>
      </c>
      <c r="D16" s="15">
        <f>+C16/C$16</f>
        <v>1</v>
      </c>
      <c r="E16" s="11">
        <v>68</v>
      </c>
      <c r="F16" s="11">
        <v>11</v>
      </c>
      <c r="G16" s="11">
        <v>35</v>
      </c>
      <c r="I16" s="2586">
        <f>SUM(C17:C20,C22:C25)</f>
        <v>871277</v>
      </c>
      <c r="J16" s="2597">
        <f>SUM(D17:D20,D22:D25)</f>
        <v>1</v>
      </c>
      <c r="K16" s="2589">
        <f>SUM(E17:E20,E22:E25)</f>
        <v>68</v>
      </c>
      <c r="L16" s="2589">
        <f>SUM(G17:G20,G22:G25)</f>
        <v>35</v>
      </c>
    </row>
    <row r="17" spans="1:12">
      <c r="A17" t="s">
        <v>13</v>
      </c>
      <c r="C17" s="4">
        <v>204099</v>
      </c>
      <c r="D17" s="13">
        <v>0.23400000000000001</v>
      </c>
      <c r="E17" s="6">
        <v>14</v>
      </c>
      <c r="F17" s="6">
        <v>0</v>
      </c>
      <c r="G17" s="6">
        <v>6</v>
      </c>
      <c r="I17">
        <f>C16</f>
        <v>871277</v>
      </c>
      <c r="J17" s="2599">
        <f>D16</f>
        <v>1</v>
      </c>
      <c r="K17">
        <f>E16</f>
        <v>68</v>
      </c>
      <c r="L17">
        <f>G16</f>
        <v>35</v>
      </c>
    </row>
    <row r="18" spans="1:12">
      <c r="A18" t="s">
        <v>38</v>
      </c>
      <c r="C18" s="4">
        <v>35318</v>
      </c>
      <c r="D18" s="13">
        <v>4.1000000000000002E-2</v>
      </c>
      <c r="E18" s="6">
        <v>2</v>
      </c>
      <c r="F18" s="6">
        <v>0</v>
      </c>
      <c r="G18" s="6">
        <v>1</v>
      </c>
    </row>
    <row r="19" spans="1:12">
      <c r="A19" t="s">
        <v>39</v>
      </c>
      <c r="C19" s="4">
        <v>36156</v>
      </c>
      <c r="D19" s="13">
        <v>4.2000000000000003E-2</v>
      </c>
      <c r="E19" s="6">
        <v>3</v>
      </c>
      <c r="F19" s="6">
        <v>1</v>
      </c>
      <c r="G19" s="6">
        <v>3</v>
      </c>
    </row>
    <row r="20" spans="1:12">
      <c r="A20" t="s">
        <v>2535</v>
      </c>
      <c r="C20" s="4">
        <v>16954</v>
      </c>
      <c r="D20" s="13">
        <v>1.9E-2</v>
      </c>
      <c r="E20" s="6">
        <v>1</v>
      </c>
      <c r="F20" s="6">
        <v>0</v>
      </c>
      <c r="G20" s="6">
        <v>1</v>
      </c>
    </row>
    <row r="21" spans="1:12">
      <c r="A21" s="8" t="s">
        <v>40</v>
      </c>
      <c r="B21" s="8"/>
      <c r="C21" s="12">
        <f>SUM(C17:C20)</f>
        <v>292527</v>
      </c>
      <c r="D21" s="14">
        <v>0.33600000000000002</v>
      </c>
      <c r="E21" s="12">
        <f>SUM(E17:E20)</f>
        <v>20</v>
      </c>
      <c r="F21" s="12">
        <f>SUM(F17:F20)</f>
        <v>1</v>
      </c>
      <c r="G21" s="12">
        <f>SUM(G17:G20)</f>
        <v>11</v>
      </c>
    </row>
    <row r="22" spans="1:12">
      <c r="A22" t="s">
        <v>14</v>
      </c>
      <c r="C22" s="4">
        <v>395830</v>
      </c>
      <c r="D22" s="13">
        <v>0.45400000000000001</v>
      </c>
      <c r="E22" s="6">
        <v>33</v>
      </c>
      <c r="F22" s="6">
        <v>10</v>
      </c>
      <c r="G22" s="6">
        <v>18</v>
      </c>
    </row>
    <row r="23" spans="1:12">
      <c r="A23" t="s">
        <v>15</v>
      </c>
      <c r="C23" s="4">
        <v>157091</v>
      </c>
      <c r="D23" s="13">
        <v>0.18</v>
      </c>
      <c r="E23" s="6">
        <v>12</v>
      </c>
      <c r="F23" s="6">
        <v>0</v>
      </c>
      <c r="G23" s="6">
        <v>6</v>
      </c>
    </row>
    <row r="24" spans="1:12">
      <c r="A24" t="s">
        <v>23</v>
      </c>
      <c r="C24" s="4">
        <v>2534</v>
      </c>
      <c r="D24" s="13">
        <v>3.0000000000000001E-3</v>
      </c>
      <c r="E24" s="4">
        <v>1</v>
      </c>
      <c r="F24" s="4">
        <v>0</v>
      </c>
      <c r="G24" s="6">
        <v>0</v>
      </c>
    </row>
    <row r="25" spans="1:12">
      <c r="A25" t="s">
        <v>28</v>
      </c>
      <c r="C25" s="4">
        <f>13655+9640</f>
        <v>23295</v>
      </c>
      <c r="D25" s="13">
        <f>0.016+0.011</f>
        <v>2.7E-2</v>
      </c>
      <c r="E25" s="4">
        <f>1+1</f>
        <v>2</v>
      </c>
      <c r="F25" s="4">
        <v>0</v>
      </c>
      <c r="G25" s="4">
        <f>+G16-SUM(G21:G24)</f>
        <v>0</v>
      </c>
    </row>
    <row r="26" spans="1:12">
      <c r="I26" t="b">
        <f>I27=I28</f>
        <v>1</v>
      </c>
      <c r="J26" s="2599" t="b">
        <f>J27=J28</f>
        <v>1</v>
      </c>
      <c r="K26" t="b">
        <f>K27=K28</f>
        <v>1</v>
      </c>
      <c r="L26" t="b">
        <f>L27=L28</f>
        <v>1</v>
      </c>
    </row>
    <row r="27" spans="1:12">
      <c r="A27" s="1" t="s">
        <v>19</v>
      </c>
      <c r="B27" s="1"/>
      <c r="C27" s="10">
        <v>2323797</v>
      </c>
      <c r="D27" s="15">
        <f>+C27/C$27</f>
        <v>1</v>
      </c>
      <c r="E27" s="11">
        <v>167</v>
      </c>
      <c r="F27" s="11">
        <v>1</v>
      </c>
      <c r="G27" s="11">
        <v>71</v>
      </c>
      <c r="I27" s="2586">
        <f>SUM(C28:C31,C33:C36)</f>
        <v>2323797</v>
      </c>
      <c r="J27" s="2597">
        <f>SUM(D28:D31,D33:D36)</f>
        <v>1</v>
      </c>
      <c r="K27" s="2586">
        <f>SUM(E28:E31,E33:E36)</f>
        <v>167</v>
      </c>
      <c r="L27" s="2586">
        <f>SUM(G28:G31,G33:G36)</f>
        <v>71</v>
      </c>
    </row>
    <row r="28" spans="1:12">
      <c r="A28" t="s">
        <v>13</v>
      </c>
      <c r="C28" s="4">
        <v>962595</v>
      </c>
      <c r="D28" s="18">
        <v>0.42</v>
      </c>
      <c r="E28" s="6">
        <v>58</v>
      </c>
      <c r="F28" s="6">
        <v>1</v>
      </c>
      <c r="G28" s="6">
        <v>35</v>
      </c>
      <c r="I28">
        <f>C27</f>
        <v>2323797</v>
      </c>
      <c r="J28" s="2599">
        <f>D27</f>
        <v>1</v>
      </c>
      <c r="K28">
        <f>E27</f>
        <v>167</v>
      </c>
      <c r="L28">
        <f>G27</f>
        <v>71</v>
      </c>
    </row>
    <row r="29" spans="1:12">
      <c r="A29" t="s">
        <v>38</v>
      </c>
      <c r="C29" s="4">
        <v>4621</v>
      </c>
      <c r="D29" s="18">
        <v>2E-3</v>
      </c>
      <c r="E29" s="6">
        <v>1</v>
      </c>
      <c r="F29" s="6">
        <v>0</v>
      </c>
      <c r="G29" s="6">
        <v>0</v>
      </c>
    </row>
    <row r="30" spans="1:12">
      <c r="A30" t="s">
        <v>39</v>
      </c>
      <c r="C30" s="4">
        <v>149072</v>
      </c>
      <c r="D30" s="18">
        <v>6.7000000000000004E-2</v>
      </c>
      <c r="E30" s="6">
        <v>9</v>
      </c>
      <c r="F30" s="6">
        <v>0</v>
      </c>
      <c r="G30" s="6">
        <v>7</v>
      </c>
    </row>
    <row r="31" spans="1:12">
      <c r="A31" t="s">
        <v>2535</v>
      </c>
      <c r="C31" s="4">
        <v>19115</v>
      </c>
      <c r="D31" s="18">
        <v>8.9999999999999993E-3</v>
      </c>
      <c r="E31" s="6">
        <v>1</v>
      </c>
      <c r="F31" s="6">
        <v>0</v>
      </c>
      <c r="G31" s="6">
        <v>1</v>
      </c>
    </row>
    <row r="32" spans="1:12" s="8" customFormat="1">
      <c r="A32" s="8" t="s">
        <v>40</v>
      </c>
      <c r="C32" s="12">
        <f>SUM(C28:C31)</f>
        <v>1135403</v>
      </c>
      <c r="D32" s="14">
        <v>0.498</v>
      </c>
      <c r="E32" s="12">
        <f>SUM(E28:E31)</f>
        <v>69</v>
      </c>
      <c r="F32" s="12">
        <f>SUM(F28:F31)</f>
        <v>1</v>
      </c>
      <c r="G32" s="12">
        <f>SUM(G28:G31)</f>
        <v>43</v>
      </c>
      <c r="H32" s="12"/>
      <c r="J32" s="2600"/>
    </row>
    <row r="33" spans="1:12">
      <c r="A33" t="s">
        <v>14</v>
      </c>
      <c r="C33" s="4">
        <v>863789</v>
      </c>
      <c r="D33" s="18">
        <v>0.36799999999999999</v>
      </c>
      <c r="E33" s="6">
        <v>63</v>
      </c>
      <c r="F33" s="6">
        <v>0</v>
      </c>
      <c r="G33" s="4">
        <v>20</v>
      </c>
    </row>
    <row r="34" spans="1:12">
      <c r="A34" t="s">
        <v>15</v>
      </c>
      <c r="C34" s="2">
        <v>174235</v>
      </c>
      <c r="D34" s="18">
        <v>6.7000000000000004E-2</v>
      </c>
      <c r="E34" s="6">
        <v>16</v>
      </c>
      <c r="F34" s="6">
        <v>0</v>
      </c>
      <c r="G34" s="4">
        <v>3</v>
      </c>
    </row>
    <row r="35" spans="1:12">
      <c r="A35" t="s">
        <v>24</v>
      </c>
      <c r="C35" s="4">
        <v>25652</v>
      </c>
      <c r="D35" s="18">
        <v>1.0999999999999999E-2</v>
      </c>
      <c r="E35" s="6">
        <v>7</v>
      </c>
      <c r="F35" s="6">
        <v>0</v>
      </c>
      <c r="G35" s="6">
        <v>0</v>
      </c>
    </row>
    <row r="36" spans="1:12">
      <c r="A36" t="s">
        <v>28</v>
      </c>
      <c r="C36" s="4">
        <f>13462+111256</f>
        <v>124718</v>
      </c>
      <c r="D36" s="18">
        <f>0.006+0.05</f>
        <v>5.6000000000000001E-2</v>
      </c>
      <c r="E36" s="4">
        <f>11+1</f>
        <v>12</v>
      </c>
      <c r="F36" s="4">
        <v>0</v>
      </c>
      <c r="G36" s="4">
        <f>+G27-SUM(G32:G35)</f>
        <v>5</v>
      </c>
    </row>
    <row r="37" spans="1:12">
      <c r="I37" t="b">
        <f>I38=I39</f>
        <v>1</v>
      </c>
      <c r="J37" s="2599" t="b">
        <f>J38=J39</f>
        <v>1</v>
      </c>
      <c r="K37" t="b">
        <f>K38=K39</f>
        <v>1</v>
      </c>
      <c r="L37" t="b">
        <f>L38=L39</f>
        <v>1</v>
      </c>
    </row>
    <row r="38" spans="1:12">
      <c r="A38" s="1" t="s">
        <v>20</v>
      </c>
      <c r="B38" s="1"/>
      <c r="C38" s="10">
        <v>451167</v>
      </c>
      <c r="D38" s="15">
        <f>+C38/C$38</f>
        <v>1</v>
      </c>
      <c r="E38" s="11">
        <v>17</v>
      </c>
      <c r="F38" s="11">
        <v>6</v>
      </c>
      <c r="G38" s="11">
        <v>12</v>
      </c>
      <c r="I38" s="2586">
        <f>SUM(C39:C41)</f>
        <v>451167</v>
      </c>
      <c r="J38" s="2597">
        <f>SUM(D39:D41)</f>
        <v>1</v>
      </c>
      <c r="K38" s="2586">
        <f>SUM(E39:E41)</f>
        <v>17</v>
      </c>
      <c r="L38" s="2586">
        <f>SUM(G39:G41)</f>
        <v>12</v>
      </c>
    </row>
    <row r="39" spans="1:12">
      <c r="A39" t="s">
        <v>13</v>
      </c>
      <c r="C39" s="4">
        <v>292840</v>
      </c>
      <c r="D39" s="18">
        <v>0.64900000000000002</v>
      </c>
      <c r="E39" s="6">
        <v>12</v>
      </c>
      <c r="F39" s="6">
        <v>6</v>
      </c>
      <c r="G39" s="6">
        <v>10</v>
      </c>
      <c r="I39">
        <f>C38</f>
        <v>451167</v>
      </c>
      <c r="J39" s="2599">
        <f>D38</f>
        <v>1</v>
      </c>
      <c r="K39">
        <f>E38</f>
        <v>17</v>
      </c>
      <c r="L39">
        <f>G38</f>
        <v>12</v>
      </c>
    </row>
    <row r="40" spans="1:12">
      <c r="A40" t="s">
        <v>26</v>
      </c>
      <c r="C40" s="4">
        <v>101494</v>
      </c>
      <c r="D40" s="18">
        <v>0.183</v>
      </c>
      <c r="E40" s="6">
        <v>2</v>
      </c>
      <c r="F40" s="6">
        <v>0</v>
      </c>
      <c r="G40" s="6">
        <v>2</v>
      </c>
    </row>
    <row r="41" spans="1:12">
      <c r="A41" t="s">
        <v>28</v>
      </c>
      <c r="C41" s="2">
        <v>56833</v>
      </c>
      <c r="D41" s="18">
        <v>0.16800000000000001</v>
      </c>
      <c r="E41" s="2">
        <v>3</v>
      </c>
      <c r="F41" s="2">
        <v>0</v>
      </c>
      <c r="G41" s="2">
        <f>+G38-SUM(G39:G40)</f>
        <v>0</v>
      </c>
    </row>
    <row r="42" spans="1:12">
      <c r="I42" t="b">
        <f>I43=I44</f>
        <v>1</v>
      </c>
      <c r="J42" s="2599" t="b">
        <f>J43=J44</f>
        <v>0</v>
      </c>
      <c r="K42" t="b">
        <f>K43=K44</f>
        <v>1</v>
      </c>
      <c r="L42" t="b">
        <f>L43=L44</f>
        <v>1</v>
      </c>
    </row>
    <row r="43" spans="1:12">
      <c r="A43" s="1" t="s">
        <v>35</v>
      </c>
      <c r="B43" s="1"/>
      <c r="C43" s="10">
        <f>+C27+C16+C6+C71</f>
        <v>21545887</v>
      </c>
      <c r="D43" s="15">
        <f>+C43/C$43</f>
        <v>1</v>
      </c>
      <c r="E43" s="10">
        <f>+E27+E16+E6+E71</f>
        <v>1331</v>
      </c>
      <c r="F43" s="10">
        <v>34</v>
      </c>
      <c r="G43" s="10">
        <f>+G27+G16+G6+G71</f>
        <v>603</v>
      </c>
      <c r="I43" s="2586">
        <f>SUM(C44:C47,C49:C53)</f>
        <v>21545887</v>
      </c>
      <c r="J43" s="2597">
        <f>SUM(D44:D47,D49:D53)</f>
        <v>0.99800000000000011</v>
      </c>
      <c r="K43" s="2586">
        <f>SUM(E44:E47,E49:E53)</f>
        <v>1331</v>
      </c>
      <c r="L43" s="2586">
        <f>SUM(G44:G47,G49:G53)</f>
        <v>603</v>
      </c>
    </row>
    <row r="44" spans="1:12">
      <c r="A44" t="s">
        <v>13</v>
      </c>
      <c r="C44" s="2636">
        <f>SUMIF(A$7:A$36,A44,C$7:C$36)+C72</f>
        <v>10203460</v>
      </c>
      <c r="D44" s="18">
        <v>0.47399999999999998</v>
      </c>
      <c r="E44" s="2636">
        <f>SUMIF(A$7:A$36,A44,E$7:E$36)+E72</f>
        <v>503</v>
      </c>
      <c r="F44" s="2636">
        <f t="shared" ref="F44:F53" si="0">SUMIF(A$7:A$36,A44,F$7:F$36)+F72</f>
        <v>17</v>
      </c>
      <c r="G44" s="2636">
        <f>SUMIF(A$7:A$36,A44,G$7:G$36)+G72</f>
        <v>377</v>
      </c>
      <c r="I44">
        <f>C43</f>
        <v>21545887</v>
      </c>
      <c r="J44" s="2599">
        <f>D43</f>
        <v>1</v>
      </c>
      <c r="K44">
        <f>E43</f>
        <v>1331</v>
      </c>
      <c r="L44">
        <f>G43</f>
        <v>603</v>
      </c>
    </row>
    <row r="45" spans="1:12">
      <c r="A45" t="s">
        <v>38</v>
      </c>
      <c r="C45" s="2636">
        <f>SUMIF(A$7:A$36,A45,C$7:C$36)</f>
        <v>53189</v>
      </c>
      <c r="D45" s="18">
        <v>2E-3</v>
      </c>
      <c r="E45" s="2601">
        <f>SUMIF(A$7:A$36,A45,E$7:E$36)</f>
        <v>4</v>
      </c>
      <c r="F45" s="2636">
        <f t="shared" si="0"/>
        <v>0</v>
      </c>
      <c r="G45" s="2636">
        <f>SUMIF(A$7:A$36,A45,G$7:G$36)</f>
        <v>1</v>
      </c>
    </row>
    <row r="46" spans="1:12">
      <c r="A46" t="s">
        <v>39</v>
      </c>
      <c r="C46" s="2636">
        <f>SUMIF(A$7:A$36,A46,C$7:C$36)+C73</f>
        <v>866354</v>
      </c>
      <c r="D46" s="18">
        <v>0.04</v>
      </c>
      <c r="E46" s="2636">
        <f>SUMIF(A$7:A$36,A46,E$7:E$36)+E73</f>
        <v>44</v>
      </c>
      <c r="F46" s="2636">
        <f t="shared" si="0"/>
        <v>5</v>
      </c>
      <c r="G46" s="2636">
        <f>SUMIF(A$7:A$36,A46,G$7:G$36)+G73</f>
        <v>33</v>
      </c>
    </row>
    <row r="47" spans="1:12">
      <c r="A47" t="s">
        <v>2535</v>
      </c>
      <c r="C47" s="2636">
        <f>SUMIF(A$7:A$36,A47,C$7:C$36)</f>
        <v>339811</v>
      </c>
      <c r="D47" s="18">
        <v>1.6E-2</v>
      </c>
      <c r="E47" s="2636">
        <f>SUMIF(A$7:A$36,A47,E$7:E$36)</f>
        <v>20</v>
      </c>
      <c r="F47" s="2636">
        <f t="shared" si="0"/>
        <v>0</v>
      </c>
      <c r="G47" s="2636">
        <f>SUMIF(A$7:A$36,A47,G$7:G$36)</f>
        <v>8</v>
      </c>
    </row>
    <row r="48" spans="1:12" s="8" customFormat="1">
      <c r="A48" s="8" t="s">
        <v>40</v>
      </c>
      <c r="C48" s="12">
        <f>SUMIF(A$7:A$36,A48,C$7:C$36)+C74</f>
        <v>11462814</v>
      </c>
      <c r="D48" s="14">
        <f>+C48/C$43</f>
        <v>0.53201866323721092</v>
      </c>
      <c r="E48" s="12">
        <f>SUMIF(A$7:A$36,A48,E$7:E$36)+E74</f>
        <v>571</v>
      </c>
      <c r="F48" s="12">
        <f t="shared" si="0"/>
        <v>18</v>
      </c>
      <c r="G48" s="12">
        <f>SUMIF(A$7:A$36,A48,G$7:G$36)+G74</f>
        <v>419</v>
      </c>
      <c r="H48" s="12"/>
      <c r="J48" s="2600"/>
    </row>
    <row r="49" spans="1:12">
      <c r="A49" t="s">
        <v>14</v>
      </c>
      <c r="C49" s="2636">
        <f>SUMIF(A$7:A$36,A49,C$7:C$36)+C75</f>
        <v>8325491</v>
      </c>
      <c r="D49" s="18">
        <v>0.38600000000000001</v>
      </c>
      <c r="E49" s="2636">
        <f>SUMIF(A$7:A$36,A49,E$7:E$36)+E75</f>
        <v>552</v>
      </c>
      <c r="F49" s="2636">
        <f t="shared" si="0"/>
        <v>13</v>
      </c>
      <c r="G49" s="2636">
        <f>SUMIF(A$7:A$36,A49,G$7:G$36)+G75</f>
        <v>154</v>
      </c>
    </row>
    <row r="50" spans="1:12">
      <c r="A50" t="s">
        <v>15</v>
      </c>
      <c r="C50" s="2636">
        <f>SUMIF(A$7:A$36,A50,C$7:C$36)+C76</f>
        <v>1443093</v>
      </c>
      <c r="D50" s="18">
        <v>6.7000000000000004E-2</v>
      </c>
      <c r="E50" s="2636">
        <f>SUMIF(A$7:A$36,A50,E$7:E$36)+E76</f>
        <v>161</v>
      </c>
      <c r="F50" s="2636">
        <f t="shared" si="0"/>
        <v>1</v>
      </c>
      <c r="G50" s="2636">
        <f>SUMIF(A$7:A$36,A50,G$7:G$36)+G76</f>
        <v>21</v>
      </c>
    </row>
    <row r="51" spans="1:12">
      <c r="A51" t="s">
        <v>23</v>
      </c>
      <c r="C51" s="2636">
        <f>SUMIF(A$7:A$36,A51,C$7:C$36)</f>
        <v>2534</v>
      </c>
      <c r="D51" s="18">
        <v>0</v>
      </c>
      <c r="E51" s="2636">
        <f>SUMIF(A$7:A$36,A51,E$7:E$36)</f>
        <v>1</v>
      </c>
      <c r="F51" s="2636">
        <f t="shared" si="0"/>
        <v>0</v>
      </c>
      <c r="G51" s="2636">
        <f>SUMIF(A$7:A$36,A51,G$7:G$36)+G77</f>
        <v>0</v>
      </c>
    </row>
    <row r="52" spans="1:12">
      <c r="A52" t="s">
        <v>24</v>
      </c>
      <c r="C52" s="2636">
        <f>SUMIF(A$7:A$36,A52,C$7:C$36)+C77</f>
        <v>29517</v>
      </c>
      <c r="D52" s="18">
        <v>1E-3</v>
      </c>
      <c r="E52" s="2636">
        <f>SUMIF(A$7:A$36,A52,E$7:E$36)+E77</f>
        <v>8</v>
      </c>
      <c r="F52" s="2636">
        <f t="shared" si="0"/>
        <v>0</v>
      </c>
      <c r="G52" s="2636">
        <f>SUMIF(A$7:A$36,A52,G$7:G$36)</f>
        <v>0</v>
      </c>
    </row>
    <row r="53" spans="1:12">
      <c r="A53" t="s">
        <v>28</v>
      </c>
      <c r="C53" s="2636">
        <f>SUMIF(A$7:A$36,A53,C$7:C$36)+C78</f>
        <v>282438</v>
      </c>
      <c r="D53" s="18">
        <f>0.005+0.006+0.001</f>
        <v>1.2E-2</v>
      </c>
      <c r="E53" s="2636">
        <f>SUMIF(A$7:A$36,A53,E$7:E$36)+E78</f>
        <v>38</v>
      </c>
      <c r="F53" s="2636">
        <f t="shared" si="0"/>
        <v>0</v>
      </c>
      <c r="G53" s="2636">
        <f>SUMIF(A$7:A$36,A53,G$7:G$36)+G78</f>
        <v>9</v>
      </c>
    </row>
    <row r="54" spans="1:12">
      <c r="A54" s="1"/>
      <c r="B54" s="1"/>
      <c r="I54" t="b">
        <f>I55=I56</f>
        <v>0</v>
      </c>
      <c r="J54" s="2599" t="b">
        <f>J55=J56</f>
        <v>1</v>
      </c>
      <c r="K54" t="b">
        <f>K55=K56</f>
        <v>1</v>
      </c>
      <c r="L54" t="b">
        <f>L55=L56</f>
        <v>1</v>
      </c>
    </row>
    <row r="55" spans="1:12">
      <c r="A55" s="1" t="s">
        <v>46</v>
      </c>
      <c r="B55" s="1"/>
      <c r="C55" s="10">
        <f>+C43+C38</f>
        <v>21997054</v>
      </c>
      <c r="D55" s="15">
        <f>+C55/C$55</f>
        <v>1</v>
      </c>
      <c r="E55" s="10">
        <f>+E43+E38</f>
        <v>1348</v>
      </c>
      <c r="F55" s="10">
        <v>40</v>
      </c>
      <c r="G55" s="10">
        <f>+G43+G38</f>
        <v>615</v>
      </c>
      <c r="I55" s="2586">
        <f>SUM(C56:C58,C61:C65)</f>
        <v>21657243</v>
      </c>
      <c r="J55" s="2597">
        <f>SUM(D56:D59,D61:D65)</f>
        <v>1</v>
      </c>
      <c r="K55" s="2586">
        <f>SUM(E56:E59,E61:E65)</f>
        <v>1348</v>
      </c>
      <c r="L55" s="2586">
        <f>SUM(G56:G59,G61:G65)</f>
        <v>615</v>
      </c>
    </row>
    <row r="56" spans="1:12">
      <c r="A56" t="s">
        <v>13</v>
      </c>
      <c r="C56" s="2636">
        <f>+C44+C39</f>
        <v>10496300</v>
      </c>
      <c r="D56" s="18">
        <v>0.47799999999999998</v>
      </c>
      <c r="E56" s="2636">
        <f>+E44+E39</f>
        <v>515</v>
      </c>
      <c r="F56" s="2636">
        <v>23</v>
      </c>
      <c r="G56" s="2636">
        <f>+G44+G39</f>
        <v>387</v>
      </c>
      <c r="I56">
        <f>C55</f>
        <v>21997054</v>
      </c>
      <c r="J56" s="2599">
        <f>D55</f>
        <v>1</v>
      </c>
      <c r="K56">
        <f>E55</f>
        <v>1348</v>
      </c>
      <c r="L56">
        <f>G55</f>
        <v>615</v>
      </c>
    </row>
    <row r="57" spans="1:12">
      <c r="A57" t="s">
        <v>38</v>
      </c>
      <c r="C57" s="2636">
        <f>+C45</f>
        <v>53189</v>
      </c>
      <c r="D57" s="18">
        <v>3.0000000000000001E-3</v>
      </c>
      <c r="E57" s="2636">
        <f>+E45</f>
        <v>4</v>
      </c>
      <c r="F57" s="2636">
        <v>0</v>
      </c>
      <c r="G57" s="2636">
        <f>+G45</f>
        <v>1</v>
      </c>
    </row>
    <row r="58" spans="1:12">
      <c r="A58" t="s">
        <v>39</v>
      </c>
      <c r="C58" s="4">
        <f>+C46</f>
        <v>866354</v>
      </c>
      <c r="D58" s="18">
        <v>3.6999999999999998E-2</v>
      </c>
      <c r="E58" s="4">
        <f>+E46</f>
        <v>44</v>
      </c>
      <c r="F58" s="4">
        <v>3</v>
      </c>
      <c r="G58" s="4">
        <f>+G46</f>
        <v>33</v>
      </c>
    </row>
    <row r="59" spans="1:12">
      <c r="A59" t="s">
        <v>2535</v>
      </c>
      <c r="C59" s="4">
        <f>+C47</f>
        <v>339811</v>
      </c>
      <c r="D59" s="18">
        <v>1.4999999999999999E-2</v>
      </c>
      <c r="E59" s="4">
        <f>+E47</f>
        <v>20</v>
      </c>
      <c r="F59" s="4">
        <v>0</v>
      </c>
      <c r="G59" s="4">
        <f>+G47</f>
        <v>8</v>
      </c>
    </row>
    <row r="60" spans="1:12">
      <c r="A60" s="8" t="s">
        <v>40</v>
      </c>
      <c r="B60" s="8"/>
      <c r="C60" s="12">
        <f>+C58+C56+C57+C59</f>
        <v>11755654</v>
      </c>
      <c r="D60" s="14">
        <v>0.53300000000000003</v>
      </c>
      <c r="E60" s="12">
        <f>+E58+E56+E57+E59</f>
        <v>583</v>
      </c>
      <c r="F60" s="12">
        <v>26</v>
      </c>
      <c r="G60" s="12">
        <f>+G58+G56+G57+G59</f>
        <v>429</v>
      </c>
    </row>
    <row r="61" spans="1:12">
      <c r="A61" t="s">
        <v>14</v>
      </c>
      <c r="C61" s="4">
        <f>+C49</f>
        <v>8325491</v>
      </c>
      <c r="D61" s="18">
        <v>0.38</v>
      </c>
      <c r="E61" s="4">
        <f>+E49</f>
        <v>552</v>
      </c>
      <c r="F61" s="4">
        <v>13</v>
      </c>
      <c r="G61" s="4">
        <f>G49</f>
        <v>154</v>
      </c>
      <c r="H61" s="13"/>
    </row>
    <row r="62" spans="1:12">
      <c r="A62" t="s">
        <v>15</v>
      </c>
      <c r="C62" s="4">
        <f>+C50</f>
        <v>1443093</v>
      </c>
      <c r="D62" s="18">
        <v>6.7000000000000004E-2</v>
      </c>
      <c r="E62" s="4">
        <f>+E50</f>
        <v>161</v>
      </c>
      <c r="F62" s="4">
        <v>0</v>
      </c>
      <c r="G62" s="4">
        <f>+G50</f>
        <v>21</v>
      </c>
    </row>
    <row r="63" spans="1:12">
      <c r="A63" t="s">
        <v>23</v>
      </c>
      <c r="C63" s="4">
        <f>+C51</f>
        <v>2534</v>
      </c>
      <c r="D63" s="18">
        <v>0</v>
      </c>
      <c r="E63" s="4">
        <f>+E51</f>
        <v>1</v>
      </c>
      <c r="F63" s="4">
        <v>0</v>
      </c>
      <c r="G63" s="4">
        <f>+G51</f>
        <v>0</v>
      </c>
    </row>
    <row r="64" spans="1:12">
      <c r="A64" t="s">
        <v>24</v>
      </c>
      <c r="C64" s="4">
        <f>+C52</f>
        <v>29517</v>
      </c>
      <c r="D64" s="18">
        <v>1E-3</v>
      </c>
      <c r="E64" s="4">
        <f>+E52</f>
        <v>8</v>
      </c>
      <c r="F64" s="4">
        <v>0</v>
      </c>
      <c r="G64" s="4">
        <f>+G52</f>
        <v>0</v>
      </c>
    </row>
    <row r="65" spans="1:12">
      <c r="A65" t="s">
        <v>28</v>
      </c>
      <c r="C65" s="4">
        <f>+C55-SUM(C60:C64)</f>
        <v>440765</v>
      </c>
      <c r="D65" s="13">
        <f>+D55-SUM(D60:D64)</f>
        <v>1.9000000000000017E-2</v>
      </c>
      <c r="E65" s="4">
        <f>+E55-SUM(E60:E64)</f>
        <v>43</v>
      </c>
      <c r="F65" s="4"/>
      <c r="G65" s="4">
        <f>+G55-SUM(G60:G64)</f>
        <v>11</v>
      </c>
    </row>
    <row r="66" spans="1:12">
      <c r="E66" s="5"/>
    </row>
    <row r="67" spans="1:12">
      <c r="A67" s="17" t="s">
        <v>42</v>
      </c>
    </row>
    <row r="69" spans="1:12">
      <c r="A69" s="3" t="s">
        <v>21</v>
      </c>
      <c r="B69" s="7" t="s">
        <v>43</v>
      </c>
      <c r="D69"/>
      <c r="E69"/>
      <c r="F69"/>
      <c r="G69"/>
      <c r="H69"/>
    </row>
    <row r="70" spans="1:12">
      <c r="I70" t="b">
        <f>I71=I72</f>
        <v>1</v>
      </c>
      <c r="J70" s="2599" t="b">
        <f>J71=J72</f>
        <v>1</v>
      </c>
      <c r="K70" t="b">
        <f>K71=K72</f>
        <v>1</v>
      </c>
      <c r="L70" t="b">
        <f>L71=L72</f>
        <v>1</v>
      </c>
    </row>
    <row r="71" spans="1:12" s="4" customFormat="1">
      <c r="A71" s="1" t="s">
        <v>41</v>
      </c>
      <c r="B71" s="1"/>
      <c r="C71" s="10">
        <v>77778</v>
      </c>
      <c r="D71" s="15">
        <v>1</v>
      </c>
      <c r="E71" s="10">
        <v>18</v>
      </c>
      <c r="F71" s="10">
        <v>3</v>
      </c>
      <c r="G71" s="10">
        <v>12</v>
      </c>
      <c r="I71" s="2586">
        <f>SUM(C72:C73,C75:C78)</f>
        <v>77778</v>
      </c>
      <c r="J71" s="2586">
        <f>SUM(D72:D73,D75:D78)</f>
        <v>1</v>
      </c>
      <c r="K71" s="2586">
        <f>SUM(E72:E73,E75:E78)</f>
        <v>18</v>
      </c>
      <c r="L71" s="2586">
        <f>SUM(G72:G73,G75:G78)</f>
        <v>12</v>
      </c>
    </row>
    <row r="72" spans="1:12" s="4" customFormat="1">
      <c r="A72" t="s">
        <v>13</v>
      </c>
      <c r="B72"/>
      <c r="C72" s="2636">
        <v>39418</v>
      </c>
      <c r="D72" s="18">
        <v>0.50700000000000001</v>
      </c>
      <c r="E72" s="2636">
        <v>8</v>
      </c>
      <c r="F72" s="2636">
        <v>2</v>
      </c>
      <c r="G72" s="2636">
        <v>7</v>
      </c>
      <c r="I72">
        <f>C71</f>
        <v>77778</v>
      </c>
      <c r="J72" s="2599">
        <f>D71</f>
        <v>1</v>
      </c>
      <c r="K72">
        <f>E71</f>
        <v>18</v>
      </c>
      <c r="L72">
        <f>G71</f>
        <v>12</v>
      </c>
    </row>
    <row r="73" spans="1:12" s="4" customFormat="1">
      <c r="A73" t="s">
        <v>39</v>
      </c>
      <c r="B73"/>
      <c r="C73" s="2636">
        <v>7529</v>
      </c>
      <c r="D73" s="18">
        <v>9.6000000000000002E-2</v>
      </c>
      <c r="E73" s="2636">
        <v>1</v>
      </c>
      <c r="F73" s="2636">
        <v>0</v>
      </c>
      <c r="G73" s="2636">
        <v>1</v>
      </c>
      <c r="I73"/>
      <c r="J73" s="2599"/>
      <c r="K73"/>
      <c r="L73"/>
    </row>
    <row r="74" spans="1:12" s="4" customFormat="1">
      <c r="A74" s="8" t="s">
        <v>40</v>
      </c>
      <c r="B74" s="8"/>
      <c r="C74" s="12">
        <f>+C73+C72</f>
        <v>46947</v>
      </c>
      <c r="D74" s="14">
        <v>0.60299999999999998</v>
      </c>
      <c r="E74" s="12">
        <v>9</v>
      </c>
      <c r="F74" s="12">
        <v>2</v>
      </c>
      <c r="G74" s="12">
        <v>8</v>
      </c>
      <c r="I74"/>
      <c r="J74" s="2599"/>
      <c r="K74"/>
      <c r="L74"/>
    </row>
    <row r="75" spans="1:12" s="4" customFormat="1">
      <c r="A75" t="s">
        <v>14</v>
      </c>
      <c r="B75"/>
      <c r="C75" s="4">
        <v>11822</v>
      </c>
      <c r="D75" s="18">
        <v>0.152</v>
      </c>
      <c r="E75" s="4">
        <v>4</v>
      </c>
      <c r="F75" s="4">
        <v>0</v>
      </c>
      <c r="G75" s="4">
        <v>0</v>
      </c>
      <c r="I75"/>
      <c r="J75" s="2599"/>
      <c r="K75"/>
      <c r="L75"/>
    </row>
    <row r="76" spans="1:12" s="4" customFormat="1">
      <c r="A76" t="s">
        <v>15</v>
      </c>
      <c r="B76"/>
      <c r="C76" s="4">
        <v>2796</v>
      </c>
      <c r="D76" s="18">
        <v>3.5999999999999997E-2</v>
      </c>
      <c r="E76" s="4">
        <v>1</v>
      </c>
      <c r="F76" s="4">
        <v>0</v>
      </c>
      <c r="G76" s="4">
        <v>1</v>
      </c>
      <c r="I76"/>
      <c r="J76" s="2599"/>
      <c r="K76"/>
      <c r="L76"/>
    </row>
    <row r="77" spans="1:12" s="4" customFormat="1">
      <c r="A77" t="s">
        <v>24</v>
      </c>
      <c r="B77"/>
      <c r="C77" s="4">
        <v>3865</v>
      </c>
      <c r="D77" s="18">
        <v>0.05</v>
      </c>
      <c r="E77" s="4">
        <v>1</v>
      </c>
      <c r="F77" s="4">
        <v>0</v>
      </c>
      <c r="G77" s="4">
        <v>0</v>
      </c>
      <c r="I77"/>
      <c r="J77" s="2599"/>
      <c r="K77"/>
      <c r="L77"/>
    </row>
    <row r="78" spans="1:12" s="4" customFormat="1">
      <c r="A78" t="s">
        <v>28</v>
      </c>
      <c r="B78"/>
      <c r="C78" s="4">
        <v>12348</v>
      </c>
      <c r="D78" s="18">
        <v>0.159</v>
      </c>
      <c r="E78" s="4">
        <v>3</v>
      </c>
      <c r="F78" s="4">
        <v>1</v>
      </c>
      <c r="G78" s="4">
        <v>3</v>
      </c>
      <c r="I78"/>
      <c r="J78" s="2599"/>
      <c r="K78"/>
      <c r="L78"/>
    </row>
  </sheetData>
  <mergeCells count="1">
    <mergeCell ref="A2:B2"/>
  </mergeCells>
  <conditionalFormatting sqref="I54:L54">
    <cfRule type="cellIs" dxfId="25" priority="2" operator="equal">
      <formula>"""FALSE"""</formula>
    </cfRule>
  </conditionalFormatting>
  <conditionalFormatting sqref="I5:L5">
    <cfRule type="cellIs" dxfId="24" priority="7" operator="equal">
      <formula>"""FALSE"""</formula>
    </cfRule>
  </conditionalFormatting>
  <conditionalFormatting sqref="I15:L15">
    <cfRule type="cellIs" dxfId="23" priority="6" operator="equal">
      <formula>"""FALSE"""</formula>
    </cfRule>
  </conditionalFormatting>
  <conditionalFormatting sqref="I26:L26">
    <cfRule type="cellIs" dxfId="22" priority="5" operator="equal">
      <formula>"""FALSE"""</formula>
    </cfRule>
  </conditionalFormatting>
  <conditionalFormatting sqref="I37:L37">
    <cfRule type="cellIs" dxfId="21" priority="4" operator="equal">
      <formula>"""FALSE"""</formula>
    </cfRule>
  </conditionalFormatting>
  <conditionalFormatting sqref="I42:L42">
    <cfRule type="cellIs" dxfId="20" priority="3" operator="equal">
      <formula>"""FALSE"""</formula>
    </cfRule>
  </conditionalFormatting>
  <conditionalFormatting sqref="I70:L70">
    <cfRule type="cellIs" dxfId="19" priority="1" operator="equal">
      <formula>"""FALSE"""</formula>
    </cfRule>
  </conditionalFormatting>
  <pageMargins left="0.75" right="0.75" top="1" bottom="1" header="0.5" footer="0.5"/>
  <pageSetup paperSize="9" scale="86" orientation="portrait" horizont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109</vt:i4>
      </vt:variant>
      <vt:variant>
        <vt:lpstr>Charts</vt:lpstr>
      </vt:variant>
      <vt:variant>
        <vt:i4>1</vt:i4>
      </vt:variant>
      <vt:variant>
        <vt:lpstr>Named Ranges</vt:lpstr>
      </vt:variant>
      <vt:variant>
        <vt:i4>41</vt:i4>
      </vt:variant>
    </vt:vector>
  </HeadingPairs>
  <TitlesOfParts>
    <vt:vector size="151" baseType="lpstr">
      <vt:lpstr>List of Tables</vt:lpstr>
      <vt:lpstr>Landing page</vt:lpstr>
      <vt:lpstr>Twitter</vt:lpstr>
      <vt:lpstr>Share Data</vt:lpstr>
      <vt:lpstr>Seat Data</vt:lpstr>
      <vt:lpstr>GE-UK Parties Visual</vt:lpstr>
      <vt:lpstr>Governments formed GE</vt:lpstr>
      <vt:lpstr>PM -time in office </vt:lpstr>
      <vt:lpstr>1 GE-UK</vt:lpstr>
      <vt:lpstr>1 GE-GB</vt:lpstr>
      <vt:lpstr>1 GE-Eng</vt:lpstr>
      <vt:lpstr>1 GE-Wales</vt:lpstr>
      <vt:lpstr>1 GE-Scot</vt:lpstr>
      <vt:lpstr>1 GE-NI</vt:lpstr>
      <vt:lpstr>GE-NI Visual</vt:lpstr>
      <vt:lpstr>GE-NI2</vt:lpstr>
      <vt:lpstr>2 Turnout</vt:lpstr>
      <vt:lpstr>3 Spoilt ballots </vt:lpstr>
      <vt:lpstr>4 Postal ballots</vt:lpstr>
      <vt:lpstr>5 Women MPs</vt:lpstr>
      <vt:lpstr>5 Women MPs Visual</vt:lpstr>
      <vt:lpstr>6 age.old</vt:lpstr>
      <vt:lpstr>6.Age.Latest </vt:lpstr>
      <vt:lpstr>7  median age</vt:lpstr>
      <vt:lpstr>8 BME</vt:lpstr>
      <vt:lpstr>9 New MPs</vt:lpstr>
      <vt:lpstr>10 education</vt:lpstr>
      <vt:lpstr>Education new format</vt:lpstr>
      <vt:lpstr>11 Occupations</vt:lpstr>
      <vt:lpstr>11 Occupations SNP</vt:lpstr>
      <vt:lpstr>11 Occupations Visual</vt:lpstr>
      <vt:lpstr>11c. Ocupation 2017</vt:lpstr>
      <vt:lpstr>12 by-elections summary</vt:lpstr>
      <vt:lpstr>12 by-elections summary Visual</vt:lpstr>
      <vt:lpstr>13 by-elections list OLD</vt:lpstr>
      <vt:lpstr>13 by-elections list Visual</vt:lpstr>
      <vt:lpstr>14a By elections NI </vt:lpstr>
      <vt:lpstr>15 MEPs</vt:lpstr>
      <vt:lpstr>15 MEPs Visual</vt:lpstr>
      <vt:lpstr>15b European Parliament</vt:lpstr>
      <vt:lpstr>15b European Parliament Visual</vt:lpstr>
      <vt:lpstr>16 NAW</vt:lpstr>
      <vt:lpstr>16 NAW Visual</vt:lpstr>
      <vt:lpstr>Wales data</vt:lpstr>
      <vt:lpstr>17 Scottish Parliament</vt:lpstr>
      <vt:lpstr>17 Scottish Parliament Visual</vt:lpstr>
      <vt:lpstr>17 SP Party charts </vt:lpstr>
      <vt:lpstr>18 NI Assembly</vt:lpstr>
      <vt:lpstr>18 NI Assembly Visual</vt:lpstr>
      <vt:lpstr>18 NI Party charts </vt:lpstr>
      <vt:lpstr>19 Stormont</vt:lpstr>
      <vt:lpstr>20a London 2016</vt:lpstr>
      <vt:lpstr>20b London Assembly</vt:lpstr>
      <vt:lpstr>20 London Assembly Visual</vt:lpstr>
      <vt:lpstr>21 London Mayor</vt:lpstr>
      <vt:lpstr>22-23 Women MEPs</vt:lpstr>
      <vt:lpstr>22-23 Women MEPs Visual</vt:lpstr>
      <vt:lpstr>24 Councillors table</vt:lpstr>
      <vt:lpstr>24 Councillors graph </vt:lpstr>
      <vt:lpstr>25 Locals</vt:lpstr>
      <vt:lpstr>25 Locals Visual</vt:lpstr>
      <vt:lpstr>26 Councilors per party </vt:lpstr>
      <vt:lpstr>26 Councilors per party  VISUAL</vt:lpstr>
      <vt:lpstr>27a Mayoral refs</vt:lpstr>
      <vt:lpstr>27 Mayoral refs Visual</vt:lpstr>
      <vt:lpstr>27c. Mayoral elections</vt:lpstr>
      <vt:lpstr>27b &amp; 28. Current Mayors</vt:lpstr>
      <vt:lpstr>Notes to List of parties 28a-c </vt:lpstr>
      <vt:lpstr>29a PCC seats</vt:lpstr>
      <vt:lpstr>PCC turnout visual</vt:lpstr>
      <vt:lpstr>29b&amp;c PCC 2012v2016 Share </vt:lpstr>
      <vt:lpstr>30 EU ref 2016</vt:lpstr>
      <vt:lpstr>30 EU ref 2016 (Visual)</vt:lpstr>
      <vt:lpstr>31 EC ref</vt:lpstr>
      <vt:lpstr>31 EC ref Visual</vt:lpstr>
      <vt:lpstr>32 Scotland ref</vt:lpstr>
      <vt:lpstr>33 Scotland 2014 ref</vt:lpstr>
      <vt:lpstr>34 Wales ref</vt:lpstr>
      <vt:lpstr>35 Wales ref 2011</vt:lpstr>
      <vt:lpstr>35 Wales ref 2011 Visual</vt:lpstr>
      <vt:lpstr>36 AV ref</vt:lpstr>
      <vt:lpstr>36 AV ref Visual</vt:lpstr>
      <vt:lpstr>1918 </vt:lpstr>
      <vt:lpstr>1922</vt:lpstr>
      <vt:lpstr>1923</vt:lpstr>
      <vt:lpstr>1924</vt:lpstr>
      <vt:lpstr>1929</vt:lpstr>
      <vt:lpstr>1931</vt:lpstr>
      <vt:lpstr>1935</vt:lpstr>
      <vt:lpstr>1945</vt:lpstr>
      <vt:lpstr>1950</vt:lpstr>
      <vt:lpstr>1951</vt:lpstr>
      <vt:lpstr>1955</vt:lpstr>
      <vt:lpstr>1959</vt:lpstr>
      <vt:lpstr>1964</vt:lpstr>
      <vt:lpstr>1966</vt:lpstr>
      <vt:lpstr>1970</vt:lpstr>
      <vt:lpstr> 1935 Transcribed</vt:lpstr>
      <vt:lpstr>1974F</vt:lpstr>
      <vt:lpstr>1974O</vt:lpstr>
      <vt:lpstr>1979</vt:lpstr>
      <vt:lpstr>1983</vt:lpstr>
      <vt:lpstr>1987</vt:lpstr>
      <vt:lpstr>1992</vt:lpstr>
      <vt:lpstr>1997</vt:lpstr>
      <vt:lpstr>2001</vt:lpstr>
      <vt:lpstr>2005</vt:lpstr>
      <vt:lpstr>2010</vt:lpstr>
      <vt:lpstr>Liberals DOB data</vt:lpstr>
      <vt:lpstr>Share 1</vt:lpstr>
      <vt:lpstr>'31 EC ref'!_ftn1</vt:lpstr>
      <vt:lpstr>'31 EC ref'!_ftnref1</vt:lpstr>
      <vt:lpstr>'18 NI Assembly Visual'!_Toc162695414</vt:lpstr>
      <vt:lpstr>'PCC turnout visual'!_Toc162695414</vt:lpstr>
      <vt:lpstr>' 1935 Transcribed'!Print_Area</vt:lpstr>
      <vt:lpstr>'1 GE-Eng'!Print_Area</vt:lpstr>
      <vt:lpstr>'1 GE-GB'!Print_Area</vt:lpstr>
      <vt:lpstr>'1 GE-NI'!Print_Area</vt:lpstr>
      <vt:lpstr>'1 GE-Scot'!Print_Area</vt:lpstr>
      <vt:lpstr>'1 GE-UK'!Print_Area</vt:lpstr>
      <vt:lpstr>'1 GE-Wales'!Print_Area</vt:lpstr>
      <vt:lpstr>'13 by-elections list OLD'!Print_Area</vt:lpstr>
      <vt:lpstr>'13 by-elections list Visual'!Print_Area</vt:lpstr>
      <vt:lpstr>'14a By elections NI '!Print_Area</vt:lpstr>
      <vt:lpstr>'1945'!Print_Area</vt:lpstr>
      <vt:lpstr>'1950'!Print_Area</vt:lpstr>
      <vt:lpstr>'1951'!Print_Area</vt:lpstr>
      <vt:lpstr>'1955'!Print_Area</vt:lpstr>
      <vt:lpstr>'1959'!Print_Area</vt:lpstr>
      <vt:lpstr>'1964'!Print_Area</vt:lpstr>
      <vt:lpstr>'1966'!Print_Area</vt:lpstr>
      <vt:lpstr>'1970'!Print_Area</vt:lpstr>
      <vt:lpstr>'1974F'!Print_Area</vt:lpstr>
      <vt:lpstr>'1974O'!Print_Area</vt:lpstr>
      <vt:lpstr>'1979'!Print_Area</vt:lpstr>
      <vt:lpstr>'1983'!Print_Area</vt:lpstr>
      <vt:lpstr>'1987'!Print_Area</vt:lpstr>
      <vt:lpstr>'1992'!Print_Area</vt:lpstr>
      <vt:lpstr>'1997'!Print_Area</vt:lpstr>
      <vt:lpstr>'2 Turnout'!Print_Area</vt:lpstr>
      <vt:lpstr>'27 Mayoral refs Visual'!Print_Area</vt:lpstr>
      <vt:lpstr>'27a Mayoral refs'!Print_Area</vt:lpstr>
      <vt:lpstr>'27c. Mayoral elections'!Print_Area</vt:lpstr>
      <vt:lpstr>'GE-NI Visual'!Print_Area</vt:lpstr>
      <vt:lpstr>'13 by-elections list OLD'!Print_Titles</vt:lpstr>
      <vt:lpstr>'13 by-elections list Visual'!Print_Titles</vt:lpstr>
      <vt:lpstr>'27c. Mayoral elections'!Print_Titles</vt:lpstr>
      <vt:lpstr>'18 NI Assembly Visual'!TABLE</vt:lpstr>
      <vt:lpstr>'PCC turnout visual'!TABLE</vt:lpstr>
      <vt:lpstr>'18 NI Assembly Visual'!TABLE_2</vt:lpstr>
      <vt:lpstr>'PCC turnout visual'!TABLE_2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CAIN: Issue: Politics: Elections: Assembly Election (NI) Thursday 25 June 1998</dc:title>
  <dc:creator>AUDICKAS, Lukas</dc:creator>
  <cp:lastModifiedBy>Microsoft Office User</cp:lastModifiedBy>
  <cp:lastPrinted>2017-08-16T15:29:14Z</cp:lastPrinted>
  <dcterms:created xsi:type="dcterms:W3CDTF">1997-03-18T13:39:40Z</dcterms:created>
  <dcterms:modified xsi:type="dcterms:W3CDTF">2022-11-26T04:59:43Z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Uberoie@parliament.uk</vt:lpwstr>
  </property>
  <property fmtid="{D5CDD505-2E9C-101B-9397-08002B2CF9AE}" pid="5" name="MSIP_Label_a8f77787-5df4-43b6-a2a8-8d8b678a318b_SetDate">
    <vt:lpwstr>2019-10-30T10:38:01.9334483Z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ec4a29df-1a9d-4a59-85c8-b19e4b5361f8</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